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iba\Box\共用\D-Order\Invoice\"/>
    </mc:Choice>
  </mc:AlternateContent>
  <xr:revisionPtr revIDLastSave="0" documentId="13_ncr:1_{EAA0B4B3-3B80-4E2B-BC09-5000CDDA17DF}" xr6:coauthVersionLast="47" xr6:coauthVersionMax="47" xr10:uidLastSave="{00000000-0000-0000-0000-000000000000}"/>
  <bookViews>
    <workbookView xWindow="-105" yWindow="0" windowWidth="14610" windowHeight="17385" tabRatio="774" xr2:uid="{00000000-000D-0000-FFFF-FFFF00000000}"/>
  </bookViews>
  <sheets>
    <sheet name="NY BackOrder" sheetId="1" r:id="rId1"/>
    <sheet name="取引先マスタ" sheetId="7" r:id="rId2"/>
    <sheet name="仕入先マスタ" sheetId="14" r:id="rId3"/>
    <sheet name="Invoice(SF米国)" sheetId="12" r:id="rId4"/>
    <sheet name="Invoice(SF大阪)" sheetId="13" r:id="rId5"/>
    <sheet name="発注書" sheetId="6" r:id="rId6"/>
    <sheet name="carton mark " sheetId="22" r:id="rId7"/>
    <sheet name="顧客連絡用シート" sheetId="19" r:id="rId8"/>
    <sheet name="Sheet2" sheetId="20" r:id="rId9"/>
    <sheet name="Sheet3" sheetId="23" r:id="rId10"/>
    <sheet name="Sheet1" sheetId="21" r:id="rId11"/>
    <sheet name="Invoice(Sample)" sheetId="9" state="hidden" r:id="rId12"/>
  </sheets>
  <externalReferences>
    <externalReference r:id="rId13"/>
  </externalReferences>
  <definedNames>
    <definedName name="_xlnm._FilterDatabase" localSheetId="0" hidden="1">'NY BackOrder'!$C$20:$W$5282</definedName>
    <definedName name="_xlnm._FilterDatabase" localSheetId="1" hidden="1">取引先マスタ!$A$1:$J$185</definedName>
    <definedName name="_List_Currency">[1]Master!$K$2:$K$5</definedName>
    <definedName name="_List_TradeCondition">[1]Master!$D$2:$D$5</definedName>
    <definedName name="_xlnm.Print_Area" localSheetId="6">'carton mark '!$A$1:$H$51</definedName>
    <definedName name="_xlnm.Print_Area" localSheetId="11">'Invoice(Sample)'!$C$4:$AH$63</definedName>
    <definedName name="_xlnm.Print_Area" localSheetId="4">'Invoice(SF大阪)'!$B$14:$K$80</definedName>
    <definedName name="_xlnm.Print_Area" localSheetId="3">'Invoice(SF米国)'!$B$14:$K$80</definedName>
    <definedName name="_xlnm.Print_Area" localSheetId="0">'NY BackOrder'!$C$1:$O$5295</definedName>
    <definedName name="_xlnm.Print_Area" localSheetId="5">発注書!$B$28:$M$70</definedName>
    <definedName name="_xlnm.Print_Titles" localSheetId="4">'Invoice(SF大阪)'!$14:$35</definedName>
    <definedName name="_xlnm.Print_Titles" localSheetId="3">'Invoice(SF米国)'!$14:$35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270" i="1" l="1"/>
  <c r="W5270" i="1"/>
  <c r="T5270" i="1"/>
  <c r="L5270" i="1"/>
  <c r="J5285" i="1" l="1"/>
  <c r="W5285" i="1"/>
  <c r="P5285" i="1"/>
  <c r="T5285" i="1"/>
  <c r="C3269" i="19"/>
  <c r="J5284" i="1"/>
  <c r="T5284" i="1" s="1"/>
  <c r="W5286" i="1"/>
  <c r="W5284" i="1"/>
  <c r="P5284" i="1"/>
  <c r="W5283" i="1"/>
  <c r="L5269" i="1"/>
  <c r="L5285" i="1" l="1"/>
  <c r="R5285" i="1"/>
  <c r="L5284" i="1"/>
  <c r="R5284" i="1"/>
  <c r="W5280" i="1"/>
  <c r="T5280" i="1"/>
  <c r="R5280" i="1"/>
  <c r="L5280" i="1"/>
  <c r="W5279" i="1"/>
  <c r="T5279" i="1"/>
  <c r="R5279" i="1"/>
  <c r="P5279" i="1"/>
  <c r="L5279" i="1"/>
  <c r="W5281" i="1"/>
  <c r="T5281" i="1"/>
  <c r="R5281" i="1"/>
  <c r="L5281" i="1"/>
  <c r="W5278" i="1"/>
  <c r="P5278" i="1"/>
  <c r="T5278" i="1"/>
  <c r="W5277" i="1"/>
  <c r="L5278" i="1" l="1"/>
  <c r="R5278" i="1"/>
  <c r="W5274" i="1" l="1"/>
  <c r="P5274" i="1"/>
  <c r="J5274" i="1"/>
  <c r="R5274" i="1" s="1"/>
  <c r="W5276" i="1"/>
  <c r="W5275" i="1"/>
  <c r="T5275" i="1"/>
  <c r="R5275" i="1"/>
  <c r="L5275" i="1"/>
  <c r="W5273" i="1"/>
  <c r="P5273" i="1"/>
  <c r="J5273" i="1"/>
  <c r="T5273" i="1" s="1"/>
  <c r="P5269" i="1"/>
  <c r="W5271" i="1"/>
  <c r="W5269" i="1" l="1"/>
  <c r="T5274" i="1"/>
  <c r="L5274" i="1"/>
  <c r="L5273" i="1"/>
  <c r="R5273" i="1"/>
  <c r="T5269" i="1"/>
  <c r="R5269" i="1"/>
  <c r="T5266" i="1" l="1"/>
  <c r="W5267" i="1"/>
  <c r="W5266" i="1"/>
  <c r="R5266" i="1"/>
  <c r="L5266" i="1"/>
  <c r="W5265" i="1"/>
  <c r="T5265" i="1"/>
  <c r="R5265" i="1"/>
  <c r="P5265" i="1"/>
  <c r="L5265" i="1"/>
  <c r="S5258" i="1" l="1"/>
  <c r="E3451" i="19"/>
  <c r="G3451" i="19" s="1"/>
  <c r="E3450" i="19"/>
  <c r="G3450" i="19" s="1"/>
  <c r="W5263" i="1"/>
  <c r="W5262" i="1"/>
  <c r="T5262" i="1"/>
  <c r="R5262" i="1"/>
  <c r="L5262" i="1"/>
  <c r="W5261" i="1"/>
  <c r="P5261" i="1"/>
  <c r="J5261" i="1"/>
  <c r="T5261" i="1" s="1"/>
  <c r="R5261" i="1" l="1"/>
  <c r="L5261" i="1"/>
  <c r="C3445" i="19" l="1"/>
  <c r="B3445" i="19" s="1"/>
  <c r="D3445" i="19" s="1"/>
  <c r="C3444" i="19"/>
  <c r="B3444" i="19" s="1"/>
  <c r="C3443" i="19"/>
  <c r="B3443" i="19" s="1"/>
  <c r="D3443" i="19" s="1"/>
  <c r="D3444" i="19" l="1"/>
  <c r="P5257" i="1" l="1"/>
  <c r="W5258" i="1"/>
  <c r="T5258" i="1"/>
  <c r="R5258" i="1"/>
  <c r="L5258" i="1"/>
  <c r="W5259" i="1"/>
  <c r="W5257" i="1"/>
  <c r="R5257" i="1"/>
  <c r="L5257" i="1"/>
  <c r="W5256" i="1"/>
  <c r="F3437" i="19"/>
  <c r="W5255" i="1"/>
  <c r="W5254" i="1"/>
  <c r="T5254" i="1"/>
  <c r="R5254" i="1"/>
  <c r="L5254" i="1"/>
  <c r="W5253" i="1"/>
  <c r="P5253" i="1"/>
  <c r="J5253" i="1"/>
  <c r="T5253" i="1" s="1"/>
  <c r="C3432" i="19"/>
  <c r="F3432" i="19" s="1"/>
  <c r="C3431" i="19"/>
  <c r="F3431" i="19" s="1"/>
  <c r="T5257" i="1" l="1"/>
  <c r="L5253" i="1"/>
  <c r="R5253" i="1"/>
  <c r="W5250" i="1"/>
  <c r="T5250" i="1"/>
  <c r="R5250" i="1"/>
  <c r="L5250" i="1"/>
  <c r="W5249" i="1"/>
  <c r="P5249" i="1"/>
  <c r="J5249" i="1"/>
  <c r="T5249" i="1" s="1"/>
  <c r="W5248" i="1"/>
  <c r="L5249" i="1" l="1"/>
  <c r="R5249" i="1"/>
  <c r="F3406" i="19" l="1"/>
  <c r="W5247" i="1"/>
  <c r="W5246" i="1"/>
  <c r="T5246" i="1"/>
  <c r="R5246" i="1"/>
  <c r="L5246" i="1"/>
  <c r="W5245" i="1"/>
  <c r="P5245" i="1"/>
  <c r="J5245" i="1"/>
  <c r="T5245" i="1" s="1"/>
  <c r="W5244" i="1"/>
  <c r="L5245" i="1" l="1"/>
  <c r="R5245" i="1"/>
  <c r="T5243" i="1" l="1"/>
  <c r="L5243" i="1"/>
  <c r="W5242" i="1" l="1"/>
  <c r="W5241" i="1"/>
  <c r="T5241" i="1"/>
  <c r="R5241" i="1"/>
  <c r="L5241" i="1"/>
  <c r="W5240" i="1"/>
  <c r="P5240" i="1"/>
  <c r="J5240" i="1"/>
  <c r="L5240" i="1" s="1"/>
  <c r="R5240" i="1" l="1"/>
  <c r="T5240" i="1"/>
  <c r="W5152" i="1" l="1"/>
  <c r="J5152" i="1"/>
  <c r="L5152" i="1" s="1"/>
  <c r="W5220" i="1"/>
  <c r="T5152" i="1" l="1"/>
  <c r="R5152" i="1"/>
  <c r="F3394" i="19"/>
  <c r="F3393" i="19"/>
  <c r="F3392" i="19"/>
  <c r="F3391" i="19"/>
  <c r="F3389" i="19"/>
  <c r="F3387" i="19"/>
  <c r="T5237" i="1"/>
  <c r="W5235" i="1"/>
  <c r="P5235" i="1"/>
  <c r="J5235" i="1"/>
  <c r="T5235" i="1" s="1"/>
  <c r="W5234" i="1"/>
  <c r="P5234" i="1"/>
  <c r="J5234" i="1"/>
  <c r="T5234" i="1" s="1"/>
  <c r="W5233" i="1"/>
  <c r="P5233" i="1"/>
  <c r="J5233" i="1"/>
  <c r="L5233" i="1" s="1"/>
  <c r="W5236" i="1"/>
  <c r="P5236" i="1"/>
  <c r="J5236" i="1"/>
  <c r="T5236" i="1" s="1"/>
  <c r="W5232" i="1"/>
  <c r="W5231" i="1"/>
  <c r="P5231" i="1"/>
  <c r="J5231" i="1"/>
  <c r="T5231" i="1" s="1"/>
  <c r="W5238" i="1"/>
  <c r="W5237" i="1"/>
  <c r="R5237" i="1"/>
  <c r="L5237" i="1"/>
  <c r="W5229" i="1"/>
  <c r="P5229" i="1"/>
  <c r="J5229" i="1"/>
  <c r="T5229" i="1" s="1"/>
  <c r="W5228" i="1"/>
  <c r="L5235" i="1" l="1"/>
  <c r="R5235" i="1"/>
  <c r="L5234" i="1"/>
  <c r="R5234" i="1"/>
  <c r="L5231" i="1"/>
  <c r="R5233" i="1"/>
  <c r="T5233" i="1"/>
  <c r="L5236" i="1"/>
  <c r="R5236" i="1"/>
  <c r="R5231" i="1"/>
  <c r="R5229" i="1"/>
  <c r="L5229" i="1"/>
  <c r="W5227" i="1" l="1"/>
  <c r="W5226" i="1"/>
  <c r="R5226" i="1"/>
  <c r="L5226" i="1"/>
  <c r="W5225" i="1"/>
  <c r="P5225" i="1"/>
  <c r="J5225" i="1"/>
  <c r="R5225" i="1" s="1"/>
  <c r="L5225" i="1" l="1"/>
  <c r="T5225" i="1"/>
  <c r="T5226" i="1"/>
  <c r="E3379" i="19" l="1"/>
  <c r="F3379" i="19" s="1"/>
  <c r="E3382" i="19"/>
  <c r="D3382" i="19" s="1"/>
  <c r="F3382" i="19" s="1"/>
  <c r="E3381" i="19"/>
  <c r="D3381" i="19" s="1"/>
  <c r="F3381" i="19" s="1"/>
  <c r="E3380" i="19"/>
  <c r="D3380" i="19" s="1"/>
  <c r="F3380" i="19" s="1"/>
  <c r="D3377" i="19"/>
  <c r="F3377" i="19" s="1"/>
  <c r="D3376" i="19"/>
  <c r="F3376" i="19" s="1"/>
  <c r="D3375" i="19"/>
  <c r="F3375" i="19" s="1"/>
  <c r="D3372" i="19"/>
  <c r="F3372" i="19" s="1"/>
  <c r="D3371" i="19"/>
  <c r="F3371" i="19" s="1"/>
  <c r="D3374" i="19"/>
  <c r="F3374" i="19" s="1"/>
  <c r="D3373" i="19"/>
  <c r="F3373" i="19" s="1"/>
  <c r="D3370" i="19"/>
  <c r="F3370" i="19" s="1"/>
  <c r="D3369" i="19"/>
  <c r="F3369" i="19" s="1"/>
  <c r="W5223" i="1"/>
  <c r="S5222" i="1"/>
  <c r="W5222" i="1" s="1"/>
  <c r="R5222" i="1"/>
  <c r="W5221" i="1"/>
  <c r="P5222" i="1" l="1"/>
  <c r="L5222" i="1"/>
  <c r="T5222" i="1"/>
  <c r="H3364" i="19" l="1"/>
  <c r="F3363" i="19"/>
  <c r="H3363" i="19" s="1"/>
  <c r="F3362" i="19"/>
  <c r="H3362" i="19" s="1"/>
  <c r="F3361" i="19"/>
  <c r="H3361" i="19" s="1"/>
  <c r="F3360" i="19"/>
  <c r="H3360" i="19" s="1"/>
  <c r="F3359" i="19"/>
  <c r="H3359" i="19" s="1"/>
  <c r="F3358" i="19"/>
  <c r="H3358" i="19" s="1"/>
  <c r="W5215" i="1"/>
  <c r="P5215" i="1"/>
  <c r="J5215" i="1"/>
  <c r="T5215" i="1" s="1"/>
  <c r="W5216" i="1"/>
  <c r="P5216" i="1"/>
  <c r="J5216" i="1"/>
  <c r="R5216" i="1" s="1"/>
  <c r="W5219" i="1"/>
  <c r="T5219" i="1"/>
  <c r="L5219" i="1"/>
  <c r="S5217" i="1"/>
  <c r="W5217" i="1" s="1"/>
  <c r="J5217" i="1"/>
  <c r="L5217" i="1" s="1"/>
  <c r="S5218" i="1"/>
  <c r="W5218" i="1" s="1"/>
  <c r="P5218" i="1"/>
  <c r="J5218" i="1"/>
  <c r="R5218" i="1" s="1"/>
  <c r="S5213" i="1"/>
  <c r="W5213" i="1" s="1"/>
  <c r="J5213" i="1"/>
  <c r="R5213" i="1" s="1"/>
  <c r="S5214" i="1"/>
  <c r="W5214" i="1" s="1"/>
  <c r="J5214" i="1"/>
  <c r="R5214" i="1" s="1"/>
  <c r="W5212" i="1"/>
  <c r="L5215" i="1" l="1"/>
  <c r="R5215" i="1"/>
  <c r="P5214" i="1"/>
  <c r="T5216" i="1"/>
  <c r="L5216" i="1"/>
  <c r="P5217" i="1"/>
  <c r="P5213" i="1"/>
  <c r="T5218" i="1"/>
  <c r="R5217" i="1"/>
  <c r="L5213" i="1"/>
  <c r="T5213" i="1"/>
  <c r="L5214" i="1"/>
  <c r="T5217" i="1"/>
  <c r="L5218" i="1"/>
  <c r="T5214" i="1"/>
  <c r="W5211" i="1" l="1"/>
  <c r="W5210" i="1"/>
  <c r="P5210" i="1"/>
  <c r="J5210" i="1"/>
  <c r="T5210" i="1" s="1"/>
  <c r="L5210" i="1" l="1"/>
  <c r="R5210" i="1"/>
  <c r="D3352" i="19" l="1"/>
  <c r="F3352" i="19" s="1"/>
  <c r="D3351" i="19"/>
  <c r="F3351" i="19" s="1"/>
  <c r="D3350" i="19"/>
  <c r="F3350" i="19" s="1"/>
  <c r="D3349" i="19"/>
  <c r="F3349" i="19" s="1"/>
  <c r="D3348" i="19"/>
  <c r="F3348" i="19" s="1"/>
  <c r="D3305" i="19"/>
  <c r="F3305" i="19" s="1"/>
  <c r="D3306" i="19"/>
  <c r="F3306" i="19" s="1"/>
  <c r="D3307" i="19"/>
  <c r="F3307" i="19" s="1"/>
  <c r="D3308" i="19"/>
  <c r="F3308" i="19" s="1"/>
  <c r="D3309" i="19"/>
  <c r="F3309" i="19" s="1"/>
  <c r="D3310" i="19"/>
  <c r="F3310" i="19" s="1"/>
  <c r="D3311" i="19"/>
  <c r="F3311" i="19" s="1"/>
  <c r="D3312" i="19"/>
  <c r="F3312" i="19" s="1"/>
  <c r="D3313" i="19"/>
  <c r="F3313" i="19" s="1"/>
  <c r="D3314" i="19"/>
  <c r="F3314" i="19" s="1"/>
  <c r="D3315" i="19"/>
  <c r="F3315" i="19" s="1"/>
  <c r="D3316" i="19"/>
  <c r="F3316" i="19" s="1"/>
  <c r="D3317" i="19"/>
  <c r="F3317" i="19" s="1"/>
  <c r="D3318" i="19"/>
  <c r="F3318" i="19" s="1"/>
  <c r="D3319" i="19"/>
  <c r="F3319" i="19" s="1"/>
  <c r="D3320" i="19"/>
  <c r="F3320" i="19" s="1"/>
  <c r="D3321" i="19"/>
  <c r="F3321" i="19" s="1"/>
  <c r="D3322" i="19"/>
  <c r="F3322" i="19" s="1"/>
  <c r="D3323" i="19"/>
  <c r="F3323" i="19" s="1"/>
  <c r="D3324" i="19"/>
  <c r="F3324" i="19" s="1"/>
  <c r="D3325" i="19"/>
  <c r="F3325" i="19" s="1"/>
  <c r="D3326" i="19"/>
  <c r="F3326" i="19" s="1"/>
  <c r="D3327" i="19"/>
  <c r="F3327" i="19" s="1"/>
  <c r="D3328" i="19"/>
  <c r="F3328" i="19" s="1"/>
  <c r="D3329" i="19"/>
  <c r="F3329" i="19" s="1"/>
  <c r="D3330" i="19"/>
  <c r="F3330" i="19" s="1"/>
  <c r="D3331" i="19"/>
  <c r="F3331" i="19" s="1"/>
  <c r="D3332" i="19"/>
  <c r="F3332" i="19" s="1"/>
  <c r="D3333" i="19"/>
  <c r="F3333" i="19" s="1"/>
  <c r="D3334" i="19"/>
  <c r="F3334" i="19" s="1"/>
  <c r="D3335" i="19"/>
  <c r="F3335" i="19" s="1"/>
  <c r="D3336" i="19"/>
  <c r="F3336" i="19" s="1"/>
  <c r="D3337" i="19"/>
  <c r="F3337" i="19" s="1"/>
  <c r="D3338" i="19"/>
  <c r="F3338" i="19" s="1"/>
  <c r="D3339" i="19"/>
  <c r="F3339" i="19" s="1"/>
  <c r="D3340" i="19"/>
  <c r="F3340" i="19" s="1"/>
  <c r="D3341" i="19"/>
  <c r="F3341" i="19" s="1"/>
  <c r="D3342" i="19"/>
  <c r="F3342" i="19" s="1"/>
  <c r="D3343" i="19"/>
  <c r="F3343" i="19" s="1"/>
  <c r="D3344" i="19"/>
  <c r="F3344" i="19" s="1"/>
  <c r="D3345" i="19"/>
  <c r="F3345" i="19" s="1"/>
  <c r="D3346" i="19"/>
  <c r="F3346" i="19" s="1"/>
  <c r="D3347" i="19"/>
  <c r="F3347" i="19" s="1"/>
  <c r="D3304" i="19"/>
  <c r="F3304" i="19" s="1"/>
  <c r="D3303" i="19"/>
  <c r="F3303" i="19" s="1"/>
  <c r="D3302" i="19"/>
  <c r="F3302" i="19" s="1"/>
  <c r="D3301" i="19"/>
  <c r="F3301" i="19" s="1"/>
  <c r="D3300" i="19"/>
  <c r="F3300" i="19" s="1"/>
  <c r="D3299" i="19"/>
  <c r="E3288" i="19"/>
  <c r="C3288" i="19" s="1"/>
  <c r="F3288" i="19" s="1"/>
  <c r="F3294" i="19"/>
  <c r="E3293" i="19"/>
  <c r="C3293" i="19" s="1"/>
  <c r="F3293" i="19" s="1"/>
  <c r="C3287" i="19"/>
  <c r="F3287" i="19" s="1"/>
  <c r="G3283" i="19" l="1"/>
  <c r="I3283" i="19" s="1"/>
  <c r="G3282" i="19"/>
  <c r="I3282" i="19" s="1"/>
  <c r="G3281" i="19"/>
  <c r="I3281" i="19" s="1"/>
  <c r="G3280" i="19"/>
  <c r="I3280" i="19" s="1"/>
  <c r="G3279" i="19"/>
  <c r="I3279" i="19" s="1"/>
  <c r="G3278" i="19"/>
  <c r="I3278" i="19" s="1"/>
  <c r="G3277" i="19"/>
  <c r="I3277" i="19" s="1"/>
  <c r="G3276" i="19"/>
  <c r="I3276" i="19" s="1"/>
  <c r="G3275" i="19"/>
  <c r="I3275" i="19" s="1"/>
  <c r="C3270" i="19" l="1"/>
  <c r="F3270" i="19" s="1"/>
  <c r="F3269" i="19"/>
  <c r="W5115" i="1"/>
  <c r="P5115" i="1"/>
  <c r="J5115" i="1"/>
  <c r="T5115" i="1" s="1"/>
  <c r="W5114" i="1"/>
  <c r="P5114" i="1"/>
  <c r="J5114" i="1"/>
  <c r="T5114" i="1" s="1"/>
  <c r="W5113" i="1"/>
  <c r="P5113" i="1"/>
  <c r="J5113" i="1"/>
  <c r="L5113" i="1" s="1"/>
  <c r="W5112" i="1"/>
  <c r="P5112" i="1"/>
  <c r="J5112" i="1"/>
  <c r="T5112" i="1" s="1"/>
  <c r="W5111" i="1"/>
  <c r="P5111" i="1"/>
  <c r="J5111" i="1"/>
  <c r="T5111" i="1" s="1"/>
  <c r="L5114" i="1" l="1"/>
  <c r="R5114" i="1"/>
  <c r="T5113" i="1"/>
  <c r="R5113" i="1"/>
  <c r="L5115" i="1"/>
  <c r="R5115" i="1"/>
  <c r="L5112" i="1"/>
  <c r="R5112" i="1"/>
  <c r="L5111" i="1"/>
  <c r="R5111" i="1"/>
  <c r="F3262" i="19"/>
  <c r="F3261" i="19"/>
  <c r="F3260" i="19"/>
  <c r="F3259" i="19"/>
  <c r="F3258" i="19"/>
  <c r="F3257" i="19"/>
  <c r="F3256" i="19"/>
  <c r="F3255" i="19"/>
  <c r="F3254" i="19"/>
  <c r="F3253" i="19"/>
  <c r="F3252" i="19"/>
  <c r="F3251" i="19"/>
  <c r="F3250" i="19"/>
  <c r="F3249" i="19"/>
  <c r="F3248" i="19"/>
  <c r="F3247" i="19"/>
  <c r="F3246" i="19"/>
  <c r="F3245" i="19"/>
  <c r="F3244" i="19"/>
  <c r="F3243" i="19"/>
  <c r="F3242" i="19"/>
  <c r="F3241" i="19"/>
  <c r="F3240" i="19"/>
  <c r="F3239" i="19"/>
  <c r="F3238" i="19"/>
  <c r="F3237" i="19"/>
  <c r="F3236" i="19"/>
  <c r="F3235" i="19"/>
  <c r="F3234" i="19"/>
  <c r="F3232" i="19"/>
  <c r="F3231" i="19"/>
  <c r="F3230" i="19"/>
  <c r="F3229" i="19"/>
  <c r="F3228" i="19"/>
  <c r="F3227" i="19"/>
  <c r="F3226" i="19"/>
  <c r="F3225" i="19"/>
  <c r="F3224" i="19"/>
  <c r="F3223" i="19"/>
  <c r="F3222" i="19"/>
  <c r="F3221" i="19"/>
  <c r="F3220" i="19"/>
  <c r="F3219" i="19"/>
  <c r="F3218" i="19"/>
  <c r="F3217" i="19"/>
  <c r="F3216" i="19"/>
  <c r="F3215" i="19"/>
  <c r="W5180" i="1"/>
  <c r="W5185" i="1"/>
  <c r="W5186" i="1"/>
  <c r="W5189" i="1"/>
  <c r="W5193" i="1"/>
  <c r="W5196" i="1"/>
  <c r="W5198" i="1"/>
  <c r="W5200" i="1"/>
  <c r="W5201" i="1"/>
  <c r="W5205" i="1"/>
  <c r="W5206" i="1"/>
  <c r="W5166" i="1"/>
  <c r="W5167" i="1"/>
  <c r="W5168" i="1"/>
  <c r="W5169" i="1"/>
  <c r="W5170" i="1"/>
  <c r="W5175" i="1"/>
  <c r="W5208" i="1"/>
  <c r="W5207" i="1"/>
  <c r="T5207" i="1"/>
  <c r="R5207" i="1"/>
  <c r="L5207" i="1"/>
  <c r="P5206" i="1"/>
  <c r="P5205" i="1"/>
  <c r="P5204" i="1"/>
  <c r="W5204" i="1"/>
  <c r="W5203" i="1"/>
  <c r="P5203" i="1"/>
  <c r="P5202" i="1"/>
  <c r="W5202" i="1"/>
  <c r="P5201" i="1"/>
  <c r="P5200" i="1"/>
  <c r="P5199" i="1"/>
  <c r="W5199" i="1"/>
  <c r="P5198" i="1"/>
  <c r="W5197" i="1"/>
  <c r="P5197" i="1"/>
  <c r="P5196" i="1"/>
  <c r="W5195" i="1"/>
  <c r="P5195" i="1"/>
  <c r="P5194" i="1"/>
  <c r="W5194" i="1"/>
  <c r="P5193" i="1"/>
  <c r="P5192" i="1"/>
  <c r="P5191" i="1"/>
  <c r="W5191" i="1"/>
  <c r="P5190" i="1"/>
  <c r="P5189" i="1"/>
  <c r="P5188" i="1"/>
  <c r="W5187" i="1"/>
  <c r="P5187" i="1"/>
  <c r="P5186" i="1"/>
  <c r="W5184" i="1"/>
  <c r="W5183" i="1"/>
  <c r="W5182" i="1"/>
  <c r="W5181" i="1"/>
  <c r="W5178" i="1"/>
  <c r="W5171" i="1"/>
  <c r="W5165" i="1"/>
  <c r="W5162" i="1"/>
  <c r="W5161" i="1"/>
  <c r="W5159" i="1"/>
  <c r="J5206" i="1"/>
  <c r="R5206" i="1" s="1"/>
  <c r="J5205" i="1"/>
  <c r="R5205" i="1" s="1"/>
  <c r="J5204" i="1"/>
  <c r="T5204" i="1" s="1"/>
  <c r="J5203" i="1"/>
  <c r="R5203" i="1" s="1"/>
  <c r="J5202" i="1"/>
  <c r="T5202" i="1" s="1"/>
  <c r="J5201" i="1"/>
  <c r="T5201" i="1" s="1"/>
  <c r="J5200" i="1"/>
  <c r="T5200" i="1" s="1"/>
  <c r="J5199" i="1"/>
  <c r="T5199" i="1" s="1"/>
  <c r="J5198" i="1"/>
  <c r="R5198" i="1" s="1"/>
  <c r="J5197" i="1"/>
  <c r="T5197" i="1" s="1"/>
  <c r="J5196" i="1"/>
  <c r="T5196" i="1" s="1"/>
  <c r="J5195" i="1"/>
  <c r="L5195" i="1" s="1"/>
  <c r="J5194" i="1"/>
  <c r="T5194" i="1" s="1"/>
  <c r="J5193" i="1"/>
  <c r="T5193" i="1" s="1"/>
  <c r="J5192" i="1"/>
  <c r="L5192" i="1" s="1"/>
  <c r="J5191" i="1"/>
  <c r="T5191" i="1" s="1"/>
  <c r="J5190" i="1"/>
  <c r="R5190" i="1" s="1"/>
  <c r="J5189" i="1"/>
  <c r="T5189" i="1" s="1"/>
  <c r="J5188" i="1"/>
  <c r="T5188" i="1" s="1"/>
  <c r="J5187" i="1"/>
  <c r="R5187" i="1" s="1"/>
  <c r="J5186" i="1"/>
  <c r="T5186" i="1" s="1"/>
  <c r="P5185" i="1"/>
  <c r="J5185" i="1"/>
  <c r="T5185" i="1" s="1"/>
  <c r="P5184" i="1"/>
  <c r="J5184" i="1"/>
  <c r="P5183" i="1"/>
  <c r="J5183" i="1"/>
  <c r="R5183" i="1" s="1"/>
  <c r="P5182" i="1"/>
  <c r="J5182" i="1"/>
  <c r="R5182" i="1" s="1"/>
  <c r="P5181" i="1"/>
  <c r="J5181" i="1"/>
  <c r="T5181" i="1" s="1"/>
  <c r="P5180" i="1"/>
  <c r="J5180" i="1"/>
  <c r="T5180" i="1" s="1"/>
  <c r="W5179" i="1"/>
  <c r="P5179" i="1"/>
  <c r="J5179" i="1"/>
  <c r="T5179" i="1" s="1"/>
  <c r="P5178" i="1"/>
  <c r="J5178" i="1"/>
  <c r="T5178" i="1" s="1"/>
  <c r="W5177" i="1"/>
  <c r="P5176" i="1"/>
  <c r="P5175" i="1"/>
  <c r="P5174" i="1"/>
  <c r="W5174" i="1"/>
  <c r="P5173" i="1"/>
  <c r="P5172" i="1"/>
  <c r="P5171" i="1"/>
  <c r="P5170" i="1"/>
  <c r="P5169" i="1"/>
  <c r="P5168" i="1"/>
  <c r="P5167" i="1"/>
  <c r="P5166" i="1"/>
  <c r="P5165" i="1"/>
  <c r="P5164" i="1"/>
  <c r="W5164" i="1"/>
  <c r="W5163" i="1"/>
  <c r="W5160" i="1"/>
  <c r="J5176" i="1"/>
  <c r="L5176" i="1" s="1"/>
  <c r="J5175" i="1"/>
  <c r="T5175" i="1" s="1"/>
  <c r="J5174" i="1"/>
  <c r="T5174" i="1" s="1"/>
  <c r="J5173" i="1"/>
  <c r="R5173" i="1" s="1"/>
  <c r="W5172" i="1"/>
  <c r="J5172" i="1"/>
  <c r="T5172" i="1" s="1"/>
  <c r="J5171" i="1"/>
  <c r="T5171" i="1" s="1"/>
  <c r="J5170" i="1"/>
  <c r="T5170" i="1" s="1"/>
  <c r="J5169" i="1"/>
  <c r="T5169" i="1" s="1"/>
  <c r="J5168" i="1"/>
  <c r="T5168" i="1" s="1"/>
  <c r="J5167" i="1"/>
  <c r="T5167" i="1" s="1"/>
  <c r="J5166" i="1"/>
  <c r="T5166" i="1" s="1"/>
  <c r="J5165" i="1"/>
  <c r="T5165" i="1" s="1"/>
  <c r="J5164" i="1"/>
  <c r="T5164" i="1" s="1"/>
  <c r="P5163" i="1"/>
  <c r="J5163" i="1"/>
  <c r="T5163" i="1" s="1"/>
  <c r="P5162" i="1"/>
  <c r="J5162" i="1"/>
  <c r="T5162" i="1" s="1"/>
  <c r="P5161" i="1"/>
  <c r="J5161" i="1"/>
  <c r="R5161" i="1" s="1"/>
  <c r="P5160" i="1"/>
  <c r="J5160" i="1"/>
  <c r="L5160" i="1" s="1"/>
  <c r="P5159" i="1"/>
  <c r="J5159" i="1"/>
  <c r="R5159" i="1" s="1"/>
  <c r="W5158" i="1"/>
  <c r="T5198" i="1" l="1"/>
  <c r="R5200" i="1"/>
  <c r="R5186" i="1"/>
  <c r="R5170" i="1"/>
  <c r="L5205" i="1"/>
  <c r="L5197" i="1"/>
  <c r="R5204" i="1"/>
  <c r="R5176" i="1"/>
  <c r="R5197" i="1"/>
  <c r="R5195" i="1"/>
  <c r="T5195" i="1"/>
  <c r="T5176" i="1"/>
  <c r="T5190" i="1"/>
  <c r="R5191" i="1"/>
  <c r="T5206" i="1"/>
  <c r="R5164" i="1"/>
  <c r="R5194" i="1"/>
  <c r="T5203" i="1"/>
  <c r="L5172" i="1"/>
  <c r="T5187" i="1"/>
  <c r="R5201" i="1"/>
  <c r="L5188" i="1"/>
  <c r="R5171" i="1"/>
  <c r="R5188" i="1"/>
  <c r="R5192" i="1"/>
  <c r="R5167" i="1"/>
  <c r="R5189" i="1"/>
  <c r="T5192" i="1"/>
  <c r="R5202" i="1"/>
  <c r="L5173" i="1"/>
  <c r="L5190" i="1"/>
  <c r="R5193" i="1"/>
  <c r="R5196" i="1"/>
  <c r="R5199" i="1"/>
  <c r="L5203" i="1"/>
  <c r="T5205" i="1"/>
  <c r="L5187" i="1"/>
  <c r="R5168" i="1"/>
  <c r="R5172" i="1"/>
  <c r="L5189" i="1"/>
  <c r="L5206" i="1"/>
  <c r="L5202" i="1"/>
  <c r="L5204" i="1"/>
  <c r="L5198" i="1"/>
  <c r="L5200" i="1"/>
  <c r="L5199" i="1"/>
  <c r="L5201" i="1"/>
  <c r="L5194" i="1"/>
  <c r="L5196" i="1"/>
  <c r="W5190" i="1"/>
  <c r="W5192" i="1"/>
  <c r="L5191" i="1"/>
  <c r="L5193" i="1"/>
  <c r="W5188" i="1"/>
  <c r="L5186" i="1"/>
  <c r="L5184" i="1"/>
  <c r="T5173" i="1"/>
  <c r="R5184" i="1"/>
  <c r="W5173" i="1"/>
  <c r="T5184" i="1"/>
  <c r="R5165" i="1"/>
  <c r="R5174" i="1"/>
  <c r="L5183" i="1"/>
  <c r="R5166" i="1"/>
  <c r="R5169" i="1"/>
  <c r="R5175" i="1"/>
  <c r="W5176" i="1"/>
  <c r="T5183" i="1"/>
  <c r="L5185" i="1"/>
  <c r="R5185" i="1"/>
  <c r="L5182" i="1"/>
  <c r="T5182" i="1"/>
  <c r="L5181" i="1"/>
  <c r="R5181" i="1"/>
  <c r="R5180" i="1"/>
  <c r="L5180" i="1"/>
  <c r="L5179" i="1"/>
  <c r="R5179" i="1"/>
  <c r="L5178" i="1"/>
  <c r="R5178" i="1"/>
  <c r="L5175" i="1"/>
  <c r="L5174" i="1"/>
  <c r="L5168" i="1"/>
  <c r="L5170" i="1"/>
  <c r="L5169" i="1"/>
  <c r="L5171" i="1"/>
  <c r="L5166" i="1"/>
  <c r="L5165" i="1"/>
  <c r="L5167" i="1"/>
  <c r="L5164" i="1"/>
  <c r="T5161" i="1"/>
  <c r="T5159" i="1"/>
  <c r="T5160" i="1"/>
  <c r="R5160" i="1"/>
  <c r="L5163" i="1"/>
  <c r="R5163" i="1"/>
  <c r="L5162" i="1"/>
  <c r="R5162" i="1"/>
  <c r="L5161" i="1"/>
  <c r="L5159" i="1"/>
  <c r="S5088" i="1" l="1"/>
  <c r="S5120" i="1"/>
  <c r="T5120" i="1" s="1"/>
  <c r="P5155" i="1"/>
  <c r="W5157" i="1"/>
  <c r="W5156" i="1"/>
  <c r="T5156" i="1"/>
  <c r="R5156" i="1"/>
  <c r="P5156" i="1"/>
  <c r="L5156" i="1"/>
  <c r="W5155" i="1"/>
  <c r="T5155" i="1"/>
  <c r="R5155" i="1"/>
  <c r="L5155" i="1"/>
  <c r="W5154" i="1"/>
  <c r="F3210" i="19"/>
  <c r="F3209" i="19"/>
  <c r="W5147" i="1"/>
  <c r="P5147" i="1"/>
  <c r="J5147" i="1"/>
  <c r="T5147" i="1" s="1"/>
  <c r="W5148" i="1"/>
  <c r="W5146" i="1"/>
  <c r="P5146" i="1"/>
  <c r="J5146" i="1"/>
  <c r="T5146" i="1" s="1"/>
  <c r="W5145" i="1"/>
  <c r="T5088" i="1"/>
  <c r="W5086" i="1"/>
  <c r="P5086" i="1"/>
  <c r="J5086" i="1"/>
  <c r="T5086" i="1" s="1"/>
  <c r="W5144" i="1"/>
  <c r="W5143" i="1"/>
  <c r="T5143" i="1"/>
  <c r="R5143" i="1"/>
  <c r="P5143" i="1"/>
  <c r="L5143" i="1"/>
  <c r="P5142" i="1"/>
  <c r="W5142" i="1"/>
  <c r="T5142" i="1"/>
  <c r="R5142" i="1"/>
  <c r="L5142" i="1"/>
  <c r="L5147" i="1" l="1"/>
  <c r="R5147" i="1"/>
  <c r="L5146" i="1"/>
  <c r="R5146" i="1"/>
  <c r="L5086" i="1"/>
  <c r="R5086" i="1"/>
  <c r="W5097" i="1" l="1"/>
  <c r="P5097" i="1"/>
  <c r="J5097" i="1"/>
  <c r="T5097" i="1" s="1"/>
  <c r="W5096" i="1"/>
  <c r="P5096" i="1"/>
  <c r="J5096" i="1"/>
  <c r="T5096" i="1" s="1"/>
  <c r="W5095" i="1"/>
  <c r="P5095" i="1"/>
  <c r="J5095" i="1"/>
  <c r="T5095" i="1" s="1"/>
  <c r="W5135" i="1"/>
  <c r="F3204" i="19"/>
  <c r="F3203" i="19"/>
  <c r="R5097" i="1" l="1"/>
  <c r="L5096" i="1"/>
  <c r="L5097" i="1"/>
  <c r="R5096" i="1"/>
  <c r="L5095" i="1"/>
  <c r="R5095" i="1"/>
  <c r="W5140" i="1"/>
  <c r="W5139" i="1"/>
  <c r="T5139" i="1"/>
  <c r="R5139" i="1"/>
  <c r="L5139" i="1"/>
  <c r="W5137" i="1"/>
  <c r="P5137" i="1"/>
  <c r="J5137" i="1"/>
  <c r="R5137" i="1" s="1"/>
  <c r="W5138" i="1"/>
  <c r="P5138" i="1"/>
  <c r="J5138" i="1"/>
  <c r="T5138" i="1" s="1"/>
  <c r="W5136" i="1"/>
  <c r="T5137" i="1" l="1"/>
  <c r="L5137" i="1"/>
  <c r="R5138" i="1"/>
  <c r="L5138" i="1"/>
  <c r="D3197" i="19" l="1"/>
  <c r="B3197" i="19" s="1"/>
  <c r="E3197" i="19" s="1"/>
  <c r="W5134" i="1"/>
  <c r="T5134" i="1"/>
  <c r="R5134" i="1"/>
  <c r="L5134" i="1"/>
  <c r="W5133" i="1"/>
  <c r="T5133" i="1"/>
  <c r="R5133" i="1"/>
  <c r="P5133" i="1"/>
  <c r="L5133" i="1"/>
  <c r="W5131" i="1" l="1"/>
  <c r="R5131" i="1"/>
  <c r="L5131" i="1"/>
  <c r="W5130" i="1"/>
  <c r="T5130" i="1"/>
  <c r="R5130" i="1"/>
  <c r="P5130" i="1"/>
  <c r="L5130" i="1"/>
  <c r="W5121" i="1"/>
  <c r="D3191" i="19" l="1"/>
  <c r="G3191" i="19" s="1"/>
  <c r="D3190" i="19"/>
  <c r="G3190" i="19" s="1"/>
  <c r="D3189" i="19"/>
  <c r="G3189" i="19" s="1"/>
  <c r="D3188" i="19"/>
  <c r="G3188" i="19" s="1"/>
  <c r="S5107" i="1" l="1"/>
  <c r="W5107" i="1" s="1"/>
  <c r="J5107" i="1"/>
  <c r="R5107" i="1" s="1"/>
  <c r="S5106" i="1"/>
  <c r="W5106" i="1" s="1"/>
  <c r="J5106" i="1"/>
  <c r="R5106" i="1" s="1"/>
  <c r="S5105" i="1"/>
  <c r="W5105" i="1" s="1"/>
  <c r="J5105" i="1"/>
  <c r="R5105" i="1" s="1"/>
  <c r="S5104" i="1"/>
  <c r="P5104" i="1" s="1"/>
  <c r="J5104" i="1"/>
  <c r="R5104" i="1" s="1"/>
  <c r="W5128" i="1"/>
  <c r="W5127" i="1"/>
  <c r="T5127" i="1"/>
  <c r="R5127" i="1"/>
  <c r="L5127" i="1"/>
  <c r="W5126" i="1"/>
  <c r="T5126" i="1"/>
  <c r="R5126" i="1"/>
  <c r="P5126" i="1"/>
  <c r="L5126" i="1"/>
  <c r="F3176" i="19"/>
  <c r="W5120" i="1"/>
  <c r="P5105" i="1" l="1"/>
  <c r="P5106" i="1"/>
  <c r="P5107" i="1"/>
  <c r="W5104" i="1"/>
  <c r="T5106" i="1"/>
  <c r="T5104" i="1"/>
  <c r="L5107" i="1"/>
  <c r="T5107" i="1"/>
  <c r="L5106" i="1"/>
  <c r="L5105" i="1"/>
  <c r="T5105" i="1"/>
  <c r="L5104" i="1"/>
  <c r="W5123" i="1" l="1"/>
  <c r="T5123" i="1"/>
  <c r="R5123" i="1"/>
  <c r="L5123" i="1"/>
  <c r="W5122" i="1"/>
  <c r="P5122" i="1"/>
  <c r="J5122" i="1"/>
  <c r="R5122" i="1" s="1"/>
  <c r="W5124" i="1"/>
  <c r="W5119" i="1"/>
  <c r="T5119" i="1"/>
  <c r="R5119" i="1"/>
  <c r="L5119" i="1"/>
  <c r="W5118" i="1"/>
  <c r="P5118" i="1"/>
  <c r="J5118" i="1"/>
  <c r="T5118" i="1" s="1"/>
  <c r="W5117" i="1"/>
  <c r="S5103" i="1"/>
  <c r="T5122" i="1" l="1"/>
  <c r="L5122" i="1"/>
  <c r="L5118" i="1"/>
  <c r="R5118" i="1"/>
  <c r="W5109" i="1" l="1"/>
  <c r="W5108" i="1"/>
  <c r="W5103" i="1"/>
  <c r="P5103" i="1"/>
  <c r="J5103" i="1"/>
  <c r="T5103" i="1" s="1"/>
  <c r="L5103" i="1" l="1"/>
  <c r="R5103" i="1"/>
  <c r="H3171" i="19" l="1"/>
  <c r="G3170" i="19"/>
  <c r="H3170" i="19" s="1"/>
  <c r="E3171" i="19"/>
  <c r="E3170" i="19"/>
  <c r="J5099" i="1"/>
  <c r="I3164" i="19" l="1"/>
  <c r="F3164" i="19"/>
  <c r="I3163" i="19"/>
  <c r="F3163" i="19"/>
  <c r="W5116" i="1" l="1"/>
  <c r="W5110" i="1"/>
  <c r="P5110" i="1"/>
  <c r="J5110" i="1"/>
  <c r="T5110" i="1" s="1"/>
  <c r="W5102" i="1"/>
  <c r="L5110" i="1" l="1"/>
  <c r="R5110" i="1"/>
  <c r="G3155" i="19" l="1"/>
  <c r="W5092" i="1"/>
  <c r="S5091" i="1"/>
  <c r="W5091" i="1" s="1"/>
  <c r="S5090" i="1"/>
  <c r="P5090" i="1" s="1"/>
  <c r="W5090" i="1"/>
  <c r="W5098" i="1"/>
  <c r="W5100" i="1"/>
  <c r="T5100" i="1"/>
  <c r="R5100" i="1"/>
  <c r="L5100" i="1"/>
  <c r="W5099" i="1"/>
  <c r="P5099" i="1"/>
  <c r="R5099" i="1"/>
  <c r="W5101" i="1"/>
  <c r="W5094" i="1"/>
  <c r="P5094" i="1"/>
  <c r="J5094" i="1"/>
  <c r="T5094" i="1" s="1"/>
  <c r="T5090" i="1" l="1"/>
  <c r="T5091" i="1"/>
  <c r="P5091" i="1"/>
  <c r="L5090" i="1"/>
  <c r="R5090" i="1"/>
  <c r="L5091" i="1"/>
  <c r="R5091" i="1"/>
  <c r="T5099" i="1"/>
  <c r="L5099" i="1"/>
  <c r="L5094" i="1"/>
  <c r="R5094" i="1"/>
  <c r="W5088" i="1" l="1"/>
  <c r="W5087" i="1"/>
  <c r="T5087" i="1"/>
  <c r="R5087" i="1"/>
  <c r="L5087" i="1"/>
  <c r="W5085" i="1"/>
  <c r="P5085" i="1"/>
  <c r="J5085" i="1"/>
  <c r="T5085" i="1" s="1"/>
  <c r="W5083" i="1"/>
  <c r="P5083" i="1"/>
  <c r="J5083" i="1"/>
  <c r="R5083" i="1" s="1"/>
  <c r="W5082" i="1"/>
  <c r="P5082" i="1"/>
  <c r="J5082" i="1"/>
  <c r="T5082" i="1" s="1"/>
  <c r="W5084" i="1"/>
  <c r="P5084" i="1"/>
  <c r="J5084" i="1"/>
  <c r="R5084" i="1" s="1"/>
  <c r="W5081" i="1"/>
  <c r="E3134" i="19"/>
  <c r="E3133" i="19"/>
  <c r="E3129" i="19"/>
  <c r="E3128" i="19"/>
  <c r="W5077" i="1"/>
  <c r="P5077" i="1"/>
  <c r="J5077" i="1"/>
  <c r="T5077" i="1" s="1"/>
  <c r="W5073" i="1"/>
  <c r="P5073" i="1"/>
  <c r="T5073" i="1"/>
  <c r="T5083" i="1" l="1"/>
  <c r="T5084" i="1"/>
  <c r="L5084" i="1"/>
  <c r="L5083" i="1"/>
  <c r="L5082" i="1"/>
  <c r="L5085" i="1"/>
  <c r="R5082" i="1"/>
  <c r="R5085" i="1"/>
  <c r="R5077" i="1"/>
  <c r="L5077" i="1"/>
  <c r="L5073" i="1"/>
  <c r="R5073" i="1"/>
  <c r="S5049" i="1" l="1"/>
  <c r="T5049" i="1"/>
  <c r="I3121" i="19"/>
  <c r="I3120" i="19"/>
  <c r="F3120" i="19"/>
  <c r="F3121" i="19"/>
  <c r="W5153" i="1"/>
  <c r="W5150" i="1"/>
  <c r="J5150" i="1"/>
  <c r="R5150" i="1" s="1"/>
  <c r="W5149" i="1"/>
  <c r="L5150" i="1" l="1"/>
  <c r="T5150" i="1"/>
  <c r="F3114" i="19" l="1"/>
  <c r="F3113" i="19"/>
  <c r="F3112" i="19"/>
  <c r="W5067" i="1"/>
  <c r="P5067" i="1"/>
  <c r="J5067" i="1"/>
  <c r="T5067" i="1" s="1"/>
  <c r="W5066" i="1"/>
  <c r="P5066" i="1"/>
  <c r="J5066" i="1"/>
  <c r="T5066" i="1" s="1"/>
  <c r="W5069" i="1"/>
  <c r="W5068" i="1"/>
  <c r="T5068" i="1"/>
  <c r="R5068" i="1"/>
  <c r="L5068" i="1"/>
  <c r="W5065" i="1"/>
  <c r="P5065" i="1"/>
  <c r="J5065" i="1"/>
  <c r="T5065" i="1" s="1"/>
  <c r="W5064" i="1"/>
  <c r="T5079" i="1"/>
  <c r="W5079" i="1"/>
  <c r="W5078" i="1"/>
  <c r="L5067" i="1" l="1"/>
  <c r="R5067" i="1"/>
  <c r="L5066" i="1"/>
  <c r="R5066" i="1"/>
  <c r="L5065" i="1"/>
  <c r="R5065" i="1"/>
  <c r="W5076" i="1"/>
  <c r="P5076" i="1"/>
  <c r="J5076" i="1"/>
  <c r="T5076" i="1" s="1"/>
  <c r="W5075" i="1"/>
  <c r="P5075" i="1"/>
  <c r="T5075" i="1"/>
  <c r="W5074" i="1"/>
  <c r="P5074" i="1"/>
  <c r="T5074" i="1"/>
  <c r="W5072" i="1"/>
  <c r="P5072" i="1"/>
  <c r="J5072" i="1"/>
  <c r="L5072" i="1" s="1"/>
  <c r="J5071" i="1"/>
  <c r="L5071" i="1" s="1"/>
  <c r="R5079" i="1"/>
  <c r="L5079" i="1"/>
  <c r="T5078" i="1"/>
  <c r="R5078" i="1"/>
  <c r="L5078" i="1"/>
  <c r="W5071" i="1"/>
  <c r="P5071" i="1"/>
  <c r="W5070" i="1"/>
  <c r="F3103" i="19"/>
  <c r="F3106" i="19"/>
  <c r="F3105" i="19"/>
  <c r="F3104" i="19"/>
  <c r="F3102" i="19"/>
  <c r="F3101" i="19"/>
  <c r="T5061" i="1"/>
  <c r="S5061" i="1"/>
  <c r="W5061" i="1" s="1"/>
  <c r="W5062" i="1"/>
  <c r="T5062" i="1"/>
  <c r="R5062" i="1"/>
  <c r="P5062" i="1"/>
  <c r="R5061" i="1"/>
  <c r="L5061" i="1"/>
  <c r="W5060" i="1"/>
  <c r="T5060" i="1"/>
  <c r="R5060" i="1"/>
  <c r="P5060" i="1"/>
  <c r="L5060" i="1"/>
  <c r="W5059" i="1"/>
  <c r="R5059" i="1"/>
  <c r="L5059" i="1"/>
  <c r="S5058" i="1"/>
  <c r="W5058" i="1" s="1"/>
  <c r="D3094" i="19"/>
  <c r="D3095" i="19"/>
  <c r="R5058" i="1"/>
  <c r="L5058" i="1"/>
  <c r="W5057" i="1"/>
  <c r="W5063" i="1"/>
  <c r="W5056" i="1"/>
  <c r="W5055" i="1"/>
  <c r="L5062" i="1"/>
  <c r="P5056" i="1"/>
  <c r="T5056" i="1"/>
  <c r="L5076" i="1" l="1"/>
  <c r="R5076" i="1"/>
  <c r="T5071" i="1"/>
  <c r="L5075" i="1"/>
  <c r="R5075" i="1"/>
  <c r="L5074" i="1"/>
  <c r="R5074" i="1"/>
  <c r="R5072" i="1"/>
  <c r="T5072" i="1"/>
  <c r="R5071" i="1"/>
  <c r="P5061" i="1"/>
  <c r="P5059" i="1"/>
  <c r="T5059" i="1"/>
  <c r="P5058" i="1"/>
  <c r="T5058" i="1"/>
  <c r="L5056" i="1"/>
  <c r="R5056" i="1"/>
  <c r="D3096" i="19" l="1"/>
  <c r="B3096" i="19" s="1"/>
  <c r="E3096" i="19" s="1"/>
  <c r="B3094" i="19"/>
  <c r="E3094" i="19" s="1"/>
  <c r="D3093" i="19"/>
  <c r="B3093" i="19" s="1"/>
  <c r="E3093" i="19" s="1"/>
  <c r="D3092" i="19"/>
  <c r="B3092" i="19" s="1"/>
  <c r="E3092" i="19" s="1"/>
  <c r="D3091" i="19"/>
  <c r="B3091" i="19" s="1"/>
  <c r="E3091" i="19" s="1"/>
  <c r="D3084" i="19" l="1"/>
  <c r="D3085" i="19"/>
  <c r="C3081" i="19"/>
  <c r="B3081" i="19" s="1"/>
  <c r="D3081" i="19" s="1"/>
  <c r="C3080" i="19"/>
  <c r="B3080" i="19" s="1"/>
  <c r="D3080" i="19" s="1"/>
  <c r="W5054" i="1" l="1"/>
  <c r="W5053" i="1"/>
  <c r="T5053" i="1"/>
  <c r="L5053" i="1"/>
  <c r="W5052" i="1"/>
  <c r="P5052" i="1"/>
  <c r="J5052" i="1"/>
  <c r="R5052" i="1" s="1"/>
  <c r="W5051" i="1"/>
  <c r="T5052" i="1" l="1"/>
  <c r="L5052" i="1"/>
  <c r="E3075" i="19" l="1"/>
  <c r="C3075" i="19" s="1"/>
  <c r="F3075" i="19" s="1"/>
  <c r="E3074" i="19"/>
  <c r="C3074" i="19" s="1"/>
  <c r="F3074" i="19" s="1"/>
  <c r="E3073" i="19"/>
  <c r="C3073" i="19" s="1"/>
  <c r="F3073" i="19" s="1"/>
  <c r="C3070" i="19"/>
  <c r="B3070" i="19" s="1"/>
  <c r="D3070" i="19" s="1"/>
  <c r="C3069" i="19"/>
  <c r="B3069" i="19" s="1"/>
  <c r="D3069" i="19" s="1"/>
  <c r="F3042" i="19" l="1"/>
  <c r="D3042" i="19" s="1"/>
  <c r="G3042" i="19" s="1"/>
  <c r="D3041" i="19"/>
  <c r="G3041" i="19" s="1"/>
  <c r="T5046" i="1" l="1"/>
  <c r="R5046" i="1"/>
  <c r="L5046" i="1"/>
  <c r="R5049" i="1"/>
  <c r="L5049" i="1"/>
  <c r="T5048" i="1"/>
  <c r="R5048" i="1"/>
  <c r="L5048" i="1"/>
  <c r="W5047" i="1"/>
  <c r="T5047" i="1"/>
  <c r="R5047" i="1"/>
  <c r="P5047" i="1"/>
  <c r="L5047" i="1"/>
  <c r="W5045" i="1"/>
  <c r="T5045" i="1"/>
  <c r="R5045" i="1"/>
  <c r="P5045" i="1"/>
  <c r="L5045" i="1"/>
  <c r="W5044" i="1"/>
  <c r="F3026" i="19"/>
  <c r="F3025" i="19"/>
  <c r="W5041" i="1"/>
  <c r="P5041" i="1"/>
  <c r="J5041" i="1"/>
  <c r="T5041" i="1" s="1"/>
  <c r="W5043" i="1"/>
  <c r="W5042" i="1"/>
  <c r="T5042" i="1"/>
  <c r="R5042" i="1"/>
  <c r="L5042" i="1"/>
  <c r="W5040" i="1"/>
  <c r="P5040" i="1"/>
  <c r="J5040" i="1"/>
  <c r="T5040" i="1" s="1"/>
  <c r="L5041" i="1" l="1"/>
  <c r="R5041" i="1"/>
  <c r="L5040" i="1"/>
  <c r="R5040" i="1"/>
  <c r="F3019" i="19"/>
  <c r="F3018" i="19"/>
  <c r="F3017" i="19"/>
  <c r="W5036" i="1"/>
  <c r="P5036" i="1"/>
  <c r="J5036" i="1"/>
  <c r="T5036" i="1" s="1"/>
  <c r="W5035" i="1"/>
  <c r="P5035" i="1"/>
  <c r="J5035" i="1"/>
  <c r="T5035" i="1" s="1"/>
  <c r="J5034" i="1"/>
  <c r="T5034" i="1" s="1"/>
  <c r="W5038" i="1"/>
  <c r="W5037" i="1"/>
  <c r="T5037" i="1"/>
  <c r="L5037" i="1"/>
  <c r="W5034" i="1"/>
  <c r="P5034" i="1"/>
  <c r="W5033" i="1"/>
  <c r="W5029" i="1"/>
  <c r="T5029" i="1"/>
  <c r="R5029" i="1"/>
  <c r="L5029" i="1"/>
  <c r="W5028" i="1"/>
  <c r="P5028" i="1"/>
  <c r="J5028" i="1"/>
  <c r="R5028" i="1" s="1"/>
  <c r="W5030" i="1"/>
  <c r="P5030" i="1"/>
  <c r="J5030" i="1"/>
  <c r="L5030" i="1" s="1"/>
  <c r="S5021" i="1"/>
  <c r="L5036" i="1" l="1"/>
  <c r="R5036" i="1"/>
  <c r="L5035" i="1"/>
  <c r="R5035" i="1"/>
  <c r="L5034" i="1"/>
  <c r="R5034" i="1"/>
  <c r="T5028" i="1"/>
  <c r="L5028" i="1"/>
  <c r="R5030" i="1"/>
  <c r="T5030" i="1"/>
  <c r="W5032" i="1"/>
  <c r="W5031" i="1"/>
  <c r="T5031" i="1"/>
  <c r="R5031" i="1"/>
  <c r="L5031" i="1"/>
  <c r="W5027" i="1"/>
  <c r="P5027" i="1"/>
  <c r="T5027" i="1"/>
  <c r="W5026" i="1"/>
  <c r="E3013" i="19"/>
  <c r="C3013" i="19" s="1"/>
  <c r="F3013" i="19" s="1"/>
  <c r="E3012" i="19"/>
  <c r="C3012" i="19" s="1"/>
  <c r="F3012" i="19" s="1"/>
  <c r="L5027" i="1" l="1"/>
  <c r="R5027" i="1"/>
  <c r="T5021" i="1"/>
  <c r="W5018" i="1"/>
  <c r="P5018" i="1"/>
  <c r="J5018" i="1"/>
  <c r="T5018" i="1" s="1"/>
  <c r="L5018" i="1" l="1"/>
  <c r="R5018" i="1"/>
  <c r="W5022" i="1" l="1"/>
  <c r="W5021" i="1"/>
  <c r="R5021" i="1"/>
  <c r="L5021" i="1"/>
  <c r="W5020" i="1"/>
  <c r="P5020" i="1"/>
  <c r="J5020" i="1"/>
  <c r="T5020" i="1" s="1"/>
  <c r="W5017" i="1"/>
  <c r="P5017" i="1"/>
  <c r="J5017" i="1"/>
  <c r="T5017" i="1" s="1"/>
  <c r="W5016" i="1"/>
  <c r="D3007" i="19"/>
  <c r="F3007" i="19" s="1"/>
  <c r="D3006" i="19"/>
  <c r="F3006" i="19" s="1"/>
  <c r="D3005" i="19"/>
  <c r="F3005" i="19" s="1"/>
  <c r="D3004" i="19"/>
  <c r="F3004" i="19" s="1"/>
  <c r="D3003" i="19"/>
  <c r="F3003" i="19" s="1"/>
  <c r="D3002" i="19"/>
  <c r="F3002" i="19" s="1"/>
  <c r="D3001" i="19"/>
  <c r="F3001" i="19" s="1"/>
  <c r="D3000" i="19"/>
  <c r="F3000" i="19" s="1"/>
  <c r="D2999" i="19"/>
  <c r="F2999" i="19" s="1"/>
  <c r="D2997" i="19"/>
  <c r="F2997" i="19" s="1"/>
  <c r="D2996" i="19"/>
  <c r="F2996" i="19" s="1"/>
  <c r="D2995" i="19"/>
  <c r="F2995" i="19" s="1"/>
  <c r="D2994" i="19"/>
  <c r="F2994" i="19" s="1"/>
  <c r="D2993" i="19"/>
  <c r="F2993" i="19" s="1"/>
  <c r="D2992" i="19"/>
  <c r="F2992" i="19" s="1"/>
  <c r="D2991" i="19"/>
  <c r="F2991" i="19" s="1"/>
  <c r="D2990" i="19"/>
  <c r="F2990" i="19" s="1"/>
  <c r="D2989" i="19"/>
  <c r="F2989" i="19" s="1"/>
  <c r="L5020" i="1" l="1"/>
  <c r="R5020" i="1"/>
  <c r="L5017" i="1"/>
  <c r="R5017" i="1"/>
  <c r="C2984" i="19"/>
  <c r="B2984" i="19" s="1"/>
  <c r="D2984" i="19" s="1"/>
  <c r="C2982" i="19"/>
  <c r="B2982" i="19" s="1"/>
  <c r="D2982" i="19" s="1"/>
  <c r="W4926" i="1" l="1"/>
  <c r="T4926" i="1"/>
  <c r="R4926" i="1"/>
  <c r="P4926" i="1"/>
  <c r="L4926" i="1"/>
  <c r="E2972" i="19"/>
  <c r="G2972" i="19" s="1"/>
  <c r="E2971" i="19"/>
  <c r="G2971" i="19" s="1"/>
  <c r="W4960" i="1" l="1"/>
  <c r="T4960" i="1"/>
  <c r="R4960" i="1"/>
  <c r="P4960" i="1"/>
  <c r="L4960" i="1"/>
  <c r="W4924" i="1"/>
  <c r="T4924" i="1"/>
  <c r="R4924" i="1"/>
  <c r="P4924" i="1"/>
  <c r="L4924" i="1"/>
  <c r="T5005" i="1" l="1"/>
  <c r="L4959" i="1" l="1"/>
  <c r="P4959" i="1"/>
  <c r="R4959" i="1"/>
  <c r="T4959" i="1"/>
  <c r="W4959" i="1"/>
  <c r="T5009" i="1" l="1"/>
  <c r="S4949" i="1"/>
  <c r="T4949" i="1" s="1"/>
  <c r="S4893" i="1"/>
  <c r="T4893" i="1" s="1"/>
  <c r="E2965" i="19"/>
  <c r="C2965" i="19" s="1"/>
  <c r="F2965" i="19" s="1"/>
  <c r="E2964" i="19"/>
  <c r="C2964" i="19" s="1"/>
  <c r="F2964" i="19" s="1"/>
  <c r="W5003" i="1"/>
  <c r="P5003" i="1"/>
  <c r="J5003" i="1"/>
  <c r="R5003" i="1" s="1"/>
  <c r="W5002" i="1"/>
  <c r="P5002" i="1"/>
  <c r="J5002" i="1"/>
  <c r="L5002" i="1" s="1"/>
  <c r="T5003" i="1" l="1"/>
  <c r="L5003" i="1"/>
  <c r="R5002" i="1"/>
  <c r="T5002" i="1"/>
  <c r="W5012" i="1" l="1"/>
  <c r="R5012" i="1"/>
  <c r="L5012" i="1"/>
  <c r="W5013" i="1"/>
  <c r="P5013" i="1"/>
  <c r="J5013" i="1"/>
  <c r="T5013" i="1" s="1"/>
  <c r="W5015" i="1"/>
  <c r="W5014" i="1"/>
  <c r="R5014" i="1"/>
  <c r="L5014" i="1"/>
  <c r="W5011" i="1"/>
  <c r="P5011" i="1"/>
  <c r="J5011" i="1"/>
  <c r="L5011" i="1" s="1"/>
  <c r="W5010" i="1"/>
  <c r="W5008" i="1"/>
  <c r="P5008" i="1"/>
  <c r="J5008" i="1"/>
  <c r="T5008" i="1" s="1"/>
  <c r="W5009" i="1"/>
  <c r="W5007" i="1"/>
  <c r="P5007" i="1"/>
  <c r="J5007" i="1"/>
  <c r="R5007" i="1" s="1"/>
  <c r="R5013" i="1" l="1"/>
  <c r="L5013" i="1"/>
  <c r="R5011" i="1"/>
  <c r="T5011" i="1"/>
  <c r="L5008" i="1"/>
  <c r="R5008" i="1"/>
  <c r="L5007" i="1"/>
  <c r="T5007" i="1"/>
  <c r="W5005" i="1" l="1"/>
  <c r="W5004" i="1"/>
  <c r="T5004" i="1"/>
  <c r="R5004" i="1"/>
  <c r="L5004" i="1"/>
  <c r="W5001" i="1"/>
  <c r="P5001" i="1"/>
  <c r="J5001" i="1"/>
  <c r="T5001" i="1" s="1"/>
  <c r="G2959" i="19"/>
  <c r="F2958" i="19"/>
  <c r="D2958" i="19" s="1"/>
  <c r="G2958" i="19" s="1"/>
  <c r="L5001" i="1" l="1"/>
  <c r="R5001" i="1"/>
  <c r="R4998" i="1"/>
  <c r="L4998" i="1"/>
  <c r="T4997" i="1"/>
  <c r="R4997" i="1"/>
  <c r="L4997" i="1"/>
  <c r="W4996" i="1"/>
  <c r="T4996" i="1"/>
  <c r="R4996" i="1"/>
  <c r="P4996" i="1"/>
  <c r="L4996" i="1"/>
  <c r="W4995" i="1"/>
  <c r="J4992" i="1"/>
  <c r="T4992" i="1" s="1"/>
  <c r="J4991" i="1"/>
  <c r="L4991" i="1" s="1"/>
  <c r="W4992" i="1"/>
  <c r="P4992" i="1"/>
  <c r="W4994" i="1"/>
  <c r="W4988" i="1"/>
  <c r="W4987" i="1"/>
  <c r="W4986" i="1"/>
  <c r="T4986" i="1"/>
  <c r="R4986" i="1"/>
  <c r="L4986" i="1"/>
  <c r="W4985" i="1"/>
  <c r="T4985" i="1"/>
  <c r="R4985" i="1"/>
  <c r="L4985" i="1"/>
  <c r="W4993" i="1"/>
  <c r="T4993" i="1"/>
  <c r="R4993" i="1"/>
  <c r="L4993" i="1"/>
  <c r="W4991" i="1"/>
  <c r="P4991" i="1"/>
  <c r="W4990" i="1"/>
  <c r="P4990" i="1"/>
  <c r="J4990" i="1"/>
  <c r="T4990" i="1" s="1"/>
  <c r="W4989" i="1"/>
  <c r="P4989" i="1"/>
  <c r="J4989" i="1"/>
  <c r="T4989" i="1" s="1"/>
  <c r="W4984" i="1"/>
  <c r="P4984" i="1"/>
  <c r="T4984" i="1"/>
  <c r="W4983" i="1"/>
  <c r="W5025" i="1"/>
  <c r="W5024" i="1"/>
  <c r="P5024" i="1"/>
  <c r="J5024" i="1"/>
  <c r="T5024" i="1" s="1"/>
  <c r="W4981" i="1"/>
  <c r="T4981" i="1"/>
  <c r="R4981" i="1"/>
  <c r="L4981" i="1"/>
  <c r="W4980" i="1"/>
  <c r="P4980" i="1"/>
  <c r="J4980" i="1"/>
  <c r="T4980" i="1" s="1"/>
  <c r="W4979" i="1"/>
  <c r="W4978" i="1"/>
  <c r="P4978" i="1"/>
  <c r="J4978" i="1"/>
  <c r="T4978" i="1" s="1"/>
  <c r="W4977" i="1"/>
  <c r="W4976" i="1"/>
  <c r="P4976" i="1"/>
  <c r="J4976" i="1"/>
  <c r="L4976" i="1" s="1"/>
  <c r="W4975" i="1"/>
  <c r="W4974" i="1"/>
  <c r="P4974" i="1"/>
  <c r="J4974" i="1"/>
  <c r="L4974" i="1" s="1"/>
  <c r="W4973" i="1"/>
  <c r="W4972" i="1"/>
  <c r="P4972" i="1"/>
  <c r="J4972" i="1"/>
  <c r="R4972" i="1" s="1"/>
  <c r="W4971" i="1"/>
  <c r="W4970" i="1"/>
  <c r="P4970" i="1"/>
  <c r="J4970" i="1"/>
  <c r="T4970" i="1" s="1"/>
  <c r="W4969" i="1"/>
  <c r="W4982" i="1"/>
  <c r="W4968" i="1"/>
  <c r="P4968" i="1"/>
  <c r="J4968" i="1"/>
  <c r="R4968" i="1" s="1"/>
  <c r="W4967" i="1"/>
  <c r="W4923" i="1"/>
  <c r="T4923" i="1"/>
  <c r="R4923" i="1"/>
  <c r="P4923" i="1"/>
  <c r="L4923" i="1"/>
  <c r="R4991" i="1" l="1"/>
  <c r="T4991" i="1"/>
  <c r="L4992" i="1"/>
  <c r="R4992" i="1"/>
  <c r="L4984" i="1"/>
  <c r="L4990" i="1"/>
  <c r="R4984" i="1"/>
  <c r="R4990" i="1"/>
  <c r="L4989" i="1"/>
  <c r="R4989" i="1"/>
  <c r="T4976" i="1"/>
  <c r="R4976" i="1"/>
  <c r="L5024" i="1"/>
  <c r="R5024" i="1"/>
  <c r="L4978" i="1"/>
  <c r="T4974" i="1"/>
  <c r="R4974" i="1"/>
  <c r="L4980" i="1"/>
  <c r="R4980" i="1"/>
  <c r="R4978" i="1"/>
  <c r="L4972" i="1"/>
  <c r="T4972" i="1"/>
  <c r="R4970" i="1"/>
  <c r="L4970" i="1"/>
  <c r="T4968" i="1"/>
  <c r="L4968" i="1"/>
  <c r="T4936" i="1"/>
  <c r="S4936" i="1"/>
  <c r="W4936" i="1" s="1"/>
  <c r="R4936" i="1"/>
  <c r="W4966" i="1" l="1"/>
  <c r="W4965" i="1"/>
  <c r="T4965" i="1"/>
  <c r="R4965" i="1"/>
  <c r="L4965" i="1"/>
  <c r="W4964" i="1"/>
  <c r="T4964" i="1"/>
  <c r="R4964" i="1"/>
  <c r="P4964" i="1"/>
  <c r="L4964" i="1"/>
  <c r="F2925" i="19" l="1"/>
  <c r="D2925" i="19" s="1"/>
  <c r="G2925" i="19" s="1"/>
  <c r="D2924" i="19"/>
  <c r="G2924" i="19" s="1"/>
  <c r="F2923" i="19"/>
  <c r="D2923" i="19" s="1"/>
  <c r="G2923" i="19" s="1"/>
  <c r="D2922" i="19"/>
  <c r="G2922" i="19" s="1"/>
  <c r="F2921" i="19"/>
  <c r="D2921" i="19" s="1"/>
  <c r="G2921" i="19" s="1"/>
  <c r="D2920" i="19"/>
  <c r="G2920" i="19" s="1"/>
  <c r="F2919" i="19"/>
  <c r="D2919" i="19" s="1"/>
  <c r="G2919" i="19" s="1"/>
  <c r="F2917" i="19"/>
  <c r="D2917" i="19" s="1"/>
  <c r="G2917" i="19" s="1"/>
  <c r="D2918" i="19"/>
  <c r="G2918" i="19" s="1"/>
  <c r="D2916" i="19"/>
  <c r="G2916" i="19" s="1"/>
  <c r="F2915" i="19"/>
  <c r="D2915" i="19" s="1"/>
  <c r="G2915" i="19" s="1"/>
  <c r="D2914" i="19"/>
  <c r="G2914" i="19" s="1"/>
  <c r="W4873" i="1" l="1"/>
  <c r="P4873" i="1"/>
  <c r="J4873" i="1"/>
  <c r="T4873" i="1" s="1"/>
  <c r="J4872" i="1"/>
  <c r="T4872" i="1" s="1"/>
  <c r="J4871" i="1"/>
  <c r="L4871" i="1" s="1"/>
  <c r="J4870" i="1"/>
  <c r="T4870" i="1" s="1"/>
  <c r="J4869" i="1"/>
  <c r="T4869" i="1" s="1"/>
  <c r="J4868" i="1"/>
  <c r="T4868" i="1" s="1"/>
  <c r="J4867" i="1"/>
  <c r="W4872" i="1"/>
  <c r="P4872" i="1"/>
  <c r="W4871" i="1"/>
  <c r="P4871" i="1"/>
  <c r="W4870" i="1"/>
  <c r="P4870" i="1"/>
  <c r="W4869" i="1"/>
  <c r="P4869" i="1"/>
  <c r="W4868" i="1"/>
  <c r="P4868" i="1"/>
  <c r="L4868" i="1" l="1"/>
  <c r="R4868" i="1"/>
  <c r="R4871" i="1"/>
  <c r="L4873" i="1"/>
  <c r="R4873" i="1"/>
  <c r="T4871" i="1"/>
  <c r="L4872" i="1"/>
  <c r="R4872" i="1"/>
  <c r="L4870" i="1"/>
  <c r="R4870" i="1"/>
  <c r="L4869" i="1"/>
  <c r="R4869" i="1"/>
  <c r="E2901" i="19" l="1"/>
  <c r="G2901" i="19" s="1"/>
  <c r="E2900" i="19"/>
  <c r="G2900" i="19" s="1"/>
  <c r="E2899" i="19"/>
  <c r="G2899" i="19" s="1"/>
  <c r="E2898" i="19"/>
  <c r="G2898" i="19" s="1"/>
  <c r="E2897" i="19"/>
  <c r="G2897" i="19" s="1"/>
  <c r="E2896" i="19"/>
  <c r="G2896" i="19" s="1"/>
  <c r="E2895" i="19"/>
  <c r="G2895" i="19" s="1"/>
  <c r="E2894" i="19"/>
  <c r="G2894" i="19" s="1"/>
  <c r="E2893" i="19"/>
  <c r="G2893" i="19" s="1"/>
  <c r="E2892" i="19"/>
  <c r="G2892" i="19" s="1"/>
  <c r="E2891" i="19"/>
  <c r="G2891" i="19" s="1"/>
  <c r="E2890" i="19"/>
  <c r="G2890" i="19" s="1"/>
  <c r="E2889" i="19"/>
  <c r="G2889" i="19" s="1"/>
  <c r="F2884" i="19"/>
  <c r="D2884" i="19" s="1"/>
  <c r="G2884" i="19" s="1"/>
  <c r="F2882" i="19"/>
  <c r="D2882" i="19" s="1"/>
  <c r="G2882" i="19" s="1"/>
  <c r="D2883" i="19"/>
  <c r="G2883" i="19" s="1"/>
  <c r="D2881" i="19"/>
  <c r="G2881" i="19" s="1"/>
  <c r="W4962" i="1"/>
  <c r="W4961" i="1"/>
  <c r="T4961" i="1"/>
  <c r="R4961" i="1"/>
  <c r="P4961" i="1"/>
  <c r="L4961" i="1"/>
  <c r="W4958" i="1"/>
  <c r="T4958" i="1"/>
  <c r="R4958" i="1"/>
  <c r="P4958" i="1"/>
  <c r="L4958" i="1"/>
  <c r="W4956" i="1"/>
  <c r="T4956" i="1"/>
  <c r="R4956" i="1"/>
  <c r="P4956" i="1"/>
  <c r="L4956" i="1"/>
  <c r="D2877" i="19"/>
  <c r="W4938" i="1"/>
  <c r="T4938" i="1"/>
  <c r="R4938" i="1"/>
  <c r="P4938" i="1"/>
  <c r="L4938" i="1"/>
  <c r="T4933" i="1"/>
  <c r="R4933" i="1"/>
  <c r="P4933" i="1"/>
  <c r="W4933" i="1"/>
  <c r="W4930" i="1"/>
  <c r="T4930" i="1"/>
  <c r="R4930" i="1"/>
  <c r="P4930" i="1"/>
  <c r="L4930" i="1"/>
  <c r="T4935" i="1"/>
  <c r="R4935" i="1"/>
  <c r="P4935" i="1"/>
  <c r="L4935" i="1"/>
  <c r="W4939" i="1"/>
  <c r="W4937" i="1"/>
  <c r="T4937" i="1"/>
  <c r="R4937" i="1"/>
  <c r="P4937" i="1"/>
  <c r="L4937" i="1"/>
  <c r="W4934" i="1"/>
  <c r="T4934" i="1"/>
  <c r="R4934" i="1"/>
  <c r="P4934" i="1"/>
  <c r="L4934" i="1"/>
  <c r="W4932" i="1"/>
  <c r="T4932" i="1"/>
  <c r="R4932" i="1"/>
  <c r="P4932" i="1"/>
  <c r="L4932" i="1"/>
  <c r="W4929" i="1"/>
  <c r="T4929" i="1"/>
  <c r="R4929" i="1"/>
  <c r="P4929" i="1"/>
  <c r="L4929" i="1"/>
  <c r="L4933" i="1" l="1"/>
  <c r="W4935" i="1"/>
  <c r="L4854" i="1" l="1"/>
  <c r="L4855" i="1"/>
  <c r="J4948" i="1"/>
  <c r="J4947" i="1"/>
  <c r="J4946" i="1"/>
  <c r="L4946" i="1" s="1"/>
  <c r="R4953" i="1"/>
  <c r="L4953" i="1"/>
  <c r="T4952" i="1"/>
  <c r="R4952" i="1"/>
  <c r="L4952" i="1"/>
  <c r="W4951" i="1"/>
  <c r="T4951" i="1"/>
  <c r="R4951" i="1"/>
  <c r="P4951" i="1"/>
  <c r="L4951" i="1"/>
  <c r="W4950" i="1"/>
  <c r="W4948" i="1" l="1"/>
  <c r="T4948" i="1"/>
  <c r="R4948" i="1"/>
  <c r="P4948" i="1"/>
  <c r="L4948" i="1"/>
  <c r="W4947" i="1"/>
  <c r="T4947" i="1"/>
  <c r="R4947" i="1"/>
  <c r="P4947" i="1"/>
  <c r="L4947" i="1"/>
  <c r="P4946" i="1"/>
  <c r="R4946" i="1"/>
  <c r="T4946" i="1"/>
  <c r="W4946" i="1"/>
  <c r="U53" i="9"/>
  <c r="L53" i="9"/>
  <c r="H53" i="9"/>
  <c r="AA52" i="9" s="1"/>
  <c r="AF52" i="9" s="1" a="1"/>
  <c r="AF52" i="9" s="1"/>
  <c r="AC52" i="9"/>
  <c r="Y52" i="9"/>
  <c r="W52" i="9"/>
  <c r="H52" i="9"/>
  <c r="D52" i="9"/>
  <c r="C52" i="9"/>
  <c r="U51" i="9"/>
  <c r="L51" i="9"/>
  <c r="H51" i="9"/>
  <c r="AA50" i="9" s="1"/>
  <c r="AF50" i="9" s="1" a="1"/>
  <c r="AF50" i="9" s="1"/>
  <c r="AC50" i="9"/>
  <c r="Y50" i="9"/>
  <c r="W50" i="9"/>
  <c r="H50" i="9"/>
  <c r="D50" i="9"/>
  <c r="C50" i="9"/>
  <c r="U49" i="9"/>
  <c r="L49" i="9"/>
  <c r="H49" i="9"/>
  <c r="AA48" i="9" s="1"/>
  <c r="AF48" i="9" s="1" a="1"/>
  <c r="AF48" i="9" s="1"/>
  <c r="AC48" i="9"/>
  <c r="Y48" i="9"/>
  <c r="W48" i="9"/>
  <c r="H48" i="9"/>
  <c r="D48" i="9"/>
  <c r="C48" i="9"/>
  <c r="U47" i="9"/>
  <c r="L47" i="9"/>
  <c r="H47" i="9"/>
  <c r="AA46" i="9" s="1"/>
  <c r="AF46" i="9" s="1" a="1"/>
  <c r="AF46" i="9" s="1"/>
  <c r="AC46" i="9"/>
  <c r="Y46" i="9"/>
  <c r="W46" i="9"/>
  <c r="H46" i="9"/>
  <c r="D46" i="9"/>
  <c r="C46" i="9"/>
  <c r="U45" i="9"/>
  <c r="L45" i="9"/>
  <c r="H45" i="9"/>
  <c r="AA44" i="9" s="1"/>
  <c r="AF44" i="9" s="1" a="1"/>
  <c r="AF44" i="9" s="1"/>
  <c r="AC44" i="9"/>
  <c r="Y44" i="9"/>
  <c r="W44" i="9"/>
  <c r="H44" i="9"/>
  <c r="D44" i="9"/>
  <c r="C44" i="9"/>
  <c r="U43" i="9"/>
  <c r="L43" i="9"/>
  <c r="H43" i="9"/>
  <c r="AA42" i="9" s="1"/>
  <c r="AF42" i="9" s="1" a="1"/>
  <c r="AF42" i="9" s="1"/>
  <c r="AC42" i="9"/>
  <c r="Y42" i="9"/>
  <c r="W42" i="9"/>
  <c r="H42" i="9"/>
  <c r="D42" i="9"/>
  <c r="C42" i="9"/>
  <c r="U41" i="9"/>
  <c r="L41" i="9"/>
  <c r="H41" i="9"/>
  <c r="AA40" i="9" s="1"/>
  <c r="AF40" i="9" s="1" a="1"/>
  <c r="AF40" i="9" s="1"/>
  <c r="AC40" i="9"/>
  <c r="Y40" i="9"/>
  <c r="W40" i="9"/>
  <c r="H40" i="9"/>
  <c r="D40" i="9"/>
  <c r="C40" i="9"/>
  <c r="U39" i="9"/>
  <c r="L39" i="9"/>
  <c r="H39" i="9"/>
  <c r="AA38" i="9" s="1"/>
  <c r="AF38" i="9" s="1" a="1"/>
  <c r="AF38" i="9" s="1"/>
  <c r="AC38" i="9"/>
  <c r="Y38" i="9"/>
  <c r="W38" i="9"/>
  <c r="H38" i="9"/>
  <c r="D38" i="9"/>
  <c r="C38" i="9"/>
  <c r="U37" i="9"/>
  <c r="L37" i="9"/>
  <c r="H37" i="9"/>
  <c r="AA36" i="9" s="1"/>
  <c r="AF36" i="9" s="1" a="1"/>
  <c r="AF36" i="9" s="1"/>
  <c r="AC36" i="9"/>
  <c r="Y36" i="9"/>
  <c r="W36" i="9"/>
  <c r="H36" i="9"/>
  <c r="D36" i="9"/>
  <c r="C36" i="9"/>
  <c r="U35" i="9"/>
  <c r="L35" i="9"/>
  <c r="H35" i="9"/>
  <c r="AA34" i="9" s="1"/>
  <c r="AF34" i="9" s="1" a="1"/>
  <c r="AF34" i="9" s="1"/>
  <c r="AC34" i="9"/>
  <c r="Y34" i="9"/>
  <c r="W34" i="9"/>
  <c r="H34" i="9"/>
  <c r="D34" i="9"/>
  <c r="C34" i="9"/>
  <c r="U33" i="9"/>
  <c r="L33" i="9"/>
  <c r="H33" i="9"/>
  <c r="AA32" i="9" s="1"/>
  <c r="AF32" i="9" s="1" a="1"/>
  <c r="AF32" i="9" s="1"/>
  <c r="AC32" i="9"/>
  <c r="Y32" i="9"/>
  <c r="W32" i="9"/>
  <c r="H32" i="9"/>
  <c r="D32" i="9"/>
  <c r="C32" i="9"/>
  <c r="U31" i="9"/>
  <c r="L31" i="9"/>
  <c r="H31" i="9"/>
  <c r="AA30" i="9" s="1"/>
  <c r="AF30" i="9" s="1" a="1"/>
  <c r="AF30" i="9" s="1"/>
  <c r="AC30" i="9"/>
  <c r="Y30" i="9"/>
  <c r="W30" i="9"/>
  <c r="H30" i="9"/>
  <c r="D30" i="9"/>
  <c r="C30" i="9"/>
  <c r="U29" i="9"/>
  <c r="L29" i="9"/>
  <c r="H29" i="9"/>
  <c r="AA28" i="9" s="1"/>
  <c r="AF28" i="9" s="1" a="1"/>
  <c r="AF28" i="9" s="1"/>
  <c r="AC28" i="9"/>
  <c r="Y28" i="9"/>
  <c r="W28" i="9"/>
  <c r="H28" i="9"/>
  <c r="D28" i="9"/>
  <c r="C28" i="9"/>
  <c r="U27" i="9"/>
  <c r="L27" i="9"/>
  <c r="H27" i="9"/>
  <c r="AA26" i="9" s="1"/>
  <c r="AF26" i="9" s="1" a="1"/>
  <c r="AF26" i="9" s="1"/>
  <c r="AC26" i="9"/>
  <c r="Y26" i="9"/>
  <c r="W26" i="9"/>
  <c r="H26" i="9"/>
  <c r="D26" i="9"/>
  <c r="D109" i="20"/>
  <c r="D99" i="20"/>
  <c r="D98" i="20"/>
  <c r="E89" i="20"/>
  <c r="E88" i="20"/>
  <c r="F2804" i="19"/>
  <c r="F2803" i="19"/>
  <c r="F2797" i="19"/>
  <c r="F2796" i="19"/>
  <c r="F2793" i="19"/>
  <c r="F2792" i="19"/>
  <c r="F2787" i="19"/>
  <c r="F2786" i="19"/>
  <c r="F2784" i="19"/>
  <c r="F2782" i="19"/>
  <c r="F2779" i="19"/>
  <c r="F2778" i="19"/>
  <c r="F2777" i="19"/>
  <c r="F2776" i="19"/>
  <c r="F2774" i="19"/>
  <c r="F2772" i="19"/>
  <c r="D2766" i="19"/>
  <c r="G2766" i="19" s="1"/>
  <c r="D2765" i="19"/>
  <c r="G2765" i="19" s="1"/>
  <c r="G2764" i="19"/>
  <c r="D2762" i="19"/>
  <c r="G2762" i="19" s="1"/>
  <c r="F2761" i="19"/>
  <c r="D2761" i="19" s="1"/>
  <c r="G2761" i="19" s="1"/>
  <c r="D2760" i="19"/>
  <c r="G2760" i="19" s="1"/>
  <c r="D2758" i="19"/>
  <c r="G2758" i="19" s="1"/>
  <c r="F2757" i="19"/>
  <c r="D2757" i="19" s="1"/>
  <c r="G2757" i="19" s="1"/>
  <c r="D2756" i="19"/>
  <c r="G2756" i="19" s="1"/>
  <c r="D2754" i="19"/>
  <c r="G2754" i="19" s="1"/>
  <c r="F2753" i="19"/>
  <c r="D2753" i="19" s="1"/>
  <c r="G2753" i="19" s="1"/>
  <c r="D2752" i="19"/>
  <c r="G2752" i="19" s="1"/>
  <c r="C2746" i="19"/>
  <c r="D2746" i="19" s="1"/>
  <c r="C2745" i="19"/>
  <c r="D2745" i="19" s="1"/>
  <c r="C2739" i="19"/>
  <c r="B2739" i="19" s="1"/>
  <c r="D2739" i="19" s="1"/>
  <c r="C2738" i="19"/>
  <c r="D2738" i="19" s="1"/>
  <c r="C2737" i="19"/>
  <c r="B2737" i="19" s="1"/>
  <c r="D2737" i="19" s="1"/>
  <c r="C2736" i="19"/>
  <c r="B2736" i="19" s="1"/>
  <c r="D2736" i="19" s="1"/>
  <c r="C2731" i="19"/>
  <c r="C2730" i="19"/>
  <c r="C2728" i="19"/>
  <c r="C2723" i="19"/>
  <c r="C2722" i="19"/>
  <c r="C2721" i="19"/>
  <c r="C2720" i="19"/>
  <c r="C2716" i="19"/>
  <c r="C2715" i="19"/>
  <c r="C2714" i="19"/>
  <c r="C2713" i="19"/>
  <c r="C2711" i="19"/>
  <c r="C2710" i="19"/>
  <c r="C2709" i="19"/>
  <c r="C2708" i="19"/>
  <c r="C2707" i="19"/>
  <c r="C2706" i="19"/>
  <c r="C2705" i="19"/>
  <c r="C2704" i="19"/>
  <c r="C2702" i="19"/>
  <c r="C2701" i="19"/>
  <c r="C2700" i="19"/>
  <c r="C2699" i="19"/>
  <c r="C2698" i="19"/>
  <c r="C2697" i="19"/>
  <c r="C2696" i="19"/>
  <c r="C2695" i="19"/>
  <c r="C2694" i="19"/>
  <c r="C2693" i="19"/>
  <c r="C2692" i="19"/>
  <c r="E2687" i="19"/>
  <c r="C2687" i="19" s="1"/>
  <c r="F2687" i="19" s="1"/>
  <c r="E2686" i="19"/>
  <c r="C2686" i="19" s="1"/>
  <c r="F2686" i="19" s="1"/>
  <c r="E2684" i="19"/>
  <c r="C2684" i="19" s="1"/>
  <c r="F2684" i="19" s="1"/>
  <c r="E2683" i="19"/>
  <c r="C2683" i="19" s="1"/>
  <c r="F2683" i="19" s="1"/>
  <c r="E2681" i="19"/>
  <c r="C2681" i="19" s="1"/>
  <c r="F2681" i="19" s="1"/>
  <c r="E2680" i="19"/>
  <c r="C2680" i="19" s="1"/>
  <c r="F2680" i="19" s="1"/>
  <c r="F2675" i="19"/>
  <c r="D2675" i="19" s="1"/>
  <c r="G2675" i="19" s="1"/>
  <c r="D2674" i="19"/>
  <c r="G2674" i="19" s="1"/>
  <c r="F2673" i="19"/>
  <c r="D2673" i="19" s="1"/>
  <c r="G2673" i="19" s="1"/>
  <c r="D2672" i="19"/>
  <c r="G2672" i="19" s="1"/>
  <c r="F2671" i="19"/>
  <c r="D2671" i="19" s="1"/>
  <c r="G2671" i="19" s="1"/>
  <c r="D2670" i="19"/>
  <c r="G2670" i="19" s="1"/>
  <c r="F2669" i="19"/>
  <c r="D2669" i="19" s="1"/>
  <c r="G2669" i="19" s="1"/>
  <c r="D2668" i="19"/>
  <c r="G2668" i="19" s="1"/>
  <c r="F2667" i="19"/>
  <c r="D2667" i="19" s="1"/>
  <c r="G2667" i="19" s="1"/>
  <c r="D2666" i="19"/>
  <c r="G2666" i="19" s="1"/>
  <c r="F2665" i="19"/>
  <c r="D2665" i="19" s="1"/>
  <c r="G2665" i="19" s="1"/>
  <c r="D2664" i="19"/>
  <c r="G2664" i="19" s="1"/>
  <c r="F2663" i="19"/>
  <c r="D2663" i="19" s="1"/>
  <c r="G2663" i="19" s="1"/>
  <c r="D2662" i="19"/>
  <c r="G2662" i="19" s="1"/>
  <c r="F2661" i="19"/>
  <c r="D2661" i="19" s="1"/>
  <c r="G2661" i="19" s="1"/>
  <c r="D2660" i="19"/>
  <c r="G2660" i="19" s="1"/>
  <c r="F2659" i="19"/>
  <c r="D2659" i="19" s="1"/>
  <c r="G2659" i="19" s="1"/>
  <c r="D2658" i="19"/>
  <c r="G2658" i="19" s="1"/>
  <c r="D2653" i="19"/>
  <c r="B2653" i="19" s="1"/>
  <c r="E2653" i="19" s="1"/>
  <c r="D2652" i="19"/>
  <c r="B2652" i="19" s="1"/>
  <c r="E2652" i="19" s="1"/>
  <c r="B2651" i="19"/>
  <c r="E2651" i="19" s="1"/>
  <c r="D2649" i="19"/>
  <c r="B2649" i="19" s="1"/>
  <c r="E2649" i="19" s="1"/>
  <c r="D2648" i="19"/>
  <c r="B2648" i="19" s="1"/>
  <c r="E2648" i="19" s="1"/>
  <c r="D2627" i="19"/>
  <c r="B2627" i="19" s="1"/>
  <c r="E2627" i="19" s="1"/>
  <c r="D2626" i="19"/>
  <c r="B2626" i="19" s="1"/>
  <c r="E2626" i="19" s="1"/>
  <c r="B2625" i="19"/>
  <c r="E2625" i="19" s="1"/>
  <c r="D2623" i="19"/>
  <c r="B2623" i="19" s="1"/>
  <c r="E2623" i="19" s="1"/>
  <c r="D2622" i="19"/>
  <c r="B2622" i="19" s="1"/>
  <c r="E2622" i="19" s="1"/>
  <c r="C2612" i="19"/>
  <c r="B2612" i="19" s="1"/>
  <c r="D2612" i="19" s="1"/>
  <c r="C2611" i="19"/>
  <c r="B2611" i="19" s="1"/>
  <c r="D2611" i="19" s="1"/>
  <c r="C2606" i="19"/>
  <c r="D2606" i="19" s="1"/>
  <c r="C2605" i="19"/>
  <c r="D2605" i="19" s="1"/>
  <c r="G2597" i="19"/>
  <c r="E2596" i="19"/>
  <c r="G2596" i="19" s="1"/>
  <c r="E2595" i="19"/>
  <c r="G2595" i="19" s="1"/>
  <c r="E2594" i="19"/>
  <c r="G2594" i="19" s="1"/>
  <c r="E2593" i="19"/>
  <c r="G2593" i="19" s="1"/>
  <c r="E2592" i="19"/>
  <c r="G2592" i="19" s="1"/>
  <c r="E2591" i="19"/>
  <c r="G2591" i="19" s="1"/>
  <c r="F2586" i="19"/>
  <c r="D2586" i="19" s="1"/>
  <c r="G2586" i="19" s="1"/>
  <c r="D2585" i="19"/>
  <c r="G2585" i="19" s="1"/>
  <c r="S2566" i="19"/>
  <c r="W2566" i="19" s="1"/>
  <c r="R2566" i="19"/>
  <c r="L2566" i="19"/>
  <c r="T2565" i="19"/>
  <c r="R2565" i="19"/>
  <c r="P2565" i="19"/>
  <c r="K2565" i="19"/>
  <c r="L2565" i="19" s="1"/>
  <c r="T2563" i="19"/>
  <c r="R2563" i="19"/>
  <c r="P2563" i="19"/>
  <c r="K2563" i="19"/>
  <c r="L2563" i="19" s="1"/>
  <c r="T2561" i="19"/>
  <c r="R2561" i="19"/>
  <c r="P2561" i="19"/>
  <c r="K2561" i="19"/>
  <c r="L2561" i="19" s="1"/>
  <c r="T2559" i="19"/>
  <c r="R2559" i="19"/>
  <c r="P2559" i="19"/>
  <c r="K2559" i="19"/>
  <c r="L2559" i="19" s="1"/>
  <c r="T2557" i="19"/>
  <c r="R2557" i="19"/>
  <c r="P2557" i="19"/>
  <c r="K2557" i="19"/>
  <c r="L2557" i="19" s="1"/>
  <c r="T2555" i="19"/>
  <c r="R2555" i="19"/>
  <c r="P2555" i="19"/>
  <c r="K2555" i="19"/>
  <c r="L2555" i="19" s="1"/>
  <c r="T2553" i="19"/>
  <c r="R2553" i="19"/>
  <c r="P2553" i="19"/>
  <c r="K2553" i="19"/>
  <c r="L2553" i="19" s="1"/>
  <c r="T2551" i="19"/>
  <c r="R2551" i="19"/>
  <c r="P2551" i="19"/>
  <c r="K2551" i="19"/>
  <c r="L2551" i="19" s="1"/>
  <c r="T2549" i="19"/>
  <c r="R2549" i="19"/>
  <c r="P2549" i="19"/>
  <c r="K2549" i="19"/>
  <c r="L2549" i="19" s="1"/>
  <c r="T2548" i="19"/>
  <c r="R2548" i="19"/>
  <c r="P2548" i="19"/>
  <c r="K2548" i="19"/>
  <c r="L2548" i="19" s="1"/>
  <c r="T2546" i="19"/>
  <c r="R2546" i="19"/>
  <c r="P2546" i="19"/>
  <c r="K2546" i="19"/>
  <c r="L2546" i="19" s="1"/>
  <c r="T2544" i="19"/>
  <c r="R2544" i="19"/>
  <c r="P2544" i="19"/>
  <c r="K2544" i="19"/>
  <c r="L2544" i="19" s="1"/>
  <c r="T2543" i="19"/>
  <c r="R2543" i="19"/>
  <c r="P2543" i="19"/>
  <c r="K2543" i="19"/>
  <c r="L2543" i="19" s="1"/>
  <c r="T2541" i="19"/>
  <c r="R2541" i="19"/>
  <c r="P2541" i="19"/>
  <c r="K2541" i="19"/>
  <c r="L2541" i="19" s="1"/>
  <c r="T2539" i="19"/>
  <c r="R2539" i="19"/>
  <c r="P2539" i="19"/>
  <c r="K2539" i="19"/>
  <c r="L2539" i="19" s="1"/>
  <c r="T2538" i="19"/>
  <c r="R2538" i="19"/>
  <c r="P2538" i="19"/>
  <c r="K2538" i="19"/>
  <c r="L2538" i="19" s="1"/>
  <c r="T2536" i="19"/>
  <c r="R2536" i="19"/>
  <c r="P2536" i="19"/>
  <c r="K2536" i="19"/>
  <c r="L2536" i="19" s="1"/>
  <c r="T2534" i="19"/>
  <c r="R2534" i="19"/>
  <c r="P2534" i="19"/>
  <c r="K2534" i="19"/>
  <c r="L2534" i="19" s="1"/>
  <c r="T2532" i="19"/>
  <c r="R2532" i="19"/>
  <c r="P2532" i="19"/>
  <c r="K2532" i="19"/>
  <c r="L2532" i="19" s="1"/>
  <c r="T2531" i="19"/>
  <c r="R2531" i="19"/>
  <c r="P2531" i="19"/>
  <c r="K2531" i="19"/>
  <c r="L2531" i="19" s="1"/>
  <c r="T2529" i="19"/>
  <c r="R2529" i="19"/>
  <c r="P2529" i="19"/>
  <c r="K2529" i="19"/>
  <c r="L2529" i="19" s="1"/>
  <c r="T2527" i="19"/>
  <c r="R2527" i="19"/>
  <c r="P2527" i="19"/>
  <c r="K2527" i="19"/>
  <c r="L2527" i="19" s="1"/>
  <c r="T2526" i="19"/>
  <c r="R2526" i="19"/>
  <c r="P2526" i="19"/>
  <c r="K2526" i="19"/>
  <c r="L2526" i="19" s="1"/>
  <c r="T2525" i="19"/>
  <c r="R2525" i="19"/>
  <c r="P2525" i="19"/>
  <c r="K2525" i="19"/>
  <c r="L2525" i="19" s="1"/>
  <c r="T2524" i="19"/>
  <c r="R2524" i="19"/>
  <c r="P2524" i="19"/>
  <c r="K2524" i="19"/>
  <c r="L2524" i="19" s="1"/>
  <c r="T2523" i="19"/>
  <c r="R2523" i="19"/>
  <c r="P2523" i="19"/>
  <c r="K2523" i="19"/>
  <c r="L2523" i="19" s="1"/>
  <c r="T2522" i="19"/>
  <c r="R2522" i="19"/>
  <c r="P2522" i="19"/>
  <c r="K2522" i="19"/>
  <c r="L2522" i="19" s="1"/>
  <c r="T2521" i="19"/>
  <c r="R2521" i="19"/>
  <c r="P2521" i="19"/>
  <c r="K2521" i="19"/>
  <c r="L2521" i="19" s="1"/>
  <c r="T2520" i="19"/>
  <c r="R2520" i="19"/>
  <c r="P2520" i="19"/>
  <c r="K2520" i="19"/>
  <c r="L2520" i="19" s="1"/>
  <c r="T2519" i="19"/>
  <c r="R2519" i="19"/>
  <c r="P2519" i="19"/>
  <c r="K2519" i="19"/>
  <c r="L2519" i="19" s="1"/>
  <c r="D2515" i="19"/>
  <c r="G2515" i="19" s="1"/>
  <c r="D2514" i="19"/>
  <c r="G2514" i="19" s="1"/>
  <c r="F2513" i="19"/>
  <c r="D2513" i="19" s="1"/>
  <c r="G2513" i="19" s="1"/>
  <c r="D2512" i="19"/>
  <c r="G2512" i="19" s="1"/>
  <c r="D2511" i="19"/>
  <c r="G2511" i="19" s="1"/>
  <c r="D2510" i="19"/>
  <c r="G2510" i="19" s="1"/>
  <c r="F2509" i="19"/>
  <c r="D2509" i="19" s="1"/>
  <c r="G2509" i="19" s="1"/>
  <c r="D2508" i="19"/>
  <c r="G2508" i="19" s="1"/>
  <c r="F2507" i="19"/>
  <c r="D2507" i="19" s="1"/>
  <c r="G2507" i="19" s="1"/>
  <c r="D2506" i="19"/>
  <c r="G2506" i="19" s="1"/>
  <c r="F2505" i="19"/>
  <c r="D2505" i="19" s="1"/>
  <c r="G2505" i="19" s="1"/>
  <c r="D2504" i="19"/>
  <c r="G2504" i="19" s="1"/>
  <c r="F2503" i="19"/>
  <c r="D2503" i="19" s="1"/>
  <c r="G2503" i="19" s="1"/>
  <c r="D2502" i="19"/>
  <c r="G2502" i="19" s="1"/>
  <c r="F2501" i="19"/>
  <c r="D2501" i="19" s="1"/>
  <c r="G2501" i="19" s="1"/>
  <c r="D2500" i="19"/>
  <c r="G2500" i="19" s="1"/>
  <c r="F2499" i="19"/>
  <c r="D2499" i="19" s="1"/>
  <c r="G2499" i="19" s="1"/>
  <c r="D2498" i="19"/>
  <c r="G2498" i="19" s="1"/>
  <c r="F2497" i="19"/>
  <c r="D2497" i="19" s="1"/>
  <c r="G2497" i="19" s="1"/>
  <c r="D2496" i="19"/>
  <c r="G2496" i="19" s="1"/>
  <c r="F2495" i="19"/>
  <c r="D2495" i="19" s="1"/>
  <c r="G2495" i="19" s="1"/>
  <c r="D2494" i="19"/>
  <c r="G2494" i="19" s="1"/>
  <c r="F2493" i="19"/>
  <c r="D2493" i="19" s="1"/>
  <c r="G2493" i="19" s="1"/>
  <c r="D2492" i="19"/>
  <c r="G2492" i="19" s="1"/>
  <c r="F2491" i="19"/>
  <c r="D2491" i="19" s="1"/>
  <c r="G2491" i="19" s="1"/>
  <c r="D2490" i="19"/>
  <c r="G2490" i="19" s="1"/>
  <c r="F2489" i="19"/>
  <c r="D2489" i="19" s="1"/>
  <c r="G2489" i="19" s="1"/>
  <c r="D2488" i="19"/>
  <c r="G2488" i="19" s="1"/>
  <c r="D2487" i="19"/>
  <c r="G2487" i="19" s="1"/>
  <c r="G2486" i="19"/>
  <c r="D2485" i="19"/>
  <c r="G2485" i="19" s="1"/>
  <c r="G2484" i="19"/>
  <c r="F2483" i="19"/>
  <c r="D2483" i="19" s="1"/>
  <c r="G2483" i="19" s="1"/>
  <c r="D2482" i="19"/>
  <c r="G2482" i="19" s="1"/>
  <c r="F2481" i="19"/>
  <c r="D2481" i="19" s="1"/>
  <c r="G2481" i="19" s="1"/>
  <c r="D2480" i="19"/>
  <c r="G2480" i="19" s="1"/>
  <c r="F2479" i="19"/>
  <c r="D2479" i="19" s="1"/>
  <c r="G2479" i="19" s="1"/>
  <c r="D2478" i="19"/>
  <c r="G2478" i="19" s="1"/>
  <c r="F2477" i="19"/>
  <c r="D2477" i="19" s="1"/>
  <c r="G2477" i="19" s="1"/>
  <c r="D2476" i="19"/>
  <c r="G2476" i="19" s="1"/>
  <c r="F2475" i="19"/>
  <c r="D2475" i="19" s="1"/>
  <c r="G2475" i="19" s="1"/>
  <c r="D2474" i="19"/>
  <c r="G2474" i="19" s="1"/>
  <c r="F2473" i="19"/>
  <c r="D2473" i="19" s="1"/>
  <c r="G2473" i="19" s="1"/>
  <c r="D2472" i="19"/>
  <c r="G2472" i="19" s="1"/>
  <c r="F2471" i="19"/>
  <c r="D2471" i="19" s="1"/>
  <c r="G2471" i="19" s="1"/>
  <c r="D2470" i="19"/>
  <c r="G2470" i="19" s="1"/>
  <c r="F2469" i="19"/>
  <c r="D2469" i="19" s="1"/>
  <c r="G2469" i="19" s="1"/>
  <c r="D2468" i="19"/>
  <c r="G2468" i="19" s="1"/>
  <c r="F2467" i="19"/>
  <c r="D2467" i="19" s="1"/>
  <c r="G2467" i="19" s="1"/>
  <c r="D2466" i="19"/>
  <c r="G2466" i="19" s="1"/>
  <c r="F2465" i="19"/>
  <c r="D2465" i="19"/>
  <c r="G2465" i="19" s="1"/>
  <c r="D2464" i="19"/>
  <c r="G2464" i="19" s="1"/>
  <c r="F2463" i="19"/>
  <c r="D2463" i="19" s="1"/>
  <c r="G2463" i="19" s="1"/>
  <c r="D2462" i="19"/>
  <c r="G2462" i="19" s="1"/>
  <c r="F2461" i="19"/>
  <c r="D2461" i="19" s="1"/>
  <c r="G2461" i="19" s="1"/>
  <c r="D2460" i="19"/>
  <c r="G2460" i="19" s="1"/>
  <c r="F2454" i="19"/>
  <c r="D2454" i="19" s="1"/>
  <c r="G2454" i="19" s="1"/>
  <c r="D2453" i="19"/>
  <c r="G2453" i="19" s="1"/>
  <c r="F2452" i="19"/>
  <c r="D2452" i="19" s="1"/>
  <c r="G2452" i="19" s="1"/>
  <c r="D2451" i="19"/>
  <c r="G2451" i="19" s="1"/>
  <c r="F2450" i="19"/>
  <c r="D2450" i="19" s="1"/>
  <c r="G2450" i="19" s="1"/>
  <c r="D2449" i="19"/>
  <c r="G2449" i="19" s="1"/>
  <c r="F2448" i="19"/>
  <c r="D2448" i="19" s="1"/>
  <c r="G2448" i="19" s="1"/>
  <c r="D2447" i="19"/>
  <c r="G2447" i="19" s="1"/>
  <c r="F2446" i="19"/>
  <c r="D2446" i="19" s="1"/>
  <c r="G2446" i="19" s="1"/>
  <c r="D2445" i="19"/>
  <c r="G2445" i="19" s="1"/>
  <c r="D2423" i="19"/>
  <c r="G2423" i="19" s="1"/>
  <c r="D2422" i="19"/>
  <c r="G2422" i="19" s="1"/>
  <c r="D2421" i="19"/>
  <c r="G2421" i="19" s="1"/>
  <c r="D2420" i="19"/>
  <c r="G2420" i="19" s="1"/>
  <c r="F2419" i="19"/>
  <c r="D2419" i="19" s="1"/>
  <c r="G2419" i="19" s="1"/>
  <c r="D2418" i="19"/>
  <c r="G2418" i="19" s="1"/>
  <c r="F2417" i="19"/>
  <c r="D2417" i="19" s="1"/>
  <c r="G2417" i="19" s="1"/>
  <c r="D2416" i="19"/>
  <c r="G2416" i="19" s="1"/>
  <c r="F2415" i="19"/>
  <c r="D2415" i="19" s="1"/>
  <c r="G2415" i="19" s="1"/>
  <c r="D2414" i="19"/>
  <c r="G2414" i="19" s="1"/>
  <c r="F2413" i="19"/>
  <c r="D2413" i="19" s="1"/>
  <c r="G2413" i="19" s="1"/>
  <c r="D2412" i="19"/>
  <c r="G2412" i="19" s="1"/>
  <c r="F2411" i="19"/>
  <c r="D2411" i="19" s="1"/>
  <c r="G2411" i="19" s="1"/>
  <c r="D2410" i="19"/>
  <c r="G2410" i="19" s="1"/>
  <c r="F2409" i="19"/>
  <c r="D2409" i="19" s="1"/>
  <c r="G2409" i="19" s="1"/>
  <c r="D2408" i="19"/>
  <c r="G2408" i="19" s="1"/>
  <c r="F2407" i="19"/>
  <c r="D2407" i="19" s="1"/>
  <c r="G2407" i="19" s="1"/>
  <c r="D2406" i="19"/>
  <c r="G2406" i="19" s="1"/>
  <c r="F2405" i="19"/>
  <c r="D2405" i="19" s="1"/>
  <c r="G2405" i="19" s="1"/>
  <c r="D2404" i="19"/>
  <c r="G2404" i="19" s="1"/>
  <c r="F2403" i="19"/>
  <c r="D2403" i="19" s="1"/>
  <c r="G2403" i="19" s="1"/>
  <c r="D2402" i="19"/>
  <c r="G2402" i="19" s="1"/>
  <c r="F2401" i="19"/>
  <c r="D2401" i="19" s="1"/>
  <c r="G2401" i="19" s="1"/>
  <c r="D2400" i="19"/>
  <c r="G2400" i="19" s="1"/>
  <c r="F2399" i="19"/>
  <c r="D2399" i="19" s="1"/>
  <c r="G2399" i="19" s="1"/>
  <c r="D2398" i="19"/>
  <c r="G2398" i="19" s="1"/>
  <c r="C2356" i="19"/>
  <c r="D2356" i="19" s="1"/>
  <c r="C2351" i="19"/>
  <c r="E2351" i="19" s="1"/>
  <c r="C2350" i="19"/>
  <c r="E2350" i="19" s="1"/>
  <c r="D2348" i="19"/>
  <c r="C2348" i="19" s="1"/>
  <c r="E2348" i="19" s="1"/>
  <c r="D2347" i="19"/>
  <c r="C2347" i="19" s="1"/>
  <c r="E2347" i="19" s="1"/>
  <c r="D2331" i="19"/>
  <c r="D2330" i="19"/>
  <c r="C2329" i="19"/>
  <c r="B2329" i="19" s="1"/>
  <c r="D2329" i="19" s="1"/>
  <c r="C2328" i="19"/>
  <c r="B2328" i="19" s="1"/>
  <c r="D2328" i="19" s="1"/>
  <c r="E2323" i="19"/>
  <c r="E2322" i="19"/>
  <c r="E2321" i="19"/>
  <c r="E2320" i="19"/>
  <c r="D2316" i="19"/>
  <c r="E2316" i="19" s="1"/>
  <c r="E2310" i="19"/>
  <c r="E2309" i="19"/>
  <c r="E2304" i="19"/>
  <c r="E2303" i="19"/>
  <c r="E2302" i="19"/>
  <c r="E2301" i="19"/>
  <c r="E2300" i="19"/>
  <c r="E2299" i="19"/>
  <c r="E2298" i="19"/>
  <c r="E2297" i="19"/>
  <c r="E2296" i="19"/>
  <c r="E2295" i="19"/>
  <c r="E2294" i="19"/>
  <c r="E2293" i="19"/>
  <c r="G2289" i="19"/>
  <c r="D2278" i="19"/>
  <c r="G2278" i="19" s="1"/>
  <c r="D2277" i="19"/>
  <c r="G2277" i="19" s="1"/>
  <c r="D2276" i="19"/>
  <c r="G2276" i="19" s="1"/>
  <c r="D2275" i="19"/>
  <c r="G2275" i="19" s="1"/>
  <c r="D2274" i="19"/>
  <c r="G2274" i="19" s="1"/>
  <c r="D2273" i="19"/>
  <c r="G2273" i="19" s="1"/>
  <c r="D2272" i="19"/>
  <c r="G2272" i="19" s="1"/>
  <c r="D2271" i="19"/>
  <c r="G2271" i="19" s="1"/>
  <c r="D2270" i="19"/>
  <c r="G2270" i="19" s="1"/>
  <c r="D2269" i="19"/>
  <c r="G2269" i="19" s="1"/>
  <c r="D2268" i="19"/>
  <c r="G2268" i="19" s="1"/>
  <c r="E2262" i="19"/>
  <c r="F2250" i="19"/>
  <c r="D2250" i="19" s="1"/>
  <c r="G2250" i="19" s="1"/>
  <c r="D2249" i="19"/>
  <c r="G2249" i="19" s="1"/>
  <c r="F2248" i="19"/>
  <c r="D2248" i="19" s="1"/>
  <c r="G2248" i="19" s="1"/>
  <c r="D2247" i="19"/>
  <c r="G2247" i="19" s="1"/>
  <c r="F2241" i="19"/>
  <c r="D2241" i="19" s="1"/>
  <c r="G2241" i="19" s="1"/>
  <c r="D2240" i="19"/>
  <c r="G2240" i="19" s="1"/>
  <c r="F2234" i="19"/>
  <c r="F2233" i="19"/>
  <c r="F2226" i="19"/>
  <c r="F2225" i="19"/>
  <c r="F2224" i="19"/>
  <c r="F2223" i="19"/>
  <c r="G2219" i="19"/>
  <c r="D2206" i="19"/>
  <c r="G2206" i="19" s="1"/>
  <c r="D2205" i="19"/>
  <c r="G2205" i="19" s="1"/>
  <c r="D2204" i="19"/>
  <c r="G2204" i="19" s="1"/>
  <c r="D2203" i="19"/>
  <c r="G2203" i="19" s="1"/>
  <c r="D2202" i="19"/>
  <c r="G2202" i="19" s="1"/>
  <c r="C2197" i="19"/>
  <c r="B2197" i="19" s="1"/>
  <c r="D2197" i="19" s="1"/>
  <c r="C2196" i="19"/>
  <c r="B2196" i="19" s="1"/>
  <c r="D2196" i="19" s="1"/>
  <c r="C2195" i="19"/>
  <c r="B2195" i="19" s="1"/>
  <c r="D2195" i="19" s="1"/>
  <c r="C2194" i="19"/>
  <c r="B2194" i="19" s="1"/>
  <c r="D2194" i="19" s="1"/>
  <c r="F2190" i="19"/>
  <c r="D2190" i="19" s="1"/>
  <c r="G2190" i="19" s="1"/>
  <c r="D2189" i="19"/>
  <c r="G2189" i="19" s="1"/>
  <c r="F2184" i="19"/>
  <c r="F2183" i="19"/>
  <c r="F2182" i="19"/>
  <c r="F2180" i="19"/>
  <c r="F2179" i="19"/>
  <c r="C2166" i="19"/>
  <c r="B2166" i="19" s="1"/>
  <c r="D2166" i="19" s="1"/>
  <c r="C2165" i="19"/>
  <c r="B2165" i="19" s="1"/>
  <c r="D2165" i="19" s="1"/>
  <c r="C2164" i="19"/>
  <c r="B2164" i="19" s="1"/>
  <c r="D2164" i="19" s="1"/>
  <c r="C2163" i="19"/>
  <c r="B2163" i="19" s="1"/>
  <c r="D2163" i="19" s="1"/>
  <c r="C2162" i="19"/>
  <c r="B2162" i="19" s="1"/>
  <c r="D2162" i="19" s="1"/>
  <c r="C2146" i="19"/>
  <c r="D2136" i="19"/>
  <c r="C2136" i="19" s="1"/>
  <c r="E2136" i="19" s="1"/>
  <c r="D2135" i="19"/>
  <c r="C2135" i="19" s="1"/>
  <c r="E2135" i="19" s="1"/>
  <c r="D2133" i="19"/>
  <c r="C2133" i="19" s="1"/>
  <c r="E2133" i="19" s="1"/>
  <c r="D2132" i="19"/>
  <c r="C2132" i="19" s="1"/>
  <c r="E2132" i="19" s="1"/>
  <c r="H2127" i="19"/>
  <c r="E2122" i="19"/>
  <c r="E2121" i="19"/>
  <c r="F2115" i="19"/>
  <c r="F2114" i="19"/>
  <c r="F2106" i="19"/>
  <c r="F2105" i="19"/>
  <c r="D2101" i="19"/>
  <c r="E2101" i="19" s="1"/>
  <c r="D2100" i="19"/>
  <c r="E2100" i="19" s="1"/>
  <c r="D2099" i="19"/>
  <c r="E2099" i="19" s="1"/>
  <c r="D2098" i="19"/>
  <c r="E2098" i="19" s="1"/>
  <c r="C2094" i="19"/>
  <c r="D2094" i="19" s="1"/>
  <c r="B2088" i="19"/>
  <c r="D2088" i="19" s="1"/>
  <c r="D2087" i="19"/>
  <c r="C2086" i="19"/>
  <c r="B2086" i="19" s="1"/>
  <c r="D2086" i="19" s="1"/>
  <c r="C2084" i="19"/>
  <c r="B2084" i="19" s="1"/>
  <c r="D2084" i="19" s="1"/>
  <c r="C2083" i="19"/>
  <c r="B2083" i="19" s="1"/>
  <c r="D2083" i="19" s="1"/>
  <c r="F2048" i="19"/>
  <c r="D2048" i="19" s="1"/>
  <c r="G2048" i="19" s="1"/>
  <c r="D2047" i="19"/>
  <c r="G2047" i="19" s="1"/>
  <c r="F2046" i="19"/>
  <c r="D2046" i="19" s="1"/>
  <c r="G2046" i="19" s="1"/>
  <c r="D2045" i="19"/>
  <c r="G2045" i="19" s="1"/>
  <c r="F2044" i="19"/>
  <c r="D2044" i="19" s="1"/>
  <c r="G2044" i="19" s="1"/>
  <c r="D2043" i="19"/>
  <c r="G2043" i="19" s="1"/>
  <c r="F2042" i="19"/>
  <c r="D2042" i="19" s="1"/>
  <c r="G2042" i="19" s="1"/>
  <c r="D2041" i="19"/>
  <c r="G2041" i="19" s="1"/>
  <c r="F2040" i="19"/>
  <c r="D2040" i="19" s="1"/>
  <c r="G2040" i="19" s="1"/>
  <c r="D2039" i="19"/>
  <c r="G2039" i="19" s="1"/>
  <c r="F2038" i="19"/>
  <c r="D2038" i="19" s="1"/>
  <c r="G2038" i="19" s="1"/>
  <c r="D2037" i="19"/>
  <c r="G2037" i="19" s="1"/>
  <c r="F2036" i="19"/>
  <c r="D2036" i="19" s="1"/>
  <c r="G2036" i="19" s="1"/>
  <c r="D2035" i="19"/>
  <c r="G2035" i="19" s="1"/>
  <c r="F2034" i="19"/>
  <c r="D2034" i="19" s="1"/>
  <c r="G2034" i="19" s="1"/>
  <c r="D2033" i="19"/>
  <c r="G2033" i="19" s="1"/>
  <c r="C2028" i="19"/>
  <c r="D2028" i="19" s="1"/>
  <c r="F2024" i="19"/>
  <c r="G2024" i="19" s="1"/>
  <c r="E2019" i="19"/>
  <c r="E2018" i="19"/>
  <c r="E2016" i="19"/>
  <c r="E2015" i="19"/>
  <c r="F2011" i="19"/>
  <c r="G2011" i="19" s="1"/>
  <c r="F2010" i="19"/>
  <c r="D2010" i="19" s="1"/>
  <c r="G2010" i="19" s="1"/>
  <c r="F2007" i="19"/>
  <c r="G2007" i="19" s="1"/>
  <c r="F2006" i="19"/>
  <c r="G2006" i="19" s="1"/>
  <c r="C2002" i="19"/>
  <c r="D2002" i="19" s="1"/>
  <c r="C2001" i="19"/>
  <c r="B2001" i="19" s="1"/>
  <c r="D2001" i="19" s="1"/>
  <c r="F1995" i="19"/>
  <c r="C1990" i="19"/>
  <c r="B1990" i="19" s="1"/>
  <c r="D1990" i="19" s="1"/>
  <c r="C1989" i="19"/>
  <c r="B1989" i="19" s="1"/>
  <c r="D1989" i="19" s="1"/>
  <c r="C1984" i="19"/>
  <c r="F1984" i="19" s="1"/>
  <c r="E1983" i="19"/>
  <c r="C1983" i="19" s="1"/>
  <c r="F1983" i="19" s="1"/>
  <c r="E1982" i="19"/>
  <c r="C1982" i="19" s="1"/>
  <c r="F1982" i="19" s="1"/>
  <c r="E1981" i="19"/>
  <c r="C1981" i="19" s="1"/>
  <c r="F1981" i="19" s="1"/>
  <c r="C1980" i="19"/>
  <c r="F1980" i="19" s="1"/>
  <c r="E1979" i="19"/>
  <c r="C1979" i="19" s="1"/>
  <c r="F1979" i="19" s="1"/>
  <c r="C1978" i="19"/>
  <c r="F1978" i="19" s="1"/>
  <c r="E1977" i="19"/>
  <c r="C1977" i="19" s="1"/>
  <c r="F1977" i="19" s="1"/>
  <c r="C1976" i="19"/>
  <c r="F1976" i="19" s="1"/>
  <c r="E1975" i="19"/>
  <c r="C1975" i="19" s="1"/>
  <c r="F1975" i="19" s="1"/>
  <c r="D1970" i="19"/>
  <c r="E1969" i="19"/>
  <c r="E1968" i="19"/>
  <c r="E1967" i="19"/>
  <c r="E1966" i="19"/>
  <c r="E1965" i="19"/>
  <c r="E1964" i="19"/>
  <c r="D1960" i="19"/>
  <c r="G1960" i="19" s="1"/>
  <c r="F1959" i="19"/>
  <c r="D1959" i="19" s="1"/>
  <c r="G1959" i="19" s="1"/>
  <c r="D1958" i="19"/>
  <c r="G1958" i="19" s="1"/>
  <c r="F1957" i="19"/>
  <c r="D1957" i="19" s="1"/>
  <c r="G1957" i="19" s="1"/>
  <c r="F1951" i="19"/>
  <c r="H1951" i="19" s="1"/>
  <c r="F1950" i="19"/>
  <c r="H1950" i="19" s="1"/>
  <c r="F1949" i="19"/>
  <c r="H1949" i="19" s="1"/>
  <c r="F1948" i="19"/>
  <c r="H1948" i="19" s="1"/>
  <c r="F1947" i="19"/>
  <c r="H1947" i="19" s="1"/>
  <c r="F1946" i="19"/>
  <c r="H1946" i="19" s="1"/>
  <c r="F1945" i="19"/>
  <c r="H1945" i="19" s="1"/>
  <c r="F1944" i="19"/>
  <c r="H1944" i="19" s="1"/>
  <c r="F1943" i="19"/>
  <c r="H1943" i="19" s="1"/>
  <c r="F1942" i="19"/>
  <c r="H1942" i="19" s="1"/>
  <c r="F1941" i="19"/>
  <c r="H1941" i="19" s="1"/>
  <c r="F1940" i="19"/>
  <c r="H1940" i="19" s="1"/>
  <c r="F1939" i="19"/>
  <c r="H1939" i="19" s="1"/>
  <c r="F1938" i="19"/>
  <c r="H1938" i="19" s="1"/>
  <c r="F1937" i="19"/>
  <c r="H1937" i="19" s="1"/>
  <c r="F1936" i="19"/>
  <c r="H1936" i="19" s="1"/>
  <c r="C1931" i="19"/>
  <c r="D1931" i="19" s="1"/>
  <c r="C1930" i="19"/>
  <c r="B1930" i="19" s="1"/>
  <c r="D1930" i="19" s="1"/>
  <c r="C1929" i="19"/>
  <c r="B1929" i="19" s="1"/>
  <c r="D1929" i="19" s="1"/>
  <c r="C1928" i="19"/>
  <c r="B1928" i="19" s="1"/>
  <c r="D1928" i="19" s="1"/>
  <c r="C1927" i="19"/>
  <c r="B1927" i="19" s="1"/>
  <c r="D1927" i="19" s="1"/>
  <c r="C1926" i="19"/>
  <c r="D1926" i="19" s="1"/>
  <c r="G1921" i="19"/>
  <c r="G1920" i="19"/>
  <c r="G1919" i="19"/>
  <c r="G1918" i="19"/>
  <c r="G1917" i="19"/>
  <c r="G1916" i="19"/>
  <c r="G1915" i="19"/>
  <c r="G1910" i="19"/>
  <c r="G1909" i="19"/>
  <c r="E1908" i="19"/>
  <c r="G1908" i="19" s="1"/>
  <c r="E1907" i="19"/>
  <c r="G1907" i="19" s="1"/>
  <c r="E1906" i="19"/>
  <c r="G1906" i="19" s="1"/>
  <c r="E1905" i="19"/>
  <c r="G1905" i="19" s="1"/>
  <c r="G1903" i="19"/>
  <c r="E1902" i="19"/>
  <c r="G1902" i="19" s="1"/>
  <c r="E1901" i="19"/>
  <c r="G1901" i="19" s="1"/>
  <c r="E1900" i="19"/>
  <c r="G1900" i="19" s="1"/>
  <c r="E1899" i="19"/>
  <c r="G1899" i="19" s="1"/>
  <c r="E1881" i="19"/>
  <c r="D1881" i="19"/>
  <c r="F1880" i="19"/>
  <c r="F1879" i="19"/>
  <c r="E1879" i="19"/>
  <c r="D1879" i="19"/>
  <c r="F1878" i="19"/>
  <c r="E1878" i="19"/>
  <c r="D1878" i="19"/>
  <c r="F1877" i="19"/>
  <c r="E1877" i="19"/>
  <c r="D1877" i="19"/>
  <c r="F1876" i="19"/>
  <c r="E1876" i="19"/>
  <c r="D1876" i="19"/>
  <c r="F1875" i="19"/>
  <c r="E1875" i="19"/>
  <c r="D1875" i="19"/>
  <c r="F1874" i="19"/>
  <c r="E1874" i="19"/>
  <c r="D1874" i="19"/>
  <c r="E1868" i="19"/>
  <c r="D1868" i="19" s="1"/>
  <c r="F1868" i="19" s="1"/>
  <c r="D1867" i="19"/>
  <c r="F1867" i="19" s="1"/>
  <c r="E1866" i="19"/>
  <c r="D1866" i="19" s="1"/>
  <c r="F1866" i="19" s="1"/>
  <c r="D1865" i="19"/>
  <c r="F1865" i="19" s="1"/>
  <c r="D1862" i="19"/>
  <c r="E1851" i="19"/>
  <c r="E1850" i="19"/>
  <c r="E1849" i="19"/>
  <c r="E1848" i="19"/>
  <c r="E1847" i="19"/>
  <c r="H1844" i="19"/>
  <c r="D1844" i="19" s="1"/>
  <c r="D1843" i="19"/>
  <c r="C1843" i="19"/>
  <c r="I1843" i="19" s="1"/>
  <c r="D1842" i="19"/>
  <c r="C1842" i="19"/>
  <c r="E1842" i="19" s="1"/>
  <c r="D1841" i="19"/>
  <c r="C1841" i="19"/>
  <c r="F1841" i="19" s="1"/>
  <c r="F1835" i="19"/>
  <c r="F1834" i="19"/>
  <c r="F1828" i="19"/>
  <c r="F1827" i="19"/>
  <c r="F1826" i="19"/>
  <c r="F1825" i="19"/>
  <c r="E1817" i="19"/>
  <c r="G1817" i="19" s="1"/>
  <c r="E1816" i="19"/>
  <c r="G1816" i="19" s="1"/>
  <c r="E1811" i="19"/>
  <c r="G1811" i="19" s="1"/>
  <c r="E1810" i="19"/>
  <c r="G1810" i="19" s="1"/>
  <c r="E1809" i="19"/>
  <c r="G1809" i="19" s="1"/>
  <c r="H1804" i="19"/>
  <c r="I1804" i="19" s="1"/>
  <c r="H1803" i="19"/>
  <c r="I1803" i="19" s="1"/>
  <c r="H1802" i="19"/>
  <c r="I1802" i="19" s="1"/>
  <c r="H1801" i="19"/>
  <c r="I1801" i="19" s="1"/>
  <c r="H1799" i="19"/>
  <c r="F1799" i="19" s="1"/>
  <c r="I1799" i="19" s="1"/>
  <c r="H1798" i="19"/>
  <c r="F1798" i="19" s="1"/>
  <c r="I1798" i="19" s="1"/>
  <c r="H1797" i="19"/>
  <c r="F1797" i="19" s="1"/>
  <c r="I1797" i="19" s="1"/>
  <c r="H1796" i="19"/>
  <c r="F1796" i="19" s="1"/>
  <c r="I1796" i="19" s="1"/>
  <c r="H1794" i="19"/>
  <c r="F1794" i="19" s="1"/>
  <c r="I1794" i="19" s="1"/>
  <c r="H1793" i="19"/>
  <c r="F1793" i="19" s="1"/>
  <c r="I1793" i="19" s="1"/>
  <c r="H1792" i="19"/>
  <c r="F1792" i="19" s="1"/>
  <c r="I1792" i="19" s="1"/>
  <c r="H1791" i="19"/>
  <c r="F1791" i="19" s="1"/>
  <c r="I1791" i="19" s="1"/>
  <c r="H1789" i="19"/>
  <c r="F1789" i="19" s="1"/>
  <c r="I1789" i="19" s="1"/>
  <c r="H1788" i="19"/>
  <c r="F1788" i="19" s="1"/>
  <c r="I1788" i="19" s="1"/>
  <c r="H1787" i="19"/>
  <c r="F1787" i="19" s="1"/>
  <c r="I1787" i="19" s="1"/>
  <c r="H1786" i="19"/>
  <c r="F1786" i="19" s="1"/>
  <c r="I1786" i="19" s="1"/>
  <c r="E1773" i="19"/>
  <c r="E1772" i="19"/>
  <c r="E1768" i="19"/>
  <c r="E1767" i="19"/>
  <c r="Q1763" i="19"/>
  <c r="O1763" i="19"/>
  <c r="K1763" i="19"/>
  <c r="Q1762" i="19"/>
  <c r="O1762" i="19"/>
  <c r="K1762" i="19"/>
  <c r="O1761" i="19"/>
  <c r="G1761" i="19"/>
  <c r="K1761" i="19" s="1"/>
  <c r="O1760" i="19"/>
  <c r="G1760" i="19"/>
  <c r="K1760" i="19" s="1"/>
  <c r="O1759" i="19"/>
  <c r="G1759" i="19"/>
  <c r="K1759" i="19" s="1"/>
  <c r="O1758" i="19"/>
  <c r="G1758" i="19"/>
  <c r="Q1758" i="19" s="1"/>
  <c r="Q1755" i="19"/>
  <c r="O1755" i="19"/>
  <c r="O1754" i="19"/>
  <c r="G1754" i="19"/>
  <c r="K1754" i="19" s="1"/>
  <c r="Q1752" i="19"/>
  <c r="O1752" i="19"/>
  <c r="K1752" i="19"/>
  <c r="O1751" i="19"/>
  <c r="G1751" i="19"/>
  <c r="Q1751" i="19" s="1"/>
  <c r="O1750" i="19"/>
  <c r="G1750" i="19"/>
  <c r="Q1750" i="19" s="1"/>
  <c r="O1749" i="19"/>
  <c r="G1749" i="19"/>
  <c r="K1749" i="19" s="1"/>
  <c r="O1748" i="19"/>
  <c r="G1748" i="19"/>
  <c r="Q1748" i="19" s="1"/>
  <c r="O1747" i="19"/>
  <c r="G1747" i="19"/>
  <c r="Q1747" i="19" s="1"/>
  <c r="F1743" i="19"/>
  <c r="D1737" i="19"/>
  <c r="D1736" i="19"/>
  <c r="D1735" i="19"/>
  <c r="E1719" i="19"/>
  <c r="E1718" i="19"/>
  <c r="E1717" i="19"/>
  <c r="E1716" i="19"/>
  <c r="E1715" i="19"/>
  <c r="E1714" i="19"/>
  <c r="E1713" i="19"/>
  <c r="E1712" i="19"/>
  <c r="E1711" i="19"/>
  <c r="E1710" i="19"/>
  <c r="F1706" i="19"/>
  <c r="F1705" i="19"/>
  <c r="F1704" i="19"/>
  <c r="F1703" i="19"/>
  <c r="F1702" i="19"/>
  <c r="F1701" i="19"/>
  <c r="F1700" i="19"/>
  <c r="F1699" i="19"/>
  <c r="H1695" i="19"/>
  <c r="H1694" i="19"/>
  <c r="H1693" i="19"/>
  <c r="H1692" i="19"/>
  <c r="H1691" i="19"/>
  <c r="H1690" i="19"/>
  <c r="H1689" i="19"/>
  <c r="H1688" i="19"/>
  <c r="H1687" i="19"/>
  <c r="H1686" i="19"/>
  <c r="H1685" i="19"/>
  <c r="H1684" i="19"/>
  <c r="H1683" i="19"/>
  <c r="H1682" i="19"/>
  <c r="H1681" i="19"/>
  <c r="H1680" i="19"/>
  <c r="F1675" i="19"/>
  <c r="G1675" i="19" s="1"/>
  <c r="F1674" i="19"/>
  <c r="F1673" i="19"/>
  <c r="G1673" i="19" s="1"/>
  <c r="F1672" i="19"/>
  <c r="G1672" i="19" s="1"/>
  <c r="F1641" i="19"/>
  <c r="F1640" i="19"/>
  <c r="F1639" i="19"/>
  <c r="F1638" i="19"/>
  <c r="H1625" i="19"/>
  <c r="E1625" i="19"/>
  <c r="G1625" i="19" s="1"/>
  <c r="H1624" i="19"/>
  <c r="E1624" i="19"/>
  <c r="G1624" i="19" s="1"/>
  <c r="H1621" i="19"/>
  <c r="E1621" i="19"/>
  <c r="F1617" i="19"/>
  <c r="F1616" i="19"/>
  <c r="F1615" i="19"/>
  <c r="F1614" i="19"/>
  <c r="F1613" i="19"/>
  <c r="D1595" i="19"/>
  <c r="F1592" i="19"/>
  <c r="H1588" i="19"/>
  <c r="H1587" i="19"/>
  <c r="I1577" i="19"/>
  <c r="I1576" i="19"/>
  <c r="I1575" i="19"/>
  <c r="I1574" i="19"/>
  <c r="I1573" i="19"/>
  <c r="I1572" i="19"/>
  <c r="I1571" i="19"/>
  <c r="I1570" i="19"/>
  <c r="I1569" i="19"/>
  <c r="I1568" i="19"/>
  <c r="I1565" i="19"/>
  <c r="I1564" i="19"/>
  <c r="I1563" i="19"/>
  <c r="I1562" i="19"/>
  <c r="I1561" i="19"/>
  <c r="I1560" i="19"/>
  <c r="I1559" i="19"/>
  <c r="N1546" i="19"/>
  <c r="N1545" i="19"/>
  <c r="J1545" i="19"/>
  <c r="N1544" i="19"/>
  <c r="J1544" i="19"/>
  <c r="N1543" i="19"/>
  <c r="J1543" i="19"/>
  <c r="N1542" i="19"/>
  <c r="J1542" i="19"/>
  <c r="N1541" i="19"/>
  <c r="J1541" i="19"/>
  <c r="N1540" i="19"/>
  <c r="J1540" i="19"/>
  <c r="N1539" i="19"/>
  <c r="J1539" i="19"/>
  <c r="N1538" i="19"/>
  <c r="J1538" i="19"/>
  <c r="N1535" i="19"/>
  <c r="N1534" i="19"/>
  <c r="J1534" i="19"/>
  <c r="N1533" i="19"/>
  <c r="J1533" i="19"/>
  <c r="N1532" i="19"/>
  <c r="J1532" i="19"/>
  <c r="N1531" i="19"/>
  <c r="J1531" i="19"/>
  <c r="N1530" i="19"/>
  <c r="J1530" i="19"/>
  <c r="N1529" i="19"/>
  <c r="J1529" i="19"/>
  <c r="N1526" i="19"/>
  <c r="J1526" i="19"/>
  <c r="N1525" i="19"/>
  <c r="J1525" i="19"/>
  <c r="B1502" i="19"/>
  <c r="H1459" i="19"/>
  <c r="G1459" i="19"/>
  <c r="H1458" i="19"/>
  <c r="H1457" i="19"/>
  <c r="H1456" i="19"/>
  <c r="B1444" i="19"/>
  <c r="F981" i="19"/>
  <c r="F980" i="19"/>
  <c r="F978" i="19"/>
  <c r="F977" i="19"/>
  <c r="E963" i="19"/>
  <c r="E962" i="19"/>
  <c r="F958" i="19"/>
  <c r="P942" i="19"/>
  <c r="E942" i="19"/>
  <c r="E941" i="19"/>
  <c r="E940" i="19"/>
  <c r="E939" i="19"/>
  <c r="E938" i="19"/>
  <c r="H797" i="19"/>
  <c r="H796" i="19"/>
  <c r="H795" i="19"/>
  <c r="H794" i="19"/>
  <c r="H793" i="19"/>
  <c r="H789" i="19"/>
  <c r="H788" i="19"/>
  <c r="H787" i="19"/>
  <c r="H680" i="19"/>
  <c r="H679" i="19"/>
  <c r="H677" i="19"/>
  <c r="H676" i="19"/>
  <c r="H675" i="19"/>
  <c r="H674" i="19"/>
  <c r="H673" i="19"/>
  <c r="H672" i="19"/>
  <c r="H671" i="19"/>
  <c r="H670" i="19"/>
  <c r="H669" i="19"/>
  <c r="H668" i="19"/>
  <c r="G583" i="19"/>
  <c r="G582" i="19"/>
  <c r="G581" i="19"/>
  <c r="G580" i="19"/>
  <c r="G579" i="19"/>
  <c r="G578" i="19"/>
  <c r="G577" i="19"/>
  <c r="G560" i="19"/>
  <c r="G559" i="19"/>
  <c r="G558" i="19"/>
  <c r="G557" i="19"/>
  <c r="G556" i="19"/>
  <c r="G555" i="19"/>
  <c r="G554" i="19"/>
  <c r="G553" i="19"/>
  <c r="G552" i="19"/>
  <c r="G551" i="19"/>
  <c r="G550" i="19"/>
  <c r="G549" i="19"/>
  <c r="G548" i="19"/>
  <c r="G547" i="19"/>
  <c r="F501" i="19"/>
  <c r="H440" i="19"/>
  <c r="H439" i="19"/>
  <c r="H438" i="19"/>
  <c r="H437" i="19"/>
  <c r="H436" i="19"/>
  <c r="G423" i="19"/>
  <c r="E161" i="19"/>
  <c r="E160" i="19"/>
  <c r="E159" i="19"/>
  <c r="E158" i="19"/>
  <c r="E157" i="19"/>
  <c r="E156" i="19"/>
  <c r="E155" i="19"/>
  <c r="E106" i="19"/>
  <c r="E105" i="19"/>
  <c r="E92" i="19"/>
  <c r="C69" i="6"/>
  <c r="B69" i="6"/>
  <c r="C68" i="6"/>
  <c r="B68" i="6"/>
  <c r="B67" i="6"/>
  <c r="B66" i="6"/>
  <c r="B65" i="6"/>
  <c r="J63" i="6"/>
  <c r="B62" i="6"/>
  <c r="A62" i="6"/>
  <c r="B61" i="6"/>
  <c r="A61" i="6"/>
  <c r="B60" i="6"/>
  <c r="A60" i="6"/>
  <c r="B59" i="6"/>
  <c r="A59" i="6"/>
  <c r="B58" i="6"/>
  <c r="A58" i="6"/>
  <c r="B57" i="6"/>
  <c r="A57" i="6"/>
  <c r="B56" i="6"/>
  <c r="A56" i="6"/>
  <c r="B55" i="6"/>
  <c r="A55" i="6"/>
  <c r="B54" i="6"/>
  <c r="A54" i="6"/>
  <c r="B53" i="6"/>
  <c r="A53" i="6"/>
  <c r="B52" i="6"/>
  <c r="A52" i="6"/>
  <c r="B51" i="6"/>
  <c r="A51" i="6"/>
  <c r="B50" i="6"/>
  <c r="A50" i="6"/>
  <c r="B49" i="6"/>
  <c r="A49" i="6"/>
  <c r="B48" i="6"/>
  <c r="A48" i="6"/>
  <c r="B47" i="6"/>
  <c r="A47" i="6"/>
  <c r="B46" i="6"/>
  <c r="A46" i="6"/>
  <c r="B45" i="6"/>
  <c r="A45" i="6"/>
  <c r="B44" i="6"/>
  <c r="A44" i="6"/>
  <c r="B43" i="6"/>
  <c r="A43" i="6"/>
  <c r="B42" i="6"/>
  <c r="A42" i="6"/>
  <c r="B41" i="6"/>
  <c r="A41" i="6"/>
  <c r="A40" i="6"/>
  <c r="A39" i="6"/>
  <c r="B38" i="6"/>
  <c r="A38" i="6"/>
  <c r="B39" i="6" s="1"/>
  <c r="C33" i="6"/>
  <c r="C32" i="6"/>
  <c r="C31" i="6"/>
  <c r="M29" i="6"/>
  <c r="M28" i="6"/>
  <c r="B25" i="6"/>
  <c r="B20" i="6"/>
  <c r="B19" i="6"/>
  <c r="F18" i="6"/>
  <c r="H18" i="6" s="1"/>
  <c r="C13" i="6"/>
  <c r="C12" i="6"/>
  <c r="E11" i="6"/>
  <c r="C11" i="6"/>
  <c r="E10" i="6" a="1"/>
  <c r="E10" i="6" s="1"/>
  <c r="C10" i="6"/>
  <c r="E8" i="6" a="1"/>
  <c r="E8" i="6" s="1"/>
  <c r="E7" i="6"/>
  <c r="C7" i="6"/>
  <c r="E4" i="6"/>
  <c r="E5" i="6" s="1"/>
  <c r="J72" i="13"/>
  <c r="J73" i="13" s="1"/>
  <c r="J71" i="13"/>
  <c r="H71" i="13" a="1"/>
  <c r="H71" i="13" s="1"/>
  <c r="J70" i="13"/>
  <c r="H70" i="13" a="1"/>
  <c r="H70" i="13" s="1"/>
  <c r="J69" i="13"/>
  <c r="F33" i="13"/>
  <c r="D33" i="13"/>
  <c r="B33" i="13"/>
  <c r="J31" i="13"/>
  <c r="D31" i="13"/>
  <c r="B31" i="13"/>
  <c r="D28" i="13"/>
  <c r="C28" i="13"/>
  <c r="D27" i="13"/>
  <c r="C27" i="13"/>
  <c r="C26" i="13"/>
  <c r="C25" i="13"/>
  <c r="C24" i="13"/>
  <c r="D22" i="13"/>
  <c r="D21" i="13"/>
  <c r="C19" i="13"/>
  <c r="C18" i="13"/>
  <c r="E12" i="13"/>
  <c r="C12" i="13" a="1"/>
  <c r="C12" i="13" s="1"/>
  <c r="C11" i="13"/>
  <c r="C10" i="13"/>
  <c r="C9" i="13"/>
  <c r="C7" i="13"/>
  <c r="C6" i="13"/>
  <c r="C5" i="13"/>
  <c r="E4" i="13"/>
  <c r="E5" i="13" s="1"/>
  <c r="E6" i="13" s="1"/>
  <c r="C3" i="13"/>
  <c r="C22" i="13" s="1"/>
  <c r="H2" i="13"/>
  <c r="C2" i="13"/>
  <c r="E8" i="13" s="1"/>
  <c r="J73" i="12"/>
  <c r="J71" i="12"/>
  <c r="H71" i="12" a="1"/>
  <c r="H71" i="12" s="1"/>
  <c r="J70" i="12"/>
  <c r="H70" i="12" a="1"/>
  <c r="H70" i="12" s="1"/>
  <c r="J69" i="12"/>
  <c r="I32" i="12"/>
  <c r="D28" i="12"/>
  <c r="C28" i="12"/>
  <c r="D27" i="12"/>
  <c r="C27" i="12"/>
  <c r="C26" i="12"/>
  <c r="C25" i="12"/>
  <c r="C24" i="12"/>
  <c r="D22" i="12"/>
  <c r="C22" i="12"/>
  <c r="D21" i="12"/>
  <c r="C21" i="12"/>
  <c r="C20" i="12"/>
  <c r="C19" i="12"/>
  <c r="C18" i="12"/>
  <c r="J17" i="12"/>
  <c r="F31" i="12" s="1"/>
  <c r="G16" i="12"/>
  <c r="E12" i="12"/>
  <c r="C12" i="12" a="1"/>
  <c r="C12" i="12" s="1"/>
  <c r="E11" i="12" a="1"/>
  <c r="E11" i="12" s="1"/>
  <c r="C11" i="12"/>
  <c r="E10" i="12" a="1"/>
  <c r="E10" i="12" s="1"/>
  <c r="E10" i="13" s="1"/>
  <c r="E9" i="12" a="1"/>
  <c r="E9" i="12" s="1"/>
  <c r="E9" i="13" s="1"/>
  <c r="E8" i="12"/>
  <c r="C8" i="12"/>
  <c r="E5" i="12"/>
  <c r="E6" i="12" s="1"/>
  <c r="W4949" i="1"/>
  <c r="W4944" i="1"/>
  <c r="W4943" i="1"/>
  <c r="T4943" i="1"/>
  <c r="R4943" i="1"/>
  <c r="L4943" i="1"/>
  <c r="W4942" i="1"/>
  <c r="P4942" i="1"/>
  <c r="J4942" i="1"/>
  <c r="R4942" i="1" s="1"/>
  <c r="W4941" i="1"/>
  <c r="P4941" i="1"/>
  <c r="J4941" i="1"/>
  <c r="W4940" i="1"/>
  <c r="W4927" i="1"/>
  <c r="W4925" i="1"/>
  <c r="T4925" i="1"/>
  <c r="R4925" i="1"/>
  <c r="P4925" i="1"/>
  <c r="L4925" i="1"/>
  <c r="W4922" i="1"/>
  <c r="T4922" i="1"/>
  <c r="R4922" i="1"/>
  <c r="P4922" i="1"/>
  <c r="L4922" i="1"/>
  <c r="W4921" i="1"/>
  <c r="T4921" i="1"/>
  <c r="R4921" i="1"/>
  <c r="P4921" i="1"/>
  <c r="L4921" i="1"/>
  <c r="W4919" i="1"/>
  <c r="T4919" i="1"/>
  <c r="R4919" i="1"/>
  <c r="P4919" i="1"/>
  <c r="L4919" i="1"/>
  <c r="W4917" i="1"/>
  <c r="W4915" i="1"/>
  <c r="T4915" i="1"/>
  <c r="R4915" i="1"/>
  <c r="L4915" i="1"/>
  <c r="W4914" i="1"/>
  <c r="T4914" i="1"/>
  <c r="R4914" i="1"/>
  <c r="P4914" i="1"/>
  <c r="L4914" i="1"/>
  <c r="W4916" i="1"/>
  <c r="T4916" i="1"/>
  <c r="R4916" i="1"/>
  <c r="P4916" i="1"/>
  <c r="L4916" i="1"/>
  <c r="W4913" i="1"/>
  <c r="T4913" i="1"/>
  <c r="R4913" i="1"/>
  <c r="P4913" i="1"/>
  <c r="L4913" i="1"/>
  <c r="W4912" i="1"/>
  <c r="T4912" i="1"/>
  <c r="R4912" i="1"/>
  <c r="P4912" i="1"/>
  <c r="L4912" i="1"/>
  <c r="W4910" i="1"/>
  <c r="T4910" i="1"/>
  <c r="R4910" i="1"/>
  <c r="P4910" i="1"/>
  <c r="L4910" i="1"/>
  <c r="W4908" i="1"/>
  <c r="W4907" i="1"/>
  <c r="R4907" i="1"/>
  <c r="L4907" i="1"/>
  <c r="W4906" i="1"/>
  <c r="P4906" i="1"/>
  <c r="J4906" i="1"/>
  <c r="T4906" i="1" s="1"/>
  <c r="W4905" i="1"/>
  <c r="P4905" i="1"/>
  <c r="J4905" i="1"/>
  <c r="W4904" i="1"/>
  <c r="P4904" i="1"/>
  <c r="J4904" i="1"/>
  <c r="W4903" i="1"/>
  <c r="P4903" i="1"/>
  <c r="J4903" i="1"/>
  <c r="W4902" i="1"/>
  <c r="W4901" i="1"/>
  <c r="W4900" i="1"/>
  <c r="T4900" i="1"/>
  <c r="R4900" i="1"/>
  <c r="L4900" i="1"/>
  <c r="W4899" i="1"/>
  <c r="P4899" i="1"/>
  <c r="J4899" i="1"/>
  <c r="T4899" i="1" s="1"/>
  <c r="W4898" i="1"/>
  <c r="P4898" i="1"/>
  <c r="J4898" i="1"/>
  <c r="W4896" i="1"/>
  <c r="T4896" i="1"/>
  <c r="R4896" i="1"/>
  <c r="L4896" i="1"/>
  <c r="W4895" i="1"/>
  <c r="P4895" i="1"/>
  <c r="J4895" i="1"/>
  <c r="W4893" i="1"/>
  <c r="S4892" i="1"/>
  <c r="T4892" i="1" s="1"/>
  <c r="R4892" i="1"/>
  <c r="L4892" i="1"/>
  <c r="W4891" i="1"/>
  <c r="R4889" i="1"/>
  <c r="L4889" i="1"/>
  <c r="T4888" i="1"/>
  <c r="R4888" i="1"/>
  <c r="L4888" i="1"/>
  <c r="W4887" i="1"/>
  <c r="T4887" i="1"/>
  <c r="R4887" i="1"/>
  <c r="P4887" i="1"/>
  <c r="L4887" i="1"/>
  <c r="R4886" i="1"/>
  <c r="L4886" i="1"/>
  <c r="T4885" i="1"/>
  <c r="R4885" i="1"/>
  <c r="L4885" i="1"/>
  <c r="W4884" i="1"/>
  <c r="T4884" i="1"/>
  <c r="R4884" i="1"/>
  <c r="P4884" i="1"/>
  <c r="L4884" i="1"/>
  <c r="W4883" i="1"/>
  <c r="T4883" i="1"/>
  <c r="R4883" i="1"/>
  <c r="P4883" i="1"/>
  <c r="L4883" i="1"/>
  <c r="W4882" i="1"/>
  <c r="T4882" i="1"/>
  <c r="R4882" i="1"/>
  <c r="P4882" i="1"/>
  <c r="L4882" i="1"/>
  <c r="W4881" i="1"/>
  <c r="T4881" i="1"/>
  <c r="R4881" i="1"/>
  <c r="P4881" i="1"/>
  <c r="L4881" i="1"/>
  <c r="W4880" i="1"/>
  <c r="W4879" i="1"/>
  <c r="W4878" i="1"/>
  <c r="T4878" i="1"/>
  <c r="R4878" i="1"/>
  <c r="L4878" i="1"/>
  <c r="W4877" i="1"/>
  <c r="P4877" i="1"/>
  <c r="J4877" i="1"/>
  <c r="R4877" i="1" s="1"/>
  <c r="W4875" i="1"/>
  <c r="W4874" i="1"/>
  <c r="R4874" i="1"/>
  <c r="L4874" i="1"/>
  <c r="W4867" i="1"/>
  <c r="T4867" i="1"/>
  <c r="R4867" i="1"/>
  <c r="P4867" i="1"/>
  <c r="L4867" i="1"/>
  <c r="W4866" i="1"/>
  <c r="W4865" i="1"/>
  <c r="W4864" i="1"/>
  <c r="R4864" i="1"/>
  <c r="L4864" i="1"/>
  <c r="W4863" i="1"/>
  <c r="P4863" i="1"/>
  <c r="J4863" i="1"/>
  <c r="W4861" i="1"/>
  <c r="P4861" i="1"/>
  <c r="J4861" i="1"/>
  <c r="R4861" i="1" s="1"/>
  <c r="W4860" i="1"/>
  <c r="W4859" i="1"/>
  <c r="W4858" i="1"/>
  <c r="T4858" i="1"/>
  <c r="R4858" i="1"/>
  <c r="P4858" i="1"/>
  <c r="L4858" i="1"/>
  <c r="W4857" i="1"/>
  <c r="T4857" i="1"/>
  <c r="R4857" i="1"/>
  <c r="P4857" i="1"/>
  <c r="L4857" i="1"/>
  <c r="W4855" i="1"/>
  <c r="T4855" i="1"/>
  <c r="R4855" i="1"/>
  <c r="P4855" i="1"/>
  <c r="W4854" i="1"/>
  <c r="T4854" i="1"/>
  <c r="R4854" i="1"/>
  <c r="P4854" i="1"/>
  <c r="W4853" i="1"/>
  <c r="T4853" i="1"/>
  <c r="R4853" i="1"/>
  <c r="L4853" i="1"/>
  <c r="T4852" i="1"/>
  <c r="R4852" i="1"/>
  <c r="P4852" i="1"/>
  <c r="K4852" i="1"/>
  <c r="W4850" i="1"/>
  <c r="T4850" i="1"/>
  <c r="R4850" i="1"/>
  <c r="P4850" i="1"/>
  <c r="L4850" i="1"/>
  <c r="T4848" i="1"/>
  <c r="R4848" i="1"/>
  <c r="P4848" i="1"/>
  <c r="K4848" i="1"/>
  <c r="W4846" i="1"/>
  <c r="W4845" i="1"/>
  <c r="T4845" i="1"/>
  <c r="R4845" i="1"/>
  <c r="L4845" i="1"/>
  <c r="W4844" i="1"/>
  <c r="P4844" i="1"/>
  <c r="J4844" i="1"/>
  <c r="T4844" i="1" s="1"/>
  <c r="W4843" i="1"/>
  <c r="W4842" i="1"/>
  <c r="W4841" i="1"/>
  <c r="L4841" i="1"/>
  <c r="W4840" i="1"/>
  <c r="P4840" i="1"/>
  <c r="J4840" i="1"/>
  <c r="W4839" i="1"/>
  <c r="T4838" i="1"/>
  <c r="S4838" i="1"/>
  <c r="W4838" i="1" s="1"/>
  <c r="W4837" i="1"/>
  <c r="T4837" i="1"/>
  <c r="R4837" i="1"/>
  <c r="L4837" i="1"/>
  <c r="W4836" i="1"/>
  <c r="P4836" i="1"/>
  <c r="J4836" i="1"/>
  <c r="L4836" i="1" s="1"/>
  <c r="W4835" i="1"/>
  <c r="T4835" i="1"/>
  <c r="R4835" i="1"/>
  <c r="L4835" i="1"/>
  <c r="W4834" i="1"/>
  <c r="T4834" i="1"/>
  <c r="R4834" i="1"/>
  <c r="P4834" i="1"/>
  <c r="L4834" i="1"/>
  <c r="W4833" i="1"/>
  <c r="T4833" i="1"/>
  <c r="R4833" i="1"/>
  <c r="P4833" i="1"/>
  <c r="L4833" i="1"/>
  <c r="W4831" i="1"/>
  <c r="W4830" i="1"/>
  <c r="T4830" i="1"/>
  <c r="R4830" i="1"/>
  <c r="L4830" i="1"/>
  <c r="W4829" i="1"/>
  <c r="P4829" i="1"/>
  <c r="J4829" i="1"/>
  <c r="W4828" i="1"/>
  <c r="P4828" i="1"/>
  <c r="J4828" i="1"/>
  <c r="W4827" i="1"/>
  <c r="P4827" i="1"/>
  <c r="J4827" i="1"/>
  <c r="W4826" i="1"/>
  <c r="P4826" i="1"/>
  <c r="J4826" i="1"/>
  <c r="W4825" i="1"/>
  <c r="T4825" i="1"/>
  <c r="R4825" i="1"/>
  <c r="L4825" i="1"/>
  <c r="W4824" i="1"/>
  <c r="P4824" i="1"/>
  <c r="J4824" i="1"/>
  <c r="R4824" i="1" s="1"/>
  <c r="W4823" i="1"/>
  <c r="T4822" i="1"/>
  <c r="S4822" i="1"/>
  <c r="W4822" i="1" s="1"/>
  <c r="W4821" i="1"/>
  <c r="L4821" i="1"/>
  <c r="W4820" i="1"/>
  <c r="P4820" i="1"/>
  <c r="J4820" i="1"/>
  <c r="W4819" i="1"/>
  <c r="W4818" i="1"/>
  <c r="W4817" i="1"/>
  <c r="R4817" i="1"/>
  <c r="L4817" i="1"/>
  <c r="T4816" i="1"/>
  <c r="R4816" i="1"/>
  <c r="P4816" i="1"/>
  <c r="K4816" i="1"/>
  <c r="T4815" i="1"/>
  <c r="R4815" i="1"/>
  <c r="P4815" i="1"/>
  <c r="K4815" i="1"/>
  <c r="W4815" i="1" s="1"/>
  <c r="T4814" i="1"/>
  <c r="R4814" i="1"/>
  <c r="P4814" i="1"/>
  <c r="K4814" i="1"/>
  <c r="W4812" i="1"/>
  <c r="T4812" i="1"/>
  <c r="R4812" i="1"/>
  <c r="P4812" i="1"/>
  <c r="L4812" i="1"/>
  <c r="W4810" i="1"/>
  <c r="T4810" i="1"/>
  <c r="R4810" i="1"/>
  <c r="P4810" i="1"/>
  <c r="L4810" i="1"/>
  <c r="T4809" i="1"/>
  <c r="R4809" i="1"/>
  <c r="P4809" i="1"/>
  <c r="K4809" i="1"/>
  <c r="W4809" i="1" s="1"/>
  <c r="W4807" i="1"/>
  <c r="T4807" i="1"/>
  <c r="R4807" i="1"/>
  <c r="P4807" i="1"/>
  <c r="L4807" i="1"/>
  <c r="W4805" i="1"/>
  <c r="T4805" i="1"/>
  <c r="R4805" i="1"/>
  <c r="P4805" i="1"/>
  <c r="L4805" i="1"/>
  <c r="W4803" i="1"/>
  <c r="T4803" i="1"/>
  <c r="R4803" i="1"/>
  <c r="P4803" i="1"/>
  <c r="L4803" i="1"/>
  <c r="W4800" i="1"/>
  <c r="T4800" i="1"/>
  <c r="W4799" i="1"/>
  <c r="T4799" i="1"/>
  <c r="W4798" i="1"/>
  <c r="T4798" i="1"/>
  <c r="W4797" i="1"/>
  <c r="T4797" i="1"/>
  <c r="W4796" i="1"/>
  <c r="T4796" i="1"/>
  <c r="W4795" i="1"/>
  <c r="T4795" i="1"/>
  <c r="W4793" i="1"/>
  <c r="W4792" i="1"/>
  <c r="R4792" i="1"/>
  <c r="L4792" i="1"/>
  <c r="W4791" i="1"/>
  <c r="P4791" i="1"/>
  <c r="J4791" i="1"/>
  <c r="W4790" i="1"/>
  <c r="W4789" i="1"/>
  <c r="W4788" i="1"/>
  <c r="T4788" i="1"/>
  <c r="R4788" i="1"/>
  <c r="L4788" i="1"/>
  <c r="W4787" i="1"/>
  <c r="T4787" i="1"/>
  <c r="R4787" i="1"/>
  <c r="P4787" i="1"/>
  <c r="L4787" i="1"/>
  <c r="W4786" i="1"/>
  <c r="T4786" i="1"/>
  <c r="R4786" i="1"/>
  <c r="P4786" i="1"/>
  <c r="L4786" i="1"/>
  <c r="W4784" i="1"/>
  <c r="W4783" i="1"/>
  <c r="T4783" i="1"/>
  <c r="R4783" i="1"/>
  <c r="L4783" i="1"/>
  <c r="W4782" i="1"/>
  <c r="T4782" i="1"/>
  <c r="R4782" i="1"/>
  <c r="P4782" i="1"/>
  <c r="L4782" i="1"/>
  <c r="W4781" i="1"/>
  <c r="W4780" i="1"/>
  <c r="S4779" i="1"/>
  <c r="W4779" i="1" s="1"/>
  <c r="R4779" i="1"/>
  <c r="L4779" i="1"/>
  <c r="S4778" i="1"/>
  <c r="T4778" i="1" s="1"/>
  <c r="R4778" i="1"/>
  <c r="L4778" i="1"/>
  <c r="W4776" i="1"/>
  <c r="W4775" i="1"/>
  <c r="R4775" i="1"/>
  <c r="L4775" i="1"/>
  <c r="W4774" i="1"/>
  <c r="P4774" i="1"/>
  <c r="J4774" i="1"/>
  <c r="W4773" i="1"/>
  <c r="P4773" i="1"/>
  <c r="J4773" i="1"/>
  <c r="R4773" i="1" s="1"/>
  <c r="W4772" i="1"/>
  <c r="W4771" i="1"/>
  <c r="W4770" i="1"/>
  <c r="L4770" i="1"/>
  <c r="W4769" i="1"/>
  <c r="P4769" i="1"/>
  <c r="J4769" i="1"/>
  <c r="T4769" i="1" s="1"/>
  <c r="W4768" i="1"/>
  <c r="P4768" i="1"/>
  <c r="J4768" i="1"/>
  <c r="T4768" i="1" s="1"/>
  <c r="W4767" i="1"/>
  <c r="P4767" i="1"/>
  <c r="J4767" i="1"/>
  <c r="W4766" i="1"/>
  <c r="P4766" i="1"/>
  <c r="J4766" i="1"/>
  <c r="W4765" i="1"/>
  <c r="W4764" i="1"/>
  <c r="W4763" i="1"/>
  <c r="T4763" i="1"/>
  <c r="R4763" i="1"/>
  <c r="L4763" i="1"/>
  <c r="W4762" i="1"/>
  <c r="P4762" i="1"/>
  <c r="J4762" i="1"/>
  <c r="W4760" i="1"/>
  <c r="W4759" i="1"/>
  <c r="T4759" i="1"/>
  <c r="R4759" i="1"/>
  <c r="L4759" i="1"/>
  <c r="W4758" i="1"/>
  <c r="P4758" i="1"/>
  <c r="J4758" i="1"/>
  <c r="L4758" i="1" s="1"/>
  <c r="W4757" i="1"/>
  <c r="W4756" i="1"/>
  <c r="W4755" i="1"/>
  <c r="T4755" i="1"/>
  <c r="R4755" i="1"/>
  <c r="L4755" i="1"/>
  <c r="W4754" i="1"/>
  <c r="P4754" i="1"/>
  <c r="J4754" i="1"/>
  <c r="R4754" i="1" s="1"/>
  <c r="W4753" i="1"/>
  <c r="W4752" i="1"/>
  <c r="W4751" i="1"/>
  <c r="T4751" i="1"/>
  <c r="R4751" i="1"/>
  <c r="L4751" i="1"/>
  <c r="W4750" i="1"/>
  <c r="T4750" i="1"/>
  <c r="R4750" i="1"/>
  <c r="P4750" i="1"/>
  <c r="L4750" i="1"/>
  <c r="W4748" i="1"/>
  <c r="T4747" i="1"/>
  <c r="R4747" i="1"/>
  <c r="P4747" i="1"/>
  <c r="K4747" i="1"/>
  <c r="W4745" i="1"/>
  <c r="P4745" i="1"/>
  <c r="J4745" i="1"/>
  <c r="T4745" i="1" s="1"/>
  <c r="W4743" i="1"/>
  <c r="T4743" i="1"/>
  <c r="R4743" i="1"/>
  <c r="P4743" i="1"/>
  <c r="L4743" i="1"/>
  <c r="W4741" i="1"/>
  <c r="T4741" i="1"/>
  <c r="R4741" i="1"/>
  <c r="P4741" i="1"/>
  <c r="L4741" i="1"/>
  <c r="T4739" i="1"/>
  <c r="R4739" i="1"/>
  <c r="P4739" i="1"/>
  <c r="K4739" i="1"/>
  <c r="W4739" i="1" s="1"/>
  <c r="T4737" i="1"/>
  <c r="R4737" i="1"/>
  <c r="P4737" i="1"/>
  <c r="K4737" i="1"/>
  <c r="L4737" i="1" s="1"/>
  <c r="T4736" i="1"/>
  <c r="R4736" i="1"/>
  <c r="P4736" i="1"/>
  <c r="K4736" i="1"/>
  <c r="W4736" i="1" s="1"/>
  <c r="W4734" i="1"/>
  <c r="W4733" i="1"/>
  <c r="T4733" i="1"/>
  <c r="R4733" i="1"/>
  <c r="L4733" i="1"/>
  <c r="W4732" i="1"/>
  <c r="T4732" i="1"/>
  <c r="R4732" i="1"/>
  <c r="P4732" i="1"/>
  <c r="L4732" i="1"/>
  <c r="T4731" i="1"/>
  <c r="R4731" i="1"/>
  <c r="P4731" i="1"/>
  <c r="K4731" i="1"/>
  <c r="T4730" i="1"/>
  <c r="R4730" i="1"/>
  <c r="P4730" i="1"/>
  <c r="K4730" i="1"/>
  <c r="W4728" i="1"/>
  <c r="W4727" i="1"/>
  <c r="T4727" i="1"/>
  <c r="R4727" i="1"/>
  <c r="L4727" i="1"/>
  <c r="S4725" i="1"/>
  <c r="W4725" i="1" s="1"/>
  <c r="W4724" i="1"/>
  <c r="T4724" i="1"/>
  <c r="R4724" i="1"/>
  <c r="L4724" i="1"/>
  <c r="W4723" i="1"/>
  <c r="P4723" i="1"/>
  <c r="J4723" i="1"/>
  <c r="L4723" i="1" s="1"/>
  <c r="W4722" i="1"/>
  <c r="W4721" i="1"/>
  <c r="S4720" i="1"/>
  <c r="R4720" i="1"/>
  <c r="L4720" i="1"/>
  <c r="W4719" i="1"/>
  <c r="T4719" i="1"/>
  <c r="R4719" i="1"/>
  <c r="P4719" i="1"/>
  <c r="L4719" i="1"/>
  <c r="W4717" i="1"/>
  <c r="T4717" i="1"/>
  <c r="R4717" i="1"/>
  <c r="P4717" i="1"/>
  <c r="L4717" i="1"/>
  <c r="W4715" i="1"/>
  <c r="T4715" i="1"/>
  <c r="R4715" i="1"/>
  <c r="P4715" i="1"/>
  <c r="L4715" i="1"/>
  <c r="W4714" i="1"/>
  <c r="T4714" i="1"/>
  <c r="R4714" i="1"/>
  <c r="P4714" i="1"/>
  <c r="L4714" i="1"/>
  <c r="W4712" i="1"/>
  <c r="T4712" i="1"/>
  <c r="R4712" i="1"/>
  <c r="P4712" i="1"/>
  <c r="L4712" i="1"/>
  <c r="W4711" i="1"/>
  <c r="T4711" i="1"/>
  <c r="R4711" i="1"/>
  <c r="P4711" i="1"/>
  <c r="L4711" i="1"/>
  <c r="W4709" i="1"/>
  <c r="T4709" i="1"/>
  <c r="R4709" i="1"/>
  <c r="P4709" i="1"/>
  <c r="L4709" i="1"/>
  <c r="W4707" i="1"/>
  <c r="T4707" i="1"/>
  <c r="R4707" i="1"/>
  <c r="P4707" i="1"/>
  <c r="L4707" i="1"/>
  <c r="W4705" i="1"/>
  <c r="T4705" i="1"/>
  <c r="R4705" i="1"/>
  <c r="P4705" i="1"/>
  <c r="L4705" i="1"/>
  <c r="W4703" i="1"/>
  <c r="T4703" i="1"/>
  <c r="R4703" i="1"/>
  <c r="P4703" i="1"/>
  <c r="L4703" i="1"/>
  <c r="W4701" i="1"/>
  <c r="T4701" i="1"/>
  <c r="R4701" i="1"/>
  <c r="P4701" i="1"/>
  <c r="L4701" i="1"/>
  <c r="W4699" i="1"/>
  <c r="T4699" i="1"/>
  <c r="R4699" i="1"/>
  <c r="P4699" i="1"/>
  <c r="L4699" i="1"/>
  <c r="W4697" i="1"/>
  <c r="T4697" i="1"/>
  <c r="R4697" i="1"/>
  <c r="P4697" i="1"/>
  <c r="L4697" i="1"/>
  <c r="W4695" i="1"/>
  <c r="P4695" i="1"/>
  <c r="J4695" i="1"/>
  <c r="T4695" i="1" s="1"/>
  <c r="W4694" i="1"/>
  <c r="P4694" i="1"/>
  <c r="J4694" i="1"/>
  <c r="L4694" i="1" s="1"/>
  <c r="W4692" i="1"/>
  <c r="W4691" i="1"/>
  <c r="T4691" i="1"/>
  <c r="R4691" i="1"/>
  <c r="L4691" i="1"/>
  <c r="W4690" i="1"/>
  <c r="P4690" i="1"/>
  <c r="J4690" i="1"/>
  <c r="T4690" i="1" s="1"/>
  <c r="W4688" i="1"/>
  <c r="T4687" i="1"/>
  <c r="Q4687" i="1"/>
  <c r="R4687" i="1" s="1"/>
  <c r="K4687" i="1"/>
  <c r="W4686" i="1"/>
  <c r="P4686" i="1"/>
  <c r="J4686" i="1"/>
  <c r="R4686" i="1" s="1"/>
  <c r="W4684" i="1"/>
  <c r="P4684" i="1"/>
  <c r="J4684" i="1"/>
  <c r="W4683" i="1"/>
  <c r="P4683" i="1"/>
  <c r="J4683" i="1"/>
  <c r="T4683" i="1" s="1"/>
  <c r="W4681" i="1"/>
  <c r="W4680" i="1"/>
  <c r="P4680" i="1"/>
  <c r="J4680" i="1"/>
  <c r="W4679" i="1"/>
  <c r="P4679" i="1"/>
  <c r="J4679" i="1"/>
  <c r="W4677" i="1"/>
  <c r="R4677" i="1"/>
  <c r="L4677" i="1"/>
  <c r="W4676" i="1"/>
  <c r="P4676" i="1"/>
  <c r="J4676" i="1"/>
  <c r="W4675" i="1"/>
  <c r="P4675" i="1"/>
  <c r="J4675" i="1"/>
  <c r="W4674" i="1"/>
  <c r="P4674" i="1"/>
  <c r="J4674" i="1"/>
  <c r="R4674" i="1" s="1"/>
  <c r="W4673" i="1"/>
  <c r="P4673" i="1"/>
  <c r="J4673" i="1"/>
  <c r="L4673" i="1" s="1"/>
  <c r="W4672" i="1"/>
  <c r="W4671" i="1"/>
  <c r="W4670" i="1"/>
  <c r="R4670" i="1"/>
  <c r="L4670" i="1"/>
  <c r="W4669" i="1"/>
  <c r="P4669" i="1"/>
  <c r="J4669" i="1"/>
  <c r="W4668" i="1"/>
  <c r="W4667" i="1"/>
  <c r="W4666" i="1"/>
  <c r="T4666" i="1"/>
  <c r="R4666" i="1"/>
  <c r="L4666" i="1"/>
  <c r="W4665" i="1"/>
  <c r="P4665" i="1"/>
  <c r="J4665" i="1"/>
  <c r="W4664" i="1"/>
  <c r="P4664" i="1"/>
  <c r="J4664" i="1"/>
  <c r="R4664" i="1" s="1"/>
  <c r="W4662" i="1"/>
  <c r="W4661" i="1"/>
  <c r="L4661" i="1"/>
  <c r="W4660" i="1"/>
  <c r="P4660" i="1"/>
  <c r="J4660" i="1"/>
  <c r="W4659" i="1"/>
  <c r="W4658" i="1"/>
  <c r="W4657" i="1"/>
  <c r="T4657" i="1"/>
  <c r="R4657" i="1"/>
  <c r="P4657" i="1"/>
  <c r="L4657" i="1"/>
  <c r="S4655" i="1"/>
  <c r="W4655" i="1" s="1"/>
  <c r="W4654" i="1"/>
  <c r="T4654" i="1"/>
  <c r="R4654" i="1"/>
  <c r="L4654" i="1"/>
  <c r="W4653" i="1"/>
  <c r="T4653" i="1"/>
  <c r="R4653" i="1"/>
  <c r="L4653" i="1"/>
  <c r="W4652" i="1"/>
  <c r="T4652" i="1"/>
  <c r="R4652" i="1"/>
  <c r="P4652" i="1"/>
  <c r="L4652" i="1"/>
  <c r="W4651" i="1"/>
  <c r="R4651" i="1"/>
  <c r="L4651" i="1"/>
  <c r="W4650" i="1"/>
  <c r="P4650" i="1"/>
  <c r="J4650" i="1"/>
  <c r="R4650" i="1" s="1"/>
  <c r="W4649" i="1"/>
  <c r="P4649" i="1"/>
  <c r="J4649" i="1"/>
  <c r="R4649" i="1" s="1"/>
  <c r="W4648" i="1"/>
  <c r="P4648" i="1"/>
  <c r="J4648" i="1"/>
  <c r="W4647" i="1"/>
  <c r="P4647" i="1"/>
  <c r="J4647" i="1"/>
  <c r="W4646" i="1"/>
  <c r="P4646" i="1"/>
  <c r="J4646" i="1"/>
  <c r="L4646" i="1" s="1"/>
  <c r="W4645" i="1"/>
  <c r="P4645" i="1"/>
  <c r="J4645" i="1"/>
  <c r="W4644" i="1"/>
  <c r="W4643" i="1"/>
  <c r="W4642" i="1"/>
  <c r="L4642" i="1"/>
  <c r="W4641" i="1"/>
  <c r="P4641" i="1"/>
  <c r="J4641" i="1"/>
  <c r="T4641" i="1" s="1"/>
  <c r="W4640" i="1"/>
  <c r="W4639" i="1"/>
  <c r="W4638" i="1"/>
  <c r="T4638" i="1"/>
  <c r="R4638" i="1"/>
  <c r="L4638" i="1"/>
  <c r="W4637" i="1"/>
  <c r="T4637" i="1"/>
  <c r="R4637" i="1"/>
  <c r="P4637" i="1"/>
  <c r="L4637" i="1"/>
  <c r="W4636" i="1"/>
  <c r="T4636" i="1"/>
  <c r="R4636" i="1"/>
  <c r="P4636" i="1"/>
  <c r="L4636" i="1"/>
  <c r="W4635" i="1"/>
  <c r="T4635" i="1"/>
  <c r="R4635" i="1"/>
  <c r="P4635" i="1"/>
  <c r="L4635" i="1"/>
  <c r="W4634" i="1"/>
  <c r="T4634" i="1"/>
  <c r="R4634" i="1"/>
  <c r="P4634" i="1"/>
  <c r="L4634" i="1"/>
  <c r="W4633" i="1"/>
  <c r="T4633" i="1"/>
  <c r="R4633" i="1"/>
  <c r="P4633" i="1"/>
  <c r="L4633" i="1"/>
  <c r="W4632" i="1"/>
  <c r="T4632" i="1"/>
  <c r="R4632" i="1"/>
  <c r="P4632" i="1"/>
  <c r="L4632" i="1"/>
  <c r="W4631" i="1"/>
  <c r="T4631" i="1"/>
  <c r="R4631" i="1"/>
  <c r="P4631" i="1"/>
  <c r="L4631" i="1"/>
  <c r="W4630" i="1"/>
  <c r="T4630" i="1"/>
  <c r="R4630" i="1"/>
  <c r="P4630" i="1"/>
  <c r="L4630" i="1"/>
  <c r="W4629" i="1"/>
  <c r="T4629" i="1"/>
  <c r="R4629" i="1"/>
  <c r="P4629" i="1"/>
  <c r="L4629" i="1"/>
  <c r="W4628" i="1"/>
  <c r="T4628" i="1"/>
  <c r="R4628" i="1"/>
  <c r="P4628" i="1"/>
  <c r="L4628" i="1"/>
  <c r="W4627" i="1"/>
  <c r="T4627" i="1"/>
  <c r="R4627" i="1"/>
  <c r="P4627" i="1"/>
  <c r="L4627" i="1"/>
  <c r="W4625" i="1"/>
  <c r="W4624" i="1"/>
  <c r="T4624" i="1"/>
  <c r="R4624" i="1"/>
  <c r="L4624" i="1"/>
  <c r="W4623" i="1"/>
  <c r="P4623" i="1"/>
  <c r="J4623" i="1"/>
  <c r="W4622" i="1"/>
  <c r="P4622" i="1"/>
  <c r="J4622" i="1"/>
  <c r="R4622" i="1" s="1"/>
  <c r="W4621" i="1"/>
  <c r="W4620" i="1"/>
  <c r="W4619" i="1"/>
  <c r="R4619" i="1"/>
  <c r="L4619" i="1"/>
  <c r="W4618" i="1"/>
  <c r="P4618" i="1"/>
  <c r="J4618" i="1"/>
  <c r="W4617" i="1"/>
  <c r="W4616" i="1"/>
  <c r="W4615" i="1"/>
  <c r="P4615" i="1"/>
  <c r="J4615" i="1"/>
  <c r="W4614" i="1"/>
  <c r="P4614" i="1"/>
  <c r="J4614" i="1"/>
  <c r="W4613" i="1"/>
  <c r="P4613" i="1"/>
  <c r="J4613" i="1"/>
  <c r="W4612" i="1"/>
  <c r="W4611" i="1"/>
  <c r="W4610" i="1"/>
  <c r="T4610" i="1"/>
  <c r="R4610" i="1"/>
  <c r="L4610" i="1"/>
  <c r="W4609" i="1"/>
  <c r="T4609" i="1"/>
  <c r="R4609" i="1"/>
  <c r="P4609" i="1"/>
  <c r="L4609" i="1"/>
  <c r="W4607" i="1"/>
  <c r="S4606" i="1"/>
  <c r="T4606" i="1" s="1"/>
  <c r="R4606" i="1"/>
  <c r="L4606" i="1"/>
  <c r="S4605" i="1"/>
  <c r="P4605" i="1" s="1"/>
  <c r="R4605" i="1"/>
  <c r="L4605" i="1"/>
  <c r="W4604" i="1"/>
  <c r="R4604" i="1"/>
  <c r="L4604" i="1"/>
  <c r="S4603" i="1"/>
  <c r="R4603" i="1"/>
  <c r="L4603" i="1"/>
  <c r="W4601" i="1"/>
  <c r="W4600" i="1"/>
  <c r="T4600" i="1"/>
  <c r="R4600" i="1"/>
  <c r="L4600" i="1"/>
  <c r="W4599" i="1"/>
  <c r="P4599" i="1"/>
  <c r="J4599" i="1"/>
  <c r="R4599" i="1" s="1"/>
  <c r="W4598" i="1"/>
  <c r="P4598" i="1"/>
  <c r="J4598" i="1"/>
  <c r="W4597" i="1"/>
  <c r="P4597" i="1"/>
  <c r="J4597" i="1"/>
  <c r="W4595" i="1"/>
  <c r="W4594" i="1"/>
  <c r="T4594" i="1"/>
  <c r="R4594" i="1"/>
  <c r="L4594" i="1"/>
  <c r="W4593" i="1"/>
  <c r="P4593" i="1"/>
  <c r="J4593" i="1"/>
  <c r="W4592" i="1"/>
  <c r="P4592" i="1"/>
  <c r="J4592" i="1"/>
  <c r="L4592" i="1" s="1"/>
  <c r="W4591" i="1"/>
  <c r="W4590" i="1"/>
  <c r="W4589" i="1"/>
  <c r="T4589" i="1"/>
  <c r="R4589" i="1"/>
  <c r="L4589" i="1"/>
  <c r="W4588" i="1"/>
  <c r="P4588" i="1"/>
  <c r="J4588" i="1"/>
  <c r="W4587" i="1"/>
  <c r="W4586" i="1"/>
  <c r="W4585" i="1"/>
  <c r="R4585" i="1"/>
  <c r="L4585" i="1"/>
  <c r="W4584" i="1"/>
  <c r="T4584" i="1"/>
  <c r="R4584" i="1"/>
  <c r="P4584" i="1"/>
  <c r="L4584" i="1"/>
  <c r="W4583" i="1"/>
  <c r="T4583" i="1"/>
  <c r="R4583" i="1"/>
  <c r="P4583" i="1"/>
  <c r="L4583" i="1"/>
  <c r="W4581" i="1"/>
  <c r="W4580" i="1"/>
  <c r="T4580" i="1"/>
  <c r="L4580" i="1"/>
  <c r="W4579" i="1"/>
  <c r="P4579" i="1"/>
  <c r="J4579" i="1"/>
  <c r="L4579" i="1" s="1"/>
  <c r="W4578" i="1"/>
  <c r="W4577" i="1"/>
  <c r="W4576" i="1"/>
  <c r="T4576" i="1"/>
  <c r="R4576" i="1"/>
  <c r="L4576" i="1"/>
  <c r="W4575" i="1"/>
  <c r="P4575" i="1"/>
  <c r="J4575" i="1"/>
  <c r="W4574" i="1"/>
  <c r="W4573" i="1"/>
  <c r="W4572" i="1"/>
  <c r="T4572" i="1"/>
  <c r="R4572" i="1"/>
  <c r="L4572" i="1"/>
  <c r="W4571" i="1"/>
  <c r="P4571" i="1"/>
  <c r="J4571" i="1"/>
  <c r="W4570" i="1"/>
  <c r="P4570" i="1"/>
  <c r="J4570" i="1"/>
  <c r="L4570" i="1" s="1"/>
  <c r="W4569" i="1"/>
  <c r="W4568" i="1"/>
  <c r="W4567" i="1"/>
  <c r="T4567" i="1"/>
  <c r="R4567" i="1"/>
  <c r="P4567" i="1"/>
  <c r="L4567" i="1"/>
  <c r="W4565" i="1"/>
  <c r="W4564" i="1"/>
  <c r="T4564" i="1"/>
  <c r="R4564" i="1"/>
  <c r="L4564" i="1"/>
  <c r="W4563" i="1"/>
  <c r="P4563" i="1"/>
  <c r="J4563" i="1"/>
  <c r="W4562" i="1"/>
  <c r="W4561" i="1"/>
  <c r="W4560" i="1"/>
  <c r="P4560" i="1"/>
  <c r="J4560" i="1"/>
  <c r="W4559" i="1"/>
  <c r="P4559" i="1"/>
  <c r="J4559" i="1"/>
  <c r="L4559" i="1" s="1"/>
  <c r="W4558" i="1"/>
  <c r="W4556" i="1"/>
  <c r="T4556" i="1"/>
  <c r="L4556" i="1"/>
  <c r="W4555" i="1"/>
  <c r="P4555" i="1"/>
  <c r="J4555" i="1"/>
  <c r="W4554" i="1"/>
  <c r="P4554" i="1"/>
  <c r="J4554" i="1"/>
  <c r="W4553" i="1"/>
  <c r="P4553" i="1"/>
  <c r="J4553" i="1"/>
  <c r="W4552" i="1"/>
  <c r="P4552" i="1"/>
  <c r="J4552" i="1"/>
  <c r="T4552" i="1" s="1"/>
  <c r="W4550" i="1"/>
  <c r="W4549" i="1"/>
  <c r="R4549" i="1"/>
  <c r="L4549" i="1"/>
  <c r="W4548" i="1"/>
  <c r="P4548" i="1"/>
  <c r="J4548" i="1"/>
  <c r="W4547" i="1"/>
  <c r="W4546" i="1"/>
  <c r="W4545" i="1"/>
  <c r="T4545" i="1"/>
  <c r="R4545" i="1"/>
  <c r="L4545" i="1"/>
  <c r="W4543" i="1"/>
  <c r="S4542" i="1"/>
  <c r="P4542" i="1" s="1"/>
  <c r="R4542" i="1"/>
  <c r="L4542" i="1"/>
  <c r="W4540" i="1"/>
  <c r="S4539" i="1"/>
  <c r="R4539" i="1"/>
  <c r="L4539" i="1"/>
  <c r="S4538" i="1"/>
  <c r="R4538" i="1"/>
  <c r="L4538" i="1"/>
  <c r="W4536" i="1"/>
  <c r="W4535" i="1"/>
  <c r="T4535" i="1"/>
  <c r="R4535" i="1"/>
  <c r="L4535" i="1"/>
  <c r="W4534" i="1"/>
  <c r="T4534" i="1"/>
  <c r="R4534" i="1"/>
  <c r="P4534" i="1"/>
  <c r="L4534" i="1"/>
  <c r="T4532" i="1"/>
  <c r="S4532" i="1"/>
  <c r="W4532" i="1" s="1"/>
  <c r="W4531" i="1"/>
  <c r="T4531" i="1"/>
  <c r="R4531" i="1"/>
  <c r="L4531" i="1"/>
  <c r="W4530" i="1"/>
  <c r="T4530" i="1"/>
  <c r="R4530" i="1"/>
  <c r="L4530" i="1"/>
  <c r="W4529" i="1"/>
  <c r="T4529" i="1"/>
  <c r="R4529" i="1"/>
  <c r="P4529" i="1"/>
  <c r="L4529" i="1"/>
  <c r="W4528" i="1"/>
  <c r="W4527" i="1"/>
  <c r="T4527" i="1"/>
  <c r="R4527" i="1"/>
  <c r="P4527" i="1"/>
  <c r="L4527" i="1"/>
  <c r="W4526" i="1"/>
  <c r="T4526" i="1"/>
  <c r="R4526" i="1"/>
  <c r="P4526" i="1"/>
  <c r="L4526" i="1"/>
  <c r="W4525" i="1"/>
  <c r="W4524" i="1"/>
  <c r="W4523" i="1"/>
  <c r="T4523" i="1"/>
  <c r="L4523" i="1"/>
  <c r="S4522" i="1"/>
  <c r="J4522" i="1"/>
  <c r="S4521" i="1"/>
  <c r="J4521" i="1"/>
  <c r="R4521" i="1" s="1"/>
  <c r="S4520" i="1"/>
  <c r="W4520" i="1" s="1"/>
  <c r="J4520" i="1"/>
  <c r="L4520" i="1" s="1"/>
  <c r="S4519" i="1"/>
  <c r="J4519" i="1"/>
  <c r="W4518" i="1"/>
  <c r="W4517" i="1"/>
  <c r="S4516" i="1"/>
  <c r="P4516" i="1" s="1"/>
  <c r="R4516" i="1"/>
  <c r="L4516" i="1"/>
  <c r="W4514" i="1"/>
  <c r="W4513" i="1"/>
  <c r="L4513" i="1"/>
  <c r="W4512" i="1"/>
  <c r="P4512" i="1"/>
  <c r="J4512" i="1"/>
  <c r="T4512" i="1" s="1"/>
  <c r="W4511" i="1"/>
  <c r="W4510" i="1"/>
  <c r="W4509" i="1"/>
  <c r="R4509" i="1"/>
  <c r="L4509" i="1"/>
  <c r="W4508" i="1"/>
  <c r="P4508" i="1"/>
  <c r="J4508" i="1"/>
  <c r="W4507" i="1"/>
  <c r="W4506" i="1"/>
  <c r="W4505" i="1"/>
  <c r="R4505" i="1"/>
  <c r="L4505" i="1"/>
  <c r="S4504" i="1"/>
  <c r="P4504" i="1" s="1"/>
  <c r="R4504" i="1"/>
  <c r="L4504" i="1"/>
  <c r="S4503" i="1"/>
  <c r="R4503" i="1"/>
  <c r="L4503" i="1"/>
  <c r="S4502" i="1"/>
  <c r="P4502" i="1" s="1"/>
  <c r="R4502" i="1"/>
  <c r="L4502" i="1"/>
  <c r="W4500" i="1"/>
  <c r="W4499" i="1"/>
  <c r="T4499" i="1"/>
  <c r="L4499" i="1"/>
  <c r="S4498" i="1"/>
  <c r="R4498" i="1"/>
  <c r="L4498" i="1"/>
  <c r="S4496" i="1"/>
  <c r="R4496" i="1"/>
  <c r="L4496" i="1"/>
  <c r="W4494" i="1"/>
  <c r="S4493" i="1"/>
  <c r="J4493" i="1"/>
  <c r="R4493" i="1" s="1"/>
  <c r="S4492" i="1"/>
  <c r="P4492" i="1" s="1"/>
  <c r="J4492" i="1"/>
  <c r="R4492" i="1" s="1"/>
  <c r="S4491" i="1"/>
  <c r="W4491" i="1" s="1"/>
  <c r="J4491" i="1"/>
  <c r="L4491" i="1" s="1"/>
  <c r="S4490" i="1"/>
  <c r="W4490" i="1" s="1"/>
  <c r="J4490" i="1"/>
  <c r="S4489" i="1"/>
  <c r="J4489" i="1"/>
  <c r="R4489" i="1" s="1"/>
  <c r="S4488" i="1"/>
  <c r="J4488" i="1"/>
  <c r="S4487" i="1"/>
  <c r="J4487" i="1"/>
  <c r="S4486" i="1"/>
  <c r="J4486" i="1"/>
  <c r="S4485" i="1"/>
  <c r="W4485" i="1" s="1"/>
  <c r="J4485" i="1"/>
  <c r="S4484" i="1"/>
  <c r="J4484" i="1"/>
  <c r="R4484" i="1" s="1"/>
  <c r="S4483" i="1"/>
  <c r="J4483" i="1"/>
  <c r="S4482" i="1"/>
  <c r="P4482" i="1" s="1"/>
  <c r="J4482" i="1"/>
  <c r="L4482" i="1" s="1"/>
  <c r="S4481" i="1"/>
  <c r="J4481" i="1"/>
  <c r="R4481" i="1" s="1"/>
  <c r="S4480" i="1"/>
  <c r="J4480" i="1"/>
  <c r="R4480" i="1" s="1"/>
  <c r="S4479" i="1"/>
  <c r="W4479" i="1" s="1"/>
  <c r="J4479" i="1"/>
  <c r="S4478" i="1"/>
  <c r="P4478" i="1" s="1"/>
  <c r="J4478" i="1"/>
  <c r="S4477" i="1"/>
  <c r="J4477" i="1"/>
  <c r="L4477" i="1" s="1"/>
  <c r="S4476" i="1"/>
  <c r="J4476" i="1"/>
  <c r="L4476" i="1" s="1"/>
  <c r="S4475" i="1"/>
  <c r="J4475" i="1"/>
  <c r="L4475" i="1" s="1"/>
  <c r="S4474" i="1"/>
  <c r="W4474" i="1" s="1"/>
  <c r="J4474" i="1"/>
  <c r="L4474" i="1" s="1"/>
  <c r="S4473" i="1"/>
  <c r="W4473" i="1" s="1"/>
  <c r="J4473" i="1"/>
  <c r="R4473" i="1" s="1"/>
  <c r="S4472" i="1"/>
  <c r="P4472" i="1" s="1"/>
  <c r="J4472" i="1"/>
  <c r="R4472" i="1" s="1"/>
  <c r="S4471" i="1"/>
  <c r="W4471" i="1" s="1"/>
  <c r="J4471" i="1"/>
  <c r="L4471" i="1" s="1"/>
  <c r="S4470" i="1"/>
  <c r="W4470" i="1" s="1"/>
  <c r="J4470" i="1"/>
  <c r="L4470" i="1" s="1"/>
  <c r="S4469" i="1"/>
  <c r="P4469" i="1" s="1"/>
  <c r="J4469" i="1"/>
  <c r="R4469" i="1" s="1"/>
  <c r="S4468" i="1"/>
  <c r="J4468" i="1"/>
  <c r="S4467" i="1"/>
  <c r="P4467" i="1" s="1"/>
  <c r="J4467" i="1"/>
  <c r="S4466" i="1"/>
  <c r="J4466" i="1"/>
  <c r="S4465" i="1"/>
  <c r="W4465" i="1" s="1"/>
  <c r="J4465" i="1"/>
  <c r="L4465" i="1" s="1"/>
  <c r="S4464" i="1"/>
  <c r="J4464" i="1"/>
  <c r="L4464" i="1" s="1"/>
  <c r="S4463" i="1"/>
  <c r="P4463" i="1" s="1"/>
  <c r="J4463" i="1"/>
  <c r="L4463" i="1" s="1"/>
  <c r="S4462" i="1"/>
  <c r="P4462" i="1" s="1"/>
  <c r="J4462" i="1"/>
  <c r="S4461" i="1"/>
  <c r="P4461" i="1" s="1"/>
  <c r="J4461" i="1"/>
  <c r="L4461" i="1" s="1"/>
  <c r="S4460" i="1"/>
  <c r="P4460" i="1" s="1"/>
  <c r="J4460" i="1"/>
  <c r="S4459" i="1"/>
  <c r="W4459" i="1" s="1"/>
  <c r="J4459" i="1"/>
  <c r="S4458" i="1"/>
  <c r="W4458" i="1" s="1"/>
  <c r="J4458" i="1"/>
  <c r="R4458" i="1" s="1"/>
  <c r="S4457" i="1"/>
  <c r="J4457" i="1"/>
  <c r="R4457" i="1" s="1"/>
  <c r="W4455" i="1"/>
  <c r="W4454" i="1"/>
  <c r="L4454" i="1"/>
  <c r="W4453" i="1"/>
  <c r="P4453" i="1"/>
  <c r="J4453" i="1"/>
  <c r="L4453" i="1" s="1"/>
  <c r="W4452" i="1"/>
  <c r="W4451" i="1"/>
  <c r="W4450" i="1"/>
  <c r="T4450" i="1"/>
  <c r="R4450" i="1"/>
  <c r="L4450" i="1"/>
  <c r="W4449" i="1"/>
  <c r="P4449" i="1"/>
  <c r="J4449" i="1"/>
  <c r="T4449" i="1" s="1"/>
  <c r="W4448" i="1"/>
  <c r="W4447" i="1"/>
  <c r="W4446" i="1"/>
  <c r="T4446" i="1"/>
  <c r="R4446" i="1"/>
  <c r="L4446" i="1"/>
  <c r="W4445" i="1"/>
  <c r="P4445" i="1"/>
  <c r="J4445" i="1"/>
  <c r="T4445" i="1" s="1"/>
  <c r="W4444" i="1"/>
  <c r="P4444" i="1"/>
  <c r="J4444" i="1"/>
  <c r="W4443" i="1"/>
  <c r="W4442" i="1"/>
  <c r="T4442" i="1"/>
  <c r="R4442" i="1"/>
  <c r="L4442" i="1"/>
  <c r="W4441" i="1"/>
  <c r="P4441" i="1"/>
  <c r="J4441" i="1"/>
  <c r="T4441" i="1" s="1"/>
  <c r="W4440" i="1"/>
  <c r="P4440" i="1"/>
  <c r="J4440" i="1"/>
  <c r="W4439" i="1"/>
  <c r="P4439" i="1"/>
  <c r="J4439" i="1"/>
  <c r="W4438" i="1"/>
  <c r="W4437" i="1"/>
  <c r="W4436" i="1"/>
  <c r="R4436" i="1"/>
  <c r="L4436" i="1"/>
  <c r="W4435" i="1"/>
  <c r="T4435" i="1"/>
  <c r="L4435" i="1"/>
  <c r="W4434" i="1"/>
  <c r="T4434" i="1"/>
  <c r="R4434" i="1"/>
  <c r="P4434" i="1"/>
  <c r="L4434" i="1"/>
  <c r="W4433" i="1"/>
  <c r="T4433" i="1"/>
  <c r="R4433" i="1"/>
  <c r="L4433" i="1"/>
  <c r="W4432" i="1"/>
  <c r="P4432" i="1"/>
  <c r="J4432" i="1"/>
  <c r="W4431" i="1"/>
  <c r="P4431" i="1"/>
  <c r="J4431" i="1"/>
  <c r="W4430" i="1"/>
  <c r="W4429" i="1"/>
  <c r="W4428" i="1"/>
  <c r="P4428" i="1"/>
  <c r="J4428" i="1"/>
  <c r="L4428" i="1" s="1"/>
  <c r="W4427" i="1"/>
  <c r="P4427" i="1"/>
  <c r="J4427" i="1"/>
  <c r="L4427" i="1" s="1"/>
  <c r="W4426" i="1"/>
  <c r="P4426" i="1"/>
  <c r="J4426" i="1"/>
  <c r="L4426" i="1" s="1"/>
  <c r="W4425" i="1"/>
  <c r="P4425" i="1"/>
  <c r="J4425" i="1"/>
  <c r="W4424" i="1"/>
  <c r="P4424" i="1"/>
  <c r="J4424" i="1"/>
  <c r="W4423" i="1"/>
  <c r="P4423" i="1"/>
  <c r="J4423" i="1"/>
  <c r="T4423" i="1" s="1"/>
  <c r="W4422" i="1"/>
  <c r="P4422" i="1"/>
  <c r="J4422" i="1"/>
  <c r="L4422" i="1" s="1"/>
  <c r="W4421" i="1"/>
  <c r="P4421" i="1"/>
  <c r="J4421" i="1"/>
  <c r="R4421" i="1" s="1"/>
  <c r="W4420" i="1"/>
  <c r="P4420" i="1"/>
  <c r="J4420" i="1"/>
  <c r="W4419" i="1"/>
  <c r="P4419" i="1"/>
  <c r="J4419" i="1"/>
  <c r="W4418" i="1"/>
  <c r="P4418" i="1"/>
  <c r="J4418" i="1"/>
  <c r="T4418" i="1" s="1"/>
  <c r="W4417" i="1"/>
  <c r="P4417" i="1"/>
  <c r="J4417" i="1"/>
  <c r="W4416" i="1"/>
  <c r="P4416" i="1"/>
  <c r="J4416" i="1"/>
  <c r="W4415" i="1"/>
  <c r="P4415" i="1"/>
  <c r="J4415" i="1"/>
  <c r="T4415" i="1" s="1"/>
  <c r="W4414" i="1"/>
  <c r="P4414" i="1"/>
  <c r="J4414" i="1"/>
  <c r="W4413" i="1"/>
  <c r="P4413" i="1"/>
  <c r="J4413" i="1"/>
  <c r="L4413" i="1" s="1"/>
  <c r="W4412" i="1"/>
  <c r="P4412" i="1"/>
  <c r="J4412" i="1"/>
  <c r="W4411" i="1"/>
  <c r="P4411" i="1"/>
  <c r="J4411" i="1"/>
  <c r="W4410" i="1"/>
  <c r="P4410" i="1"/>
  <c r="J4410" i="1"/>
  <c r="R4410" i="1" s="1"/>
  <c r="W4409" i="1"/>
  <c r="W4408" i="1"/>
  <c r="W4407" i="1"/>
  <c r="T4407" i="1"/>
  <c r="R4407" i="1"/>
  <c r="L4407" i="1"/>
  <c r="W4406" i="1"/>
  <c r="T4406" i="1"/>
  <c r="R4406" i="1"/>
  <c r="P4406" i="1"/>
  <c r="L4406" i="1"/>
  <c r="W4405" i="1"/>
  <c r="T4405" i="1"/>
  <c r="R4405" i="1"/>
  <c r="P4405" i="1"/>
  <c r="L4405" i="1"/>
  <c r="W4404" i="1"/>
  <c r="W4403" i="1"/>
  <c r="W4402" i="1"/>
  <c r="T4402" i="1"/>
  <c r="R4402" i="1"/>
  <c r="L4402" i="1"/>
  <c r="W4401" i="1"/>
  <c r="P4401" i="1"/>
  <c r="J4401" i="1"/>
  <c r="W4400" i="1"/>
  <c r="P4400" i="1"/>
  <c r="J4400" i="1"/>
  <c r="L4400" i="1" s="1"/>
  <c r="W4399" i="1"/>
  <c r="P4399" i="1"/>
  <c r="J4399" i="1"/>
  <c r="W4398" i="1"/>
  <c r="P4398" i="1"/>
  <c r="J4398" i="1"/>
  <c r="W4397" i="1"/>
  <c r="P4397" i="1"/>
  <c r="J4397" i="1"/>
  <c r="W4396" i="1"/>
  <c r="T4396" i="1"/>
  <c r="R4396" i="1"/>
  <c r="L4396" i="1"/>
  <c r="W4395" i="1"/>
  <c r="P4395" i="1"/>
  <c r="J4395" i="1"/>
  <c r="L4395" i="1" s="1"/>
  <c r="W4394" i="1"/>
  <c r="P4394" i="1"/>
  <c r="J4394" i="1"/>
  <c r="R4394" i="1" s="1"/>
  <c r="W4393" i="1"/>
  <c r="P4393" i="1"/>
  <c r="J4393" i="1"/>
  <c r="T4393" i="1" s="1"/>
  <c r="W4392" i="1"/>
  <c r="P4392" i="1"/>
  <c r="J4392" i="1"/>
  <c r="W4390" i="1"/>
  <c r="T4389" i="1"/>
  <c r="S4389" i="1"/>
  <c r="W4389" i="1" s="1"/>
  <c r="R4389" i="1"/>
  <c r="L4389" i="1"/>
  <c r="W4388" i="1"/>
  <c r="P4388" i="1"/>
  <c r="J4388" i="1"/>
  <c r="W4387" i="1"/>
  <c r="W4386" i="1"/>
  <c r="P4386" i="1"/>
  <c r="J4386" i="1"/>
  <c r="L4386" i="1" s="1"/>
  <c r="W4385" i="1"/>
  <c r="P4385" i="1"/>
  <c r="J4385" i="1"/>
  <c r="W4384" i="1"/>
  <c r="W4383" i="1"/>
  <c r="W4382" i="1"/>
  <c r="L4382" i="1"/>
  <c r="W4381" i="1"/>
  <c r="P4381" i="1"/>
  <c r="J4381" i="1"/>
  <c r="R4381" i="1" s="1"/>
  <c r="W4380" i="1"/>
  <c r="P4380" i="1"/>
  <c r="J4380" i="1"/>
  <c r="W4379" i="1"/>
  <c r="P4379" i="1"/>
  <c r="J4379" i="1"/>
  <c r="R4379" i="1" s="1"/>
  <c r="W4378" i="1"/>
  <c r="P4378" i="1"/>
  <c r="J4378" i="1"/>
  <c r="L4378" i="1" s="1"/>
  <c r="W4377" i="1"/>
  <c r="P4377" i="1"/>
  <c r="J4377" i="1"/>
  <c r="L4377" i="1" s="1"/>
  <c r="W4376" i="1"/>
  <c r="P4376" i="1"/>
  <c r="J4376" i="1"/>
  <c r="W4375" i="1"/>
  <c r="P4375" i="1"/>
  <c r="J4375" i="1"/>
  <c r="W4374" i="1"/>
  <c r="P4374" i="1"/>
  <c r="J4374" i="1"/>
  <c r="T4374" i="1" s="1"/>
  <c r="W4373" i="1"/>
  <c r="P4373" i="1"/>
  <c r="J4373" i="1"/>
  <c r="W4372" i="1"/>
  <c r="P4372" i="1"/>
  <c r="J4372" i="1"/>
  <c r="W4371" i="1"/>
  <c r="P4371" i="1"/>
  <c r="J4371" i="1"/>
  <c r="L4371" i="1" s="1"/>
  <c r="W4370" i="1"/>
  <c r="P4370" i="1"/>
  <c r="J4370" i="1"/>
  <c r="L4370" i="1" s="1"/>
  <c r="W4369" i="1"/>
  <c r="W4368" i="1"/>
  <c r="W4367" i="1"/>
  <c r="T4367" i="1"/>
  <c r="R4367" i="1"/>
  <c r="L4367" i="1"/>
  <c r="W4366" i="1"/>
  <c r="P4366" i="1"/>
  <c r="J4366" i="1"/>
  <c r="W4365" i="1"/>
  <c r="W4364" i="1"/>
  <c r="W4363" i="1"/>
  <c r="T4363" i="1"/>
  <c r="R4363" i="1"/>
  <c r="L4363" i="1"/>
  <c r="W4362" i="1"/>
  <c r="P4362" i="1"/>
  <c r="J4362" i="1"/>
  <c r="T4362" i="1" s="1"/>
  <c r="W4361" i="1"/>
  <c r="W4360" i="1"/>
  <c r="W4359" i="1"/>
  <c r="T4359" i="1"/>
  <c r="R4359" i="1"/>
  <c r="L4359" i="1"/>
  <c r="W4358" i="1"/>
  <c r="P4358" i="1"/>
  <c r="J4358" i="1"/>
  <c r="W4357" i="1"/>
  <c r="W4356" i="1"/>
  <c r="W4355" i="1"/>
  <c r="T4355" i="1"/>
  <c r="R4355" i="1"/>
  <c r="L4355" i="1"/>
  <c r="W4354" i="1"/>
  <c r="P4354" i="1"/>
  <c r="J4354" i="1"/>
  <c r="W4353" i="1"/>
  <c r="P4353" i="1"/>
  <c r="J4353" i="1"/>
  <c r="W4352" i="1"/>
  <c r="W4351" i="1"/>
  <c r="W4350" i="1"/>
  <c r="R4350" i="1"/>
  <c r="L4350" i="1"/>
  <c r="R4349" i="1"/>
  <c r="L4349" i="1"/>
  <c r="W4348" i="1"/>
  <c r="P4348" i="1"/>
  <c r="J4348" i="1"/>
  <c r="R4348" i="1" s="1"/>
  <c r="W4347" i="1"/>
  <c r="W4346" i="1"/>
  <c r="W4345" i="1"/>
  <c r="T4345" i="1"/>
  <c r="R4345" i="1"/>
  <c r="L4345" i="1"/>
  <c r="W4344" i="1"/>
  <c r="P4344" i="1"/>
  <c r="J4344" i="1"/>
  <c r="W4343" i="1"/>
  <c r="P4343" i="1"/>
  <c r="J4343" i="1"/>
  <c r="T4343" i="1" s="1"/>
  <c r="W4342" i="1"/>
  <c r="P4342" i="1"/>
  <c r="J4342" i="1"/>
  <c r="T4340" i="1"/>
  <c r="S4340" i="1"/>
  <c r="W4340" i="1" s="1"/>
  <c r="W4339" i="1"/>
  <c r="R4339" i="1"/>
  <c r="L4339" i="1"/>
  <c r="W4338" i="1"/>
  <c r="P4338" i="1"/>
  <c r="J4338" i="1"/>
  <c r="L4338" i="1" s="1"/>
  <c r="W4337" i="1"/>
  <c r="P4337" i="1"/>
  <c r="J4337" i="1"/>
  <c r="L4337" i="1" s="1"/>
  <c r="W4336" i="1"/>
  <c r="P4336" i="1"/>
  <c r="J4336" i="1"/>
  <c r="R4336" i="1" s="1"/>
  <c r="W4335" i="1"/>
  <c r="P4335" i="1"/>
  <c r="J4335" i="1"/>
  <c r="W4334" i="1"/>
  <c r="P4334" i="1"/>
  <c r="J4334" i="1"/>
  <c r="W4333" i="1"/>
  <c r="P4333" i="1"/>
  <c r="J4333" i="1"/>
  <c r="R4333" i="1" s="1"/>
  <c r="W4332" i="1"/>
  <c r="P4332" i="1"/>
  <c r="J4332" i="1"/>
  <c r="W4331" i="1"/>
  <c r="W4330" i="1"/>
  <c r="W4329" i="1"/>
  <c r="T4329" i="1"/>
  <c r="R4329" i="1"/>
  <c r="L4329" i="1"/>
  <c r="W4328" i="1"/>
  <c r="T4328" i="1"/>
  <c r="R4328" i="1"/>
  <c r="L4328" i="1"/>
  <c r="W4327" i="1"/>
  <c r="T4327" i="1"/>
  <c r="R4327" i="1"/>
  <c r="P4327" i="1"/>
  <c r="L4327" i="1"/>
  <c r="W4326" i="1"/>
  <c r="T4326" i="1"/>
  <c r="R4326" i="1"/>
  <c r="P4326" i="1"/>
  <c r="L4326" i="1"/>
  <c r="W4324" i="1"/>
  <c r="W4323" i="1"/>
  <c r="R4323" i="1"/>
  <c r="L4323" i="1"/>
  <c r="W4322" i="1"/>
  <c r="P4322" i="1"/>
  <c r="J4322" i="1"/>
  <c r="L4322" i="1" s="1"/>
  <c r="W4321" i="1"/>
  <c r="P4321" i="1"/>
  <c r="J4321" i="1"/>
  <c r="L4321" i="1" s="1"/>
  <c r="W4320" i="1"/>
  <c r="P4320" i="1"/>
  <c r="J4320" i="1"/>
  <c r="W4319" i="1"/>
  <c r="P4319" i="1"/>
  <c r="J4319" i="1"/>
  <c r="T4319" i="1" s="1"/>
  <c r="W4318" i="1"/>
  <c r="P4318" i="1"/>
  <c r="J4318" i="1"/>
  <c r="T4318" i="1" s="1"/>
  <c r="W4317" i="1"/>
  <c r="P4317" i="1"/>
  <c r="J4317" i="1"/>
  <c r="W4316" i="1"/>
  <c r="P4316" i="1"/>
  <c r="J4316" i="1"/>
  <c r="W4315" i="1"/>
  <c r="P4315" i="1"/>
  <c r="J4315" i="1"/>
  <c r="L4315" i="1" s="1"/>
  <c r="W4314" i="1"/>
  <c r="P4314" i="1"/>
  <c r="J4314" i="1"/>
  <c r="W4313" i="1"/>
  <c r="W4312" i="1"/>
  <c r="P4312" i="1"/>
  <c r="J4312" i="1"/>
  <c r="W4311" i="1"/>
  <c r="P4311" i="1"/>
  <c r="J4311" i="1"/>
  <c r="T4311" i="1" s="1"/>
  <c r="W4310" i="1"/>
  <c r="P4310" i="1"/>
  <c r="J4310" i="1"/>
  <c r="W4309" i="1"/>
  <c r="P4309" i="1"/>
  <c r="J4309" i="1"/>
  <c r="L4309" i="1" s="1"/>
  <c r="W4308" i="1"/>
  <c r="P4308" i="1"/>
  <c r="J4308" i="1"/>
  <c r="T4308" i="1" s="1"/>
  <c r="W4307" i="1"/>
  <c r="P4307" i="1"/>
  <c r="J4307" i="1"/>
  <c r="L4307" i="1" s="1"/>
  <c r="W4306" i="1"/>
  <c r="P4306" i="1"/>
  <c r="J4306" i="1"/>
  <c r="W4305" i="1"/>
  <c r="W4304" i="1"/>
  <c r="W4303" i="1"/>
  <c r="T4303" i="1"/>
  <c r="R4303" i="1"/>
  <c r="L4303" i="1"/>
  <c r="W4302" i="1"/>
  <c r="P4302" i="1"/>
  <c r="J4302" i="1"/>
  <c r="T4299" i="1"/>
  <c r="R4299" i="1"/>
  <c r="L4299" i="1"/>
  <c r="T4298" i="1"/>
  <c r="R4298" i="1"/>
  <c r="L4298" i="1"/>
  <c r="W4297" i="1"/>
  <c r="T4297" i="1"/>
  <c r="R4297" i="1"/>
  <c r="P4297" i="1"/>
  <c r="L4297" i="1"/>
  <c r="W4296" i="1"/>
  <c r="W4295" i="1"/>
  <c r="W4294" i="1"/>
  <c r="T4294" i="1"/>
  <c r="R4294" i="1"/>
  <c r="L4294" i="1"/>
  <c r="W4293" i="1"/>
  <c r="T4293" i="1"/>
  <c r="R4293" i="1"/>
  <c r="L4293" i="1"/>
  <c r="W4292" i="1"/>
  <c r="T4292" i="1"/>
  <c r="R4292" i="1"/>
  <c r="P4292" i="1"/>
  <c r="L4292" i="1"/>
  <c r="W4290" i="1"/>
  <c r="W4289" i="1"/>
  <c r="T4289" i="1"/>
  <c r="R4289" i="1"/>
  <c r="L4289" i="1"/>
  <c r="W4288" i="1"/>
  <c r="P4288" i="1"/>
  <c r="J4288" i="1"/>
  <c r="L4288" i="1" s="1"/>
  <c r="W4287" i="1"/>
  <c r="W4286" i="1"/>
  <c r="W4285" i="1"/>
  <c r="T4285" i="1"/>
  <c r="R4285" i="1"/>
  <c r="L4285" i="1"/>
  <c r="W4284" i="1"/>
  <c r="P4284" i="1"/>
  <c r="J4284" i="1"/>
  <c r="L4284" i="1" s="1"/>
  <c r="W4283" i="1"/>
  <c r="W4282" i="1"/>
  <c r="W4281" i="1"/>
  <c r="L4281" i="1"/>
  <c r="W4280" i="1"/>
  <c r="P4280" i="1"/>
  <c r="J4280" i="1"/>
  <c r="R4280" i="1" s="1"/>
  <c r="W4279" i="1"/>
  <c r="P4279" i="1"/>
  <c r="J4279" i="1"/>
  <c r="W4278" i="1"/>
  <c r="P4278" i="1"/>
  <c r="J4278" i="1"/>
  <c r="T4278" i="1" s="1"/>
  <c r="W4277" i="1"/>
  <c r="W4276" i="1"/>
  <c r="W4275" i="1"/>
  <c r="T4275" i="1"/>
  <c r="R4275" i="1"/>
  <c r="L4275" i="1"/>
  <c r="W4274" i="1"/>
  <c r="P4274" i="1"/>
  <c r="J4274" i="1"/>
  <c r="L4274" i="1" s="1"/>
  <c r="W4273" i="1"/>
  <c r="W4272" i="1"/>
  <c r="W4271" i="1"/>
  <c r="T4271" i="1"/>
  <c r="R4271" i="1"/>
  <c r="L4271" i="1"/>
  <c r="W4270" i="1"/>
  <c r="P4270" i="1"/>
  <c r="J4270" i="1"/>
  <c r="L4270" i="1" s="1"/>
  <c r="W4269" i="1"/>
  <c r="W4268" i="1"/>
  <c r="W4267" i="1"/>
  <c r="T4267" i="1"/>
  <c r="R4267" i="1"/>
  <c r="L4267" i="1"/>
  <c r="W4266" i="1"/>
  <c r="T4266" i="1"/>
  <c r="R4266" i="1"/>
  <c r="P4266" i="1"/>
  <c r="L4266" i="1"/>
  <c r="W4265" i="1"/>
  <c r="P4265" i="1"/>
  <c r="J4265" i="1"/>
  <c r="W4264" i="1"/>
  <c r="W4263" i="1"/>
  <c r="W4262" i="1"/>
  <c r="T4262" i="1"/>
  <c r="R4262" i="1"/>
  <c r="L4262" i="1"/>
  <c r="W4261" i="1"/>
  <c r="T4261" i="1"/>
  <c r="R4261" i="1"/>
  <c r="L4261" i="1"/>
  <c r="W4260" i="1"/>
  <c r="P4260" i="1"/>
  <c r="J4260" i="1"/>
  <c r="W4259" i="1"/>
  <c r="W4258" i="1"/>
  <c r="T4258" i="1"/>
  <c r="R4258" i="1"/>
  <c r="L4258" i="1"/>
  <c r="W4257" i="1"/>
  <c r="P4257" i="1"/>
  <c r="J4257" i="1"/>
  <c r="W4256" i="1"/>
  <c r="W4255" i="1"/>
  <c r="W4254" i="1"/>
  <c r="T4254" i="1"/>
  <c r="R4254" i="1"/>
  <c r="L4254" i="1"/>
  <c r="W4253" i="1"/>
  <c r="P4253" i="1"/>
  <c r="J4253" i="1"/>
  <c r="T4253" i="1" s="1"/>
  <c r="W4252" i="1"/>
  <c r="T4252" i="1"/>
  <c r="R4252" i="1"/>
  <c r="P4252" i="1"/>
  <c r="L4252" i="1"/>
  <c r="W4251" i="1"/>
  <c r="T4251" i="1"/>
  <c r="R4251" i="1"/>
  <c r="P4251" i="1"/>
  <c r="L4251" i="1"/>
  <c r="W4250" i="1"/>
  <c r="T4250" i="1"/>
  <c r="R4250" i="1"/>
  <c r="P4250" i="1"/>
  <c r="L4250" i="1"/>
  <c r="W4249" i="1"/>
  <c r="T4249" i="1"/>
  <c r="R4249" i="1"/>
  <c r="P4249" i="1"/>
  <c r="L4249" i="1"/>
  <c r="W4247" i="1"/>
  <c r="T4247" i="1"/>
  <c r="R4247" i="1"/>
  <c r="P4247" i="1"/>
  <c r="L4247" i="1"/>
  <c r="W4246" i="1"/>
  <c r="T4246" i="1"/>
  <c r="R4246" i="1"/>
  <c r="P4246" i="1"/>
  <c r="L4246" i="1"/>
  <c r="W4245" i="1"/>
  <c r="T4245" i="1"/>
  <c r="R4245" i="1"/>
  <c r="P4245" i="1"/>
  <c r="L4245" i="1"/>
  <c r="W4244" i="1"/>
  <c r="T4244" i="1"/>
  <c r="R4244" i="1"/>
  <c r="P4244" i="1"/>
  <c r="L4244" i="1"/>
  <c r="W4242" i="1"/>
  <c r="W4241" i="1"/>
  <c r="T4241" i="1"/>
  <c r="R4241" i="1"/>
  <c r="L4241" i="1"/>
  <c r="W4240" i="1"/>
  <c r="P4240" i="1"/>
  <c r="J4240" i="1"/>
  <c r="W4239" i="1"/>
  <c r="W4237" i="1"/>
  <c r="T4237" i="1"/>
  <c r="W4236" i="1"/>
  <c r="T4236" i="1"/>
  <c r="W4235" i="1"/>
  <c r="T4235" i="1"/>
  <c r="W4234" i="1"/>
  <c r="T4234" i="1"/>
  <c r="W4233" i="1"/>
  <c r="T4233" i="1"/>
  <c r="W4232" i="1"/>
  <c r="T4232" i="1"/>
  <c r="W4231" i="1"/>
  <c r="T4231" i="1"/>
  <c r="W4230" i="1"/>
  <c r="T4230" i="1"/>
  <c r="W4228" i="1"/>
  <c r="T4228" i="1"/>
  <c r="W4227" i="1"/>
  <c r="T4227" i="1"/>
  <c r="W4226" i="1"/>
  <c r="T4226" i="1"/>
  <c r="W4225" i="1"/>
  <c r="T4225" i="1"/>
  <c r="W4224" i="1"/>
  <c r="T4224" i="1"/>
  <c r="W4223" i="1"/>
  <c r="T4223" i="1"/>
  <c r="W4222" i="1"/>
  <c r="T4222" i="1"/>
  <c r="W4220" i="1"/>
  <c r="W4219" i="1"/>
  <c r="T4219" i="1"/>
  <c r="R4219" i="1"/>
  <c r="L4219" i="1"/>
  <c r="W4218" i="1"/>
  <c r="T4218" i="1"/>
  <c r="R4218" i="1"/>
  <c r="P4218" i="1"/>
  <c r="L4218" i="1"/>
  <c r="W4216" i="1"/>
  <c r="W4215" i="1"/>
  <c r="T4215" i="1"/>
  <c r="L4215" i="1"/>
  <c r="W4214" i="1"/>
  <c r="T4214" i="1"/>
  <c r="R4214" i="1"/>
  <c r="L4214" i="1"/>
  <c r="W4213" i="1"/>
  <c r="T4213" i="1"/>
  <c r="R4213" i="1"/>
  <c r="P4213" i="1"/>
  <c r="L4213" i="1"/>
  <c r="W4212" i="1"/>
  <c r="W4211" i="1"/>
  <c r="W4210" i="1"/>
  <c r="T4210" i="1"/>
  <c r="L4210" i="1"/>
  <c r="W4209" i="1"/>
  <c r="P4209" i="1"/>
  <c r="J4209" i="1"/>
  <c r="W4207" i="1"/>
  <c r="W4206" i="1"/>
  <c r="T4206" i="1"/>
  <c r="R4206" i="1"/>
  <c r="L4206" i="1"/>
  <c r="W4205" i="1"/>
  <c r="P4205" i="1"/>
  <c r="J4205" i="1"/>
  <c r="L4205" i="1" s="1"/>
  <c r="W4204" i="1"/>
  <c r="P4204" i="1"/>
  <c r="J4204" i="1"/>
  <c r="W4202" i="1"/>
  <c r="W4201" i="1"/>
  <c r="T4201" i="1"/>
  <c r="R4201" i="1"/>
  <c r="L4201" i="1"/>
  <c r="W4200" i="1"/>
  <c r="P4200" i="1"/>
  <c r="J4200" i="1"/>
  <c r="W4199" i="1"/>
  <c r="P4199" i="1"/>
  <c r="J4199" i="1"/>
  <c r="W4197" i="1"/>
  <c r="W4196" i="1"/>
  <c r="T4196" i="1"/>
  <c r="R4196" i="1"/>
  <c r="L4196" i="1"/>
  <c r="W4195" i="1"/>
  <c r="P4195" i="1"/>
  <c r="J4195" i="1"/>
  <c r="W4194" i="1"/>
  <c r="P4194" i="1"/>
  <c r="J4194" i="1"/>
  <c r="L4194" i="1" s="1"/>
  <c r="W4193" i="1"/>
  <c r="W4192" i="1"/>
  <c r="W4191" i="1"/>
  <c r="R4191" i="1"/>
  <c r="L4191" i="1"/>
  <c r="W4190" i="1"/>
  <c r="P4190" i="1"/>
  <c r="J4190" i="1"/>
  <c r="W4189" i="1"/>
  <c r="P4189" i="1"/>
  <c r="J4189" i="1"/>
  <c r="W4188" i="1"/>
  <c r="W4187" i="1"/>
  <c r="W4186" i="1"/>
  <c r="T4186" i="1"/>
  <c r="R4186" i="1"/>
  <c r="L4186" i="1"/>
  <c r="W4185" i="1"/>
  <c r="P4185" i="1"/>
  <c r="J4185" i="1"/>
  <c r="T4185" i="1" s="1"/>
  <c r="W4184" i="1"/>
  <c r="W4183" i="1"/>
  <c r="W4182" i="1"/>
  <c r="T4182" i="1"/>
  <c r="R4182" i="1"/>
  <c r="L4182" i="1"/>
  <c r="W4181" i="1"/>
  <c r="P4181" i="1"/>
  <c r="J4181" i="1"/>
  <c r="W4180" i="1"/>
  <c r="P4180" i="1"/>
  <c r="J4180" i="1"/>
  <c r="W4179" i="1"/>
  <c r="W4178" i="1"/>
  <c r="W4177" i="1"/>
  <c r="T4177" i="1"/>
  <c r="R4177" i="1"/>
  <c r="L4177" i="1"/>
  <c r="W4176" i="1"/>
  <c r="P4176" i="1"/>
  <c r="J4176" i="1"/>
  <c r="W4175" i="1"/>
  <c r="W4174" i="1"/>
  <c r="W4173" i="1"/>
  <c r="T4173" i="1"/>
  <c r="R4173" i="1"/>
  <c r="L4173" i="1"/>
  <c r="W4172" i="1"/>
  <c r="P4172" i="1"/>
  <c r="J4172" i="1"/>
  <c r="W4171" i="1"/>
  <c r="P4171" i="1"/>
  <c r="J4171" i="1"/>
  <c r="T4171" i="1" s="1"/>
  <c r="W4170" i="1"/>
  <c r="P4170" i="1"/>
  <c r="J4170" i="1"/>
  <c r="L4170" i="1" s="1"/>
  <c r="W4169" i="1"/>
  <c r="P4169" i="1"/>
  <c r="J4169" i="1"/>
  <c r="W4168" i="1"/>
  <c r="W4167" i="1"/>
  <c r="W4166" i="1"/>
  <c r="T4166" i="1"/>
  <c r="R4166" i="1"/>
  <c r="L4166" i="1"/>
  <c r="W4165" i="1"/>
  <c r="P4165" i="1"/>
  <c r="J4165" i="1"/>
  <c r="W4163" i="1"/>
  <c r="W4162" i="1"/>
  <c r="T4162" i="1"/>
  <c r="R4162" i="1"/>
  <c r="L4162" i="1"/>
  <c r="W4161" i="1"/>
  <c r="P4161" i="1"/>
  <c r="J4161" i="1"/>
  <c r="L4161" i="1" s="1"/>
  <c r="W4160" i="1"/>
  <c r="W4159" i="1"/>
  <c r="W4158" i="1"/>
  <c r="T4158" i="1"/>
  <c r="R4158" i="1"/>
  <c r="L4158" i="1"/>
  <c r="W4157" i="1"/>
  <c r="P4157" i="1"/>
  <c r="J4157" i="1"/>
  <c r="L4157" i="1" s="1"/>
  <c r="W4156" i="1"/>
  <c r="P4156" i="1"/>
  <c r="J4156" i="1"/>
  <c r="W4155" i="1"/>
  <c r="P4155" i="1"/>
  <c r="J4155" i="1"/>
  <c r="R4155" i="1" s="1"/>
  <c r="W4154" i="1"/>
  <c r="W4153" i="1"/>
  <c r="W4152" i="1"/>
  <c r="T4152" i="1"/>
  <c r="R4152" i="1"/>
  <c r="L4152" i="1"/>
  <c r="W4151" i="1"/>
  <c r="P4151" i="1"/>
  <c r="J4151" i="1"/>
  <c r="W4150" i="1"/>
  <c r="W4149" i="1"/>
  <c r="W4148" i="1"/>
  <c r="T4148" i="1"/>
  <c r="R4148" i="1"/>
  <c r="L4148" i="1"/>
  <c r="W4147" i="1"/>
  <c r="P4147" i="1"/>
  <c r="J4147" i="1"/>
  <c r="W4146" i="1"/>
  <c r="W4145" i="1"/>
  <c r="W4144" i="1"/>
  <c r="T4144" i="1"/>
  <c r="R4144" i="1"/>
  <c r="L4144" i="1"/>
  <c r="W4143" i="1"/>
  <c r="P4143" i="1"/>
  <c r="J4143" i="1"/>
  <c r="L4143" i="1" s="1"/>
  <c r="W4142" i="1"/>
  <c r="P4142" i="1"/>
  <c r="J4142" i="1"/>
  <c r="W4141" i="1"/>
  <c r="P4141" i="1"/>
  <c r="J4141" i="1"/>
  <c r="W4140" i="1"/>
  <c r="W4139" i="1"/>
  <c r="W4138" i="1"/>
  <c r="T4138" i="1"/>
  <c r="R4138" i="1"/>
  <c r="L4138" i="1"/>
  <c r="W4137" i="1"/>
  <c r="P4137" i="1"/>
  <c r="J4137" i="1"/>
  <c r="W4136" i="1"/>
  <c r="P4136" i="1"/>
  <c r="J4136" i="1"/>
  <c r="L4136" i="1" s="1"/>
  <c r="W4135" i="1"/>
  <c r="P4135" i="1"/>
  <c r="J4135" i="1"/>
  <c r="W4134" i="1"/>
  <c r="W4133" i="1"/>
  <c r="W4132" i="1"/>
  <c r="T4132" i="1"/>
  <c r="R4132" i="1"/>
  <c r="L4132" i="1"/>
  <c r="W4131" i="1"/>
  <c r="P4131" i="1"/>
  <c r="J4131" i="1"/>
  <c r="T4131" i="1" s="1"/>
  <c r="W4130" i="1"/>
  <c r="W4129" i="1"/>
  <c r="W4128" i="1"/>
  <c r="T4128" i="1"/>
  <c r="R4128" i="1"/>
  <c r="L4128" i="1"/>
  <c r="W4127" i="1"/>
  <c r="P4127" i="1"/>
  <c r="J4127" i="1"/>
  <c r="L4127" i="1" s="1"/>
  <c r="W4126" i="1"/>
  <c r="W4125" i="1"/>
  <c r="W4124" i="1"/>
  <c r="R4124" i="1"/>
  <c r="L4124" i="1"/>
  <c r="W4123" i="1"/>
  <c r="T4123" i="1"/>
  <c r="R4123" i="1"/>
  <c r="P4123" i="1"/>
  <c r="L4123" i="1"/>
  <c r="W4121" i="1"/>
  <c r="P4121" i="1"/>
  <c r="J4121" i="1"/>
  <c r="W4120" i="1"/>
  <c r="P4120" i="1"/>
  <c r="J4120" i="1"/>
  <c r="R4120" i="1" s="1"/>
  <c r="W4119" i="1"/>
  <c r="W4118" i="1"/>
  <c r="P4118" i="1"/>
  <c r="J4118" i="1"/>
  <c r="W4117" i="1"/>
  <c r="P4117" i="1"/>
  <c r="J4117" i="1"/>
  <c r="W4116" i="1"/>
  <c r="P4116" i="1"/>
  <c r="J4116" i="1"/>
  <c r="T4116" i="1" s="1"/>
  <c r="W4115" i="1"/>
  <c r="P4115" i="1"/>
  <c r="J4115" i="1"/>
  <c r="R4115" i="1" s="1"/>
  <c r="W4113" i="1"/>
  <c r="P4113" i="1"/>
  <c r="J4113" i="1"/>
  <c r="R4113" i="1" s="1"/>
  <c r="W4112" i="1"/>
  <c r="W4111" i="1"/>
  <c r="P4111" i="1"/>
  <c r="J4111" i="1"/>
  <c r="W4110" i="1"/>
  <c r="W4109" i="1"/>
  <c r="P4109" i="1"/>
  <c r="J4109" i="1"/>
  <c r="L4109" i="1" s="1"/>
  <c r="W4108" i="1"/>
  <c r="W4107" i="1"/>
  <c r="W4106" i="1"/>
  <c r="R4106" i="1"/>
  <c r="L4106" i="1"/>
  <c r="W4105" i="1"/>
  <c r="T4105" i="1"/>
  <c r="R4105" i="1"/>
  <c r="P4105" i="1"/>
  <c r="L4105" i="1"/>
  <c r="W4104" i="1"/>
  <c r="T4104" i="1"/>
  <c r="R4104" i="1"/>
  <c r="P4104" i="1"/>
  <c r="L4104" i="1"/>
  <c r="W4103" i="1"/>
  <c r="T4103" i="1"/>
  <c r="R4103" i="1"/>
  <c r="P4103" i="1"/>
  <c r="L4103" i="1"/>
  <c r="W4102" i="1"/>
  <c r="T4102" i="1"/>
  <c r="R4102" i="1"/>
  <c r="P4102" i="1"/>
  <c r="L4102" i="1"/>
  <c r="W4101" i="1"/>
  <c r="T4101" i="1"/>
  <c r="R4101" i="1"/>
  <c r="P4101" i="1"/>
  <c r="L4101" i="1"/>
  <c r="W4100" i="1"/>
  <c r="T4100" i="1"/>
  <c r="R4100" i="1"/>
  <c r="P4100" i="1"/>
  <c r="L4100" i="1"/>
  <c r="W4099" i="1"/>
  <c r="T4099" i="1"/>
  <c r="R4099" i="1"/>
  <c r="P4099" i="1"/>
  <c r="L4099" i="1"/>
  <c r="W4098" i="1"/>
  <c r="W4097" i="1"/>
  <c r="T4097" i="1"/>
  <c r="R4097" i="1"/>
  <c r="P4097" i="1"/>
  <c r="L4097" i="1"/>
  <c r="W4096" i="1"/>
  <c r="T4096" i="1"/>
  <c r="R4096" i="1"/>
  <c r="P4096" i="1"/>
  <c r="L4096" i="1"/>
  <c r="W4095" i="1"/>
  <c r="T4095" i="1"/>
  <c r="R4095" i="1"/>
  <c r="P4095" i="1"/>
  <c r="L4095" i="1"/>
  <c r="W4094" i="1"/>
  <c r="T4094" i="1"/>
  <c r="R4094" i="1"/>
  <c r="P4094" i="1"/>
  <c r="L4094" i="1"/>
  <c r="W4093" i="1"/>
  <c r="T4093" i="1"/>
  <c r="R4093" i="1"/>
  <c r="P4093" i="1"/>
  <c r="L4093" i="1"/>
  <c r="W4092" i="1"/>
  <c r="T4092" i="1"/>
  <c r="R4092" i="1"/>
  <c r="P4092" i="1"/>
  <c r="L4092" i="1"/>
  <c r="W4091" i="1"/>
  <c r="T4091" i="1"/>
  <c r="R4091" i="1"/>
  <c r="P4091" i="1"/>
  <c r="L4091" i="1"/>
  <c r="W4090" i="1"/>
  <c r="W4089" i="1"/>
  <c r="W4088" i="1"/>
  <c r="T4088" i="1"/>
  <c r="W4087" i="1"/>
  <c r="T4087" i="1"/>
  <c r="R4087" i="1"/>
  <c r="P4087" i="1"/>
  <c r="L4087" i="1"/>
  <c r="W4085" i="1"/>
  <c r="W4084" i="1"/>
  <c r="T4084" i="1"/>
  <c r="R4084" i="1"/>
  <c r="L4084" i="1"/>
  <c r="W4083" i="1"/>
  <c r="T4083" i="1"/>
  <c r="R4083" i="1"/>
  <c r="L4083" i="1"/>
  <c r="W4082" i="1"/>
  <c r="T4082" i="1"/>
  <c r="R4082" i="1"/>
  <c r="P4082" i="1"/>
  <c r="L4082" i="1"/>
  <c r="W4081" i="1"/>
  <c r="W4080" i="1"/>
  <c r="T4080" i="1"/>
  <c r="R4080" i="1"/>
  <c r="P4080" i="1"/>
  <c r="L4080" i="1"/>
  <c r="W4079" i="1"/>
  <c r="T4079" i="1"/>
  <c r="R4079" i="1"/>
  <c r="P4079" i="1"/>
  <c r="L4079" i="1"/>
  <c r="W4078" i="1"/>
  <c r="T4078" i="1"/>
  <c r="R4078" i="1"/>
  <c r="P4078" i="1"/>
  <c r="L4078" i="1"/>
  <c r="W4077" i="1"/>
  <c r="W4076" i="1"/>
  <c r="W4075" i="1"/>
  <c r="T4075" i="1"/>
  <c r="R4075" i="1"/>
  <c r="L4075" i="1"/>
  <c r="W4074" i="1"/>
  <c r="P4074" i="1"/>
  <c r="J4074" i="1"/>
  <c r="W4073" i="1"/>
  <c r="W4072" i="1"/>
  <c r="W4071" i="1"/>
  <c r="T4071" i="1"/>
  <c r="L4071" i="1"/>
  <c r="W4070" i="1"/>
  <c r="P4070" i="1"/>
  <c r="J4070" i="1"/>
  <c r="W4069" i="1"/>
  <c r="P4069" i="1"/>
  <c r="J4069" i="1"/>
  <c r="L4069" i="1" s="1"/>
  <c r="W4068" i="1"/>
  <c r="P4068" i="1"/>
  <c r="J4068" i="1"/>
  <c r="T4068" i="1" s="1"/>
  <c r="W4067" i="1"/>
  <c r="P4067" i="1"/>
  <c r="J4067" i="1"/>
  <c r="L4067" i="1" s="1"/>
  <c r="W4066" i="1"/>
  <c r="P4066" i="1"/>
  <c r="J4066" i="1"/>
  <c r="R4066" i="1" s="1"/>
  <c r="W4065" i="1"/>
  <c r="P4065" i="1"/>
  <c r="J4065" i="1"/>
  <c r="T4065" i="1" s="1"/>
  <c r="W4063" i="1"/>
  <c r="W4062" i="1"/>
  <c r="R4062" i="1"/>
  <c r="L4062" i="1"/>
  <c r="W4061" i="1"/>
  <c r="P4061" i="1"/>
  <c r="J4061" i="1"/>
  <c r="W4060" i="1"/>
  <c r="P4060" i="1"/>
  <c r="J4060" i="1"/>
  <c r="R4060" i="1" s="1"/>
  <c r="W4059" i="1"/>
  <c r="P4059" i="1"/>
  <c r="J4059" i="1"/>
  <c r="W4058" i="1"/>
  <c r="P4058" i="1"/>
  <c r="J4058" i="1"/>
  <c r="W4057" i="1"/>
  <c r="W4056" i="1"/>
  <c r="W4055" i="1"/>
  <c r="T4055" i="1"/>
  <c r="R4055" i="1"/>
  <c r="L4055" i="1"/>
  <c r="W4054" i="1"/>
  <c r="P4054" i="1"/>
  <c r="J4054" i="1"/>
  <c r="R4054" i="1" s="1"/>
  <c r="W4053" i="1"/>
  <c r="P4053" i="1"/>
  <c r="J4053" i="1"/>
  <c r="W4052" i="1"/>
  <c r="P4052" i="1"/>
  <c r="J4052" i="1"/>
  <c r="W4051" i="1"/>
  <c r="P4051" i="1"/>
  <c r="J4051" i="1"/>
  <c r="W4049" i="1"/>
  <c r="W4048" i="1"/>
  <c r="T4048" i="1"/>
  <c r="R4048" i="1"/>
  <c r="L4048" i="1"/>
  <c r="W4047" i="1"/>
  <c r="T4047" i="1"/>
  <c r="R4047" i="1"/>
  <c r="P4047" i="1"/>
  <c r="L4047" i="1"/>
  <c r="W4046" i="1"/>
  <c r="P4046" i="1"/>
  <c r="J4046" i="1"/>
  <c r="T4046" i="1" s="1"/>
  <c r="W4045" i="1"/>
  <c r="P4045" i="1"/>
  <c r="J4045" i="1"/>
  <c r="W4044" i="1"/>
  <c r="P4044" i="1"/>
  <c r="J4044" i="1"/>
  <c r="W4043" i="1"/>
  <c r="W4042" i="1"/>
  <c r="W4041" i="1"/>
  <c r="T4041" i="1"/>
  <c r="R4041" i="1"/>
  <c r="L4041" i="1"/>
  <c r="W4040" i="1"/>
  <c r="P4040" i="1"/>
  <c r="J4040" i="1"/>
  <c r="L4040" i="1" s="1"/>
  <c r="W4039" i="1"/>
  <c r="T4039" i="1"/>
  <c r="R4039" i="1"/>
  <c r="L4039" i="1"/>
  <c r="W4038" i="1"/>
  <c r="P4038" i="1"/>
  <c r="J4038" i="1"/>
  <c r="T4038" i="1" s="1"/>
  <c r="W4037" i="1"/>
  <c r="P4037" i="1"/>
  <c r="J4037" i="1"/>
  <c r="W4036" i="1"/>
  <c r="W4035" i="1"/>
  <c r="W4034" i="1"/>
  <c r="T4034" i="1"/>
  <c r="R4034" i="1"/>
  <c r="L4034" i="1"/>
  <c r="W4033" i="1"/>
  <c r="P4033" i="1"/>
  <c r="J4033" i="1"/>
  <c r="L4033" i="1" s="1"/>
  <c r="W4032" i="1"/>
  <c r="P4032" i="1"/>
  <c r="J4032" i="1"/>
  <c r="W4030" i="1"/>
  <c r="W4029" i="1"/>
  <c r="T4029" i="1"/>
  <c r="W4028" i="1"/>
  <c r="T4028" i="1"/>
  <c r="R4028" i="1"/>
  <c r="L4028" i="1"/>
  <c r="W4027" i="1"/>
  <c r="T4027" i="1"/>
  <c r="R4027" i="1"/>
  <c r="P4027" i="1"/>
  <c r="L4027" i="1"/>
  <c r="W4025" i="1"/>
  <c r="W4024" i="1"/>
  <c r="T4024" i="1"/>
  <c r="R4024" i="1"/>
  <c r="L4024" i="1"/>
  <c r="W4023" i="1"/>
  <c r="P4023" i="1"/>
  <c r="J4023" i="1"/>
  <c r="T4023" i="1" s="1"/>
  <c r="W4022" i="1"/>
  <c r="W4021" i="1"/>
  <c r="W4020" i="1"/>
  <c r="R4020" i="1"/>
  <c r="L4020" i="1"/>
  <c r="W4019" i="1"/>
  <c r="P4019" i="1"/>
  <c r="J4019" i="1"/>
  <c r="T4019" i="1" s="1"/>
  <c r="W4018" i="1"/>
  <c r="P4018" i="1"/>
  <c r="J4018" i="1"/>
  <c r="W4017" i="1"/>
  <c r="W4016" i="1"/>
  <c r="P4016" i="1"/>
  <c r="J4016" i="1"/>
  <c r="L4016" i="1" s="1"/>
  <c r="W4015" i="1"/>
  <c r="W4014" i="1"/>
  <c r="W4013" i="1"/>
  <c r="R4013" i="1"/>
  <c r="L4013" i="1"/>
  <c r="W4012" i="1"/>
  <c r="P4012" i="1"/>
  <c r="J4012" i="1"/>
  <c r="W4011" i="1"/>
  <c r="P4011" i="1"/>
  <c r="J4011" i="1"/>
  <c r="R4011" i="1" s="1"/>
  <c r="W4010" i="1"/>
  <c r="P4010" i="1"/>
  <c r="J4010" i="1"/>
  <c r="W4008" i="1"/>
  <c r="W4007" i="1"/>
  <c r="T4007" i="1"/>
  <c r="R4007" i="1"/>
  <c r="L4007" i="1"/>
  <c r="W4006" i="1"/>
  <c r="T4006" i="1"/>
  <c r="R4006" i="1"/>
  <c r="P4006" i="1"/>
  <c r="L4006" i="1"/>
  <c r="W4005" i="1"/>
  <c r="W4004" i="1"/>
  <c r="P4004" i="1"/>
  <c r="J4004" i="1"/>
  <c r="L4004" i="1" s="1"/>
  <c r="W4003" i="1"/>
  <c r="P4003" i="1"/>
  <c r="J4003" i="1"/>
  <c r="R4003" i="1" s="1"/>
  <c r="W4002" i="1"/>
  <c r="P4002" i="1"/>
  <c r="J4002" i="1"/>
  <c r="W4001" i="1"/>
  <c r="P4001" i="1"/>
  <c r="J4001" i="1"/>
  <c r="R4001" i="1" s="1"/>
  <c r="W4000" i="1"/>
  <c r="W3999" i="1"/>
  <c r="W3998" i="1"/>
  <c r="J3998" i="1"/>
  <c r="T3998" i="1" s="1"/>
  <c r="W3996" i="1"/>
  <c r="W3995" i="1"/>
  <c r="T3995" i="1"/>
  <c r="R3995" i="1"/>
  <c r="L3995" i="1"/>
  <c r="W3994" i="1"/>
  <c r="T3994" i="1"/>
  <c r="R3994" i="1"/>
  <c r="P3994" i="1"/>
  <c r="L3994" i="1"/>
  <c r="W3993" i="1"/>
  <c r="W3992" i="1"/>
  <c r="W3991" i="1"/>
  <c r="T3991" i="1"/>
  <c r="R3991" i="1"/>
  <c r="L3991" i="1"/>
  <c r="W3990" i="1"/>
  <c r="P3990" i="1"/>
  <c r="J3990" i="1"/>
  <c r="R3990" i="1" s="1"/>
  <c r="W3989" i="1"/>
  <c r="P3989" i="1"/>
  <c r="J3989" i="1"/>
  <c r="W3988" i="1"/>
  <c r="W3987" i="1"/>
  <c r="W3986" i="1"/>
  <c r="T3986" i="1"/>
  <c r="R3986" i="1"/>
  <c r="L3986" i="1"/>
  <c r="W3985" i="1"/>
  <c r="T3985" i="1"/>
  <c r="R3985" i="1"/>
  <c r="L3985" i="1"/>
  <c r="W3984" i="1"/>
  <c r="T3984" i="1"/>
  <c r="R3984" i="1"/>
  <c r="P3984" i="1"/>
  <c r="L3984" i="1"/>
  <c r="W3983" i="1"/>
  <c r="T3983" i="1"/>
  <c r="R3983" i="1"/>
  <c r="P3983" i="1"/>
  <c r="L3983" i="1"/>
  <c r="W3982" i="1"/>
  <c r="W3981" i="1"/>
  <c r="W3980" i="1"/>
  <c r="R3980" i="1"/>
  <c r="L3980" i="1"/>
  <c r="W3979" i="1"/>
  <c r="T3979" i="1"/>
  <c r="R3979" i="1"/>
  <c r="P3979" i="1"/>
  <c r="L3979" i="1"/>
  <c r="W3978" i="1"/>
  <c r="T3978" i="1"/>
  <c r="R3978" i="1"/>
  <c r="P3978" i="1"/>
  <c r="L3978" i="1"/>
  <c r="W3977" i="1"/>
  <c r="T3977" i="1"/>
  <c r="R3977" i="1"/>
  <c r="P3977" i="1"/>
  <c r="L3977" i="1"/>
  <c r="W3976" i="1"/>
  <c r="T3976" i="1"/>
  <c r="R3976" i="1"/>
  <c r="P3976" i="1"/>
  <c r="L3976" i="1"/>
  <c r="W3975" i="1"/>
  <c r="T3975" i="1"/>
  <c r="R3975" i="1"/>
  <c r="P3975" i="1"/>
  <c r="L3975" i="1"/>
  <c r="W3974" i="1"/>
  <c r="T3974" i="1"/>
  <c r="R3974" i="1"/>
  <c r="P3974" i="1"/>
  <c r="L3974" i="1"/>
  <c r="W3973" i="1"/>
  <c r="W3972" i="1"/>
  <c r="W3971" i="1"/>
  <c r="T3971" i="1"/>
  <c r="R3971" i="1"/>
  <c r="L3971" i="1"/>
  <c r="W3970" i="1"/>
  <c r="T3970" i="1"/>
  <c r="R3970" i="1"/>
  <c r="P3970" i="1"/>
  <c r="L3970" i="1"/>
  <c r="W3969" i="1"/>
  <c r="T3969" i="1"/>
  <c r="R3969" i="1"/>
  <c r="P3969" i="1"/>
  <c r="L3969" i="1"/>
  <c r="W3968" i="1"/>
  <c r="T3968" i="1"/>
  <c r="R3968" i="1"/>
  <c r="P3968" i="1"/>
  <c r="L3968" i="1"/>
  <c r="W3967" i="1"/>
  <c r="T3967" i="1"/>
  <c r="R3967" i="1"/>
  <c r="P3967" i="1"/>
  <c r="L3967" i="1"/>
  <c r="W3966" i="1"/>
  <c r="T3966" i="1"/>
  <c r="R3966" i="1"/>
  <c r="P3966" i="1"/>
  <c r="L3966" i="1"/>
  <c r="W3965" i="1"/>
  <c r="W3964" i="1"/>
  <c r="W3963" i="1"/>
  <c r="J3963" i="1"/>
  <c r="T3963" i="1" s="1"/>
  <c r="W3962" i="1"/>
  <c r="W3961" i="1"/>
  <c r="J3961" i="1"/>
  <c r="T3961" i="1" s="1"/>
  <c r="W3959" i="1"/>
  <c r="J3959" i="1"/>
  <c r="T3959" i="1" s="1"/>
  <c r="W3957" i="1"/>
  <c r="W3956" i="1"/>
  <c r="T3956" i="1"/>
  <c r="R3956" i="1"/>
  <c r="L3956" i="1"/>
  <c r="W3955" i="1"/>
  <c r="T3955" i="1"/>
  <c r="R3955" i="1"/>
  <c r="P3955" i="1"/>
  <c r="L3955" i="1"/>
  <c r="W3954" i="1"/>
  <c r="T3954" i="1"/>
  <c r="R3954" i="1"/>
  <c r="P3954" i="1"/>
  <c r="L3954" i="1"/>
  <c r="W3952" i="1"/>
  <c r="P3952" i="1"/>
  <c r="J3952" i="1"/>
  <c r="R3952" i="1" s="1"/>
  <c r="W3951" i="1"/>
  <c r="P3951" i="1"/>
  <c r="J3951" i="1"/>
  <c r="W3949" i="1"/>
  <c r="W3948" i="1"/>
  <c r="T3948" i="1"/>
  <c r="R3948" i="1"/>
  <c r="L3948" i="1"/>
  <c r="W3947" i="1"/>
  <c r="P3947" i="1"/>
  <c r="J3947" i="1"/>
  <c r="W3945" i="1"/>
  <c r="W3944" i="1"/>
  <c r="T3944" i="1"/>
  <c r="R3944" i="1"/>
  <c r="L3944" i="1"/>
  <c r="W3943" i="1"/>
  <c r="R3943" i="1"/>
  <c r="L3943" i="1"/>
  <c r="W3942" i="1"/>
  <c r="P3942" i="1"/>
  <c r="J3942" i="1"/>
  <c r="W3941" i="1"/>
  <c r="P3941" i="1"/>
  <c r="J3941" i="1"/>
  <c r="L3941" i="1" s="1"/>
  <c r="W3940" i="1"/>
  <c r="W3939" i="1"/>
  <c r="T3939" i="1"/>
  <c r="R3939" i="1"/>
  <c r="L3939" i="1"/>
  <c r="W3938" i="1"/>
  <c r="P3938" i="1"/>
  <c r="J3938" i="1"/>
  <c r="R3938" i="1" s="1"/>
  <c r="W3937" i="1"/>
  <c r="W3936" i="1"/>
  <c r="W3935" i="1"/>
  <c r="R3935" i="1"/>
  <c r="L3935" i="1"/>
  <c r="W3934" i="1"/>
  <c r="P3934" i="1"/>
  <c r="J3934" i="1"/>
  <c r="L3934" i="1" s="1"/>
  <c r="W3933" i="1"/>
  <c r="P3933" i="1"/>
  <c r="J3933" i="1"/>
  <c r="W3932" i="1"/>
  <c r="W3931" i="1"/>
  <c r="W3930" i="1"/>
  <c r="T3930" i="1"/>
  <c r="R3930" i="1"/>
  <c r="L3930" i="1"/>
  <c r="W3929" i="1"/>
  <c r="P3929" i="1"/>
  <c r="J3929" i="1"/>
  <c r="W3928" i="1"/>
  <c r="P3928" i="1"/>
  <c r="J3928" i="1"/>
  <c r="L3928" i="1" s="1"/>
  <c r="W3927" i="1"/>
  <c r="W3926" i="1"/>
  <c r="W3925" i="1"/>
  <c r="T3925" i="1"/>
  <c r="R3925" i="1"/>
  <c r="L3925" i="1"/>
  <c r="W3924" i="1"/>
  <c r="P3924" i="1"/>
  <c r="J3924" i="1"/>
  <c r="W3923" i="1"/>
  <c r="W3922" i="1"/>
  <c r="W3921" i="1"/>
  <c r="T3921" i="1"/>
  <c r="R3921" i="1"/>
  <c r="L3921" i="1"/>
  <c r="W3920" i="1"/>
  <c r="P3920" i="1"/>
  <c r="J3920" i="1"/>
  <c r="W3919" i="1"/>
  <c r="P3919" i="1"/>
  <c r="J3919" i="1"/>
  <c r="W3918" i="1"/>
  <c r="P3918" i="1"/>
  <c r="J3918" i="1"/>
  <c r="W3917" i="1"/>
  <c r="P3917" i="1"/>
  <c r="J3917" i="1"/>
  <c r="T3917" i="1" s="1"/>
  <c r="W3916" i="1"/>
  <c r="W3915" i="1"/>
  <c r="W3914" i="1"/>
  <c r="T3914" i="1"/>
  <c r="R3914" i="1"/>
  <c r="L3914" i="1"/>
  <c r="W3913" i="1"/>
  <c r="P3913" i="1"/>
  <c r="J3913" i="1"/>
  <c r="L3913" i="1" s="1"/>
  <c r="W3912" i="1"/>
  <c r="P3912" i="1"/>
  <c r="J3912" i="1"/>
  <c r="R3912" i="1" s="1"/>
  <c r="W3911" i="1"/>
  <c r="W3910" i="1"/>
  <c r="W3909" i="1"/>
  <c r="T3909" i="1"/>
  <c r="L3909" i="1"/>
  <c r="W3908" i="1"/>
  <c r="P3908" i="1"/>
  <c r="J3908" i="1"/>
  <c r="W3907" i="1"/>
  <c r="W3906" i="1"/>
  <c r="P3906" i="1"/>
  <c r="J3906" i="1"/>
  <c r="W3905" i="1"/>
  <c r="W3904" i="1"/>
  <c r="W3903" i="1"/>
  <c r="R3903" i="1"/>
  <c r="L3903" i="1"/>
  <c r="W3902" i="1"/>
  <c r="P3902" i="1"/>
  <c r="J3902" i="1"/>
  <c r="T3902" i="1" s="1"/>
  <c r="W3901" i="1"/>
  <c r="P3901" i="1"/>
  <c r="J3901" i="1"/>
  <c r="L3901" i="1" s="1"/>
  <c r="W3900" i="1"/>
  <c r="P3900" i="1"/>
  <c r="J3900" i="1"/>
  <c r="W3899" i="1"/>
  <c r="P3899" i="1"/>
  <c r="J3899" i="1"/>
  <c r="R3899" i="1" s="1"/>
  <c r="W3898" i="1"/>
  <c r="W3897" i="1"/>
  <c r="P3897" i="1"/>
  <c r="J3897" i="1"/>
  <c r="W3896" i="1"/>
  <c r="W3895" i="1"/>
  <c r="W3894" i="1"/>
  <c r="T3894" i="1"/>
  <c r="R3894" i="1"/>
  <c r="L3894" i="1"/>
  <c r="W3893" i="1"/>
  <c r="P3893" i="1"/>
  <c r="J3893" i="1"/>
  <c r="L3893" i="1" s="1"/>
  <c r="W3892" i="1"/>
  <c r="W3891" i="1"/>
  <c r="W3890" i="1"/>
  <c r="T3890" i="1"/>
  <c r="R3890" i="1"/>
  <c r="L3890" i="1"/>
  <c r="W3889" i="1"/>
  <c r="P3889" i="1"/>
  <c r="J3889" i="1"/>
  <c r="T3889" i="1" s="1"/>
  <c r="W3888" i="1"/>
  <c r="W3887" i="1"/>
  <c r="W3886" i="1"/>
  <c r="T3886" i="1"/>
  <c r="R3886" i="1"/>
  <c r="L3886" i="1"/>
  <c r="W3885" i="1"/>
  <c r="P3885" i="1"/>
  <c r="J3885" i="1"/>
  <c r="R3885" i="1" s="1"/>
  <c r="W3884" i="1"/>
  <c r="W3883" i="1"/>
  <c r="W3882" i="1"/>
  <c r="T3882" i="1"/>
  <c r="R3882" i="1"/>
  <c r="L3882" i="1"/>
  <c r="W3881" i="1"/>
  <c r="P3881" i="1"/>
  <c r="J3881" i="1"/>
  <c r="L3881" i="1" s="1"/>
  <c r="W3880" i="1"/>
  <c r="P3880" i="1"/>
  <c r="J3880" i="1"/>
  <c r="L3880" i="1" s="1"/>
  <c r="W3879" i="1"/>
  <c r="W3878" i="1"/>
  <c r="W3877" i="1"/>
  <c r="T3877" i="1"/>
  <c r="R3877" i="1"/>
  <c r="L3877" i="1"/>
  <c r="W3876" i="1"/>
  <c r="P3876" i="1"/>
  <c r="J3876" i="1"/>
  <c r="L3876" i="1" s="1"/>
  <c r="W3875" i="1"/>
  <c r="W3874" i="1"/>
  <c r="W3873" i="1"/>
  <c r="T3873" i="1"/>
  <c r="R3873" i="1"/>
  <c r="L3873" i="1"/>
  <c r="W3872" i="1"/>
  <c r="P3872" i="1"/>
  <c r="J3872" i="1"/>
  <c r="W3871" i="1"/>
  <c r="P3871" i="1"/>
  <c r="J3871" i="1"/>
  <c r="R3871" i="1" s="1"/>
  <c r="W3870" i="1"/>
  <c r="W3869" i="1"/>
  <c r="W3868" i="1"/>
  <c r="T3868" i="1"/>
  <c r="R3868" i="1"/>
  <c r="L3868" i="1"/>
  <c r="W3867" i="1"/>
  <c r="P3867" i="1"/>
  <c r="J3867" i="1"/>
  <c r="W3866" i="1"/>
  <c r="W3865" i="1"/>
  <c r="P3865" i="1"/>
  <c r="J3865" i="1"/>
  <c r="L3865" i="1" s="1"/>
  <c r="W3864" i="1"/>
  <c r="P3864" i="1"/>
  <c r="J3864" i="1"/>
  <c r="W3863" i="1"/>
  <c r="P3863" i="1"/>
  <c r="J3863" i="1"/>
  <c r="W3861" i="1"/>
  <c r="W3860" i="1"/>
  <c r="T3860" i="1"/>
  <c r="R3860" i="1"/>
  <c r="L3860" i="1"/>
  <c r="W3859" i="1"/>
  <c r="P3859" i="1"/>
  <c r="J3859" i="1"/>
  <c r="T3859" i="1" s="1"/>
  <c r="W3858" i="1"/>
  <c r="P3858" i="1"/>
  <c r="J3858" i="1"/>
  <c r="L3858" i="1" s="1"/>
  <c r="W3857" i="1"/>
  <c r="P3857" i="1"/>
  <c r="J3857" i="1"/>
  <c r="T3857" i="1" s="1"/>
  <c r="W3856" i="1"/>
  <c r="P3856" i="1"/>
  <c r="J3856" i="1"/>
  <c r="T3856" i="1" s="1"/>
  <c r="W3855" i="1"/>
  <c r="P3855" i="1"/>
  <c r="J3855" i="1"/>
  <c r="T3855" i="1" s="1"/>
  <c r="W3854" i="1"/>
  <c r="P3854" i="1"/>
  <c r="J3854" i="1"/>
  <c r="W3853" i="1"/>
  <c r="P3853" i="1"/>
  <c r="J3853" i="1"/>
  <c r="T3853" i="1" s="1"/>
  <c r="W3852" i="1"/>
  <c r="W3851" i="1"/>
  <c r="W3850" i="1"/>
  <c r="T3850" i="1"/>
  <c r="L3850" i="1"/>
  <c r="W3849" i="1"/>
  <c r="P3849" i="1"/>
  <c r="J3849" i="1"/>
  <c r="W3848" i="1"/>
  <c r="W3847" i="1"/>
  <c r="W3846" i="1"/>
  <c r="R3846" i="1"/>
  <c r="L3846" i="1"/>
  <c r="W3845" i="1"/>
  <c r="R3845" i="1"/>
  <c r="L3845" i="1"/>
  <c r="W3844" i="1"/>
  <c r="R3844" i="1"/>
  <c r="L3844" i="1"/>
  <c r="W3843" i="1"/>
  <c r="J3843" i="1"/>
  <c r="W3842" i="1"/>
  <c r="W3841" i="1"/>
  <c r="W3840" i="1"/>
  <c r="T3840" i="1"/>
  <c r="R3840" i="1"/>
  <c r="L3840" i="1"/>
  <c r="W3839" i="1"/>
  <c r="P3839" i="1"/>
  <c r="J3839" i="1"/>
  <c r="L3839" i="1" s="1"/>
  <c r="W3838" i="1"/>
  <c r="P3838" i="1"/>
  <c r="J3838" i="1"/>
  <c r="W3837" i="1"/>
  <c r="W3836" i="1"/>
  <c r="W3835" i="1"/>
  <c r="R3835" i="1"/>
  <c r="L3835" i="1"/>
  <c r="S3834" i="1"/>
  <c r="J3834" i="1"/>
  <c r="R3834" i="1" s="1"/>
  <c r="S3833" i="1"/>
  <c r="J3833" i="1"/>
  <c r="L3833" i="1" s="1"/>
  <c r="W3832" i="1"/>
  <c r="W3831" i="1"/>
  <c r="W3830" i="1"/>
  <c r="T3830" i="1"/>
  <c r="R3830" i="1"/>
  <c r="L3830" i="1"/>
  <c r="S3829" i="1"/>
  <c r="P3829" i="1" s="1"/>
  <c r="R3829" i="1"/>
  <c r="L3829" i="1"/>
  <c r="S3828" i="1"/>
  <c r="T3828" i="1" s="1"/>
  <c r="R3828" i="1"/>
  <c r="L3828" i="1"/>
  <c r="W3827" i="1"/>
  <c r="W3826" i="1"/>
  <c r="W3825" i="1"/>
  <c r="T3825" i="1"/>
  <c r="R3825" i="1"/>
  <c r="L3825" i="1"/>
  <c r="W3824" i="1"/>
  <c r="P3824" i="1"/>
  <c r="J3824" i="1"/>
  <c r="L3824" i="1" s="1"/>
  <c r="W3822" i="1"/>
  <c r="W3821" i="1"/>
  <c r="T3821" i="1"/>
  <c r="R3821" i="1"/>
  <c r="L3821" i="1"/>
  <c r="W3820" i="1"/>
  <c r="P3820" i="1"/>
  <c r="J3820" i="1"/>
  <c r="W3819" i="1"/>
  <c r="W3818" i="1"/>
  <c r="W3817" i="1"/>
  <c r="T3817" i="1"/>
  <c r="R3817" i="1"/>
  <c r="L3817" i="1"/>
  <c r="W3816" i="1"/>
  <c r="T3816" i="1"/>
  <c r="R3816" i="1"/>
  <c r="L3816" i="1"/>
  <c r="W3815" i="1"/>
  <c r="T3815" i="1"/>
  <c r="R3815" i="1"/>
  <c r="P3815" i="1"/>
  <c r="L3815" i="1"/>
  <c r="W3813" i="1"/>
  <c r="W3812" i="1"/>
  <c r="T3812" i="1"/>
  <c r="R3812" i="1"/>
  <c r="W3811" i="1"/>
  <c r="W3810" i="1"/>
  <c r="W3809" i="1"/>
  <c r="T3809" i="1"/>
  <c r="R3809" i="1"/>
  <c r="L3809" i="1"/>
  <c r="W3808" i="1"/>
  <c r="P3808" i="1"/>
  <c r="J3808" i="1"/>
  <c r="L3808" i="1" s="1"/>
  <c r="W3807" i="1"/>
  <c r="P3807" i="1"/>
  <c r="J3807" i="1"/>
  <c r="W3806" i="1"/>
  <c r="W3805" i="1"/>
  <c r="W3804" i="1"/>
  <c r="T3804" i="1"/>
  <c r="R3804" i="1"/>
  <c r="L3804" i="1"/>
  <c r="W3803" i="1"/>
  <c r="P3803" i="1"/>
  <c r="J3803" i="1"/>
  <c r="W3802" i="1"/>
  <c r="W3801" i="1"/>
  <c r="W3800" i="1"/>
  <c r="T3800" i="1"/>
  <c r="R3800" i="1"/>
  <c r="L3800" i="1"/>
  <c r="W3799" i="1"/>
  <c r="T3799" i="1"/>
  <c r="R3799" i="1"/>
  <c r="P3799" i="1"/>
  <c r="L3799" i="1"/>
  <c r="W3798" i="1"/>
  <c r="W3797" i="1"/>
  <c r="W3796" i="1"/>
  <c r="T3796" i="1"/>
  <c r="R3796" i="1"/>
  <c r="L3796" i="1"/>
  <c r="W3795" i="1"/>
  <c r="P3795" i="1"/>
  <c r="J3795" i="1"/>
  <c r="W3794" i="1"/>
  <c r="W3793" i="1"/>
  <c r="W3792" i="1"/>
  <c r="T3792" i="1"/>
  <c r="R3792" i="1"/>
  <c r="L3792" i="1"/>
  <c r="W3791" i="1"/>
  <c r="T3791" i="1"/>
  <c r="R3791" i="1"/>
  <c r="L3791" i="1"/>
  <c r="W3790" i="1"/>
  <c r="P3790" i="1"/>
  <c r="J3790" i="1"/>
  <c r="W3789" i="1"/>
  <c r="P3789" i="1"/>
  <c r="J3789" i="1"/>
  <c r="W3788" i="1"/>
  <c r="P3788" i="1"/>
  <c r="J3788" i="1"/>
  <c r="W3787" i="1"/>
  <c r="P3787" i="1"/>
  <c r="J3787" i="1"/>
  <c r="R3787" i="1" s="1"/>
  <c r="W3786" i="1"/>
  <c r="W3785" i="1"/>
  <c r="T3785" i="1"/>
  <c r="R3785" i="1"/>
  <c r="L3785" i="1"/>
  <c r="W3784" i="1"/>
  <c r="P3784" i="1"/>
  <c r="J3784" i="1"/>
  <c r="W3783" i="1"/>
  <c r="P3783" i="1"/>
  <c r="J3783" i="1"/>
  <c r="T3783" i="1" s="1"/>
  <c r="W3782" i="1"/>
  <c r="P3782" i="1"/>
  <c r="J3782" i="1"/>
  <c r="W3781" i="1"/>
  <c r="P3781" i="1"/>
  <c r="J3781" i="1"/>
  <c r="T3781" i="1" s="1"/>
  <c r="W3780" i="1"/>
  <c r="W3779" i="1"/>
  <c r="R3778" i="1"/>
  <c r="L3778" i="1"/>
  <c r="W3777" i="1"/>
  <c r="P3777" i="1"/>
  <c r="J3777" i="1"/>
  <c r="T3777" i="1" s="1"/>
  <c r="W3776" i="1"/>
  <c r="P3776" i="1"/>
  <c r="J3776" i="1"/>
  <c r="W3775" i="1"/>
  <c r="P3775" i="1"/>
  <c r="J3775" i="1"/>
  <c r="W3774" i="1"/>
  <c r="P3774" i="1"/>
  <c r="J3774" i="1"/>
  <c r="T3774" i="1" s="1"/>
  <c r="W3773" i="1"/>
  <c r="P3773" i="1"/>
  <c r="J3773" i="1"/>
  <c r="R3773" i="1" s="1"/>
  <c r="R3772" i="1"/>
  <c r="L3772" i="1"/>
  <c r="W3771" i="1"/>
  <c r="P3771" i="1"/>
  <c r="J3771" i="1"/>
  <c r="W3770" i="1"/>
  <c r="P3770" i="1"/>
  <c r="J3770" i="1"/>
  <c r="R3770" i="1" s="1"/>
  <c r="W3768" i="1"/>
  <c r="W3767" i="1"/>
  <c r="T3767" i="1"/>
  <c r="R3767" i="1"/>
  <c r="L3767" i="1"/>
  <c r="W3766" i="1"/>
  <c r="P3766" i="1"/>
  <c r="J3766" i="1"/>
  <c r="W3765" i="1"/>
  <c r="W3764" i="1"/>
  <c r="W3763" i="1"/>
  <c r="R3763" i="1"/>
  <c r="L3763" i="1"/>
  <c r="W3762" i="1"/>
  <c r="P3762" i="1"/>
  <c r="J3762" i="1"/>
  <c r="W3761" i="1"/>
  <c r="P3761" i="1"/>
  <c r="J3761" i="1"/>
  <c r="W3760" i="1"/>
  <c r="W3759" i="1"/>
  <c r="W3758" i="1"/>
  <c r="T3758" i="1"/>
  <c r="R3758" i="1"/>
  <c r="L3758" i="1"/>
  <c r="W3757" i="1"/>
  <c r="P3757" i="1"/>
  <c r="J3757" i="1"/>
  <c r="T3757" i="1" s="1"/>
  <c r="W3756" i="1"/>
  <c r="P3756" i="1"/>
  <c r="J3756" i="1"/>
  <c r="L3756" i="1" s="1"/>
  <c r="W3755" i="1"/>
  <c r="P3755" i="1"/>
  <c r="J3755" i="1"/>
  <c r="L3755" i="1" s="1"/>
  <c r="W3754" i="1"/>
  <c r="W3752" i="1"/>
  <c r="T3752" i="1"/>
  <c r="R3752" i="1"/>
  <c r="L3752" i="1"/>
  <c r="W3751" i="1"/>
  <c r="P3751" i="1"/>
  <c r="J3751" i="1"/>
  <c r="W3750" i="1"/>
  <c r="P3750" i="1"/>
  <c r="J3750" i="1"/>
  <c r="R3750" i="1" s="1"/>
  <c r="W3749" i="1"/>
  <c r="W3748" i="1"/>
  <c r="W3747" i="1"/>
  <c r="T3747" i="1"/>
  <c r="R3747" i="1"/>
  <c r="W3746" i="1"/>
  <c r="P3746" i="1"/>
  <c r="J3746" i="1"/>
  <c r="W3745" i="1"/>
  <c r="W3744" i="1"/>
  <c r="W3743" i="1"/>
  <c r="T3743" i="1"/>
  <c r="R3743" i="1"/>
  <c r="L3743" i="1"/>
  <c r="W3742" i="1"/>
  <c r="P3742" i="1"/>
  <c r="J3742" i="1"/>
  <c r="L3742" i="1" s="1"/>
  <c r="W3741" i="1"/>
  <c r="P3741" i="1"/>
  <c r="J3741" i="1"/>
  <c r="R3741" i="1" s="1"/>
  <c r="W3740" i="1"/>
  <c r="P3740" i="1"/>
  <c r="J3740" i="1"/>
  <c r="L3740" i="1" s="1"/>
  <c r="W3739" i="1"/>
  <c r="W3738" i="1"/>
  <c r="W3737" i="1"/>
  <c r="T3737" i="1"/>
  <c r="R3737" i="1"/>
  <c r="L3737" i="1"/>
  <c r="W3736" i="1"/>
  <c r="P3736" i="1"/>
  <c r="J3736" i="1"/>
  <c r="W3735" i="1"/>
  <c r="T3735" i="1"/>
  <c r="R3735" i="1"/>
  <c r="L3735" i="1"/>
  <c r="W3734" i="1"/>
  <c r="P3734" i="1"/>
  <c r="J3734" i="1"/>
  <c r="L3734" i="1" s="1"/>
  <c r="W3732" i="1"/>
  <c r="W3731" i="1"/>
  <c r="T3731" i="1"/>
  <c r="R3731" i="1"/>
  <c r="L3731" i="1"/>
  <c r="W3730" i="1"/>
  <c r="P3730" i="1"/>
  <c r="J3730" i="1"/>
  <c r="T3730" i="1" s="1"/>
  <c r="W3729" i="1"/>
  <c r="W3727" i="1"/>
  <c r="T3727" i="1"/>
  <c r="R3727" i="1"/>
  <c r="L3727" i="1"/>
  <c r="W3726" i="1"/>
  <c r="P3726" i="1"/>
  <c r="J3726" i="1"/>
  <c r="L3726" i="1" s="1"/>
  <c r="W3725" i="1"/>
  <c r="P3725" i="1"/>
  <c r="J3725" i="1"/>
  <c r="W3724" i="1"/>
  <c r="W3723" i="1"/>
  <c r="W3722" i="1"/>
  <c r="R3722" i="1"/>
  <c r="L3722" i="1"/>
  <c r="W3721" i="1"/>
  <c r="P3721" i="1"/>
  <c r="J3721" i="1"/>
  <c r="W3720" i="1"/>
  <c r="W3718" i="1"/>
  <c r="T3718" i="1"/>
  <c r="R3718" i="1"/>
  <c r="L3718" i="1"/>
  <c r="W3717" i="1"/>
  <c r="T3717" i="1"/>
  <c r="R3717" i="1"/>
  <c r="P3717" i="1"/>
  <c r="L3717" i="1"/>
  <c r="W3716" i="1"/>
  <c r="P3716" i="1"/>
  <c r="J3716" i="1"/>
  <c r="L3716" i="1" s="1"/>
  <c r="W3715" i="1"/>
  <c r="P3715" i="1"/>
  <c r="J3715" i="1"/>
  <c r="L3715" i="1" s="1"/>
  <c r="W3714" i="1"/>
  <c r="P3714" i="1"/>
  <c r="J3714" i="1"/>
  <c r="W3711" i="1"/>
  <c r="T3711" i="1"/>
  <c r="R3711" i="1"/>
  <c r="L3711" i="1"/>
  <c r="W3710" i="1"/>
  <c r="T3710" i="1"/>
  <c r="R3710" i="1"/>
  <c r="P3710" i="1"/>
  <c r="L3710" i="1"/>
  <c r="W3709" i="1"/>
  <c r="P3709" i="1"/>
  <c r="J3709" i="1"/>
  <c r="W3708" i="1"/>
  <c r="P3708" i="1"/>
  <c r="J3708" i="1"/>
  <c r="L3708" i="1" s="1"/>
  <c r="W3707" i="1"/>
  <c r="P3707" i="1"/>
  <c r="J3707" i="1"/>
  <c r="W3706" i="1"/>
  <c r="P3706" i="1"/>
  <c r="J3706" i="1"/>
  <c r="W3703" i="1"/>
  <c r="T3703" i="1"/>
  <c r="R3703" i="1"/>
  <c r="L3703" i="1"/>
  <c r="W3702" i="1"/>
  <c r="P3702" i="1"/>
  <c r="J3702" i="1"/>
  <c r="T3702" i="1" s="1"/>
  <c r="W3701" i="1"/>
  <c r="P3701" i="1"/>
  <c r="J3701" i="1"/>
  <c r="W3700" i="1"/>
  <c r="P3700" i="1"/>
  <c r="J3700" i="1"/>
  <c r="T3700" i="1" s="1"/>
  <c r="W3699" i="1"/>
  <c r="W3698" i="1"/>
  <c r="T3698" i="1"/>
  <c r="R3698" i="1"/>
  <c r="P3698" i="1"/>
  <c r="L3698" i="1"/>
  <c r="W3697" i="1"/>
  <c r="P3697" i="1"/>
  <c r="J3697" i="1"/>
  <c r="L3697" i="1" s="1"/>
  <c r="W3694" i="1"/>
  <c r="T3694" i="1"/>
  <c r="R3694" i="1"/>
  <c r="L3694" i="1"/>
  <c r="W3693" i="1"/>
  <c r="P3693" i="1"/>
  <c r="J3693" i="1"/>
  <c r="L3693" i="1" s="1"/>
  <c r="W3692" i="1"/>
  <c r="P3692" i="1"/>
  <c r="J3692" i="1"/>
  <c r="W3691" i="1"/>
  <c r="P3691" i="1"/>
  <c r="J3691" i="1"/>
  <c r="L3691" i="1" s="1"/>
  <c r="W3690" i="1"/>
  <c r="W3689" i="1"/>
  <c r="W3688" i="1"/>
  <c r="T3688" i="1"/>
  <c r="R3688" i="1"/>
  <c r="L3688" i="1"/>
  <c r="W3687" i="1"/>
  <c r="T3687" i="1"/>
  <c r="R3687" i="1"/>
  <c r="L3687" i="1"/>
  <c r="W3686" i="1"/>
  <c r="P3686" i="1"/>
  <c r="J3686" i="1"/>
  <c r="W3685" i="1"/>
  <c r="T3685" i="1"/>
  <c r="R3685" i="1"/>
  <c r="L3685" i="1"/>
  <c r="W3684" i="1"/>
  <c r="P3684" i="1"/>
  <c r="J3684" i="1"/>
  <c r="L3684" i="1" s="1"/>
  <c r="W3682" i="1"/>
  <c r="W3681" i="1"/>
  <c r="T3681" i="1"/>
  <c r="R3681" i="1"/>
  <c r="L3681" i="1"/>
  <c r="W3680" i="1"/>
  <c r="P3680" i="1"/>
  <c r="J3680" i="1"/>
  <c r="W3678" i="1"/>
  <c r="W3677" i="1"/>
  <c r="R3677" i="1"/>
  <c r="L3677" i="1"/>
  <c r="W3676" i="1"/>
  <c r="P3676" i="1"/>
  <c r="J3676" i="1"/>
  <c r="T3676" i="1" s="1"/>
  <c r="W3675" i="1"/>
  <c r="W3674" i="1"/>
  <c r="W3673" i="1"/>
  <c r="T3673" i="1"/>
  <c r="R3673" i="1"/>
  <c r="L3673" i="1"/>
  <c r="W3672" i="1"/>
  <c r="P3672" i="1"/>
  <c r="J3672" i="1"/>
  <c r="L3672" i="1" s="1"/>
  <c r="W3671" i="1"/>
  <c r="P3671" i="1"/>
  <c r="J3671" i="1"/>
  <c r="W3670" i="1"/>
  <c r="W3669" i="1"/>
  <c r="W3668" i="1"/>
  <c r="T3668" i="1"/>
  <c r="R3668" i="1"/>
  <c r="L3668" i="1"/>
  <c r="W3667" i="1"/>
  <c r="P3667" i="1"/>
  <c r="J3667" i="1"/>
  <c r="L3667" i="1" s="1"/>
  <c r="W3666" i="1"/>
  <c r="W3665" i="1"/>
  <c r="W3664" i="1"/>
  <c r="T3664" i="1"/>
  <c r="R3664" i="1"/>
  <c r="L3664" i="1"/>
  <c r="W3663" i="1"/>
  <c r="T3663" i="1"/>
  <c r="R3663" i="1"/>
  <c r="L3663" i="1"/>
  <c r="W3662" i="1"/>
  <c r="P3662" i="1"/>
  <c r="J3662" i="1"/>
  <c r="L3662" i="1" s="1"/>
  <c r="W3661" i="1"/>
  <c r="W3660" i="1"/>
  <c r="T3660" i="1"/>
  <c r="R3660" i="1"/>
  <c r="L3660" i="1"/>
  <c r="W3659" i="1"/>
  <c r="P3659" i="1"/>
  <c r="J3659" i="1"/>
  <c r="L3659" i="1" s="1"/>
  <c r="W3658" i="1"/>
  <c r="P3658" i="1"/>
  <c r="J3658" i="1"/>
  <c r="L3658" i="1" s="1"/>
  <c r="W3657" i="1"/>
  <c r="W3656" i="1"/>
  <c r="W3655" i="1"/>
  <c r="T3655" i="1"/>
  <c r="R3655" i="1"/>
  <c r="L3655" i="1"/>
  <c r="W3654" i="1"/>
  <c r="T3654" i="1"/>
  <c r="R3654" i="1"/>
  <c r="L3654" i="1"/>
  <c r="W3653" i="1"/>
  <c r="P3653" i="1"/>
  <c r="J3653" i="1"/>
  <c r="W3652" i="1"/>
  <c r="P3652" i="1"/>
  <c r="J3652" i="1"/>
  <c r="W3651" i="1"/>
  <c r="W3650" i="1"/>
  <c r="P3650" i="1"/>
  <c r="J3650" i="1"/>
  <c r="W3649" i="1"/>
  <c r="P3649" i="1"/>
  <c r="J3649" i="1"/>
  <c r="L3649" i="1" s="1"/>
  <c r="W3648" i="1"/>
  <c r="W3647" i="1"/>
  <c r="W3646" i="1"/>
  <c r="L3646" i="1"/>
  <c r="W3645" i="1"/>
  <c r="P3645" i="1"/>
  <c r="J3645" i="1"/>
  <c r="W3643" i="1"/>
  <c r="P3643" i="1"/>
  <c r="J3643" i="1"/>
  <c r="L3643" i="1" s="1"/>
  <c r="W3641" i="1"/>
  <c r="W3640" i="1"/>
  <c r="T3640" i="1"/>
  <c r="R3640" i="1"/>
  <c r="L3640" i="1"/>
  <c r="W3639" i="1"/>
  <c r="T3639" i="1"/>
  <c r="R3639" i="1"/>
  <c r="L3639" i="1"/>
  <c r="W3638" i="1"/>
  <c r="T3638" i="1"/>
  <c r="R3638" i="1"/>
  <c r="P3638" i="1"/>
  <c r="L3638" i="1"/>
  <c r="W3637" i="1"/>
  <c r="W3636" i="1"/>
  <c r="W3635" i="1"/>
  <c r="T3635" i="1"/>
  <c r="R3635" i="1"/>
  <c r="L3635" i="1"/>
  <c r="W3634" i="1"/>
  <c r="P3634" i="1"/>
  <c r="J3634" i="1"/>
  <c r="W3633" i="1"/>
  <c r="W3632" i="1"/>
  <c r="W3631" i="1"/>
  <c r="T3631" i="1"/>
  <c r="R3631" i="1"/>
  <c r="L3631" i="1"/>
  <c r="W3630" i="1"/>
  <c r="T3630" i="1"/>
  <c r="R3630" i="1"/>
  <c r="L3630" i="1"/>
  <c r="W3629" i="1"/>
  <c r="P3629" i="1"/>
  <c r="J3629" i="1"/>
  <c r="L3629" i="1" s="1"/>
  <c r="W3628" i="1"/>
  <c r="P3628" i="1"/>
  <c r="J3628" i="1"/>
  <c r="W3626" i="1"/>
  <c r="P3626" i="1"/>
  <c r="J3626" i="1"/>
  <c r="T3626" i="1" s="1"/>
  <c r="W3624" i="1"/>
  <c r="W3623" i="1"/>
  <c r="T3623" i="1"/>
  <c r="R3623" i="1"/>
  <c r="L3623" i="1"/>
  <c r="W3622" i="1"/>
  <c r="P3622" i="1"/>
  <c r="J3622" i="1"/>
  <c r="T3622" i="1" s="1"/>
  <c r="W3621" i="1"/>
  <c r="W3619" i="1"/>
  <c r="T3619" i="1"/>
  <c r="R3619" i="1"/>
  <c r="L3619" i="1"/>
  <c r="W3618" i="1"/>
  <c r="P3618" i="1"/>
  <c r="L3618" i="1"/>
  <c r="W3617" i="1"/>
  <c r="P3617" i="1"/>
  <c r="L3617" i="1"/>
  <c r="W3615" i="1"/>
  <c r="W3614" i="1"/>
  <c r="T3614" i="1"/>
  <c r="R3614" i="1"/>
  <c r="L3614" i="1"/>
  <c r="W3613" i="1"/>
  <c r="T3613" i="1"/>
  <c r="R3613" i="1"/>
  <c r="P3613" i="1"/>
  <c r="L3613" i="1"/>
  <c r="W3612" i="1"/>
  <c r="P3612" i="1"/>
  <c r="J3612" i="1"/>
  <c r="T3612" i="1" s="1"/>
  <c r="W3611" i="1"/>
  <c r="P3611" i="1"/>
  <c r="J3611" i="1"/>
  <c r="T3611" i="1" s="1"/>
  <c r="W3609" i="1"/>
  <c r="W3608" i="1"/>
  <c r="T3608" i="1"/>
  <c r="R3608" i="1"/>
  <c r="L3608" i="1"/>
  <c r="W3607" i="1"/>
  <c r="T3607" i="1"/>
  <c r="R3607" i="1"/>
  <c r="L3607" i="1"/>
  <c r="W3606" i="1"/>
  <c r="P3606" i="1"/>
  <c r="J3606" i="1"/>
  <c r="W3605" i="1"/>
  <c r="W3604" i="1"/>
  <c r="T3604" i="1"/>
  <c r="R3604" i="1"/>
  <c r="L3604" i="1"/>
  <c r="W3603" i="1"/>
  <c r="T3603" i="1"/>
  <c r="R3603" i="1"/>
  <c r="L3603" i="1"/>
  <c r="W3602" i="1"/>
  <c r="P3602" i="1"/>
  <c r="J3602" i="1"/>
  <c r="R3602" i="1" s="1"/>
  <c r="W3601" i="1"/>
  <c r="W3600" i="1"/>
  <c r="P3600" i="1"/>
  <c r="J3600" i="1"/>
  <c r="W3599" i="1"/>
  <c r="P3599" i="1"/>
  <c r="J3599" i="1"/>
  <c r="T3599" i="1" s="1"/>
  <c r="W3598" i="1"/>
  <c r="W3597" i="1"/>
  <c r="W3596" i="1"/>
  <c r="T3596" i="1"/>
  <c r="R3596" i="1"/>
  <c r="L3596" i="1"/>
  <c r="W3595" i="1"/>
  <c r="P3595" i="1"/>
  <c r="J3595" i="1"/>
  <c r="T3595" i="1" s="1"/>
  <c r="W3592" i="1"/>
  <c r="T3592" i="1"/>
  <c r="R3592" i="1"/>
  <c r="L3592" i="1"/>
  <c r="W3591" i="1"/>
  <c r="P3591" i="1"/>
  <c r="J3591" i="1"/>
  <c r="R3591" i="1" s="1"/>
  <c r="W3590" i="1"/>
  <c r="P3590" i="1"/>
  <c r="J3590" i="1"/>
  <c r="W3589" i="1"/>
  <c r="W3588" i="1"/>
  <c r="W3587" i="1"/>
  <c r="T3587" i="1"/>
  <c r="R3587" i="1"/>
  <c r="L3587" i="1"/>
  <c r="W3586" i="1"/>
  <c r="P3586" i="1"/>
  <c r="J3586" i="1"/>
  <c r="L3586" i="1" s="1"/>
  <c r="W3585" i="1"/>
  <c r="W3584" i="1"/>
  <c r="W3583" i="1"/>
  <c r="P3583" i="1"/>
  <c r="J3583" i="1"/>
  <c r="T3583" i="1" s="1"/>
  <c r="W3582" i="1"/>
  <c r="P3582" i="1"/>
  <c r="J3582" i="1"/>
  <c r="L3582" i="1" s="1"/>
  <c r="W3581" i="1"/>
  <c r="W3580" i="1"/>
  <c r="W3579" i="1"/>
  <c r="T3579" i="1"/>
  <c r="R3579" i="1"/>
  <c r="L3579" i="1"/>
  <c r="W3578" i="1"/>
  <c r="P3578" i="1"/>
  <c r="J3578" i="1"/>
  <c r="T3578" i="1" s="1"/>
  <c r="W3577" i="1"/>
  <c r="W3576" i="1"/>
  <c r="W3575" i="1"/>
  <c r="T3575" i="1"/>
  <c r="R3575" i="1"/>
  <c r="L3575" i="1"/>
  <c r="W3574" i="1"/>
  <c r="P3574" i="1"/>
  <c r="J3574" i="1"/>
  <c r="L3574" i="1" s="1"/>
  <c r="W3573" i="1"/>
  <c r="P3573" i="1"/>
  <c r="J3573" i="1"/>
  <c r="R3573" i="1" s="1"/>
  <c r="W3572" i="1"/>
  <c r="P3572" i="1"/>
  <c r="J3572" i="1"/>
  <c r="W3571" i="1"/>
  <c r="P3571" i="1"/>
  <c r="J3571" i="1"/>
  <c r="L3571" i="1" s="1"/>
  <c r="W3570" i="1"/>
  <c r="P3570" i="1"/>
  <c r="J3570" i="1"/>
  <c r="T3570" i="1" s="1"/>
  <c r="W3569" i="1"/>
  <c r="W3568" i="1"/>
  <c r="W3567" i="1"/>
  <c r="P3567" i="1"/>
  <c r="J3567" i="1"/>
  <c r="W3566" i="1"/>
  <c r="P3566" i="1"/>
  <c r="J3566" i="1"/>
  <c r="W3565" i="1"/>
  <c r="P3565" i="1"/>
  <c r="J3565" i="1"/>
  <c r="T3565" i="1" s="1"/>
  <c r="W3564" i="1"/>
  <c r="P3564" i="1"/>
  <c r="J3564" i="1"/>
  <c r="R3564" i="1" s="1"/>
  <c r="W3563" i="1"/>
  <c r="P3563" i="1"/>
  <c r="J3563" i="1"/>
  <c r="T3563" i="1" s="1"/>
  <c r="W3562" i="1"/>
  <c r="P3562" i="1"/>
  <c r="J3562" i="1"/>
  <c r="L3562" i="1" s="1"/>
  <c r="W3561" i="1"/>
  <c r="P3561" i="1"/>
  <c r="J3561" i="1"/>
  <c r="W3560" i="1"/>
  <c r="P3560" i="1"/>
  <c r="J3560" i="1"/>
  <c r="W3559" i="1"/>
  <c r="P3559" i="1"/>
  <c r="J3559" i="1"/>
  <c r="T3559" i="1" s="1"/>
  <c r="W3558" i="1"/>
  <c r="P3558" i="1"/>
  <c r="J3558" i="1"/>
  <c r="W3557" i="1"/>
  <c r="P3557" i="1"/>
  <c r="J3557" i="1"/>
  <c r="T3557" i="1" s="1"/>
  <c r="W3556" i="1"/>
  <c r="P3556" i="1"/>
  <c r="J3556" i="1"/>
  <c r="R3556" i="1" s="1"/>
  <c r="W3555" i="1"/>
  <c r="P3555" i="1"/>
  <c r="J3555" i="1"/>
  <c r="W3554" i="1"/>
  <c r="P3554" i="1"/>
  <c r="J3554" i="1"/>
  <c r="L3554" i="1" s="1"/>
  <c r="W3553" i="1"/>
  <c r="P3553" i="1"/>
  <c r="J3553" i="1"/>
  <c r="W3552" i="1"/>
  <c r="W3551" i="1"/>
  <c r="W3550" i="1"/>
  <c r="T3550" i="1"/>
  <c r="R3550" i="1"/>
  <c r="L3550" i="1"/>
  <c r="W3549" i="1"/>
  <c r="T3549" i="1"/>
  <c r="R3549" i="1"/>
  <c r="L3549" i="1"/>
  <c r="W3548" i="1"/>
  <c r="P3548" i="1"/>
  <c r="J3548" i="1"/>
  <c r="W3547" i="1"/>
  <c r="W3546" i="1"/>
  <c r="W3545" i="1"/>
  <c r="T3545" i="1"/>
  <c r="R3545" i="1"/>
  <c r="L3545" i="1"/>
  <c r="W3544" i="1"/>
  <c r="P3544" i="1"/>
  <c r="J3544" i="1"/>
  <c r="T3544" i="1" s="1"/>
  <c r="W3543" i="1"/>
  <c r="W3542" i="1"/>
  <c r="W3541" i="1"/>
  <c r="T3541" i="1"/>
  <c r="R3541" i="1"/>
  <c r="L3541" i="1"/>
  <c r="W3540" i="1"/>
  <c r="T3540" i="1"/>
  <c r="R3540" i="1"/>
  <c r="L3540" i="1"/>
  <c r="W3539" i="1"/>
  <c r="T3539" i="1"/>
  <c r="R3539" i="1"/>
  <c r="P3539" i="1"/>
  <c r="L3539" i="1"/>
  <c r="W3537" i="1"/>
  <c r="W3536" i="1"/>
  <c r="T3536" i="1"/>
  <c r="R3536" i="1"/>
  <c r="L3536" i="1"/>
  <c r="W3535" i="1"/>
  <c r="P3535" i="1"/>
  <c r="J3535" i="1"/>
  <c r="L3535" i="1" s="1"/>
  <c r="W3534" i="1"/>
  <c r="P3534" i="1"/>
  <c r="J3534" i="1"/>
  <c r="L3534" i="1" s="1"/>
  <c r="W3533" i="1"/>
  <c r="P3533" i="1"/>
  <c r="J3533" i="1"/>
  <c r="T3533" i="1" s="1"/>
  <c r="W3532" i="1"/>
  <c r="P3532" i="1"/>
  <c r="J3532" i="1"/>
  <c r="L3532" i="1" s="1"/>
  <c r="W3531" i="1"/>
  <c r="P3531" i="1"/>
  <c r="J3531" i="1"/>
  <c r="L3531" i="1" s="1"/>
  <c r="W3530" i="1"/>
  <c r="P3530" i="1"/>
  <c r="J3530" i="1"/>
  <c r="T3530" i="1" s="1"/>
  <c r="W3529" i="1"/>
  <c r="P3529" i="1"/>
  <c r="J3529" i="1"/>
  <c r="W3528" i="1"/>
  <c r="W3526" i="1"/>
  <c r="T3526" i="1"/>
  <c r="R3526" i="1"/>
  <c r="L3526" i="1"/>
  <c r="W3525" i="1"/>
  <c r="P3525" i="1"/>
  <c r="J3525" i="1"/>
  <c r="T3525" i="1" s="1"/>
  <c r="W3524" i="1"/>
  <c r="P3524" i="1"/>
  <c r="J3524" i="1"/>
  <c r="T3524" i="1" s="1"/>
  <c r="W3521" i="1"/>
  <c r="T3521" i="1"/>
  <c r="R3521" i="1"/>
  <c r="L3521" i="1"/>
  <c r="W3520" i="1"/>
  <c r="P3520" i="1"/>
  <c r="J3520" i="1"/>
  <c r="L3520" i="1" s="1"/>
  <c r="W3519" i="1"/>
  <c r="P3519" i="1"/>
  <c r="J3519" i="1"/>
  <c r="W3516" i="1"/>
  <c r="T3516" i="1"/>
  <c r="R3516" i="1"/>
  <c r="P3516" i="1"/>
  <c r="L3516" i="1"/>
  <c r="W3515" i="1"/>
  <c r="P3515" i="1"/>
  <c r="J3515" i="1"/>
  <c r="L3515" i="1" s="1"/>
  <c r="W3514" i="1"/>
  <c r="P3514" i="1"/>
  <c r="J3514" i="1"/>
  <c r="T3514" i="1" s="1"/>
  <c r="W3512" i="1"/>
  <c r="T3511" i="1"/>
  <c r="R3511" i="1"/>
  <c r="L3511" i="1"/>
  <c r="W3510" i="1"/>
  <c r="P3510" i="1"/>
  <c r="J3510" i="1"/>
  <c r="L3510" i="1" s="1"/>
  <c r="W3508" i="1"/>
  <c r="W3507" i="1"/>
  <c r="T3507" i="1"/>
  <c r="L3507" i="1"/>
  <c r="W3506" i="1"/>
  <c r="T3506" i="1"/>
  <c r="R3506" i="1"/>
  <c r="L3506" i="1"/>
  <c r="W3505" i="1"/>
  <c r="P3505" i="1"/>
  <c r="J3505" i="1"/>
  <c r="W3503" i="1"/>
  <c r="W3502" i="1"/>
  <c r="T3502" i="1"/>
  <c r="R3502" i="1"/>
  <c r="L3502" i="1"/>
  <c r="W3501" i="1"/>
  <c r="P3501" i="1"/>
  <c r="J3501" i="1"/>
  <c r="L3501" i="1" s="1"/>
  <c r="W3499" i="1"/>
  <c r="W3498" i="1"/>
  <c r="R3498" i="1"/>
  <c r="L3498" i="1"/>
  <c r="W3497" i="1"/>
  <c r="P3497" i="1"/>
  <c r="J3497" i="1"/>
  <c r="W3496" i="1"/>
  <c r="P3496" i="1"/>
  <c r="J3496" i="1"/>
  <c r="L3496" i="1" s="1"/>
  <c r="W3495" i="1"/>
  <c r="P3495" i="1"/>
  <c r="J3495" i="1"/>
  <c r="T3495" i="1" s="1"/>
  <c r="W3494" i="1"/>
  <c r="P3494" i="1"/>
  <c r="J3494" i="1"/>
  <c r="R3494" i="1" s="1"/>
  <c r="W3493" i="1"/>
  <c r="P3493" i="1"/>
  <c r="J3493" i="1"/>
  <c r="W3492" i="1"/>
  <c r="W3490" i="1"/>
  <c r="T3490" i="1"/>
  <c r="R3490" i="1"/>
  <c r="L3490" i="1"/>
  <c r="W3489" i="1"/>
  <c r="T3489" i="1"/>
  <c r="R3489" i="1"/>
  <c r="L3489" i="1"/>
  <c r="W3488" i="1"/>
  <c r="T3488" i="1"/>
  <c r="R3488" i="1"/>
  <c r="P3488" i="1"/>
  <c r="L3488" i="1"/>
  <c r="W3487" i="1"/>
  <c r="P3487" i="1"/>
  <c r="J3487" i="1"/>
  <c r="R3487" i="1" s="1"/>
  <c r="W3486" i="1"/>
  <c r="W3484" i="1"/>
  <c r="T3484" i="1"/>
  <c r="R3484" i="1"/>
  <c r="L3484" i="1"/>
  <c r="W3483" i="1"/>
  <c r="T3483" i="1"/>
  <c r="R3483" i="1"/>
  <c r="P3483" i="1"/>
  <c r="L3483" i="1"/>
  <c r="W3482" i="1"/>
  <c r="P3482" i="1"/>
  <c r="J3482" i="1"/>
  <c r="L3482" i="1" s="1"/>
  <c r="W3481" i="1"/>
  <c r="P3481" i="1"/>
  <c r="J3481" i="1"/>
  <c r="R3481" i="1" s="1"/>
  <c r="W3480" i="1"/>
  <c r="T3478" i="1"/>
  <c r="R3478" i="1"/>
  <c r="L3478" i="1"/>
  <c r="W3477" i="1"/>
  <c r="P3477" i="1"/>
  <c r="J3477" i="1"/>
  <c r="W3476" i="1"/>
  <c r="W3475" i="1"/>
  <c r="W3474" i="1"/>
  <c r="T3474" i="1"/>
  <c r="R3474" i="1"/>
  <c r="L3474" i="1"/>
  <c r="W3473" i="1"/>
  <c r="P3473" i="1"/>
  <c r="J3473" i="1"/>
  <c r="R3473" i="1" s="1"/>
  <c r="W3472" i="1"/>
  <c r="W3471" i="1"/>
  <c r="W3470" i="1"/>
  <c r="T3470" i="1"/>
  <c r="R3470" i="1"/>
  <c r="L3470" i="1"/>
  <c r="W3469" i="1"/>
  <c r="P3469" i="1"/>
  <c r="J3469" i="1"/>
  <c r="W3468" i="1"/>
  <c r="W3467" i="1"/>
  <c r="W3466" i="1"/>
  <c r="T3466" i="1"/>
  <c r="R3466" i="1"/>
  <c r="L3466" i="1"/>
  <c r="W3465" i="1"/>
  <c r="P3465" i="1"/>
  <c r="J3465" i="1"/>
  <c r="W3464" i="1"/>
  <c r="P3464" i="1"/>
  <c r="J3464" i="1"/>
  <c r="R3464" i="1" s="1"/>
  <c r="W3462" i="1"/>
  <c r="W3461" i="1"/>
  <c r="T3461" i="1"/>
  <c r="R3461" i="1"/>
  <c r="L3461" i="1"/>
  <c r="W3460" i="1"/>
  <c r="P3460" i="1"/>
  <c r="J3460" i="1"/>
  <c r="W3458" i="1"/>
  <c r="W3457" i="1"/>
  <c r="T3457" i="1"/>
  <c r="R3457" i="1"/>
  <c r="L3457" i="1"/>
  <c r="W3456" i="1"/>
  <c r="T3456" i="1"/>
  <c r="R3456" i="1"/>
  <c r="L3456" i="1"/>
  <c r="W3455" i="1"/>
  <c r="T3455" i="1"/>
  <c r="R3455" i="1"/>
  <c r="P3455" i="1"/>
  <c r="L3455" i="1"/>
  <c r="W3453" i="1"/>
  <c r="W3452" i="1"/>
  <c r="T3452" i="1"/>
  <c r="R3452" i="1"/>
  <c r="L3452" i="1"/>
  <c r="W3451" i="1"/>
  <c r="P3451" i="1"/>
  <c r="J3451" i="1"/>
  <c r="W3450" i="1"/>
  <c r="P3450" i="1"/>
  <c r="J3450" i="1"/>
  <c r="W3449" i="1"/>
  <c r="P3449" i="1"/>
  <c r="J3449" i="1"/>
  <c r="W3448" i="1"/>
  <c r="P3448" i="1"/>
  <c r="J3448" i="1"/>
  <c r="W3447" i="1"/>
  <c r="W3446" i="1"/>
  <c r="W3445" i="1"/>
  <c r="T3445" i="1"/>
  <c r="L3445" i="1"/>
  <c r="W3444" i="1"/>
  <c r="P3444" i="1"/>
  <c r="J3444" i="1"/>
  <c r="R3444" i="1" s="1"/>
  <c r="W3442" i="1"/>
  <c r="W3441" i="1"/>
  <c r="T3441" i="1"/>
  <c r="L3441" i="1"/>
  <c r="W3440" i="1"/>
  <c r="P3440" i="1"/>
  <c r="J3440" i="1"/>
  <c r="W3439" i="1"/>
  <c r="W3438" i="1"/>
  <c r="W3437" i="1"/>
  <c r="T3437" i="1"/>
  <c r="L3437" i="1"/>
  <c r="W3436" i="1"/>
  <c r="T3436" i="1"/>
  <c r="R3436" i="1"/>
  <c r="P3436" i="1"/>
  <c r="L3436" i="1"/>
  <c r="W3435" i="1"/>
  <c r="T3435" i="1"/>
  <c r="R3435" i="1"/>
  <c r="P3435" i="1"/>
  <c r="L3435" i="1"/>
  <c r="W3434" i="1"/>
  <c r="T3434" i="1"/>
  <c r="R3434" i="1"/>
  <c r="P3434" i="1"/>
  <c r="L3434" i="1"/>
  <c r="W3433" i="1"/>
  <c r="W3432" i="1"/>
  <c r="W3431" i="1"/>
  <c r="T3431" i="1"/>
  <c r="L3431" i="1"/>
  <c r="W3430" i="1"/>
  <c r="P3430" i="1"/>
  <c r="J3430" i="1"/>
  <c r="L3430" i="1" s="1"/>
  <c r="W3429" i="1"/>
  <c r="W3428" i="1"/>
  <c r="W3427" i="1"/>
  <c r="T3427" i="1"/>
  <c r="R3427" i="1"/>
  <c r="P3427" i="1"/>
  <c r="L3427" i="1"/>
  <c r="W3426" i="1"/>
  <c r="P3426" i="1"/>
  <c r="J3426" i="1"/>
  <c r="W3424" i="1"/>
  <c r="W3423" i="1"/>
  <c r="T3423" i="1"/>
  <c r="R3423" i="1"/>
  <c r="L3423" i="1"/>
  <c r="W3422" i="1"/>
  <c r="P3422" i="1"/>
  <c r="J3422" i="1"/>
  <c r="W3421" i="1"/>
  <c r="W3420" i="1"/>
  <c r="W3419" i="1"/>
  <c r="T3419" i="1"/>
  <c r="R3419" i="1"/>
  <c r="L3419" i="1"/>
  <c r="W3418" i="1"/>
  <c r="P3418" i="1"/>
  <c r="J3418" i="1"/>
  <c r="W3417" i="1"/>
  <c r="W3416" i="1"/>
  <c r="S3415" i="1"/>
  <c r="W3415" i="1" s="1"/>
  <c r="R3415" i="1"/>
  <c r="L3415" i="1"/>
  <c r="W3414" i="1"/>
  <c r="P3414" i="1"/>
  <c r="J3414" i="1"/>
  <c r="L3414" i="1" s="1"/>
  <c r="W3413" i="1"/>
  <c r="W3412" i="1"/>
  <c r="P3412" i="1"/>
  <c r="J3412" i="1"/>
  <c r="W3411" i="1"/>
  <c r="W3410" i="1"/>
  <c r="R3409" i="1"/>
  <c r="L3409" i="1"/>
  <c r="W3408" i="1"/>
  <c r="P3408" i="1"/>
  <c r="J3408" i="1"/>
  <c r="L3408" i="1" s="1"/>
  <c r="W3406" i="1"/>
  <c r="R3405" i="1"/>
  <c r="L3405" i="1"/>
  <c r="W3404" i="1"/>
  <c r="P3404" i="1"/>
  <c r="J3404" i="1"/>
  <c r="W3403" i="1"/>
  <c r="P3403" i="1"/>
  <c r="J3403" i="1"/>
  <c r="W3401" i="1"/>
  <c r="T3400" i="1"/>
  <c r="Q3400" i="1"/>
  <c r="R3400" i="1" s="1"/>
  <c r="K3400" i="1"/>
  <c r="L3400" i="1" s="1"/>
  <c r="W3399" i="1"/>
  <c r="P3399" i="1"/>
  <c r="J3399" i="1"/>
  <c r="L3399" i="1" s="1"/>
  <c r="W3398" i="1"/>
  <c r="P3398" i="1"/>
  <c r="J3398" i="1"/>
  <c r="W3396" i="1"/>
  <c r="P3396" i="1"/>
  <c r="J3396" i="1"/>
  <c r="T3396" i="1" s="1"/>
  <c r="W3395" i="1"/>
  <c r="P3395" i="1"/>
  <c r="J3395" i="1"/>
  <c r="W3394" i="1"/>
  <c r="P3394" i="1"/>
  <c r="J3394" i="1"/>
  <c r="W3393" i="1"/>
  <c r="P3393" i="1"/>
  <c r="J3393" i="1"/>
  <c r="W3391" i="1"/>
  <c r="T3391" i="1"/>
  <c r="R3391" i="1"/>
  <c r="L3391" i="1"/>
  <c r="W3390" i="1"/>
  <c r="P3390" i="1"/>
  <c r="J3390" i="1"/>
  <c r="R3390" i="1" s="1"/>
  <c r="W3388" i="1"/>
  <c r="T3388" i="1"/>
  <c r="R3388" i="1"/>
  <c r="L3388" i="1"/>
  <c r="W3387" i="1"/>
  <c r="P3387" i="1"/>
  <c r="J3387" i="1"/>
  <c r="T3387" i="1" s="1"/>
  <c r="W3386" i="1"/>
  <c r="P3386" i="1"/>
  <c r="J3386" i="1"/>
  <c r="L3386" i="1" s="1"/>
  <c r="W3385" i="1"/>
  <c r="P3385" i="1"/>
  <c r="J3385" i="1"/>
  <c r="W3384" i="1"/>
  <c r="P3384" i="1"/>
  <c r="J3384" i="1"/>
  <c r="W3382" i="1"/>
  <c r="T3382" i="1"/>
  <c r="R3382" i="1"/>
  <c r="L3382" i="1"/>
  <c r="W3381" i="1"/>
  <c r="P3381" i="1"/>
  <c r="J3381" i="1"/>
  <c r="W3380" i="1"/>
  <c r="P3380" i="1"/>
  <c r="J3380" i="1"/>
  <c r="T3380" i="1" s="1"/>
  <c r="W3379" i="1"/>
  <c r="P3379" i="1"/>
  <c r="J3379" i="1"/>
  <c r="W3378" i="1"/>
  <c r="P3378" i="1"/>
  <c r="J3378" i="1"/>
  <c r="T3378" i="1" s="1"/>
  <c r="W3376" i="1"/>
  <c r="W3375" i="1"/>
  <c r="P3375" i="1"/>
  <c r="J3375" i="1"/>
  <c r="R3375" i="1" s="1"/>
  <c r="W3374" i="1"/>
  <c r="P3374" i="1"/>
  <c r="J3374" i="1"/>
  <c r="W3372" i="1"/>
  <c r="W3371" i="1"/>
  <c r="T3371" i="1"/>
  <c r="R3371" i="1"/>
  <c r="L3371" i="1"/>
  <c r="W3370" i="1"/>
  <c r="T3370" i="1"/>
  <c r="R3370" i="1"/>
  <c r="L3370" i="1"/>
  <c r="W3369" i="1"/>
  <c r="T3369" i="1"/>
  <c r="R3369" i="1"/>
  <c r="P3369" i="1"/>
  <c r="L3369" i="1"/>
  <c r="W3367" i="1"/>
  <c r="W3366" i="1"/>
  <c r="P3366" i="1"/>
  <c r="J3366" i="1"/>
  <c r="W3365" i="1"/>
  <c r="W3364" i="1"/>
  <c r="W3363" i="1"/>
  <c r="T3363" i="1"/>
  <c r="R3363" i="1"/>
  <c r="L3363" i="1"/>
  <c r="W3362" i="1"/>
  <c r="P3362" i="1"/>
  <c r="J3362" i="1"/>
  <c r="W3361" i="1"/>
  <c r="P3361" i="1"/>
  <c r="J3361" i="1"/>
  <c r="L3361" i="1" s="1"/>
  <c r="W3360" i="1"/>
  <c r="W3359" i="1"/>
  <c r="W3358" i="1"/>
  <c r="T3358" i="1"/>
  <c r="L3358" i="1"/>
  <c r="W3357" i="1"/>
  <c r="T3357" i="1"/>
  <c r="R3357" i="1"/>
  <c r="P3357" i="1"/>
  <c r="W3356" i="1"/>
  <c r="T3356" i="1"/>
  <c r="R3356" i="1"/>
  <c r="P3356" i="1"/>
  <c r="L3356" i="1"/>
  <c r="W3355" i="1"/>
  <c r="W3354" i="1"/>
  <c r="W3353" i="1"/>
  <c r="T3353" i="1"/>
  <c r="R3353" i="1"/>
  <c r="L3353" i="1"/>
  <c r="W3352" i="1"/>
  <c r="P3352" i="1"/>
  <c r="J3352" i="1"/>
  <c r="T3352" i="1" s="1"/>
  <c r="W3351" i="1"/>
  <c r="P3351" i="1"/>
  <c r="J3351" i="1"/>
  <c r="W3350" i="1"/>
  <c r="P3350" i="1"/>
  <c r="J3350" i="1"/>
  <c r="W3349" i="1"/>
  <c r="W3348" i="1"/>
  <c r="W3347" i="1"/>
  <c r="T3347" i="1"/>
  <c r="R3347" i="1"/>
  <c r="L3347" i="1"/>
  <c r="W3346" i="1"/>
  <c r="P3346" i="1"/>
  <c r="J3346" i="1"/>
  <c r="L3346" i="1" s="1"/>
  <c r="W3345" i="1"/>
  <c r="W3344" i="1"/>
  <c r="P3344" i="1"/>
  <c r="J3344" i="1"/>
  <c r="W3343" i="1"/>
  <c r="P3343" i="1"/>
  <c r="J3343" i="1"/>
  <c r="T3343" i="1" s="1"/>
  <c r="W3341" i="1"/>
  <c r="W3340" i="1"/>
  <c r="T3340" i="1"/>
  <c r="R3340" i="1"/>
  <c r="L3340" i="1"/>
  <c r="W3339" i="1"/>
  <c r="P3339" i="1"/>
  <c r="J3339" i="1"/>
  <c r="T3339" i="1" s="1"/>
  <c r="W3338" i="1"/>
  <c r="T3336" i="1"/>
  <c r="R3336" i="1"/>
  <c r="L3336" i="1"/>
  <c r="T3335" i="1"/>
  <c r="R3335" i="1"/>
  <c r="L3335" i="1"/>
  <c r="W3334" i="1"/>
  <c r="P3334" i="1"/>
  <c r="J3334" i="1"/>
  <c r="R3334" i="1" s="1"/>
  <c r="W3333" i="1"/>
  <c r="R3333" i="1"/>
  <c r="L3333" i="1"/>
  <c r="W3332" i="1"/>
  <c r="P3332" i="1"/>
  <c r="J3332" i="1"/>
  <c r="W3331" i="1"/>
  <c r="T3329" i="1"/>
  <c r="R3329" i="1"/>
  <c r="L3329" i="1"/>
  <c r="W3328" i="1"/>
  <c r="P3328" i="1"/>
  <c r="J3328" i="1"/>
  <c r="W3327" i="1"/>
  <c r="T3325" i="1"/>
  <c r="R3325" i="1"/>
  <c r="L3325" i="1"/>
  <c r="S3324" i="1"/>
  <c r="W3324" i="1" s="1"/>
  <c r="R3324" i="1"/>
  <c r="L3324" i="1"/>
  <c r="W3323" i="1"/>
  <c r="T3323" i="1"/>
  <c r="R3323" i="1"/>
  <c r="P3323" i="1"/>
  <c r="L3323" i="1"/>
  <c r="W3321" i="1"/>
  <c r="R3321" i="1"/>
  <c r="L3321" i="1"/>
  <c r="W3320" i="1"/>
  <c r="P3320" i="1"/>
  <c r="J3320" i="1"/>
  <c r="L3320" i="1" s="1"/>
  <c r="W3319" i="1"/>
  <c r="P3319" i="1"/>
  <c r="J3319" i="1"/>
  <c r="R3319" i="1" s="1"/>
  <c r="W3318" i="1"/>
  <c r="T3316" i="1"/>
  <c r="R3316" i="1"/>
  <c r="L3316" i="1"/>
  <c r="W3315" i="1"/>
  <c r="P3315" i="1"/>
  <c r="J3315" i="1"/>
  <c r="L3315" i="1" s="1"/>
  <c r="W3314" i="1"/>
  <c r="P3314" i="1"/>
  <c r="J3314" i="1"/>
  <c r="W3313" i="1"/>
  <c r="T3311" i="1"/>
  <c r="R3311" i="1"/>
  <c r="L3311" i="1"/>
  <c r="W3310" i="1"/>
  <c r="P3310" i="1"/>
  <c r="J3310" i="1"/>
  <c r="T3310" i="1" s="1"/>
  <c r="T3309" i="1"/>
  <c r="S3309" i="1"/>
  <c r="W3309" i="1" s="1"/>
  <c r="R3309" i="1"/>
  <c r="L3309" i="1"/>
  <c r="W3308" i="1"/>
  <c r="P3308" i="1"/>
  <c r="J3308" i="1"/>
  <c r="R3308" i="1" s="1"/>
  <c r="W3307" i="1"/>
  <c r="P3307" i="1"/>
  <c r="J3307" i="1"/>
  <c r="W3306" i="1"/>
  <c r="T3304" i="1"/>
  <c r="R3304" i="1"/>
  <c r="L3304" i="1"/>
  <c r="S3303" i="1"/>
  <c r="P3303" i="1" s="1"/>
  <c r="R3303" i="1"/>
  <c r="L3303" i="1"/>
  <c r="W3301" i="1"/>
  <c r="W3300" i="1"/>
  <c r="T3300" i="1"/>
  <c r="L3300" i="1"/>
  <c r="W3299" i="1"/>
  <c r="T3299" i="1"/>
  <c r="R3299" i="1"/>
  <c r="P3299" i="1"/>
  <c r="L3299" i="1"/>
  <c r="W3298" i="1"/>
  <c r="T3298" i="1"/>
  <c r="R3298" i="1"/>
  <c r="P3298" i="1"/>
  <c r="L3298" i="1"/>
  <c r="W3297" i="1"/>
  <c r="W3295" i="1"/>
  <c r="T3295" i="1"/>
  <c r="R3295" i="1"/>
  <c r="L3295" i="1"/>
  <c r="W3294" i="1"/>
  <c r="T3294" i="1"/>
  <c r="P3294" i="1"/>
  <c r="L3294" i="1"/>
  <c r="W3293" i="1"/>
  <c r="P3293" i="1"/>
  <c r="L3293" i="1"/>
  <c r="W3292" i="1"/>
  <c r="P3292" i="1"/>
  <c r="L3292" i="1"/>
  <c r="W3290" i="1"/>
  <c r="W3289" i="1"/>
  <c r="T3289" i="1"/>
  <c r="R3289" i="1"/>
  <c r="L3289" i="1"/>
  <c r="W3288" i="1"/>
  <c r="P3288" i="1"/>
  <c r="J3288" i="1"/>
  <c r="T3288" i="1" s="1"/>
  <c r="W3287" i="1"/>
  <c r="P3287" i="1"/>
  <c r="J3287" i="1"/>
  <c r="W3286" i="1"/>
  <c r="P3286" i="1"/>
  <c r="J3286" i="1"/>
  <c r="T3286" i="1" s="1"/>
  <c r="W3285" i="1"/>
  <c r="P3285" i="1"/>
  <c r="J3285" i="1"/>
  <c r="L3285" i="1" s="1"/>
  <c r="W3284" i="1"/>
  <c r="T3284" i="1"/>
  <c r="R3284" i="1"/>
  <c r="L3284" i="1"/>
  <c r="W3283" i="1"/>
  <c r="P3283" i="1"/>
  <c r="J3283" i="1"/>
  <c r="R3283" i="1" s="1"/>
  <c r="W3282" i="1"/>
  <c r="T3282" i="1"/>
  <c r="R3282" i="1"/>
  <c r="L3282" i="1"/>
  <c r="W3281" i="1"/>
  <c r="P3281" i="1"/>
  <c r="J3281" i="1"/>
  <c r="T3281" i="1" s="1"/>
  <c r="W3280" i="1"/>
  <c r="P3280" i="1"/>
  <c r="J3280" i="1"/>
  <c r="R3280" i="1" s="1"/>
  <c r="W3279" i="1"/>
  <c r="P3279" i="1"/>
  <c r="J3279" i="1"/>
  <c r="W3278" i="1"/>
  <c r="P3278" i="1"/>
  <c r="J3278" i="1"/>
  <c r="W3277" i="1"/>
  <c r="W3276" i="1"/>
  <c r="S3275" i="1"/>
  <c r="R3275" i="1"/>
  <c r="L3275" i="1"/>
  <c r="W3274" i="1"/>
  <c r="P3274" i="1"/>
  <c r="J3274" i="1"/>
  <c r="R3274" i="1" s="1"/>
  <c r="W3273" i="1"/>
  <c r="P3273" i="1"/>
  <c r="J3273" i="1"/>
  <c r="T3273" i="1" s="1"/>
  <c r="W3272" i="1"/>
  <c r="P3272" i="1"/>
  <c r="J3272" i="1"/>
  <c r="R3272" i="1" s="1"/>
  <c r="W3271" i="1"/>
  <c r="W3270" i="1"/>
  <c r="P3270" i="1"/>
  <c r="J3270" i="1"/>
  <c r="L3270" i="1" s="1"/>
  <c r="W3269" i="1"/>
  <c r="P3269" i="1"/>
  <c r="J3269" i="1"/>
  <c r="W3268" i="1"/>
  <c r="P3268" i="1"/>
  <c r="J3268" i="1"/>
  <c r="L3268" i="1" s="1"/>
  <c r="W3267" i="1"/>
  <c r="W3266" i="1"/>
  <c r="W3265" i="1"/>
  <c r="T3265" i="1"/>
  <c r="R3265" i="1"/>
  <c r="L3265" i="1"/>
  <c r="W3264" i="1"/>
  <c r="T3264" i="1"/>
  <c r="R3264" i="1"/>
  <c r="L3264" i="1"/>
  <c r="W3263" i="1"/>
  <c r="T3263" i="1"/>
  <c r="R3263" i="1"/>
  <c r="P3263" i="1"/>
  <c r="L3263" i="1"/>
  <c r="W3261" i="1"/>
  <c r="W3260" i="1"/>
  <c r="T3260" i="1"/>
  <c r="R3260" i="1"/>
  <c r="L3260" i="1"/>
  <c r="W3259" i="1"/>
  <c r="T3259" i="1"/>
  <c r="R3259" i="1"/>
  <c r="P3259" i="1"/>
  <c r="L3259" i="1"/>
  <c r="W3257" i="1"/>
  <c r="W3256" i="1"/>
  <c r="T3256" i="1"/>
  <c r="R3256" i="1"/>
  <c r="L3256" i="1"/>
  <c r="W3255" i="1"/>
  <c r="P3255" i="1"/>
  <c r="J3255" i="1"/>
  <c r="W3253" i="1"/>
  <c r="W3252" i="1"/>
  <c r="T3252" i="1"/>
  <c r="L3252" i="1"/>
  <c r="W3251" i="1"/>
  <c r="T3251" i="1"/>
  <c r="R3251" i="1"/>
  <c r="P3251" i="1"/>
  <c r="L3251" i="1"/>
  <c r="W3250" i="1"/>
  <c r="P3250" i="1"/>
  <c r="J3250" i="1"/>
  <c r="W3249" i="1"/>
  <c r="W3248" i="1"/>
  <c r="S3247" i="1"/>
  <c r="W3247" i="1" s="1"/>
  <c r="R3247" i="1"/>
  <c r="L3247" i="1"/>
  <c r="W3246" i="1"/>
  <c r="P3246" i="1"/>
  <c r="J3246" i="1"/>
  <c r="T3246" i="1" s="1"/>
  <c r="W3245" i="1"/>
  <c r="P3245" i="1"/>
  <c r="J3245" i="1"/>
  <c r="L3245" i="1" s="1"/>
  <c r="W3244" i="1"/>
  <c r="P3244" i="1"/>
  <c r="J3244" i="1"/>
  <c r="W3243" i="1"/>
  <c r="P3243" i="1"/>
  <c r="J3243" i="1"/>
  <c r="R3243" i="1" s="1"/>
  <c r="W3241" i="1"/>
  <c r="W3240" i="1"/>
  <c r="T3240" i="1"/>
  <c r="R3240" i="1"/>
  <c r="L3240" i="1"/>
  <c r="S3239" i="1"/>
  <c r="J3239" i="1"/>
  <c r="W3238" i="1"/>
  <c r="W3237" i="1"/>
  <c r="W3236" i="1"/>
  <c r="T3236" i="1"/>
  <c r="L3236" i="1"/>
  <c r="W3235" i="1"/>
  <c r="P3235" i="1"/>
  <c r="J3235" i="1"/>
  <c r="R3235" i="1" s="1"/>
  <c r="W3234" i="1"/>
  <c r="W3233" i="1"/>
  <c r="T3233" i="1"/>
  <c r="R3233" i="1"/>
  <c r="P3233" i="1"/>
  <c r="L3233" i="1"/>
  <c r="W3232" i="1"/>
  <c r="T3232" i="1"/>
  <c r="R3232" i="1"/>
  <c r="P3232" i="1"/>
  <c r="L3232" i="1"/>
  <c r="W3231" i="1"/>
  <c r="T3231" i="1"/>
  <c r="R3231" i="1"/>
  <c r="P3231" i="1"/>
  <c r="L3231" i="1"/>
  <c r="W3230" i="1"/>
  <c r="T3230" i="1"/>
  <c r="R3230" i="1"/>
  <c r="P3230" i="1"/>
  <c r="L3230" i="1"/>
  <c r="W3229" i="1"/>
  <c r="T3229" i="1"/>
  <c r="L3229" i="1"/>
  <c r="W3228" i="1"/>
  <c r="T3228" i="1"/>
  <c r="R3228" i="1"/>
  <c r="P3228" i="1"/>
  <c r="L3228" i="1"/>
  <c r="W3227" i="1"/>
  <c r="W3226" i="1"/>
  <c r="W3225" i="1"/>
  <c r="T3225" i="1"/>
  <c r="R3225" i="1"/>
  <c r="L3225" i="1"/>
  <c r="W3224" i="1"/>
  <c r="P3224" i="1"/>
  <c r="J3224" i="1"/>
  <c r="W3223" i="1"/>
  <c r="W3222" i="1"/>
  <c r="W3221" i="1"/>
  <c r="T3221" i="1"/>
  <c r="L3221" i="1"/>
  <c r="W3220" i="1"/>
  <c r="P3220" i="1"/>
  <c r="J3220" i="1"/>
  <c r="W3219" i="1"/>
  <c r="W3218" i="1"/>
  <c r="P3218" i="1"/>
  <c r="J3218" i="1"/>
  <c r="L3218" i="1" s="1"/>
  <c r="W3217" i="1"/>
  <c r="W3216" i="1"/>
  <c r="W3215" i="1"/>
  <c r="T3215" i="1"/>
  <c r="L3215" i="1"/>
  <c r="W3214" i="1"/>
  <c r="T3214" i="1"/>
  <c r="R3214" i="1"/>
  <c r="P3214" i="1"/>
  <c r="L3214" i="1"/>
  <c r="W3213" i="1"/>
  <c r="W3212" i="1"/>
  <c r="W3211" i="1"/>
  <c r="T3211" i="1"/>
  <c r="L3211" i="1"/>
  <c r="W3210" i="1"/>
  <c r="P3210" i="1"/>
  <c r="J3210" i="1"/>
  <c r="W3209" i="1"/>
  <c r="P3209" i="1"/>
  <c r="J3209" i="1"/>
  <c r="W3208" i="1"/>
  <c r="P3208" i="1"/>
  <c r="J3208" i="1"/>
  <c r="W3207" i="1"/>
  <c r="W3206" i="1"/>
  <c r="W3205" i="1"/>
  <c r="T3205" i="1"/>
  <c r="R3205" i="1"/>
  <c r="L3205" i="1"/>
  <c r="W3204" i="1"/>
  <c r="P3204" i="1"/>
  <c r="J3204" i="1"/>
  <c r="T3204" i="1" s="1"/>
  <c r="W3203" i="1"/>
  <c r="P3203" i="1"/>
  <c r="J3203" i="1"/>
  <c r="L3203" i="1" s="1"/>
  <c r="W3202" i="1"/>
  <c r="P3202" i="1"/>
  <c r="J3202" i="1"/>
  <c r="W3201" i="1"/>
  <c r="P3201" i="1"/>
  <c r="J3201" i="1"/>
  <c r="T3201" i="1" s="1"/>
  <c r="W3200" i="1"/>
  <c r="P3200" i="1"/>
  <c r="J3200" i="1"/>
  <c r="L3200" i="1" s="1"/>
  <c r="W3199" i="1"/>
  <c r="P3199" i="1"/>
  <c r="J3199" i="1"/>
  <c r="L3199" i="1" s="1"/>
  <c r="W3198" i="1"/>
  <c r="W3197" i="1"/>
  <c r="W3196" i="1"/>
  <c r="T3196" i="1"/>
  <c r="L3196" i="1"/>
  <c r="W3195" i="1"/>
  <c r="P3195" i="1"/>
  <c r="J3195" i="1"/>
  <c r="W3194" i="1"/>
  <c r="P3194" i="1"/>
  <c r="J3194" i="1"/>
  <c r="W3193" i="1"/>
  <c r="W3192" i="1"/>
  <c r="W3191" i="1"/>
  <c r="T3191" i="1"/>
  <c r="L3191" i="1"/>
  <c r="W3190" i="1"/>
  <c r="P3190" i="1"/>
  <c r="J3190" i="1"/>
  <c r="R3190" i="1" s="1"/>
  <c r="W3189" i="1"/>
  <c r="P3189" i="1"/>
  <c r="J3189" i="1"/>
  <c r="W3188" i="1"/>
  <c r="P3188" i="1"/>
  <c r="J3188" i="1"/>
  <c r="T3188" i="1" s="1"/>
  <c r="W3187" i="1"/>
  <c r="W3186" i="1"/>
  <c r="T3185" i="1"/>
  <c r="R3185" i="1"/>
  <c r="L3185" i="1"/>
  <c r="W3184" i="1"/>
  <c r="P3184" i="1"/>
  <c r="J3184" i="1"/>
  <c r="L3184" i="1" s="1"/>
  <c r="T3181" i="1"/>
  <c r="R3181" i="1"/>
  <c r="L3181" i="1"/>
  <c r="T3180" i="1"/>
  <c r="R3180" i="1"/>
  <c r="P3180" i="1"/>
  <c r="L3180" i="1"/>
  <c r="W3179" i="1"/>
  <c r="T3179" i="1"/>
  <c r="R3179" i="1"/>
  <c r="P3179" i="1"/>
  <c r="L3179" i="1"/>
  <c r="W3178" i="1"/>
  <c r="T3178" i="1"/>
  <c r="R3178" i="1"/>
  <c r="P3178" i="1"/>
  <c r="L3178" i="1"/>
  <c r="T3175" i="1"/>
  <c r="R3175" i="1"/>
  <c r="L3175" i="1"/>
  <c r="S3174" i="1"/>
  <c r="T3174" i="1" s="1"/>
  <c r="R3174" i="1"/>
  <c r="L3174" i="1"/>
  <c r="W3173" i="1"/>
  <c r="T3173" i="1"/>
  <c r="R3173" i="1"/>
  <c r="P3173" i="1"/>
  <c r="L3173" i="1"/>
  <c r="W3172" i="1"/>
  <c r="P3172" i="1"/>
  <c r="J3172" i="1"/>
  <c r="W3171" i="1"/>
  <c r="P3171" i="1"/>
  <c r="J3171" i="1"/>
  <c r="T3169" i="1"/>
  <c r="R3169" i="1"/>
  <c r="L3169" i="1"/>
  <c r="W3168" i="1"/>
  <c r="P3168" i="1"/>
  <c r="J3168" i="1"/>
  <c r="R3165" i="1"/>
  <c r="L3165" i="1"/>
  <c r="W3164" i="1"/>
  <c r="P3164" i="1"/>
  <c r="J3164" i="1"/>
  <c r="R3161" i="1"/>
  <c r="L3161" i="1"/>
  <c r="W3160" i="1"/>
  <c r="P3160" i="1"/>
  <c r="J3160" i="1"/>
  <c r="L3160" i="1" s="1"/>
  <c r="R3159" i="1"/>
  <c r="L3159" i="1"/>
  <c r="W3158" i="1"/>
  <c r="P3158" i="1"/>
  <c r="J3158" i="1"/>
  <c r="W3157" i="1"/>
  <c r="P3157" i="1"/>
  <c r="J3157" i="1"/>
  <c r="T3157" i="1" s="1"/>
  <c r="W3156" i="1"/>
  <c r="P3156" i="1"/>
  <c r="J3156" i="1"/>
  <c r="W3155" i="1"/>
  <c r="P3155" i="1"/>
  <c r="J3155" i="1"/>
  <c r="L3155" i="1" s="1"/>
  <c r="W3154" i="1"/>
  <c r="P3154" i="1"/>
  <c r="J3154" i="1"/>
  <c r="T3151" i="1"/>
  <c r="R3151" i="1"/>
  <c r="L3151" i="1"/>
  <c r="W3150" i="1"/>
  <c r="P3150" i="1"/>
  <c r="J3150" i="1"/>
  <c r="R3150" i="1" s="1"/>
  <c r="W3149" i="1"/>
  <c r="P3149" i="1"/>
  <c r="J3149" i="1"/>
  <c r="T3146" i="1"/>
  <c r="L3146" i="1"/>
  <c r="W3145" i="1"/>
  <c r="P3145" i="1"/>
  <c r="J3145" i="1"/>
  <c r="W3142" i="1"/>
  <c r="T3142" i="1"/>
  <c r="R3142" i="1"/>
  <c r="L3142" i="1"/>
  <c r="W3141" i="1"/>
  <c r="P3141" i="1"/>
  <c r="J3141" i="1"/>
  <c r="R3141" i="1" s="1"/>
  <c r="T3138" i="1"/>
  <c r="R3138" i="1"/>
  <c r="L3138" i="1"/>
  <c r="W3137" i="1"/>
  <c r="T3137" i="1"/>
  <c r="R3137" i="1"/>
  <c r="P3137" i="1"/>
  <c r="L3137" i="1"/>
  <c r="W3136" i="1"/>
  <c r="T3136" i="1"/>
  <c r="R3136" i="1"/>
  <c r="P3136" i="1"/>
  <c r="L3136" i="1"/>
  <c r="W3135" i="1"/>
  <c r="T3135" i="1"/>
  <c r="R3135" i="1"/>
  <c r="P3135" i="1"/>
  <c r="L3135" i="1"/>
  <c r="T3132" i="1"/>
  <c r="R3132" i="1"/>
  <c r="L3132" i="1"/>
  <c r="P3131" i="1"/>
  <c r="J3131" i="1"/>
  <c r="T3131" i="1" s="1"/>
  <c r="P3130" i="1"/>
  <c r="J3130" i="1"/>
  <c r="R3130" i="1" s="1"/>
  <c r="R3127" i="1"/>
  <c r="L3127" i="1"/>
  <c r="W3126" i="1"/>
  <c r="P3126" i="1"/>
  <c r="J3126" i="1"/>
  <c r="W3125" i="1"/>
  <c r="P3125" i="1"/>
  <c r="J3125" i="1"/>
  <c r="P3123" i="1"/>
  <c r="J3123" i="1"/>
  <c r="P3122" i="1"/>
  <c r="J3122" i="1"/>
  <c r="L3122" i="1" s="1"/>
  <c r="P3121" i="1"/>
  <c r="J3121" i="1"/>
  <c r="L3121" i="1" s="1"/>
  <c r="P3120" i="1"/>
  <c r="J3120" i="1"/>
  <c r="P3119" i="1"/>
  <c r="J3119" i="1"/>
  <c r="R3119" i="1" s="1"/>
  <c r="P3118" i="1"/>
  <c r="J3118" i="1"/>
  <c r="R3118" i="1" s="1"/>
  <c r="T3115" i="1"/>
  <c r="L3115" i="1"/>
  <c r="P3114" i="1"/>
  <c r="J3114" i="1"/>
  <c r="L3114" i="1" s="1"/>
  <c r="P3113" i="1"/>
  <c r="J3113" i="1"/>
  <c r="T3113" i="1" s="1"/>
  <c r="P3112" i="1"/>
  <c r="J3112" i="1"/>
  <c r="P3111" i="1"/>
  <c r="J3111" i="1"/>
  <c r="P3110" i="1"/>
  <c r="J3110" i="1"/>
  <c r="L3110" i="1" s="1"/>
  <c r="P3109" i="1"/>
  <c r="J3109" i="1"/>
  <c r="T3109" i="1" s="1"/>
  <c r="P3108" i="1"/>
  <c r="J3108" i="1"/>
  <c r="R3108" i="1" s="1"/>
  <c r="P3107" i="1"/>
  <c r="J3107" i="1"/>
  <c r="T3107" i="1" s="1"/>
  <c r="T3104" i="1"/>
  <c r="L3104" i="1"/>
  <c r="P3103" i="1"/>
  <c r="J3103" i="1"/>
  <c r="T3100" i="1"/>
  <c r="R3100" i="1"/>
  <c r="L3100" i="1"/>
  <c r="W3099" i="1"/>
  <c r="P3099" i="1"/>
  <c r="J3099" i="1"/>
  <c r="L3099" i="1" s="1"/>
  <c r="W3098" i="1"/>
  <c r="P3098" i="1"/>
  <c r="J3098" i="1"/>
  <c r="T3098" i="1" s="1"/>
  <c r="W3097" i="1"/>
  <c r="P3097" i="1"/>
  <c r="J3097" i="1"/>
  <c r="L3097" i="1" s="1"/>
  <c r="T3094" i="1"/>
  <c r="R3094" i="1"/>
  <c r="L3094" i="1"/>
  <c r="P3093" i="1"/>
  <c r="J3093" i="1"/>
  <c r="L3093" i="1" s="1"/>
  <c r="W3091" i="1"/>
  <c r="P3091" i="1"/>
  <c r="J3091" i="1"/>
  <c r="T3091" i="1" s="1"/>
  <c r="T3088" i="1"/>
  <c r="R3088" i="1"/>
  <c r="L3088" i="1"/>
  <c r="W3087" i="1"/>
  <c r="P3087" i="1"/>
  <c r="J3087" i="1"/>
  <c r="R3087" i="1" s="1"/>
  <c r="T3084" i="1"/>
  <c r="R3084" i="1"/>
  <c r="L3084" i="1"/>
  <c r="T3083" i="1"/>
  <c r="R3083" i="1"/>
  <c r="L3083" i="1"/>
  <c r="W3082" i="1"/>
  <c r="P3082" i="1"/>
  <c r="J3082" i="1"/>
  <c r="W3081" i="1"/>
  <c r="P3081" i="1"/>
  <c r="J3081" i="1"/>
  <c r="W3078" i="1"/>
  <c r="T3078" i="1"/>
  <c r="R3078" i="1"/>
  <c r="L3078" i="1"/>
  <c r="W3077" i="1"/>
  <c r="T3077" i="1"/>
  <c r="R3077" i="1"/>
  <c r="P3077" i="1"/>
  <c r="L3077" i="1"/>
  <c r="W3076" i="1"/>
  <c r="P3076" i="1"/>
  <c r="J3076" i="1"/>
  <c r="R3076" i="1" s="1"/>
  <c r="W3075" i="1"/>
  <c r="P3075" i="1"/>
  <c r="J3075" i="1"/>
  <c r="W3074" i="1"/>
  <c r="P3074" i="1"/>
  <c r="J3074" i="1"/>
  <c r="W3071" i="1"/>
  <c r="T3071" i="1"/>
  <c r="R3071" i="1"/>
  <c r="L3071" i="1"/>
  <c r="W3070" i="1"/>
  <c r="P3070" i="1"/>
  <c r="J3070" i="1"/>
  <c r="W3067" i="1"/>
  <c r="T3067" i="1"/>
  <c r="R3067" i="1"/>
  <c r="L3067" i="1"/>
  <c r="W3066" i="1"/>
  <c r="P3066" i="1"/>
  <c r="J3066" i="1"/>
  <c r="W3065" i="1"/>
  <c r="P3065" i="1"/>
  <c r="J3065" i="1"/>
  <c r="T3062" i="1"/>
  <c r="S3062" i="1"/>
  <c r="P3062" i="1" s="1"/>
  <c r="R3062" i="1"/>
  <c r="L3062" i="1"/>
  <c r="W3061" i="1"/>
  <c r="P3061" i="1"/>
  <c r="J3061" i="1"/>
  <c r="W3060" i="1"/>
  <c r="P3060" i="1"/>
  <c r="J3060" i="1"/>
  <c r="R3060" i="1" s="1"/>
  <c r="W3059" i="1"/>
  <c r="P3059" i="1"/>
  <c r="J3059" i="1"/>
  <c r="L3059" i="1" s="1"/>
  <c r="W3058" i="1"/>
  <c r="W3056" i="1"/>
  <c r="T3056" i="1"/>
  <c r="L3056" i="1"/>
  <c r="T3055" i="1"/>
  <c r="S3055" i="1"/>
  <c r="W3055" i="1" s="1"/>
  <c r="R3055" i="1"/>
  <c r="L3055" i="1"/>
  <c r="W3054" i="1"/>
  <c r="P3054" i="1"/>
  <c r="J3054" i="1"/>
  <c r="W3053" i="1"/>
  <c r="P3053" i="1"/>
  <c r="J3053" i="1"/>
  <c r="W3052" i="1"/>
  <c r="P3052" i="1"/>
  <c r="J3052" i="1"/>
  <c r="L3052" i="1" s="1"/>
  <c r="W3051" i="1"/>
  <c r="P3051" i="1"/>
  <c r="J3051" i="1"/>
  <c r="T3051" i="1" s="1"/>
  <c r="W3050" i="1"/>
  <c r="P3050" i="1"/>
  <c r="J3050" i="1"/>
  <c r="W3049" i="1"/>
  <c r="W3048" i="1"/>
  <c r="W3047" i="1"/>
  <c r="T3047" i="1"/>
  <c r="R3047" i="1"/>
  <c r="L3047" i="1"/>
  <c r="W3046" i="1"/>
  <c r="P3046" i="1"/>
  <c r="J3046" i="1"/>
  <c r="L3046" i="1" s="1"/>
  <c r="W3045" i="1"/>
  <c r="P3045" i="1"/>
  <c r="J3045" i="1"/>
  <c r="L3045" i="1" s="1"/>
  <c r="W3043" i="1"/>
  <c r="P3043" i="1"/>
  <c r="J3043" i="1"/>
  <c r="L3043" i="1" s="1"/>
  <c r="W3042" i="1"/>
  <c r="P3042" i="1"/>
  <c r="J3042" i="1"/>
  <c r="W3039" i="1"/>
  <c r="T3039" i="1"/>
  <c r="R3039" i="1"/>
  <c r="L3039" i="1"/>
  <c r="T3038" i="1"/>
  <c r="R3038" i="1"/>
  <c r="L3038" i="1"/>
  <c r="W3037" i="1"/>
  <c r="T3037" i="1"/>
  <c r="R3037" i="1"/>
  <c r="P3037" i="1"/>
  <c r="L3037" i="1"/>
  <c r="W3036" i="1"/>
  <c r="T3036" i="1"/>
  <c r="R3036" i="1"/>
  <c r="P3036" i="1"/>
  <c r="L3036" i="1"/>
  <c r="W3033" i="1"/>
  <c r="T3033" i="1"/>
  <c r="R3033" i="1"/>
  <c r="L3033" i="1"/>
  <c r="W3032" i="1"/>
  <c r="P3032" i="1"/>
  <c r="J3032" i="1"/>
  <c r="T3032" i="1" s="1"/>
  <c r="W3031" i="1"/>
  <c r="T3031" i="1"/>
  <c r="R3031" i="1"/>
  <c r="P3031" i="1"/>
  <c r="L3031" i="1"/>
  <c r="W3029" i="1"/>
  <c r="S3028" i="1"/>
  <c r="W3028" i="1" s="1"/>
  <c r="R3028" i="1"/>
  <c r="L3028" i="1"/>
  <c r="W3027" i="1"/>
  <c r="P3027" i="1"/>
  <c r="J3027" i="1"/>
  <c r="W3026" i="1"/>
  <c r="P3026" i="1"/>
  <c r="J3026" i="1"/>
  <c r="T3026" i="1" s="1"/>
  <c r="W3025" i="1"/>
  <c r="T3024" i="1"/>
  <c r="R3024" i="1"/>
  <c r="L3024" i="1"/>
  <c r="W3023" i="1"/>
  <c r="P3023" i="1"/>
  <c r="J3023" i="1"/>
  <c r="T3023" i="1" s="1"/>
  <c r="W3022" i="1"/>
  <c r="P3022" i="1"/>
  <c r="J3022" i="1"/>
  <c r="W3021" i="1"/>
  <c r="P3021" i="1"/>
  <c r="J3021" i="1"/>
  <c r="L3021" i="1" s="1"/>
  <c r="W3020" i="1"/>
  <c r="P3020" i="1"/>
  <c r="J3020" i="1"/>
  <c r="W3018" i="1"/>
  <c r="P3018" i="1"/>
  <c r="J3018" i="1"/>
  <c r="T3015" i="1"/>
  <c r="R3015" i="1"/>
  <c r="P3015" i="1"/>
  <c r="L3015" i="1"/>
  <c r="T3014" i="1"/>
  <c r="R3014" i="1"/>
  <c r="P3014" i="1"/>
  <c r="L3014" i="1"/>
  <c r="T3013" i="1"/>
  <c r="R3013" i="1"/>
  <c r="P3013" i="1"/>
  <c r="L3013" i="1"/>
  <c r="P3010" i="1"/>
  <c r="J3010" i="1"/>
  <c r="R3010" i="1" s="1"/>
  <c r="P3009" i="1"/>
  <c r="J3009" i="1"/>
  <c r="T3007" i="1"/>
  <c r="L3007" i="1"/>
  <c r="P3006" i="1"/>
  <c r="J3006" i="1"/>
  <c r="R3006" i="1" s="1"/>
  <c r="T3003" i="1"/>
  <c r="R3003" i="1"/>
  <c r="L3003" i="1"/>
  <c r="W3002" i="1"/>
  <c r="P3002" i="1"/>
  <c r="J3002" i="1"/>
  <c r="W3001" i="1"/>
  <c r="P3001" i="1"/>
  <c r="J3001" i="1"/>
  <c r="L3001" i="1" s="1"/>
  <c r="W2999" i="1"/>
  <c r="P2999" i="1"/>
  <c r="J2999" i="1"/>
  <c r="W2998" i="1"/>
  <c r="P2998" i="1"/>
  <c r="J2998" i="1"/>
  <c r="T2998" i="1" s="1"/>
  <c r="W2995" i="1"/>
  <c r="W2994" i="1"/>
  <c r="P2994" i="1"/>
  <c r="W2993" i="1"/>
  <c r="W2992" i="1"/>
  <c r="P2992" i="1"/>
  <c r="W2991" i="1"/>
  <c r="P2991" i="1"/>
  <c r="W2990" i="1"/>
  <c r="P2990" i="1"/>
  <c r="W2989" i="1"/>
  <c r="P2989" i="1"/>
  <c r="W2986" i="1"/>
  <c r="T2986" i="1"/>
  <c r="R2986" i="1"/>
  <c r="P2986" i="1"/>
  <c r="L2986" i="1"/>
  <c r="W2985" i="1"/>
  <c r="P2985" i="1"/>
  <c r="J2985" i="1"/>
  <c r="W2984" i="1"/>
  <c r="P2984" i="1"/>
  <c r="J2984" i="1"/>
  <c r="T2984" i="1" s="1"/>
  <c r="W2983" i="1"/>
  <c r="P2983" i="1"/>
  <c r="J2983" i="1"/>
  <c r="T2983" i="1" s="1"/>
  <c r="W2980" i="1"/>
  <c r="T2980" i="1"/>
  <c r="L2980" i="1"/>
  <c r="W2979" i="1"/>
  <c r="P2979" i="1"/>
  <c r="J2979" i="1"/>
  <c r="L2979" i="1" s="1"/>
  <c r="W2976" i="1"/>
  <c r="T2976" i="1"/>
  <c r="L2976" i="1"/>
  <c r="T2975" i="1"/>
  <c r="S2975" i="1"/>
  <c r="W2975" i="1" s="1"/>
  <c r="R2975" i="1"/>
  <c r="L2975" i="1"/>
  <c r="W2974" i="1"/>
  <c r="P2974" i="1"/>
  <c r="J2974" i="1"/>
  <c r="W2973" i="1"/>
  <c r="P2973" i="1"/>
  <c r="J2973" i="1"/>
  <c r="L2973" i="1" s="1"/>
  <c r="W2972" i="1"/>
  <c r="P2972" i="1"/>
  <c r="J2972" i="1"/>
  <c r="L2972" i="1" s="1"/>
  <c r="W2971" i="1"/>
  <c r="P2971" i="1"/>
  <c r="J2971" i="1"/>
  <c r="L2971" i="1" s="1"/>
  <c r="W2970" i="1"/>
  <c r="T2968" i="1"/>
  <c r="R2968" i="1"/>
  <c r="L2968" i="1"/>
  <c r="W2967" i="1"/>
  <c r="T2967" i="1"/>
  <c r="R2967" i="1"/>
  <c r="P2967" i="1"/>
  <c r="L2967" i="1"/>
  <c r="W2966" i="1"/>
  <c r="T2966" i="1"/>
  <c r="R2966" i="1"/>
  <c r="P2966" i="1"/>
  <c r="L2966" i="1"/>
  <c r="T2963" i="1"/>
  <c r="R2963" i="1"/>
  <c r="L2963" i="1"/>
  <c r="W2962" i="1"/>
  <c r="P2962" i="1"/>
  <c r="J2962" i="1"/>
  <c r="W2961" i="1"/>
  <c r="T2959" i="1"/>
  <c r="L2959" i="1"/>
  <c r="W2958" i="1"/>
  <c r="P2958" i="1"/>
  <c r="J2958" i="1"/>
  <c r="W2955" i="1"/>
  <c r="P2955" i="1"/>
  <c r="J2955" i="1"/>
  <c r="T2955" i="1" s="1"/>
  <c r="R2952" i="1"/>
  <c r="L2952" i="1"/>
  <c r="P2951" i="1"/>
  <c r="J2951" i="1"/>
  <c r="S2948" i="1"/>
  <c r="T2948" i="1" s="1"/>
  <c r="R2948" i="1"/>
  <c r="L2948" i="1"/>
  <c r="T2947" i="1"/>
  <c r="R2947" i="1"/>
  <c r="L2947" i="1"/>
  <c r="T2946" i="1"/>
  <c r="R2946" i="1"/>
  <c r="P2946" i="1"/>
  <c r="L2946" i="1"/>
  <c r="T2945" i="1"/>
  <c r="R2945" i="1"/>
  <c r="P2945" i="1"/>
  <c r="L2945" i="1"/>
  <c r="T2944" i="1"/>
  <c r="R2944" i="1"/>
  <c r="P2944" i="1"/>
  <c r="L2944" i="1"/>
  <c r="T2941" i="1"/>
  <c r="L2941" i="1"/>
  <c r="P2940" i="1"/>
  <c r="J2940" i="1"/>
  <c r="T2940" i="1" s="1"/>
  <c r="T2937" i="1"/>
  <c r="L2937" i="1"/>
  <c r="P2936" i="1"/>
  <c r="J2936" i="1"/>
  <c r="L2936" i="1" s="1"/>
  <c r="T2933" i="1"/>
  <c r="R2933" i="1"/>
  <c r="L2933" i="1"/>
  <c r="P2932" i="1"/>
  <c r="J2932" i="1"/>
  <c r="L2932" i="1" s="1"/>
  <c r="T2929" i="1"/>
  <c r="L2929" i="1"/>
  <c r="P2928" i="1"/>
  <c r="J2928" i="1"/>
  <c r="L2928" i="1" s="1"/>
  <c r="P2927" i="1"/>
  <c r="J2927" i="1"/>
  <c r="T2927" i="1" s="1"/>
  <c r="T2924" i="1"/>
  <c r="L2924" i="1"/>
  <c r="P2923" i="1"/>
  <c r="J2923" i="1"/>
  <c r="P2922" i="1"/>
  <c r="J2922" i="1"/>
  <c r="P2921" i="1"/>
  <c r="J2921" i="1"/>
  <c r="R2921" i="1" s="1"/>
  <c r="P2920" i="1"/>
  <c r="J2920" i="1"/>
  <c r="T2919" i="1"/>
  <c r="L2919" i="1"/>
  <c r="P2918" i="1"/>
  <c r="J2918" i="1"/>
  <c r="T2915" i="1"/>
  <c r="L2915" i="1"/>
  <c r="P2914" i="1"/>
  <c r="J2914" i="1"/>
  <c r="T2914" i="1" s="1"/>
  <c r="T2911" i="1"/>
  <c r="R2911" i="1"/>
  <c r="L2911" i="1"/>
  <c r="T2910" i="1"/>
  <c r="R2910" i="1"/>
  <c r="L2910" i="1"/>
  <c r="P2909" i="1"/>
  <c r="J2909" i="1"/>
  <c r="P2908" i="1"/>
  <c r="J2908" i="1"/>
  <c r="L2908" i="1" s="1"/>
  <c r="P2907" i="1"/>
  <c r="J2907" i="1"/>
  <c r="L2907" i="1" s="1"/>
  <c r="T2906" i="1"/>
  <c r="R2906" i="1"/>
  <c r="P2906" i="1"/>
  <c r="L2906" i="1"/>
  <c r="T2905" i="1"/>
  <c r="R2905" i="1"/>
  <c r="P2905" i="1"/>
  <c r="L2905" i="1"/>
  <c r="P2903" i="1"/>
  <c r="J2903" i="1"/>
  <c r="P2902" i="1"/>
  <c r="J2902" i="1"/>
  <c r="T2899" i="1"/>
  <c r="L2899" i="1"/>
  <c r="P2898" i="1"/>
  <c r="J2898" i="1"/>
  <c r="R2898" i="1" s="1"/>
  <c r="T2895" i="1"/>
  <c r="L2895" i="1"/>
  <c r="P2894" i="1"/>
  <c r="J2894" i="1"/>
  <c r="L2894" i="1" s="1"/>
  <c r="P2891" i="1"/>
  <c r="J2891" i="1"/>
  <c r="T2889" i="1"/>
  <c r="L2889" i="1"/>
  <c r="P2888" i="1"/>
  <c r="J2888" i="1"/>
  <c r="R2888" i="1" s="1"/>
  <c r="T2885" i="1"/>
  <c r="R2885" i="1"/>
  <c r="L2885" i="1"/>
  <c r="P2884" i="1"/>
  <c r="J2884" i="1"/>
  <c r="R2884" i="1" s="1"/>
  <c r="P2883" i="1"/>
  <c r="J2883" i="1"/>
  <c r="L2883" i="1" s="1"/>
  <c r="T2880" i="1"/>
  <c r="R2880" i="1"/>
  <c r="L2880" i="1"/>
  <c r="P2879" i="1"/>
  <c r="J2879" i="1"/>
  <c r="R2879" i="1" s="1"/>
  <c r="P2878" i="1"/>
  <c r="J2878" i="1"/>
  <c r="P2877" i="1"/>
  <c r="J2877" i="1"/>
  <c r="P2876" i="1"/>
  <c r="J2876" i="1"/>
  <c r="P2874" i="1"/>
  <c r="J2874" i="1"/>
  <c r="L2874" i="1" s="1"/>
  <c r="P2873" i="1"/>
  <c r="J2873" i="1"/>
  <c r="T2870" i="1"/>
  <c r="R2870" i="1"/>
  <c r="L2870" i="1"/>
  <c r="T2869" i="1"/>
  <c r="R2869" i="1"/>
  <c r="L2869" i="1"/>
  <c r="T2868" i="1"/>
  <c r="R2868" i="1"/>
  <c r="P2868" i="1"/>
  <c r="L2868" i="1"/>
  <c r="T2866" i="1"/>
  <c r="R2866" i="1"/>
  <c r="P2866" i="1"/>
  <c r="L2866" i="1"/>
  <c r="T2863" i="1"/>
  <c r="R2863" i="1"/>
  <c r="L2863" i="1"/>
  <c r="T2862" i="1"/>
  <c r="R2862" i="1"/>
  <c r="L2862" i="1"/>
  <c r="T2861" i="1"/>
  <c r="R2861" i="1"/>
  <c r="P2861" i="1"/>
  <c r="L2861" i="1"/>
  <c r="T2860" i="1"/>
  <c r="R2860" i="1"/>
  <c r="P2860" i="1"/>
  <c r="L2860" i="1"/>
  <c r="T2859" i="1"/>
  <c r="R2859" i="1"/>
  <c r="P2859" i="1"/>
  <c r="L2859" i="1"/>
  <c r="T2856" i="1"/>
  <c r="R2856" i="1"/>
  <c r="L2856" i="1"/>
  <c r="T2855" i="1"/>
  <c r="R2855" i="1"/>
  <c r="L2855" i="1"/>
  <c r="T2854" i="1"/>
  <c r="R2854" i="1"/>
  <c r="P2854" i="1"/>
  <c r="L2854" i="1"/>
  <c r="T2851" i="1"/>
  <c r="R2851" i="1"/>
  <c r="L2851" i="1"/>
  <c r="P2850" i="1"/>
  <c r="J2850" i="1"/>
  <c r="T2847" i="1"/>
  <c r="L2847" i="1"/>
  <c r="T2846" i="1"/>
  <c r="L2846" i="1"/>
  <c r="P2845" i="1"/>
  <c r="J2845" i="1"/>
  <c r="P2844" i="1"/>
  <c r="J2844" i="1"/>
  <c r="T2841" i="1"/>
  <c r="R2841" i="1"/>
  <c r="L2841" i="1"/>
  <c r="P2840" i="1"/>
  <c r="J2840" i="1"/>
  <c r="T2837" i="1"/>
  <c r="R2837" i="1"/>
  <c r="L2837" i="1"/>
  <c r="T2836" i="1"/>
  <c r="R2836" i="1"/>
  <c r="L2836" i="1"/>
  <c r="P2835" i="1"/>
  <c r="J2835" i="1"/>
  <c r="P2834" i="1"/>
  <c r="J2834" i="1"/>
  <c r="R2834" i="1" s="1"/>
  <c r="R2832" i="1"/>
  <c r="T2831" i="1"/>
  <c r="R2831" i="1"/>
  <c r="L2831" i="1"/>
  <c r="T2830" i="1"/>
  <c r="R2830" i="1"/>
  <c r="L2830" i="1"/>
  <c r="P2829" i="1"/>
  <c r="J2829" i="1"/>
  <c r="P2828" i="1"/>
  <c r="J2828" i="1"/>
  <c r="R2825" i="1"/>
  <c r="L2825" i="1"/>
  <c r="T2824" i="1"/>
  <c r="R2824" i="1"/>
  <c r="P2824" i="1"/>
  <c r="L2824" i="1"/>
  <c r="T2823" i="1"/>
  <c r="R2823" i="1"/>
  <c r="P2823" i="1"/>
  <c r="L2823" i="1"/>
  <c r="P2822" i="1"/>
  <c r="J2822" i="1"/>
  <c r="P2821" i="1"/>
  <c r="J2821" i="1"/>
  <c r="T2821" i="1" s="1"/>
  <c r="T2818" i="1"/>
  <c r="L2818" i="1"/>
  <c r="T2817" i="1"/>
  <c r="R2817" i="1"/>
  <c r="L2817" i="1"/>
  <c r="T2816" i="1"/>
  <c r="R2816" i="1"/>
  <c r="P2816" i="1"/>
  <c r="L2816" i="1"/>
  <c r="T2815" i="1"/>
  <c r="R2815" i="1"/>
  <c r="P2815" i="1"/>
  <c r="L2815" i="1"/>
  <c r="T2814" i="1"/>
  <c r="R2814" i="1"/>
  <c r="P2814" i="1"/>
  <c r="L2814" i="1"/>
  <c r="T2813" i="1"/>
  <c r="R2813" i="1"/>
  <c r="P2813" i="1"/>
  <c r="L2813" i="1"/>
  <c r="T2812" i="1"/>
  <c r="R2812" i="1"/>
  <c r="P2812" i="1"/>
  <c r="L2812" i="1"/>
  <c r="T2811" i="1"/>
  <c r="R2811" i="1"/>
  <c r="P2811" i="1"/>
  <c r="L2811" i="1"/>
  <c r="T2808" i="1"/>
  <c r="L2808" i="1"/>
  <c r="P2807" i="1"/>
  <c r="J2807" i="1"/>
  <c r="T2807" i="1" s="1"/>
  <c r="T2804" i="1"/>
  <c r="R2804" i="1"/>
  <c r="L2804" i="1"/>
  <c r="P2803" i="1"/>
  <c r="J2803" i="1"/>
  <c r="T2803" i="1" s="1"/>
  <c r="P2802" i="1"/>
  <c r="J2802" i="1"/>
  <c r="T2799" i="1"/>
  <c r="R2799" i="1"/>
  <c r="L2799" i="1"/>
  <c r="P2798" i="1"/>
  <c r="J2798" i="1"/>
  <c r="L2798" i="1" s="1"/>
  <c r="P2797" i="1"/>
  <c r="J2797" i="1"/>
  <c r="L2797" i="1" s="1"/>
  <c r="T2794" i="1"/>
  <c r="R2794" i="1"/>
  <c r="L2794" i="1"/>
  <c r="P2793" i="1"/>
  <c r="J2793" i="1"/>
  <c r="L2793" i="1" s="1"/>
  <c r="T2790" i="1"/>
  <c r="R2790" i="1"/>
  <c r="L2790" i="1"/>
  <c r="P2789" i="1"/>
  <c r="J2789" i="1"/>
  <c r="L2789" i="1" s="1"/>
  <c r="T2786" i="1"/>
  <c r="L2786" i="1"/>
  <c r="P2785" i="1"/>
  <c r="J2785" i="1"/>
  <c r="L2785" i="1" s="1"/>
  <c r="R2782" i="1"/>
  <c r="P2782" i="1"/>
  <c r="L2782" i="1"/>
  <c r="T2781" i="1"/>
  <c r="L2781" i="1"/>
  <c r="T2780" i="1"/>
  <c r="S2780" i="1"/>
  <c r="P2780" i="1" s="1"/>
  <c r="R2780" i="1"/>
  <c r="L2780" i="1"/>
  <c r="P2779" i="1"/>
  <c r="J2779" i="1"/>
  <c r="P2778" i="1"/>
  <c r="J2778" i="1"/>
  <c r="R2778" i="1" s="1"/>
  <c r="P2777" i="1"/>
  <c r="J2777" i="1"/>
  <c r="T2776" i="1"/>
  <c r="L2776" i="1"/>
  <c r="P2775" i="1"/>
  <c r="J2775" i="1"/>
  <c r="T2772" i="1"/>
  <c r="L2772" i="1"/>
  <c r="R2771" i="1"/>
  <c r="P2771" i="1"/>
  <c r="L2771" i="1"/>
  <c r="P2770" i="1"/>
  <c r="J2770" i="1"/>
  <c r="T2770" i="1" s="1"/>
  <c r="T2768" i="1"/>
  <c r="S2768" i="1"/>
  <c r="P2768" i="1" s="1"/>
  <c r="R2768" i="1"/>
  <c r="L2768" i="1"/>
  <c r="P2767" i="1"/>
  <c r="J2767" i="1"/>
  <c r="R2767" i="1" s="1"/>
  <c r="P2766" i="1"/>
  <c r="J2766" i="1"/>
  <c r="P2765" i="1"/>
  <c r="J2765" i="1"/>
  <c r="T2765" i="1" s="1"/>
  <c r="P2764" i="1"/>
  <c r="J2764" i="1"/>
  <c r="R2764" i="1" s="1"/>
  <c r="P2763" i="1"/>
  <c r="J2763" i="1"/>
  <c r="T2760" i="1"/>
  <c r="L2760" i="1"/>
  <c r="T2759" i="1"/>
  <c r="R2759" i="1"/>
  <c r="L2759" i="1"/>
  <c r="T2758" i="1"/>
  <c r="R2758" i="1"/>
  <c r="P2758" i="1"/>
  <c r="L2758" i="1"/>
  <c r="T2757" i="1"/>
  <c r="R2757" i="1"/>
  <c r="P2757" i="1"/>
  <c r="L2757" i="1"/>
  <c r="T2756" i="1"/>
  <c r="R2756" i="1"/>
  <c r="P2756" i="1"/>
  <c r="L2756" i="1"/>
  <c r="T2753" i="1"/>
  <c r="L2753" i="1"/>
  <c r="P2752" i="1"/>
  <c r="J2752" i="1"/>
  <c r="P2751" i="1"/>
  <c r="J2751" i="1"/>
  <c r="L2751" i="1" s="1"/>
  <c r="T2748" i="1"/>
  <c r="R2748" i="1"/>
  <c r="L2748" i="1"/>
  <c r="P2747" i="1"/>
  <c r="J2747" i="1"/>
  <c r="P2746" i="1"/>
  <c r="J2746" i="1"/>
  <c r="L2746" i="1" s="1"/>
  <c r="P2745" i="1"/>
  <c r="J2745" i="1"/>
  <c r="L2745" i="1" s="1"/>
  <c r="T2742" i="1"/>
  <c r="R2742" i="1"/>
  <c r="L2742" i="1"/>
  <c r="T2741" i="1"/>
  <c r="R2741" i="1"/>
  <c r="P2741" i="1"/>
  <c r="L2741" i="1"/>
  <c r="T2740" i="1"/>
  <c r="R2740" i="1"/>
  <c r="P2740" i="1"/>
  <c r="L2740" i="1"/>
  <c r="P2738" i="1"/>
  <c r="J2738" i="1"/>
  <c r="T2735" i="1"/>
  <c r="R2735" i="1"/>
  <c r="L2735" i="1"/>
  <c r="P2734" i="1"/>
  <c r="J2734" i="1"/>
  <c r="R2734" i="1" s="1"/>
  <c r="P2733" i="1"/>
  <c r="J2733" i="1"/>
  <c r="L2733" i="1" s="1"/>
  <c r="T2730" i="1"/>
  <c r="R2730" i="1"/>
  <c r="L2730" i="1"/>
  <c r="P2729" i="1"/>
  <c r="J2729" i="1"/>
  <c r="L2729" i="1" s="1"/>
  <c r="P2728" i="1"/>
  <c r="J2728" i="1"/>
  <c r="L2728" i="1" s="1"/>
  <c r="L2725" i="1"/>
  <c r="P2724" i="1"/>
  <c r="J2724" i="1"/>
  <c r="P2723" i="1"/>
  <c r="J2723" i="1"/>
  <c r="T2720" i="1"/>
  <c r="L2720" i="1"/>
  <c r="T2719" i="1"/>
  <c r="R2719" i="1"/>
  <c r="L2719" i="1"/>
  <c r="T2718" i="1"/>
  <c r="R2718" i="1"/>
  <c r="P2718" i="1"/>
  <c r="L2718" i="1"/>
  <c r="T2715" i="1"/>
  <c r="L2715" i="1"/>
  <c r="P2714" i="1"/>
  <c r="J2714" i="1"/>
  <c r="R2714" i="1" s="1"/>
  <c r="T2711" i="1"/>
  <c r="L2711" i="1"/>
  <c r="T2710" i="1"/>
  <c r="R2710" i="1"/>
  <c r="L2710" i="1"/>
  <c r="T2709" i="1"/>
  <c r="R2709" i="1"/>
  <c r="P2709" i="1"/>
  <c r="L2709" i="1"/>
  <c r="T2708" i="1"/>
  <c r="R2708" i="1"/>
  <c r="P2708" i="1"/>
  <c r="L2708" i="1"/>
  <c r="T2705" i="1"/>
  <c r="L2705" i="1"/>
  <c r="P2704" i="1"/>
  <c r="J2704" i="1"/>
  <c r="T2701" i="1"/>
  <c r="R2701" i="1"/>
  <c r="L2701" i="1"/>
  <c r="P2700" i="1"/>
  <c r="J2700" i="1"/>
  <c r="L2700" i="1" s="1"/>
  <c r="T2697" i="1"/>
  <c r="Q2697" i="1"/>
  <c r="R2697" i="1" s="1"/>
  <c r="L2697" i="1"/>
  <c r="P2696" i="1"/>
  <c r="J2696" i="1"/>
  <c r="R2696" i="1" s="1"/>
  <c r="T2693" i="1"/>
  <c r="L2693" i="1"/>
  <c r="P2692" i="1"/>
  <c r="J2692" i="1"/>
  <c r="P2691" i="1"/>
  <c r="J2691" i="1"/>
  <c r="L2691" i="1" s="1"/>
  <c r="T2688" i="1"/>
  <c r="L2688" i="1"/>
  <c r="T2687" i="1"/>
  <c r="L2687" i="1"/>
  <c r="T2686" i="1"/>
  <c r="R2686" i="1"/>
  <c r="P2686" i="1"/>
  <c r="L2686" i="1"/>
  <c r="T2683" i="1"/>
  <c r="L2683" i="1"/>
  <c r="T2682" i="1"/>
  <c r="R2682" i="1"/>
  <c r="P2682" i="1"/>
  <c r="L2682" i="1"/>
  <c r="T2679" i="1"/>
  <c r="L2679" i="1"/>
  <c r="P2678" i="1"/>
  <c r="J2678" i="1"/>
  <c r="L2678" i="1" s="1"/>
  <c r="R2675" i="1"/>
  <c r="L2675" i="1"/>
  <c r="P2674" i="1"/>
  <c r="J2674" i="1"/>
  <c r="T2674" i="1" s="1"/>
  <c r="P2673" i="1"/>
  <c r="J2673" i="1"/>
  <c r="L2673" i="1" s="1"/>
  <c r="P2672" i="1"/>
  <c r="J2672" i="1"/>
  <c r="T2669" i="1"/>
  <c r="L2669" i="1"/>
  <c r="T2668" i="1"/>
  <c r="S2668" i="1"/>
  <c r="P2668" i="1" s="1"/>
  <c r="R2668" i="1"/>
  <c r="L2668" i="1"/>
  <c r="P2667" i="1"/>
  <c r="J2667" i="1"/>
  <c r="R2667" i="1" s="1"/>
  <c r="T2666" i="1"/>
  <c r="L2666" i="1"/>
  <c r="P2665" i="1"/>
  <c r="J2665" i="1"/>
  <c r="P2664" i="1"/>
  <c r="J2664" i="1"/>
  <c r="P2663" i="1"/>
  <c r="J2663" i="1"/>
  <c r="P2662" i="1"/>
  <c r="J2662" i="1"/>
  <c r="P2661" i="1"/>
  <c r="J2661" i="1"/>
  <c r="T2661" i="1" s="1"/>
  <c r="T2658" i="1"/>
  <c r="L2658" i="1"/>
  <c r="P2657" i="1"/>
  <c r="J2657" i="1"/>
  <c r="P2656" i="1"/>
  <c r="J2656" i="1"/>
  <c r="P2653" i="1"/>
  <c r="J2653" i="1"/>
  <c r="R2653" i="1" s="1"/>
  <c r="T2652" i="1"/>
  <c r="L2652" i="1"/>
  <c r="P2651" i="1"/>
  <c r="J2651" i="1"/>
  <c r="R2651" i="1" s="1"/>
  <c r="P2650" i="1"/>
  <c r="J2650" i="1"/>
  <c r="T2650" i="1" s="1"/>
  <c r="J2647" i="1"/>
  <c r="T2646" i="1"/>
  <c r="L2646" i="1"/>
  <c r="P2645" i="1"/>
  <c r="J2645" i="1"/>
  <c r="T2645" i="1" s="1"/>
  <c r="P2644" i="1"/>
  <c r="J2644" i="1"/>
  <c r="R2644" i="1" s="1"/>
  <c r="T2641" i="1"/>
  <c r="L2641" i="1"/>
  <c r="T2640" i="1"/>
  <c r="S2640" i="1"/>
  <c r="P2640" i="1" s="1"/>
  <c r="P2639" i="1"/>
  <c r="J2639" i="1"/>
  <c r="P2638" i="1"/>
  <c r="J2638" i="1"/>
  <c r="P2637" i="1"/>
  <c r="J2637" i="1"/>
  <c r="P2636" i="1"/>
  <c r="J2636" i="1"/>
  <c r="T2636" i="1" s="1"/>
  <c r="P2635" i="1"/>
  <c r="J2635" i="1"/>
  <c r="L2635" i="1" s="1"/>
  <c r="T2632" i="1"/>
  <c r="R2632" i="1"/>
  <c r="L2632" i="1"/>
  <c r="P2631" i="1"/>
  <c r="J2631" i="1"/>
  <c r="T2628" i="1"/>
  <c r="R2628" i="1"/>
  <c r="T2627" i="1"/>
  <c r="R2627" i="1"/>
  <c r="T2626" i="1"/>
  <c r="R2626" i="1"/>
  <c r="P2626" i="1"/>
  <c r="T2625" i="1"/>
  <c r="R2625" i="1"/>
  <c r="P2625" i="1"/>
  <c r="T2622" i="1"/>
  <c r="L2622" i="1"/>
  <c r="P2621" i="1"/>
  <c r="J2621" i="1"/>
  <c r="L2621" i="1" s="1"/>
  <c r="R2618" i="1"/>
  <c r="L2618" i="1"/>
  <c r="T2617" i="1"/>
  <c r="L2617" i="1"/>
  <c r="T2616" i="1"/>
  <c r="R2616" i="1"/>
  <c r="P2616" i="1"/>
  <c r="L2616" i="1"/>
  <c r="T2613" i="1"/>
  <c r="S2613" i="1"/>
  <c r="L2613" i="1"/>
  <c r="P2612" i="1"/>
  <c r="J2612" i="1"/>
  <c r="P2611" i="1"/>
  <c r="J2611" i="1"/>
  <c r="T2611" i="1" s="1"/>
  <c r="T2610" i="1"/>
  <c r="S2610" i="1"/>
  <c r="T2609" i="1"/>
  <c r="S2609" i="1"/>
  <c r="L2609" i="1"/>
  <c r="P2608" i="1"/>
  <c r="J2608" i="1"/>
  <c r="P2607" i="1"/>
  <c r="J2607" i="1"/>
  <c r="L2607" i="1" s="1"/>
  <c r="T2604" i="1"/>
  <c r="R2604" i="1"/>
  <c r="L2604" i="1"/>
  <c r="P2603" i="1"/>
  <c r="J2603" i="1"/>
  <c r="T2603" i="1" s="1"/>
  <c r="L2600" i="1"/>
  <c r="T2599" i="1"/>
  <c r="R2599" i="1"/>
  <c r="P2599" i="1"/>
  <c r="L2599" i="1"/>
  <c r="P2598" i="1"/>
  <c r="J2598" i="1"/>
  <c r="L2595" i="1"/>
  <c r="P2594" i="1"/>
  <c r="J2594" i="1"/>
  <c r="T2592" i="1"/>
  <c r="L2592" i="1"/>
  <c r="P2591" i="1"/>
  <c r="J2591" i="1"/>
  <c r="T2591" i="1" s="1"/>
  <c r="T2588" i="1"/>
  <c r="L2588" i="1"/>
  <c r="P2587" i="1"/>
  <c r="J2587" i="1"/>
  <c r="P2585" i="1"/>
  <c r="J2585" i="1"/>
  <c r="T2585" i="1" s="1"/>
  <c r="T2582" i="1"/>
  <c r="R2582" i="1"/>
  <c r="L2582" i="1"/>
  <c r="S2581" i="1"/>
  <c r="P2581" i="1" s="1"/>
  <c r="R2581" i="1"/>
  <c r="L2581" i="1"/>
  <c r="S2580" i="1"/>
  <c r="R2580" i="1"/>
  <c r="L2580" i="1"/>
  <c r="L2577" i="1"/>
  <c r="P2576" i="1"/>
  <c r="J2576" i="1"/>
  <c r="L2576" i="1" s="1"/>
  <c r="T2573" i="1"/>
  <c r="L2573" i="1"/>
  <c r="T2572" i="1"/>
  <c r="S2572" i="1"/>
  <c r="P2572" i="1" s="1"/>
  <c r="P2571" i="1"/>
  <c r="J2571" i="1"/>
  <c r="T2569" i="1"/>
  <c r="L2569" i="1"/>
  <c r="P2568" i="1"/>
  <c r="J2568" i="1"/>
  <c r="L2568" i="1" s="1"/>
  <c r="P2567" i="1"/>
  <c r="J2567" i="1"/>
  <c r="P2566" i="1"/>
  <c r="J2566" i="1"/>
  <c r="L2566" i="1" s="1"/>
  <c r="P2565" i="1"/>
  <c r="J2565" i="1"/>
  <c r="T2562" i="1"/>
  <c r="R2562" i="1"/>
  <c r="L2562" i="1"/>
  <c r="P2561" i="1"/>
  <c r="J2561" i="1"/>
  <c r="T2558" i="1"/>
  <c r="R2558" i="1"/>
  <c r="L2558" i="1"/>
  <c r="P2557" i="1"/>
  <c r="J2557" i="1"/>
  <c r="T2557" i="1" s="1"/>
  <c r="P2556" i="1"/>
  <c r="J2556" i="1"/>
  <c r="R2556" i="1" s="1"/>
  <c r="T2553" i="1"/>
  <c r="R2553" i="1"/>
  <c r="L2553" i="1"/>
  <c r="T2552" i="1"/>
  <c r="R2552" i="1"/>
  <c r="P2552" i="1"/>
  <c r="L2552" i="1"/>
  <c r="T2551" i="1"/>
  <c r="R2551" i="1"/>
  <c r="P2551" i="1"/>
  <c r="L2551" i="1"/>
  <c r="T2548" i="1"/>
  <c r="R2548" i="1"/>
  <c r="L2548" i="1"/>
  <c r="P2547" i="1"/>
  <c r="J2547" i="1"/>
  <c r="P2546" i="1"/>
  <c r="J2546" i="1"/>
  <c r="T2546" i="1" s="1"/>
  <c r="P2545" i="1"/>
  <c r="J2545" i="1"/>
  <c r="T2542" i="1"/>
  <c r="L2542" i="1"/>
  <c r="P2541" i="1"/>
  <c r="J2541" i="1"/>
  <c r="P2540" i="1"/>
  <c r="J2540" i="1"/>
  <c r="P2539" i="1"/>
  <c r="J2539" i="1"/>
  <c r="T2539" i="1" s="1"/>
  <c r="T2538" i="1"/>
  <c r="L2538" i="1"/>
  <c r="P2537" i="1"/>
  <c r="J2537" i="1"/>
  <c r="T2537" i="1" s="1"/>
  <c r="P2536" i="1"/>
  <c r="J2536" i="1"/>
  <c r="R2536" i="1" s="1"/>
  <c r="P2535" i="1"/>
  <c r="J2535" i="1"/>
  <c r="T2535" i="1" s="1"/>
  <c r="L2532" i="1"/>
  <c r="P2531" i="1"/>
  <c r="J2531" i="1"/>
  <c r="L2531" i="1" s="1"/>
  <c r="P2530" i="1"/>
  <c r="J2530" i="1"/>
  <c r="T2530" i="1" s="1"/>
  <c r="P2529" i="1"/>
  <c r="J2529" i="1"/>
  <c r="L2529" i="1" s="1"/>
  <c r="P2528" i="1"/>
  <c r="J2528" i="1"/>
  <c r="L2528" i="1" s="1"/>
  <c r="P2527" i="1"/>
  <c r="J2527" i="1"/>
  <c r="P2526" i="1"/>
  <c r="J2526" i="1"/>
  <c r="T2526" i="1" s="1"/>
  <c r="P2525" i="1"/>
  <c r="J2525" i="1"/>
  <c r="P2524" i="1"/>
  <c r="J2524" i="1"/>
  <c r="R2524" i="1" s="1"/>
  <c r="P2522" i="1"/>
  <c r="J2522" i="1"/>
  <c r="T2522" i="1" s="1"/>
  <c r="P2521" i="1"/>
  <c r="J2521" i="1"/>
  <c r="L2521" i="1" s="1"/>
  <c r="P2520" i="1"/>
  <c r="J2520" i="1"/>
  <c r="P2519" i="1"/>
  <c r="J2519" i="1"/>
  <c r="L2519" i="1" s="1"/>
  <c r="P2517" i="1"/>
  <c r="J2517" i="1"/>
  <c r="L2517" i="1" s="1"/>
  <c r="P2516" i="1"/>
  <c r="J2516" i="1"/>
  <c r="L2516" i="1" s="1"/>
  <c r="P2515" i="1"/>
  <c r="J2515" i="1"/>
  <c r="P2514" i="1"/>
  <c r="J2514" i="1"/>
  <c r="L2514" i="1" s="1"/>
  <c r="P2513" i="1"/>
  <c r="J2513" i="1"/>
  <c r="P2512" i="1"/>
  <c r="J2512" i="1"/>
  <c r="P2511" i="1"/>
  <c r="J2511" i="1"/>
  <c r="R2511" i="1" s="1"/>
  <c r="T2508" i="1"/>
  <c r="R2508" i="1"/>
  <c r="P2508" i="1"/>
  <c r="L2508" i="1"/>
  <c r="P2507" i="1"/>
  <c r="J2507" i="1"/>
  <c r="T2504" i="1"/>
  <c r="L2504" i="1"/>
  <c r="P2503" i="1"/>
  <c r="J2503" i="1"/>
  <c r="R2503" i="1" s="1"/>
  <c r="P2502" i="1"/>
  <c r="J2502" i="1"/>
  <c r="P2501" i="1"/>
  <c r="J2501" i="1"/>
  <c r="P2500" i="1"/>
  <c r="J2500" i="1"/>
  <c r="L2500" i="1" s="1"/>
  <c r="P2499" i="1"/>
  <c r="J2499" i="1"/>
  <c r="L2499" i="1" s="1"/>
  <c r="T2498" i="1"/>
  <c r="S2498" i="1"/>
  <c r="T2497" i="1"/>
  <c r="L2497" i="1"/>
  <c r="P2496" i="1"/>
  <c r="J2496" i="1"/>
  <c r="P2495" i="1"/>
  <c r="J2495" i="1"/>
  <c r="R2495" i="1" s="1"/>
  <c r="P2494" i="1"/>
  <c r="J2494" i="1"/>
  <c r="P2491" i="1"/>
  <c r="J2491" i="1"/>
  <c r="R2491" i="1" s="1"/>
  <c r="T2489" i="1"/>
  <c r="L2489" i="1"/>
  <c r="P2488" i="1"/>
  <c r="J2488" i="1"/>
  <c r="R2488" i="1" s="1"/>
  <c r="T2485" i="1"/>
  <c r="L2485" i="1"/>
  <c r="T2484" i="1"/>
  <c r="L2484" i="1"/>
  <c r="P2483" i="1"/>
  <c r="J2483" i="1"/>
  <c r="L2483" i="1" s="1"/>
  <c r="T2480" i="1"/>
  <c r="L2480" i="1"/>
  <c r="T2479" i="1"/>
  <c r="L2479" i="1"/>
  <c r="P2478" i="1"/>
  <c r="J2478" i="1"/>
  <c r="T2475" i="1"/>
  <c r="S2475" i="1"/>
  <c r="P2474" i="1"/>
  <c r="J2474" i="1"/>
  <c r="T2474" i="1" s="1"/>
  <c r="P2472" i="1"/>
  <c r="J2472" i="1"/>
  <c r="P2471" i="1"/>
  <c r="J2471" i="1"/>
  <c r="R2471" i="1" s="1"/>
  <c r="L2468" i="1"/>
  <c r="P2467" i="1"/>
  <c r="J2467" i="1"/>
  <c r="P2465" i="1"/>
  <c r="J2465" i="1"/>
  <c r="T2465" i="1" s="1"/>
  <c r="T2462" i="1"/>
  <c r="L2462" i="1"/>
  <c r="P2461" i="1"/>
  <c r="J2461" i="1"/>
  <c r="T2458" i="1"/>
  <c r="R2458" i="1"/>
  <c r="L2458" i="1"/>
  <c r="P2457" i="1"/>
  <c r="J2457" i="1"/>
  <c r="L2457" i="1" s="1"/>
  <c r="P2456" i="1"/>
  <c r="J2456" i="1"/>
  <c r="P2455" i="1"/>
  <c r="J2455" i="1"/>
  <c r="R2455" i="1" s="1"/>
  <c r="T2452" i="1"/>
  <c r="L2452" i="1"/>
  <c r="P2451" i="1"/>
  <c r="J2451" i="1"/>
  <c r="T2451" i="1" s="1"/>
  <c r="P2450" i="1"/>
  <c r="J2450" i="1"/>
  <c r="T2450" i="1" s="1"/>
  <c r="P2449" i="1"/>
  <c r="J2449" i="1"/>
  <c r="R2449" i="1" s="1"/>
  <c r="T2446" i="1"/>
  <c r="R2446" i="1"/>
  <c r="L2446" i="1"/>
  <c r="P2445" i="1"/>
  <c r="J2445" i="1"/>
  <c r="T2445" i="1" s="1"/>
  <c r="T2442" i="1"/>
  <c r="L2442" i="1"/>
  <c r="T2441" i="1"/>
  <c r="P2441" i="1"/>
  <c r="Q2441" i="1" s="1"/>
  <c r="L2441" i="1"/>
  <c r="T2440" i="1"/>
  <c r="R2440" i="1"/>
  <c r="P2440" i="1"/>
  <c r="L2440" i="1"/>
  <c r="T2439" i="1"/>
  <c r="R2439" i="1"/>
  <c r="P2439" i="1"/>
  <c r="L2439" i="1"/>
  <c r="T2438" i="1"/>
  <c r="R2438" i="1"/>
  <c r="P2438" i="1"/>
  <c r="L2438" i="1"/>
  <c r="T2435" i="1"/>
  <c r="R2435" i="1"/>
  <c r="L2435" i="1"/>
  <c r="P2434" i="1"/>
  <c r="J2434" i="1"/>
  <c r="T2431" i="1"/>
  <c r="R2431" i="1"/>
  <c r="L2431" i="1"/>
  <c r="P2430" i="1"/>
  <c r="J2430" i="1"/>
  <c r="T2427" i="1"/>
  <c r="R2427" i="1"/>
  <c r="L2427" i="1"/>
  <c r="P2426" i="1"/>
  <c r="J2426" i="1"/>
  <c r="R2426" i="1" s="1"/>
  <c r="P2425" i="1"/>
  <c r="J2425" i="1"/>
  <c r="T2425" i="1" s="1"/>
  <c r="T2422" i="1"/>
  <c r="R2422" i="1"/>
  <c r="L2422" i="1"/>
  <c r="P2421" i="1"/>
  <c r="J2421" i="1"/>
  <c r="R2421" i="1" s="1"/>
  <c r="L2418" i="1"/>
  <c r="T2417" i="1"/>
  <c r="R2417" i="1"/>
  <c r="P2417" i="1"/>
  <c r="L2417" i="1"/>
  <c r="T2416" i="1"/>
  <c r="R2416" i="1"/>
  <c r="P2416" i="1"/>
  <c r="L2416" i="1"/>
  <c r="L2413" i="1"/>
  <c r="T2412" i="1"/>
  <c r="R2412" i="1"/>
  <c r="P2412" i="1"/>
  <c r="L2412" i="1"/>
  <c r="T2409" i="1"/>
  <c r="L2409" i="1"/>
  <c r="P2408" i="1"/>
  <c r="J2408" i="1"/>
  <c r="R2408" i="1" s="1"/>
  <c r="P2407" i="1"/>
  <c r="J2407" i="1"/>
  <c r="L2407" i="1" s="1"/>
  <c r="T2404" i="1"/>
  <c r="L2404" i="1"/>
  <c r="T2403" i="1"/>
  <c r="R2403" i="1"/>
  <c r="P2403" i="1"/>
  <c r="L2403" i="1"/>
  <c r="T2400" i="1"/>
  <c r="L2400" i="1"/>
  <c r="T2399" i="1"/>
  <c r="L2399" i="1"/>
  <c r="P2398" i="1"/>
  <c r="J2398" i="1"/>
  <c r="P2397" i="1"/>
  <c r="J2397" i="1"/>
  <c r="L2397" i="1" s="1"/>
  <c r="T2394" i="1"/>
  <c r="R2394" i="1"/>
  <c r="P2394" i="1"/>
  <c r="L2394" i="1"/>
  <c r="T2393" i="1"/>
  <c r="R2393" i="1"/>
  <c r="P2393" i="1"/>
  <c r="L2393" i="1"/>
  <c r="T2392" i="1"/>
  <c r="R2392" i="1"/>
  <c r="P2392" i="1"/>
  <c r="L2392" i="1"/>
  <c r="T2391" i="1"/>
  <c r="L2391" i="1"/>
  <c r="T2390" i="1"/>
  <c r="R2390" i="1"/>
  <c r="P2390" i="1"/>
  <c r="L2390" i="1"/>
  <c r="T2389" i="1"/>
  <c r="R2389" i="1"/>
  <c r="P2389" i="1"/>
  <c r="L2389" i="1"/>
  <c r="T2386" i="1"/>
  <c r="L2386" i="1"/>
  <c r="T2385" i="1"/>
  <c r="L2385" i="1"/>
  <c r="P2384" i="1"/>
  <c r="J2384" i="1"/>
  <c r="P2383" i="1"/>
  <c r="J2383" i="1"/>
  <c r="P2382" i="1"/>
  <c r="J2382" i="1"/>
  <c r="R2382" i="1" s="1"/>
  <c r="T2379" i="1"/>
  <c r="R2379" i="1"/>
  <c r="T2378" i="1"/>
  <c r="L2378" i="1"/>
  <c r="T2377" i="1"/>
  <c r="R2377" i="1"/>
  <c r="P2377" i="1"/>
  <c r="L2377" i="1"/>
  <c r="T2374" i="1"/>
  <c r="R2374" i="1"/>
  <c r="L2374" i="1"/>
  <c r="P2373" i="1"/>
  <c r="J2373" i="1"/>
  <c r="P2372" i="1"/>
  <c r="J2372" i="1"/>
  <c r="L2372" i="1" s="1"/>
  <c r="P2370" i="1"/>
  <c r="J2370" i="1"/>
  <c r="L2370" i="1" s="1"/>
  <c r="T2367" i="1"/>
  <c r="R2367" i="1"/>
  <c r="L2367" i="1"/>
  <c r="P2366" i="1"/>
  <c r="J2366" i="1"/>
  <c r="L2366" i="1" s="1"/>
  <c r="P2365" i="1"/>
  <c r="J2365" i="1"/>
  <c r="T2362" i="1"/>
  <c r="L2362" i="1"/>
  <c r="T2361" i="1"/>
  <c r="P2361" i="1"/>
  <c r="Q2361" i="1" s="1"/>
  <c r="L2361" i="1"/>
  <c r="T2360" i="1"/>
  <c r="R2360" i="1"/>
  <c r="P2360" i="1"/>
  <c r="L2360" i="1"/>
  <c r="T2359" i="1"/>
  <c r="R2359" i="1"/>
  <c r="P2359" i="1"/>
  <c r="L2359" i="1"/>
  <c r="T2358" i="1"/>
  <c r="R2358" i="1"/>
  <c r="P2358" i="1"/>
  <c r="L2358" i="1"/>
  <c r="T2355" i="1"/>
  <c r="L2355" i="1"/>
  <c r="P2354" i="1"/>
  <c r="J2354" i="1"/>
  <c r="P2353" i="1"/>
  <c r="J2353" i="1"/>
  <c r="R2353" i="1" s="1"/>
  <c r="P2352" i="1"/>
  <c r="J2352" i="1"/>
  <c r="P2351" i="1"/>
  <c r="J2351" i="1"/>
  <c r="L2351" i="1" s="1"/>
  <c r="P2350" i="1"/>
  <c r="J2350" i="1"/>
  <c r="P2349" i="1"/>
  <c r="J2349" i="1"/>
  <c r="L2349" i="1" s="1"/>
  <c r="T2346" i="1"/>
  <c r="S2346" i="1"/>
  <c r="L2346" i="1"/>
  <c r="P2345" i="1"/>
  <c r="J2345" i="1"/>
  <c r="T2345" i="1" s="1"/>
  <c r="T2342" i="1"/>
  <c r="R2342" i="1"/>
  <c r="L2342" i="1"/>
  <c r="T2341" i="1"/>
  <c r="R2341" i="1"/>
  <c r="P2341" i="1"/>
  <c r="L2341" i="1"/>
  <c r="T2340" i="1"/>
  <c r="R2340" i="1"/>
  <c r="P2340" i="1"/>
  <c r="L2340" i="1"/>
  <c r="T2337" i="1"/>
  <c r="R2337" i="1"/>
  <c r="L2337" i="1"/>
  <c r="P2336" i="1"/>
  <c r="J2336" i="1"/>
  <c r="L2336" i="1" s="1"/>
  <c r="P2335" i="1"/>
  <c r="J2335" i="1"/>
  <c r="P2334" i="1"/>
  <c r="J2334" i="1"/>
  <c r="P2333" i="1"/>
  <c r="J2333" i="1"/>
  <c r="T2333" i="1" s="1"/>
  <c r="T2330" i="1"/>
  <c r="S2330" i="1"/>
  <c r="L2330" i="1"/>
  <c r="P2329" i="1"/>
  <c r="J2329" i="1"/>
  <c r="T2329" i="1" s="1"/>
  <c r="P2326" i="1"/>
  <c r="J2326" i="1"/>
  <c r="L2326" i="1" s="1"/>
  <c r="P2323" i="1"/>
  <c r="J2323" i="1"/>
  <c r="T2323" i="1" s="1"/>
  <c r="P2322" i="1"/>
  <c r="J2322" i="1"/>
  <c r="P2321" i="1"/>
  <c r="J2321" i="1"/>
  <c r="P2318" i="1"/>
  <c r="J2318" i="1"/>
  <c r="P2317" i="1"/>
  <c r="J2317" i="1"/>
  <c r="R2317" i="1" s="1"/>
  <c r="P2316" i="1"/>
  <c r="J2316" i="1"/>
  <c r="R2316" i="1" s="1"/>
  <c r="T2313" i="1"/>
  <c r="L2313" i="1"/>
  <c r="P2312" i="1"/>
  <c r="J2312" i="1"/>
  <c r="L2312" i="1" s="1"/>
  <c r="P2311" i="1"/>
  <c r="J2311" i="1"/>
  <c r="P2310" i="1"/>
  <c r="J2310" i="1"/>
  <c r="J2306" i="1"/>
  <c r="T2303" i="1"/>
  <c r="L2303" i="1"/>
  <c r="P2302" i="1"/>
  <c r="J2302" i="1"/>
  <c r="R2302" i="1" s="1"/>
  <c r="R2299" i="1"/>
  <c r="L2299" i="1"/>
  <c r="T2298" i="1"/>
  <c r="L2298" i="1"/>
  <c r="T2297" i="1"/>
  <c r="R2297" i="1"/>
  <c r="P2297" i="1"/>
  <c r="L2297" i="1"/>
  <c r="T2294" i="1"/>
  <c r="L2294" i="1"/>
  <c r="P2293" i="1"/>
  <c r="J2293" i="1"/>
  <c r="P2291" i="1"/>
  <c r="J2291" i="1"/>
  <c r="R2291" i="1" s="1"/>
  <c r="P2290" i="1"/>
  <c r="J2290" i="1"/>
  <c r="R2290" i="1" s="1"/>
  <c r="P2289" i="1"/>
  <c r="J2289" i="1"/>
  <c r="T2289" i="1" s="1"/>
  <c r="P2288" i="1"/>
  <c r="J2288" i="1"/>
  <c r="P2287" i="1"/>
  <c r="J2287" i="1"/>
  <c r="R2287" i="1" s="1"/>
  <c r="P2286" i="1"/>
  <c r="J2286" i="1"/>
  <c r="T2286" i="1" s="1"/>
  <c r="P2285" i="1"/>
  <c r="J2285" i="1"/>
  <c r="P2284" i="1"/>
  <c r="J2284" i="1"/>
  <c r="P2283" i="1"/>
  <c r="J2283" i="1"/>
  <c r="L2283" i="1" s="1"/>
  <c r="P2282" i="1"/>
  <c r="J2282" i="1"/>
  <c r="L2282" i="1" s="1"/>
  <c r="T2279" i="1"/>
  <c r="L2279" i="1"/>
  <c r="T2278" i="1"/>
  <c r="L2278" i="1"/>
  <c r="P2277" i="1"/>
  <c r="J2277" i="1"/>
  <c r="L2277" i="1" s="1"/>
  <c r="P2276" i="1"/>
  <c r="J2276" i="1"/>
  <c r="T2275" i="1"/>
  <c r="L2275" i="1"/>
  <c r="P2274" i="1"/>
  <c r="J2274" i="1"/>
  <c r="L2274" i="1" s="1"/>
  <c r="T2271" i="1"/>
  <c r="R2271" i="1"/>
  <c r="P2271" i="1"/>
  <c r="L2271" i="1"/>
  <c r="P2270" i="1"/>
  <c r="J2270" i="1"/>
  <c r="P2269" i="1"/>
  <c r="J2269" i="1"/>
  <c r="T2266" i="1"/>
  <c r="L2266" i="1"/>
  <c r="P2265" i="1"/>
  <c r="J2265" i="1"/>
  <c r="R2265" i="1" s="1"/>
  <c r="P2264" i="1"/>
  <c r="J2264" i="1"/>
  <c r="P2263" i="1"/>
  <c r="J2263" i="1"/>
  <c r="R2260" i="1"/>
  <c r="L2260" i="1"/>
  <c r="P2259" i="1"/>
  <c r="J2259" i="1"/>
  <c r="L2259" i="1" s="1"/>
  <c r="T2256" i="1"/>
  <c r="R2256" i="1"/>
  <c r="L2256" i="1"/>
  <c r="P2255" i="1"/>
  <c r="J2255" i="1"/>
  <c r="P2254" i="1"/>
  <c r="J2254" i="1"/>
  <c r="T2254" i="1" s="1"/>
  <c r="T2251" i="1"/>
  <c r="R2251" i="1"/>
  <c r="L2251" i="1"/>
  <c r="P2250" i="1"/>
  <c r="J2250" i="1"/>
  <c r="T2247" i="1"/>
  <c r="L2247" i="1"/>
  <c r="T2246" i="1"/>
  <c r="R2246" i="1"/>
  <c r="P2246" i="1"/>
  <c r="L2246" i="1"/>
  <c r="T2243" i="1"/>
  <c r="L2243" i="1"/>
  <c r="P2242" i="1"/>
  <c r="J2242" i="1"/>
  <c r="R2239" i="1"/>
  <c r="L2239" i="1"/>
  <c r="R2238" i="1"/>
  <c r="L2238" i="1"/>
  <c r="T2237" i="1"/>
  <c r="R2237" i="1"/>
  <c r="T2236" i="1"/>
  <c r="R2236" i="1"/>
  <c r="L2236" i="1"/>
  <c r="L2233" i="1"/>
  <c r="T2230" i="1"/>
  <c r="S2230" i="1"/>
  <c r="L2230" i="1"/>
  <c r="T2227" i="1"/>
  <c r="L2227" i="1"/>
  <c r="P2226" i="1"/>
  <c r="J2226" i="1"/>
  <c r="P2224" i="1"/>
  <c r="J2224" i="1"/>
  <c r="P2223" i="1"/>
  <c r="J2223" i="1"/>
  <c r="T2223" i="1" s="1"/>
  <c r="T2220" i="1"/>
  <c r="S2220" i="1"/>
  <c r="L2220" i="1"/>
  <c r="P2219" i="1"/>
  <c r="J2219" i="1"/>
  <c r="R2219" i="1" s="1"/>
  <c r="T2216" i="1"/>
  <c r="S2216" i="1"/>
  <c r="L2216" i="1"/>
  <c r="P2215" i="1"/>
  <c r="J2215" i="1"/>
  <c r="T2215" i="1" s="1"/>
  <c r="T2212" i="1"/>
  <c r="L2212" i="1"/>
  <c r="P2211" i="1"/>
  <c r="J2211" i="1"/>
  <c r="T2211" i="1" s="1"/>
  <c r="L2208" i="1"/>
  <c r="P2207" i="1"/>
  <c r="J2207" i="1"/>
  <c r="T2204" i="1"/>
  <c r="L2204" i="1"/>
  <c r="P2203" i="1"/>
  <c r="J2203" i="1"/>
  <c r="P2202" i="1"/>
  <c r="J2202" i="1"/>
  <c r="T2199" i="1"/>
  <c r="L2199" i="1"/>
  <c r="T2198" i="1"/>
  <c r="Q2198" i="1"/>
  <c r="L2198" i="1"/>
  <c r="P2197" i="1"/>
  <c r="J2197" i="1"/>
  <c r="L2197" i="1" s="1"/>
  <c r="P2196" i="1"/>
  <c r="J2196" i="1"/>
  <c r="R2196" i="1" s="1"/>
  <c r="T2193" i="1"/>
  <c r="R2193" i="1"/>
  <c r="T2192" i="1"/>
  <c r="R2192" i="1"/>
  <c r="P2192" i="1"/>
  <c r="L2192" i="1"/>
  <c r="T2190" i="1"/>
  <c r="R2190" i="1"/>
  <c r="T2189" i="1"/>
  <c r="R2189" i="1"/>
  <c r="P2189" i="1"/>
  <c r="L2189" i="1"/>
  <c r="T2186" i="1"/>
  <c r="R2186" i="1"/>
  <c r="L2186" i="1"/>
  <c r="P2185" i="1"/>
  <c r="J2185" i="1"/>
  <c r="L2185" i="1" s="1"/>
  <c r="P2184" i="1"/>
  <c r="J2184" i="1"/>
  <c r="T2181" i="1"/>
  <c r="R2181" i="1"/>
  <c r="L2181" i="1"/>
  <c r="P2180" i="1"/>
  <c r="J2180" i="1"/>
  <c r="T2180" i="1" s="1"/>
  <c r="P2179" i="1"/>
  <c r="J2179" i="1"/>
  <c r="P2178" i="1"/>
  <c r="J2178" i="1"/>
  <c r="P2177" i="1"/>
  <c r="J2177" i="1"/>
  <c r="R2177" i="1" s="1"/>
  <c r="P2176" i="1"/>
  <c r="J2176" i="1"/>
  <c r="T2176" i="1" s="1"/>
  <c r="P2175" i="1"/>
  <c r="J2175" i="1"/>
  <c r="T2172" i="1"/>
  <c r="R2172" i="1"/>
  <c r="L2172" i="1"/>
  <c r="P2171" i="1"/>
  <c r="J2171" i="1"/>
  <c r="T2171" i="1" s="1"/>
  <c r="T2168" i="1"/>
  <c r="R2168" i="1"/>
  <c r="L2168" i="1"/>
  <c r="P2167" i="1"/>
  <c r="J2167" i="1"/>
  <c r="T2164" i="1"/>
  <c r="R2164" i="1"/>
  <c r="L2164" i="1"/>
  <c r="P2163" i="1"/>
  <c r="J2163" i="1"/>
  <c r="P2162" i="1"/>
  <c r="J2162" i="1"/>
  <c r="L2162" i="1" s="1"/>
  <c r="P2161" i="1"/>
  <c r="J2161" i="1"/>
  <c r="T2161" i="1" s="1"/>
  <c r="P2160" i="1"/>
  <c r="J2160" i="1"/>
  <c r="P2159" i="1"/>
  <c r="J2159" i="1"/>
  <c r="P2158" i="1"/>
  <c r="J2158" i="1"/>
  <c r="L2158" i="1" s="1"/>
  <c r="L2155" i="1"/>
  <c r="T2154" i="1"/>
  <c r="R2154" i="1"/>
  <c r="P2154" i="1"/>
  <c r="L2154" i="1"/>
  <c r="T2153" i="1"/>
  <c r="R2153" i="1"/>
  <c r="P2153" i="1"/>
  <c r="L2153" i="1"/>
  <c r="T2152" i="1"/>
  <c r="R2152" i="1"/>
  <c r="P2152" i="1"/>
  <c r="L2152" i="1"/>
  <c r="L2149" i="1"/>
  <c r="P2148" i="1"/>
  <c r="J2148" i="1"/>
  <c r="L2147" i="1"/>
  <c r="P2146" i="1"/>
  <c r="J2146" i="1"/>
  <c r="P2145" i="1"/>
  <c r="J2145" i="1"/>
  <c r="P2144" i="1"/>
  <c r="J2144" i="1"/>
  <c r="P2143" i="1"/>
  <c r="J2143" i="1"/>
  <c r="P2140" i="1"/>
  <c r="J2140" i="1"/>
  <c r="T2140" i="1" s="1"/>
  <c r="L2139" i="1"/>
  <c r="P2138" i="1"/>
  <c r="J2138" i="1"/>
  <c r="P2137" i="1"/>
  <c r="J2137" i="1"/>
  <c r="L2137" i="1" s="1"/>
  <c r="P2136" i="1"/>
  <c r="J2136" i="1"/>
  <c r="R2136" i="1" s="1"/>
  <c r="P2135" i="1"/>
  <c r="J2135" i="1"/>
  <c r="T2132" i="1"/>
  <c r="R2132" i="1"/>
  <c r="L2132" i="1"/>
  <c r="P2131" i="1"/>
  <c r="J2131" i="1"/>
  <c r="L2131" i="1" s="1"/>
  <c r="R2130" i="1"/>
  <c r="T2128" i="1"/>
  <c r="L2128" i="1"/>
  <c r="P2127" i="1"/>
  <c r="J2127" i="1"/>
  <c r="L2127" i="1" s="1"/>
  <c r="T2124" i="1"/>
  <c r="R2124" i="1"/>
  <c r="L2124" i="1"/>
  <c r="P2123" i="1"/>
  <c r="J2123" i="1"/>
  <c r="T2120" i="1"/>
  <c r="R2120" i="1"/>
  <c r="L2120" i="1"/>
  <c r="P2119" i="1"/>
  <c r="J2119" i="1"/>
  <c r="P2118" i="1"/>
  <c r="J2118" i="1"/>
  <c r="P2117" i="1"/>
  <c r="J2117" i="1"/>
  <c r="T2117" i="1" s="1"/>
  <c r="P2116" i="1"/>
  <c r="J2116" i="1"/>
  <c r="P2115" i="1"/>
  <c r="J2115" i="1"/>
  <c r="P2114" i="1"/>
  <c r="J2114" i="1"/>
  <c r="R2114" i="1" s="1"/>
  <c r="T2111" i="1"/>
  <c r="L2111" i="1"/>
  <c r="T2110" i="1"/>
  <c r="Q2110" i="1"/>
  <c r="L2110" i="1"/>
  <c r="P2109" i="1"/>
  <c r="J2109" i="1"/>
  <c r="T2109" i="1" s="1"/>
  <c r="T2107" i="1"/>
  <c r="R2107" i="1"/>
  <c r="T2106" i="1"/>
  <c r="R2106" i="1"/>
  <c r="L2106" i="1"/>
  <c r="P2105" i="1"/>
  <c r="J2105" i="1"/>
  <c r="R2105" i="1" s="1"/>
  <c r="P2104" i="1"/>
  <c r="J2104" i="1"/>
  <c r="P2103" i="1"/>
  <c r="J2103" i="1"/>
  <c r="T2103" i="1" s="1"/>
  <c r="P2102" i="1"/>
  <c r="J2102" i="1"/>
  <c r="T2102" i="1" s="1"/>
  <c r="T2099" i="1"/>
  <c r="R2099" i="1"/>
  <c r="L2099" i="1"/>
  <c r="P2098" i="1"/>
  <c r="J2098" i="1"/>
  <c r="L2098" i="1" s="1"/>
  <c r="T2095" i="1"/>
  <c r="L2095" i="1"/>
  <c r="P2094" i="1"/>
  <c r="J2094" i="1"/>
  <c r="P2092" i="1"/>
  <c r="J2092" i="1"/>
  <c r="P2091" i="1"/>
  <c r="J2091" i="1"/>
  <c r="L2088" i="1"/>
  <c r="P2087" i="1"/>
  <c r="J2087" i="1"/>
  <c r="T2084" i="1"/>
  <c r="L2084" i="1"/>
  <c r="T2083" i="1"/>
  <c r="Q2083" i="1"/>
  <c r="L2083" i="1"/>
  <c r="P2082" i="1"/>
  <c r="J2082" i="1"/>
  <c r="L2079" i="1"/>
  <c r="T2078" i="1"/>
  <c r="R2078" i="1"/>
  <c r="P2078" i="1"/>
  <c r="L2078" i="1"/>
  <c r="T2077" i="1"/>
  <c r="R2077" i="1"/>
  <c r="P2077" i="1"/>
  <c r="L2077" i="1"/>
  <c r="T2076" i="1"/>
  <c r="R2076" i="1"/>
  <c r="P2076" i="1"/>
  <c r="L2076" i="1"/>
  <c r="T2075" i="1"/>
  <c r="R2075" i="1"/>
  <c r="P2075" i="1"/>
  <c r="L2075" i="1"/>
  <c r="T2074" i="1"/>
  <c r="R2074" i="1"/>
  <c r="P2074" i="1"/>
  <c r="L2074" i="1"/>
  <c r="T2073" i="1"/>
  <c r="R2073" i="1"/>
  <c r="P2073" i="1"/>
  <c r="L2073" i="1"/>
  <c r="T2072" i="1"/>
  <c r="R2072" i="1"/>
  <c r="P2072" i="1"/>
  <c r="L2072" i="1"/>
  <c r="T2071" i="1"/>
  <c r="R2071" i="1"/>
  <c r="P2071" i="1"/>
  <c r="L2071" i="1"/>
  <c r="T2070" i="1"/>
  <c r="R2070" i="1"/>
  <c r="P2070" i="1"/>
  <c r="L2070" i="1"/>
  <c r="T2069" i="1"/>
  <c r="R2069" i="1"/>
  <c r="P2069" i="1"/>
  <c r="L2069" i="1"/>
  <c r="R2066" i="1"/>
  <c r="L2066" i="1"/>
  <c r="R2065" i="1"/>
  <c r="L2065" i="1"/>
  <c r="R2064" i="1"/>
  <c r="L2064" i="1"/>
  <c r="T2063" i="1"/>
  <c r="S2063" i="1"/>
  <c r="L2063" i="1"/>
  <c r="T2060" i="1"/>
  <c r="R2060" i="1"/>
  <c r="L2060" i="1"/>
  <c r="P2059" i="1"/>
  <c r="J2059" i="1"/>
  <c r="T2059" i="1" s="1"/>
  <c r="R2056" i="1"/>
  <c r="T2053" i="1"/>
  <c r="L2053" i="1"/>
  <c r="T2052" i="1"/>
  <c r="Q2052" i="1"/>
  <c r="L2052" i="1"/>
  <c r="P2051" i="1"/>
  <c r="J2051" i="1"/>
  <c r="P2050" i="1"/>
  <c r="J2050" i="1"/>
  <c r="T2050" i="1" s="1"/>
  <c r="T2047" i="1"/>
  <c r="R2047" i="1"/>
  <c r="P2047" i="1"/>
  <c r="L2047" i="1"/>
  <c r="T2046" i="1"/>
  <c r="Q2046" i="1"/>
  <c r="L2046" i="1"/>
  <c r="T2045" i="1"/>
  <c r="R2045" i="1"/>
  <c r="P2045" i="1"/>
  <c r="L2045" i="1"/>
  <c r="T2044" i="1"/>
  <c r="R2044" i="1"/>
  <c r="P2044" i="1"/>
  <c r="L2044" i="1"/>
  <c r="T2041" i="1"/>
  <c r="R2041" i="1"/>
  <c r="P2041" i="1"/>
  <c r="L2041" i="1"/>
  <c r="P2040" i="1"/>
  <c r="J2040" i="1"/>
  <c r="L2040" i="1" s="1"/>
  <c r="P2039" i="1"/>
  <c r="J2039" i="1"/>
  <c r="P2038" i="1"/>
  <c r="J2038" i="1"/>
  <c r="T2035" i="1"/>
  <c r="L2035" i="1"/>
  <c r="P2034" i="1"/>
  <c r="J2034" i="1"/>
  <c r="R2034" i="1" s="1"/>
  <c r="T2031" i="1"/>
  <c r="L2031" i="1"/>
  <c r="T2030" i="1"/>
  <c r="Q2030" i="1"/>
  <c r="L2030" i="1"/>
  <c r="P2029" i="1"/>
  <c r="J2029" i="1"/>
  <c r="T2027" i="1"/>
  <c r="R2027" i="1"/>
  <c r="T2026" i="1"/>
  <c r="R2026" i="1"/>
  <c r="L2026" i="1"/>
  <c r="P2025" i="1"/>
  <c r="J2025" i="1"/>
  <c r="L2025" i="1" s="1"/>
  <c r="L2022" i="1"/>
  <c r="P2021" i="1"/>
  <c r="J2021" i="1"/>
  <c r="P2019" i="1"/>
  <c r="J2019" i="1"/>
  <c r="P2017" i="1"/>
  <c r="J2017" i="1"/>
  <c r="R2017" i="1" s="1"/>
  <c r="R2014" i="1"/>
  <c r="L2014" i="1"/>
  <c r="P2013" i="1"/>
  <c r="J2013" i="1"/>
  <c r="T2010" i="1"/>
  <c r="R2010" i="1"/>
  <c r="L2010" i="1"/>
  <c r="P2009" i="1"/>
  <c r="J2009" i="1"/>
  <c r="P2008" i="1"/>
  <c r="J2008" i="1"/>
  <c r="L2008" i="1" s="1"/>
  <c r="P2007" i="1"/>
  <c r="J2007" i="1"/>
  <c r="R2007" i="1" s="1"/>
  <c r="P2005" i="1"/>
  <c r="J2005" i="1"/>
  <c r="L2005" i="1" s="1"/>
  <c r="P2004" i="1"/>
  <c r="J2004" i="1"/>
  <c r="P2003" i="1"/>
  <c r="J2003" i="1"/>
  <c r="L2003" i="1" s="1"/>
  <c r="P2002" i="1"/>
  <c r="J2002" i="1"/>
  <c r="T2002" i="1" s="1"/>
  <c r="P2001" i="1"/>
  <c r="J2001" i="1"/>
  <c r="L2001" i="1" s="1"/>
  <c r="P2000" i="1"/>
  <c r="J2000" i="1"/>
  <c r="L2000" i="1" s="1"/>
  <c r="T1997" i="1"/>
  <c r="R1997" i="1"/>
  <c r="L1997" i="1"/>
  <c r="P1996" i="1"/>
  <c r="J1996" i="1"/>
  <c r="T1996" i="1" s="1"/>
  <c r="T1993" i="1"/>
  <c r="S1993" i="1"/>
  <c r="L1993" i="1"/>
  <c r="P1992" i="1"/>
  <c r="J1992" i="1"/>
  <c r="R1989" i="1"/>
  <c r="L1989" i="1"/>
  <c r="P1988" i="1"/>
  <c r="J1988" i="1"/>
  <c r="R1988" i="1" s="1"/>
  <c r="P1987" i="1"/>
  <c r="J1987" i="1"/>
  <c r="L1984" i="1"/>
  <c r="P1983" i="1"/>
  <c r="J1983" i="1"/>
  <c r="L1983" i="1" s="1"/>
  <c r="P1982" i="1"/>
  <c r="J1982" i="1"/>
  <c r="L1982" i="1" s="1"/>
  <c r="P1980" i="1"/>
  <c r="J1980" i="1"/>
  <c r="T1980" i="1" s="1"/>
  <c r="T1977" i="1"/>
  <c r="L1977" i="1"/>
  <c r="P1976" i="1"/>
  <c r="J1976" i="1"/>
  <c r="R1976" i="1" s="1"/>
  <c r="R1973" i="1"/>
  <c r="L1973" i="1"/>
  <c r="P1972" i="1"/>
  <c r="J1972" i="1"/>
  <c r="T1969" i="1"/>
  <c r="L1969" i="1"/>
  <c r="P1968" i="1"/>
  <c r="J1968" i="1"/>
  <c r="L1968" i="1" s="1"/>
  <c r="P1967" i="1"/>
  <c r="J1967" i="1"/>
  <c r="L1967" i="1" s="1"/>
  <c r="P1966" i="1"/>
  <c r="J1966" i="1"/>
  <c r="L1966" i="1" s="1"/>
  <c r="P1965" i="1"/>
  <c r="J1965" i="1"/>
  <c r="T1965" i="1" s="1"/>
  <c r="T1962" i="1"/>
  <c r="L1962" i="1"/>
  <c r="P1961" i="1"/>
  <c r="J1961" i="1"/>
  <c r="P1959" i="1"/>
  <c r="J1959" i="1"/>
  <c r="P1958" i="1"/>
  <c r="J1958" i="1"/>
  <c r="P1957" i="1"/>
  <c r="J1957" i="1"/>
  <c r="P1956" i="1"/>
  <c r="J1956" i="1"/>
  <c r="P1955" i="1"/>
  <c r="J1955" i="1"/>
  <c r="L1955" i="1" s="1"/>
  <c r="P1954" i="1"/>
  <c r="J1954" i="1"/>
  <c r="R1951" i="1"/>
  <c r="L1951" i="1"/>
  <c r="P1950" i="1"/>
  <c r="J1950" i="1"/>
  <c r="T1947" i="1"/>
  <c r="L1947" i="1"/>
  <c r="P1946" i="1"/>
  <c r="J1946" i="1"/>
  <c r="R1943" i="1"/>
  <c r="L1943" i="1"/>
  <c r="P1942" i="1"/>
  <c r="J1942" i="1"/>
  <c r="R1939" i="1"/>
  <c r="L1939" i="1"/>
  <c r="P1938" i="1"/>
  <c r="J1938" i="1"/>
  <c r="R1935" i="1"/>
  <c r="L1935" i="1"/>
  <c r="P1934" i="1"/>
  <c r="J1934" i="1"/>
  <c r="P1933" i="1"/>
  <c r="J1933" i="1"/>
  <c r="P1932" i="1"/>
  <c r="J1932" i="1"/>
  <c r="R1932" i="1" s="1"/>
  <c r="P1931" i="1"/>
  <c r="J1931" i="1"/>
  <c r="T1931" i="1" s="1"/>
  <c r="P1930" i="1"/>
  <c r="J1930" i="1"/>
  <c r="L1930" i="1" s="1"/>
  <c r="P1927" i="1"/>
  <c r="J1927" i="1"/>
  <c r="L1927" i="1" s="1"/>
  <c r="P1926" i="1"/>
  <c r="J1926" i="1"/>
  <c r="L1926" i="1" s="1"/>
  <c r="P1925" i="1"/>
  <c r="J1925" i="1"/>
  <c r="L1925" i="1" s="1"/>
  <c r="R1922" i="1"/>
  <c r="L1922" i="1"/>
  <c r="P1921" i="1"/>
  <c r="J1921" i="1"/>
  <c r="T1918" i="1"/>
  <c r="L1918" i="1"/>
  <c r="P1917" i="1"/>
  <c r="J1917" i="1"/>
  <c r="P1916" i="1"/>
  <c r="J1916" i="1"/>
  <c r="T1913" i="1"/>
  <c r="R1913" i="1"/>
  <c r="P1913" i="1"/>
  <c r="L1913" i="1"/>
  <c r="P1912" i="1"/>
  <c r="J1912" i="1"/>
  <c r="P1911" i="1"/>
  <c r="J1911" i="1"/>
  <c r="R1908" i="1"/>
  <c r="L1908" i="1"/>
  <c r="P1907" i="1"/>
  <c r="J1907" i="1"/>
  <c r="T1907" i="1" s="1"/>
  <c r="P1906" i="1"/>
  <c r="J1906" i="1"/>
  <c r="T1906" i="1" s="1"/>
  <c r="P1905" i="1"/>
  <c r="J1905" i="1"/>
  <c r="P1904" i="1"/>
  <c r="J1904" i="1"/>
  <c r="T1904" i="1" s="1"/>
  <c r="T1901" i="1"/>
  <c r="L1901" i="1"/>
  <c r="P1900" i="1"/>
  <c r="J1900" i="1"/>
  <c r="P1898" i="1"/>
  <c r="J1898" i="1"/>
  <c r="T1898" i="1" s="1"/>
  <c r="P1897" i="1"/>
  <c r="J1897" i="1"/>
  <c r="R1897" i="1" s="1"/>
  <c r="R1895" i="1"/>
  <c r="T1894" i="1"/>
  <c r="R1894" i="1"/>
  <c r="L1894" i="1"/>
  <c r="T1893" i="1"/>
  <c r="R1893" i="1"/>
  <c r="L1893" i="1"/>
  <c r="T1892" i="1"/>
  <c r="R1892" i="1"/>
  <c r="L1892" i="1"/>
  <c r="T1891" i="1"/>
  <c r="R1891" i="1"/>
  <c r="L1891" i="1"/>
  <c r="T1890" i="1"/>
  <c r="R1890" i="1"/>
  <c r="L1890" i="1"/>
  <c r="T1889" i="1"/>
  <c r="R1889" i="1"/>
  <c r="L1889" i="1"/>
  <c r="T1888" i="1"/>
  <c r="R1888" i="1"/>
  <c r="L1888" i="1"/>
  <c r="T1887" i="1"/>
  <c r="R1887" i="1"/>
  <c r="L1887" i="1"/>
  <c r="T1878" i="1"/>
  <c r="R1878" i="1"/>
  <c r="L1878" i="1"/>
  <c r="P1877" i="1"/>
  <c r="J1877" i="1"/>
  <c r="R1877" i="1" s="1"/>
  <c r="P1876" i="1"/>
  <c r="J1876" i="1"/>
  <c r="L1876" i="1" s="1"/>
  <c r="P1875" i="1"/>
  <c r="J1875" i="1"/>
  <c r="R1875" i="1" s="1"/>
  <c r="P1874" i="1"/>
  <c r="J1874" i="1"/>
  <c r="L1874" i="1" s="1"/>
  <c r="R1871" i="1"/>
  <c r="L1871" i="1"/>
  <c r="R1870" i="1"/>
  <c r="L1870" i="1"/>
  <c r="P1869" i="1"/>
  <c r="J1869" i="1"/>
  <c r="L1869" i="1" s="1"/>
  <c r="P1868" i="1"/>
  <c r="J1868" i="1"/>
  <c r="L1868" i="1" s="1"/>
  <c r="R1866" i="1"/>
  <c r="T1865" i="1"/>
  <c r="L1865" i="1"/>
  <c r="T1864" i="1"/>
  <c r="Q1864" i="1"/>
  <c r="L1864" i="1"/>
  <c r="P1863" i="1"/>
  <c r="J1863" i="1"/>
  <c r="R1863" i="1" s="1"/>
  <c r="R1861" i="1"/>
  <c r="T1860" i="1"/>
  <c r="R1860" i="1"/>
  <c r="L1860" i="1"/>
  <c r="T1859" i="1"/>
  <c r="Q1859" i="1"/>
  <c r="L1859" i="1"/>
  <c r="P1858" i="1"/>
  <c r="J1858" i="1"/>
  <c r="R1858" i="1" s="1"/>
  <c r="P1857" i="1"/>
  <c r="J1857" i="1"/>
  <c r="L1857" i="1" s="1"/>
  <c r="T1855" i="1"/>
  <c r="R1855" i="1"/>
  <c r="T1854" i="1"/>
  <c r="R1854" i="1"/>
  <c r="L1854" i="1"/>
  <c r="P1853" i="1"/>
  <c r="J1853" i="1"/>
  <c r="P1852" i="1"/>
  <c r="J1852" i="1"/>
  <c r="L1852" i="1" s="1"/>
  <c r="P1851" i="1"/>
  <c r="J1851" i="1"/>
  <c r="T1851" i="1" s="1"/>
  <c r="R1849" i="1"/>
  <c r="T1848" i="1"/>
  <c r="R1848" i="1"/>
  <c r="L1848" i="1"/>
  <c r="T1847" i="1"/>
  <c r="Q1847" i="1"/>
  <c r="L1847" i="1"/>
  <c r="P1846" i="1"/>
  <c r="J1846" i="1"/>
  <c r="T1846" i="1" s="1"/>
  <c r="T1843" i="1"/>
  <c r="R1843" i="1"/>
  <c r="L1843" i="1"/>
  <c r="P1842" i="1"/>
  <c r="J1842" i="1"/>
  <c r="R1842" i="1" s="1"/>
  <c r="R1837" i="1"/>
  <c r="T1836" i="1"/>
  <c r="R1836" i="1"/>
  <c r="L1836" i="1"/>
  <c r="T1835" i="1"/>
  <c r="Q1835" i="1"/>
  <c r="L1835" i="1"/>
  <c r="J1834" i="1"/>
  <c r="L1834" i="1" s="1"/>
  <c r="P1833" i="1"/>
  <c r="J1833" i="1"/>
  <c r="R1833" i="1" s="1"/>
  <c r="T1830" i="1"/>
  <c r="R1830" i="1"/>
  <c r="L1830" i="1"/>
  <c r="P1829" i="1"/>
  <c r="J1829" i="1"/>
  <c r="P1828" i="1"/>
  <c r="J1828" i="1"/>
  <c r="P1827" i="1"/>
  <c r="J1827" i="1"/>
  <c r="R1825" i="1"/>
  <c r="T1824" i="1"/>
  <c r="Q1824" i="1"/>
  <c r="R1824" i="1" s="1"/>
  <c r="L1824" i="1"/>
  <c r="P1823" i="1"/>
  <c r="J1823" i="1"/>
  <c r="R1823" i="1" s="1"/>
  <c r="P1822" i="1"/>
  <c r="J1822" i="1"/>
  <c r="R1822" i="1" s="1"/>
  <c r="P1821" i="1"/>
  <c r="J1821" i="1"/>
  <c r="T1821" i="1" s="1"/>
  <c r="P1820" i="1"/>
  <c r="J1820" i="1"/>
  <c r="P1819" i="1"/>
  <c r="J1819" i="1"/>
  <c r="R1819" i="1" s="1"/>
  <c r="P1818" i="1"/>
  <c r="J1818" i="1"/>
  <c r="L1818" i="1" s="1"/>
  <c r="P1817" i="1"/>
  <c r="J1817" i="1"/>
  <c r="T1814" i="1"/>
  <c r="R1814" i="1"/>
  <c r="L1814" i="1"/>
  <c r="P1813" i="1"/>
  <c r="J1813" i="1"/>
  <c r="L1813" i="1" s="1"/>
  <c r="T1810" i="1"/>
  <c r="R1810" i="1"/>
  <c r="L1810" i="1"/>
  <c r="P1809" i="1"/>
  <c r="J1809" i="1"/>
  <c r="P1808" i="1"/>
  <c r="J1808" i="1"/>
  <c r="T1805" i="1"/>
  <c r="R1805" i="1"/>
  <c r="T1804" i="1"/>
  <c r="R1804" i="1"/>
  <c r="L1804" i="1"/>
  <c r="P1803" i="1"/>
  <c r="J1803" i="1"/>
  <c r="T1803" i="1" s="1"/>
  <c r="P1802" i="1"/>
  <c r="J1802" i="1"/>
  <c r="L1802" i="1" s="1"/>
  <c r="P1801" i="1"/>
  <c r="J1801" i="1"/>
  <c r="R1801" i="1" s="1"/>
  <c r="P1800" i="1"/>
  <c r="J1800" i="1"/>
  <c r="P1799" i="1"/>
  <c r="J1799" i="1"/>
  <c r="P1798" i="1"/>
  <c r="J1798" i="1"/>
  <c r="L1798" i="1" s="1"/>
  <c r="P1797" i="1"/>
  <c r="J1797" i="1"/>
  <c r="P1796" i="1"/>
  <c r="J1796" i="1"/>
  <c r="T1793" i="1"/>
  <c r="L1793" i="1"/>
  <c r="P1792" i="1"/>
  <c r="J1792" i="1"/>
  <c r="T1792" i="1" s="1"/>
  <c r="R1790" i="1"/>
  <c r="T1789" i="1"/>
  <c r="R1789" i="1"/>
  <c r="L1789" i="1"/>
  <c r="T1788" i="1"/>
  <c r="Q1788" i="1"/>
  <c r="L1788" i="1"/>
  <c r="P1787" i="1"/>
  <c r="J1787" i="1"/>
  <c r="L1787" i="1" s="1"/>
  <c r="P1784" i="1"/>
  <c r="J1784" i="1"/>
  <c r="T1784" i="1" s="1"/>
  <c r="P1781" i="1"/>
  <c r="J1781" i="1"/>
  <c r="T1781" i="1" s="1"/>
  <c r="P1780" i="1"/>
  <c r="J1780" i="1"/>
  <c r="L1780" i="1" s="1"/>
  <c r="T1777" i="1"/>
  <c r="L1777" i="1"/>
  <c r="P1776" i="1"/>
  <c r="J1776" i="1"/>
  <c r="P1774" i="1"/>
  <c r="J1774" i="1"/>
  <c r="R1772" i="1"/>
  <c r="T1771" i="1"/>
  <c r="R1771" i="1"/>
  <c r="L1771" i="1"/>
  <c r="T1770" i="1"/>
  <c r="Q1770" i="1"/>
  <c r="L1770" i="1"/>
  <c r="P1769" i="1"/>
  <c r="J1769" i="1"/>
  <c r="P1768" i="1"/>
  <c r="J1768" i="1"/>
  <c r="T1768" i="1" s="1"/>
  <c r="T1766" i="1"/>
  <c r="R1766" i="1"/>
  <c r="T1765" i="1"/>
  <c r="R1765" i="1"/>
  <c r="L1765" i="1"/>
  <c r="P1764" i="1"/>
  <c r="J1764" i="1"/>
  <c r="T1761" i="1"/>
  <c r="R1761" i="1"/>
  <c r="L1761" i="1"/>
  <c r="P1760" i="1"/>
  <c r="J1760" i="1"/>
  <c r="L1760" i="1" s="1"/>
  <c r="T1757" i="1"/>
  <c r="L1757" i="1"/>
  <c r="P1756" i="1"/>
  <c r="J1756" i="1"/>
  <c r="T1754" i="1"/>
  <c r="L1754" i="1"/>
  <c r="T1753" i="1"/>
  <c r="L1753" i="1"/>
  <c r="P1752" i="1"/>
  <c r="J1752" i="1"/>
  <c r="L1752" i="1" s="1"/>
  <c r="P1751" i="1"/>
  <c r="J1751" i="1"/>
  <c r="L1751" i="1" s="1"/>
  <c r="P1750" i="1"/>
  <c r="J1750" i="1"/>
  <c r="R1750" i="1" s="1"/>
  <c r="R1747" i="1"/>
  <c r="L1747" i="1"/>
  <c r="P1746" i="1"/>
  <c r="J1746" i="1"/>
  <c r="T1746" i="1" s="1"/>
  <c r="P1745" i="1"/>
  <c r="J1745" i="1"/>
  <c r="P1744" i="1"/>
  <c r="J1744" i="1"/>
  <c r="L1744" i="1" s="1"/>
  <c r="R1741" i="1"/>
  <c r="L1741" i="1"/>
  <c r="P1740" i="1"/>
  <c r="J1740" i="1"/>
  <c r="P1739" i="1"/>
  <c r="J1739" i="1"/>
  <c r="T1739" i="1" s="1"/>
  <c r="T1736" i="1"/>
  <c r="R1736" i="1"/>
  <c r="L1736" i="1"/>
  <c r="P1735" i="1"/>
  <c r="J1735" i="1"/>
  <c r="T1732" i="1"/>
  <c r="R1732" i="1"/>
  <c r="L1732" i="1"/>
  <c r="P1731" i="1"/>
  <c r="J1731" i="1"/>
  <c r="L1731" i="1" s="1"/>
  <c r="R1729" i="1"/>
  <c r="T1728" i="1"/>
  <c r="R1728" i="1"/>
  <c r="L1728" i="1"/>
  <c r="T1727" i="1"/>
  <c r="Q1727" i="1"/>
  <c r="L1727" i="1"/>
  <c r="P1726" i="1"/>
  <c r="J1726" i="1"/>
  <c r="L1726" i="1" s="1"/>
  <c r="R1724" i="1"/>
  <c r="T1723" i="1"/>
  <c r="R1723" i="1"/>
  <c r="L1723" i="1"/>
  <c r="P1722" i="1"/>
  <c r="J1722" i="1"/>
  <c r="L1722" i="1" s="1"/>
  <c r="P1721" i="1"/>
  <c r="J1721" i="1"/>
  <c r="L1721" i="1" s="1"/>
  <c r="S1718" i="1"/>
  <c r="T1718" i="1" s="1"/>
  <c r="R1718" i="1"/>
  <c r="L1718" i="1"/>
  <c r="T1715" i="1"/>
  <c r="R1715" i="1"/>
  <c r="L1715" i="1"/>
  <c r="P1714" i="1"/>
  <c r="J1714" i="1"/>
  <c r="T1714" i="1" s="1"/>
  <c r="P1713" i="1"/>
  <c r="J1713" i="1"/>
  <c r="R1713" i="1" s="1"/>
  <c r="T1710" i="1"/>
  <c r="R1710" i="1"/>
  <c r="L1710" i="1"/>
  <c r="P1709" i="1"/>
  <c r="J1709" i="1"/>
  <c r="R1709" i="1" s="1"/>
  <c r="P1708" i="1"/>
  <c r="J1708" i="1"/>
  <c r="L1708" i="1" s="1"/>
  <c r="R1705" i="1"/>
  <c r="L1705" i="1"/>
  <c r="P1704" i="1"/>
  <c r="J1704" i="1"/>
  <c r="R1701" i="1"/>
  <c r="L1701" i="1"/>
  <c r="P1700" i="1"/>
  <c r="J1700" i="1"/>
  <c r="L1700" i="1" s="1"/>
  <c r="P1699" i="1"/>
  <c r="J1699" i="1"/>
  <c r="R1699" i="1" s="1"/>
  <c r="P1698" i="1"/>
  <c r="J1698" i="1"/>
  <c r="P1697" i="1"/>
  <c r="J1697" i="1"/>
  <c r="R1697" i="1" s="1"/>
  <c r="R1695" i="1"/>
  <c r="T1694" i="1"/>
  <c r="R1694" i="1"/>
  <c r="L1694" i="1"/>
  <c r="T1693" i="1"/>
  <c r="Q1693" i="1"/>
  <c r="L1693" i="1"/>
  <c r="P1692" i="1"/>
  <c r="J1692" i="1"/>
  <c r="P1691" i="1"/>
  <c r="J1691" i="1"/>
  <c r="L1691" i="1" s="1"/>
  <c r="T1689" i="1"/>
  <c r="Q1689" i="1"/>
  <c r="L1689" i="1"/>
  <c r="J1688" i="1"/>
  <c r="T1688" i="1" s="1"/>
  <c r="T1685" i="1"/>
  <c r="R1685" i="1"/>
  <c r="L1685" i="1"/>
  <c r="T1684" i="1"/>
  <c r="L1684" i="1"/>
  <c r="T1683" i="1"/>
  <c r="R1683" i="1"/>
  <c r="L1683" i="1"/>
  <c r="T1682" i="1"/>
  <c r="R1682" i="1"/>
  <c r="L1682" i="1"/>
  <c r="T1681" i="1"/>
  <c r="R1681" i="1"/>
  <c r="L1681" i="1"/>
  <c r="T1680" i="1"/>
  <c r="R1680" i="1"/>
  <c r="L1680" i="1"/>
  <c r="S1677" i="1"/>
  <c r="L1677" i="1"/>
  <c r="P1676" i="1"/>
  <c r="J1676" i="1"/>
  <c r="L1676" i="1" s="1"/>
  <c r="P1675" i="1"/>
  <c r="J1675" i="1"/>
  <c r="T1675" i="1" s="1"/>
  <c r="P1673" i="1"/>
  <c r="J1673" i="1"/>
  <c r="T1673" i="1" s="1"/>
  <c r="P1672" i="1"/>
  <c r="J1672" i="1"/>
  <c r="P1670" i="1"/>
  <c r="J1670" i="1"/>
  <c r="R1670" i="1" s="1"/>
  <c r="T1667" i="1"/>
  <c r="R1667" i="1"/>
  <c r="L1667" i="1"/>
  <c r="P1666" i="1"/>
  <c r="J1666" i="1"/>
  <c r="L1666" i="1" s="1"/>
  <c r="P1665" i="1"/>
  <c r="J1665" i="1"/>
  <c r="L1665" i="1" s="1"/>
  <c r="P1664" i="1"/>
  <c r="J1664" i="1"/>
  <c r="T1661" i="1"/>
  <c r="R1661" i="1"/>
  <c r="L1661" i="1"/>
  <c r="P1660" i="1"/>
  <c r="J1660" i="1"/>
  <c r="R1657" i="1"/>
  <c r="L1657" i="1"/>
  <c r="P1656" i="1"/>
  <c r="J1656" i="1"/>
  <c r="T1656" i="1" s="1"/>
  <c r="P1655" i="1"/>
  <c r="J1655" i="1"/>
  <c r="P1654" i="1"/>
  <c r="J1654" i="1"/>
  <c r="T1654" i="1" s="1"/>
  <c r="P1653" i="1"/>
  <c r="J1653" i="1"/>
  <c r="T1650" i="1"/>
  <c r="R1650" i="1"/>
  <c r="L1650" i="1"/>
  <c r="T1649" i="1"/>
  <c r="R1649" i="1"/>
  <c r="P1649" i="1"/>
  <c r="L1649" i="1"/>
  <c r="T1648" i="1"/>
  <c r="R1648" i="1"/>
  <c r="P1648" i="1"/>
  <c r="L1648" i="1"/>
  <c r="T1647" i="1"/>
  <c r="R1647" i="1"/>
  <c r="P1647" i="1"/>
  <c r="L1647" i="1"/>
  <c r="T1644" i="1"/>
  <c r="R1644" i="1"/>
  <c r="L1644" i="1"/>
  <c r="P1643" i="1"/>
  <c r="J1643" i="1"/>
  <c r="T1643" i="1" s="1"/>
  <c r="P1642" i="1"/>
  <c r="J1642" i="1"/>
  <c r="R1642" i="1" s="1"/>
  <c r="R1640" i="1"/>
  <c r="T1639" i="1"/>
  <c r="R1639" i="1"/>
  <c r="L1639" i="1"/>
  <c r="T1638" i="1"/>
  <c r="Q1638" i="1"/>
  <c r="L1638" i="1"/>
  <c r="P1637" i="1"/>
  <c r="J1637" i="1"/>
  <c r="R1637" i="1" s="1"/>
  <c r="P1634" i="1"/>
  <c r="J1634" i="1"/>
  <c r="R1634" i="1" s="1"/>
  <c r="T1633" i="1"/>
  <c r="R1633" i="1"/>
  <c r="L1633" i="1"/>
  <c r="P1632" i="1"/>
  <c r="J1632" i="1"/>
  <c r="T1632" i="1" s="1"/>
  <c r="P1631" i="1"/>
  <c r="J1631" i="1"/>
  <c r="R1631" i="1" s="1"/>
  <c r="P1630" i="1"/>
  <c r="J1630" i="1"/>
  <c r="R1630" i="1" s="1"/>
  <c r="P1629" i="1"/>
  <c r="J1629" i="1"/>
  <c r="P1628" i="1"/>
  <c r="J1628" i="1"/>
  <c r="T1625" i="1"/>
  <c r="R1625" i="1"/>
  <c r="L1625" i="1"/>
  <c r="P1624" i="1"/>
  <c r="J1624" i="1"/>
  <c r="L1624" i="1" s="1"/>
  <c r="P1622" i="1"/>
  <c r="J1622" i="1"/>
  <c r="L1622" i="1" s="1"/>
  <c r="T1619" i="1"/>
  <c r="L1619" i="1"/>
  <c r="P1618" i="1"/>
  <c r="J1618" i="1"/>
  <c r="L1618" i="1" s="1"/>
  <c r="P1617" i="1"/>
  <c r="J1617" i="1"/>
  <c r="T1615" i="1"/>
  <c r="R1615" i="1"/>
  <c r="T1614" i="1"/>
  <c r="R1614" i="1"/>
  <c r="L1614" i="1"/>
  <c r="P1613" i="1"/>
  <c r="J1613" i="1"/>
  <c r="T1613" i="1" s="1"/>
  <c r="P1612" i="1"/>
  <c r="J1612" i="1"/>
  <c r="P1611" i="1"/>
  <c r="J1611" i="1"/>
  <c r="L1611" i="1" s="1"/>
  <c r="P1610" i="1"/>
  <c r="J1610" i="1"/>
  <c r="P1609" i="1"/>
  <c r="J1609" i="1"/>
  <c r="R1609" i="1" s="1"/>
  <c r="R1607" i="1"/>
  <c r="T1606" i="1"/>
  <c r="R1606" i="1"/>
  <c r="L1606" i="1"/>
  <c r="P1605" i="1"/>
  <c r="J1605" i="1"/>
  <c r="T1605" i="1" s="1"/>
  <c r="P1604" i="1"/>
  <c r="J1604" i="1"/>
  <c r="L1604" i="1" s="1"/>
  <c r="R1603" i="1"/>
  <c r="P1602" i="1"/>
  <c r="J1602" i="1"/>
  <c r="L1602" i="1" s="1"/>
  <c r="P1601" i="1"/>
  <c r="J1601" i="1"/>
  <c r="T1598" i="1"/>
  <c r="L1598" i="1"/>
  <c r="T1597" i="1"/>
  <c r="L1597" i="1"/>
  <c r="J1597" i="1"/>
  <c r="T1596" i="1"/>
  <c r="L1596" i="1"/>
  <c r="J1596" i="1"/>
  <c r="T1595" i="1"/>
  <c r="L1595" i="1"/>
  <c r="J1595" i="1"/>
  <c r="T1594" i="1"/>
  <c r="L1594" i="1"/>
  <c r="J1594" i="1"/>
  <c r="T1593" i="1"/>
  <c r="L1593" i="1"/>
  <c r="J1593" i="1"/>
  <c r="T1592" i="1"/>
  <c r="L1592" i="1"/>
  <c r="J1592" i="1"/>
  <c r="T1590" i="1"/>
  <c r="L1590" i="1"/>
  <c r="J1590" i="1"/>
  <c r="T1589" i="1"/>
  <c r="L1589" i="1"/>
  <c r="J1589" i="1"/>
  <c r="T1586" i="1"/>
  <c r="R1586" i="1"/>
  <c r="L1586" i="1"/>
  <c r="P1585" i="1"/>
  <c r="J1585" i="1"/>
  <c r="T1582" i="1"/>
  <c r="R1582" i="1"/>
  <c r="L1582" i="1"/>
  <c r="P1581" i="1"/>
  <c r="J1581" i="1"/>
  <c r="R1581" i="1" s="1"/>
  <c r="T1578" i="1"/>
  <c r="R1578" i="1"/>
  <c r="L1578" i="1"/>
  <c r="P1577" i="1"/>
  <c r="J1577" i="1"/>
  <c r="R1575" i="1"/>
  <c r="T1574" i="1"/>
  <c r="R1574" i="1"/>
  <c r="L1574" i="1"/>
  <c r="T1573" i="1"/>
  <c r="Q1573" i="1"/>
  <c r="L1573" i="1"/>
  <c r="P1572" i="1"/>
  <c r="J1572" i="1"/>
  <c r="L1572" i="1" s="1"/>
  <c r="P1571" i="1"/>
  <c r="J1571" i="1"/>
  <c r="T1568" i="1"/>
  <c r="R1568" i="1"/>
  <c r="L1568" i="1"/>
  <c r="P1567" i="1"/>
  <c r="J1567" i="1"/>
  <c r="P1565" i="1"/>
  <c r="J1565" i="1"/>
  <c r="L1565" i="1" s="1"/>
  <c r="R1563" i="1"/>
  <c r="T1562" i="1"/>
  <c r="Q1562" i="1"/>
  <c r="R1562" i="1" s="1"/>
  <c r="L1562" i="1"/>
  <c r="P1561" i="1"/>
  <c r="J1561" i="1"/>
  <c r="P1560" i="1"/>
  <c r="J1560" i="1"/>
  <c r="L1560" i="1" s="1"/>
  <c r="P1559" i="1"/>
  <c r="J1559" i="1"/>
  <c r="L1559" i="1" s="1"/>
  <c r="P1558" i="1"/>
  <c r="J1558" i="1"/>
  <c r="T1555" i="1"/>
  <c r="R1555" i="1"/>
  <c r="L1555" i="1"/>
  <c r="T1554" i="1"/>
  <c r="Q1554" i="1"/>
  <c r="L1554" i="1"/>
  <c r="P1553" i="1"/>
  <c r="J1553" i="1"/>
  <c r="T1551" i="1"/>
  <c r="L1551" i="1"/>
  <c r="T1550" i="1"/>
  <c r="L1550" i="1"/>
  <c r="T1549" i="1"/>
  <c r="L1549" i="1"/>
  <c r="T1547" i="1"/>
  <c r="Q1547" i="1"/>
  <c r="R1547" i="1" s="1"/>
  <c r="L1547" i="1"/>
  <c r="P1546" i="1"/>
  <c r="J1546" i="1"/>
  <c r="R1546" i="1" s="1"/>
  <c r="T1543" i="1"/>
  <c r="Q1543" i="1"/>
  <c r="R1543" i="1" s="1"/>
  <c r="L1543" i="1"/>
  <c r="P1542" i="1"/>
  <c r="J1542" i="1"/>
  <c r="R1542" i="1" s="1"/>
  <c r="T1538" i="1"/>
  <c r="L1538" i="1"/>
  <c r="S1537" i="1"/>
  <c r="T1537" i="1" s="1"/>
  <c r="L1537" i="1"/>
  <c r="P1536" i="1"/>
  <c r="J1536" i="1"/>
  <c r="L1536" i="1" s="1"/>
  <c r="S1533" i="1"/>
  <c r="S1532" i="1"/>
  <c r="T1532" i="1" s="1"/>
  <c r="R1532" i="1"/>
  <c r="L1532" i="1"/>
  <c r="J1531" i="1"/>
  <c r="J1530" i="1"/>
  <c r="T1530" i="1" s="1"/>
  <c r="P1529" i="1"/>
  <c r="J1529" i="1"/>
  <c r="P1528" i="1"/>
  <c r="J1528" i="1"/>
  <c r="L1525" i="1"/>
  <c r="P1524" i="1"/>
  <c r="J1524" i="1"/>
  <c r="P1523" i="1"/>
  <c r="J1523" i="1"/>
  <c r="T1523" i="1" s="1"/>
  <c r="R1520" i="1"/>
  <c r="L1520" i="1"/>
  <c r="J1519" i="1"/>
  <c r="T1519" i="1" s="1"/>
  <c r="T1516" i="1"/>
  <c r="R1516" i="1"/>
  <c r="P1516" i="1"/>
  <c r="L1516" i="1"/>
  <c r="P1515" i="1"/>
  <c r="J1515" i="1"/>
  <c r="P1514" i="1"/>
  <c r="J1514" i="1"/>
  <c r="T1514" i="1" s="1"/>
  <c r="P1513" i="1"/>
  <c r="J1513" i="1"/>
  <c r="T1510" i="1"/>
  <c r="L1510" i="1"/>
  <c r="S1509" i="1"/>
  <c r="T1509" i="1" s="1"/>
  <c r="L1509" i="1"/>
  <c r="P1508" i="1"/>
  <c r="J1508" i="1"/>
  <c r="L1508" i="1" s="1"/>
  <c r="T1505" i="1"/>
  <c r="L1505" i="1"/>
  <c r="P1504" i="1"/>
  <c r="J1504" i="1"/>
  <c r="T1504" i="1" s="1"/>
  <c r="P1503" i="1"/>
  <c r="J1503" i="1"/>
  <c r="L1503" i="1" s="1"/>
  <c r="P1500" i="1"/>
  <c r="J1500" i="1"/>
  <c r="P1499" i="1"/>
  <c r="J1499" i="1"/>
  <c r="P1498" i="1"/>
  <c r="J1498" i="1"/>
  <c r="T1498" i="1" s="1"/>
  <c r="P1497" i="1"/>
  <c r="J1497" i="1"/>
  <c r="P1496" i="1"/>
  <c r="J1496" i="1"/>
  <c r="T1493" i="1"/>
  <c r="R1493" i="1"/>
  <c r="L1493" i="1"/>
  <c r="T1492" i="1"/>
  <c r="R1492" i="1"/>
  <c r="L1492" i="1"/>
  <c r="T1491" i="1"/>
  <c r="R1491" i="1"/>
  <c r="P1491" i="1"/>
  <c r="L1491" i="1"/>
  <c r="S1490" i="1"/>
  <c r="T1490" i="1" s="1"/>
  <c r="R1490" i="1"/>
  <c r="L1490" i="1"/>
  <c r="P1489" i="1"/>
  <c r="J1489" i="1"/>
  <c r="L1489" i="1" s="1"/>
  <c r="P1488" i="1"/>
  <c r="J1488" i="1"/>
  <c r="T1485" i="1"/>
  <c r="L1485" i="1"/>
  <c r="T1484" i="1"/>
  <c r="L1484" i="1"/>
  <c r="P1483" i="1"/>
  <c r="J1483" i="1"/>
  <c r="T1483" i="1" s="1"/>
  <c r="S1482" i="1"/>
  <c r="T1482" i="1" s="1"/>
  <c r="L1482" i="1"/>
  <c r="P1481" i="1"/>
  <c r="J1481" i="1"/>
  <c r="L1481" i="1" s="1"/>
  <c r="T1478" i="1"/>
  <c r="R1478" i="1"/>
  <c r="L1478" i="1"/>
  <c r="P1477" i="1"/>
  <c r="J1477" i="1"/>
  <c r="T1474" i="1"/>
  <c r="R1474" i="1"/>
  <c r="L1474" i="1"/>
  <c r="P1473" i="1"/>
  <c r="J1473" i="1"/>
  <c r="T1470" i="1"/>
  <c r="R1470" i="1"/>
  <c r="L1470" i="1"/>
  <c r="P1469" i="1"/>
  <c r="J1469" i="1"/>
  <c r="P1468" i="1"/>
  <c r="J1468" i="1"/>
  <c r="R1468" i="1" s="1"/>
  <c r="T1465" i="1"/>
  <c r="R1465" i="1"/>
  <c r="L1465" i="1"/>
  <c r="P1464" i="1"/>
  <c r="J1464" i="1"/>
  <c r="R1464" i="1" s="1"/>
  <c r="P1463" i="1"/>
  <c r="J1463" i="1"/>
  <c r="L1463" i="1" s="1"/>
  <c r="T1461" i="1"/>
  <c r="T1460" i="1"/>
  <c r="L1460" i="1"/>
  <c r="P1459" i="1"/>
  <c r="J1459" i="1"/>
  <c r="P1458" i="1"/>
  <c r="J1458" i="1"/>
  <c r="T1458" i="1" s="1"/>
  <c r="P1457" i="1"/>
  <c r="J1457" i="1"/>
  <c r="T1457" i="1" s="1"/>
  <c r="P1456" i="1"/>
  <c r="J1456" i="1"/>
  <c r="T1456" i="1" s="1"/>
  <c r="P1455" i="1"/>
  <c r="J1455" i="1"/>
  <c r="P1454" i="1"/>
  <c r="J1454" i="1"/>
  <c r="T1454" i="1" s="1"/>
  <c r="T1451" i="1"/>
  <c r="L1451" i="1"/>
  <c r="P1450" i="1"/>
  <c r="J1450" i="1"/>
  <c r="P1449" i="1"/>
  <c r="J1449" i="1"/>
  <c r="T1446" i="1"/>
  <c r="L1446" i="1"/>
  <c r="T1445" i="1"/>
  <c r="L1445" i="1"/>
  <c r="P1444" i="1"/>
  <c r="J1444" i="1"/>
  <c r="P1443" i="1"/>
  <c r="J1443" i="1"/>
  <c r="T1440" i="1"/>
  <c r="L1440" i="1"/>
  <c r="P1439" i="1"/>
  <c r="J1439" i="1"/>
  <c r="T1439" i="1" s="1"/>
  <c r="T1436" i="1"/>
  <c r="T1435" i="1"/>
  <c r="L1435" i="1"/>
  <c r="P1434" i="1"/>
  <c r="J1434" i="1"/>
  <c r="P1433" i="1"/>
  <c r="J1433" i="1"/>
  <c r="T1433" i="1" s="1"/>
  <c r="S1430" i="1"/>
  <c r="T1430" i="1" s="1"/>
  <c r="R1430" i="1"/>
  <c r="L1430" i="1"/>
  <c r="T1429" i="1"/>
  <c r="R1429" i="1"/>
  <c r="L1429" i="1"/>
  <c r="T1428" i="1"/>
  <c r="R1428" i="1"/>
  <c r="P1428" i="1"/>
  <c r="L1428" i="1"/>
  <c r="T1427" i="1"/>
  <c r="R1427" i="1"/>
  <c r="L1427" i="1"/>
  <c r="T1426" i="1"/>
  <c r="R1426" i="1"/>
  <c r="L1426" i="1"/>
  <c r="T1425" i="1"/>
  <c r="R1425" i="1"/>
  <c r="L1425" i="1"/>
  <c r="T1424" i="1"/>
  <c r="R1424" i="1"/>
  <c r="P1424" i="1"/>
  <c r="L1424" i="1"/>
  <c r="T1423" i="1"/>
  <c r="R1423" i="1"/>
  <c r="T1422" i="1"/>
  <c r="R1422" i="1"/>
  <c r="P1422" i="1"/>
  <c r="L1422" i="1"/>
  <c r="T1419" i="1"/>
  <c r="L1419" i="1"/>
  <c r="T1418" i="1"/>
  <c r="L1418" i="1"/>
  <c r="P1417" i="1"/>
  <c r="J1417" i="1"/>
  <c r="L1417" i="1" s="1"/>
  <c r="P1416" i="1"/>
  <c r="J1416" i="1"/>
  <c r="P1415" i="1"/>
  <c r="J1415" i="1"/>
  <c r="T1415" i="1" s="1"/>
  <c r="L1411" i="1"/>
  <c r="P1410" i="1"/>
  <c r="J1410" i="1"/>
  <c r="P1409" i="1"/>
  <c r="J1409" i="1"/>
  <c r="P1408" i="1"/>
  <c r="J1408" i="1"/>
  <c r="L1408" i="1" s="1"/>
  <c r="P1407" i="1"/>
  <c r="J1407" i="1"/>
  <c r="L1407" i="1" s="1"/>
  <c r="P1406" i="1"/>
  <c r="J1406" i="1"/>
  <c r="T1406" i="1" s="1"/>
  <c r="P1405" i="1"/>
  <c r="J1405" i="1"/>
  <c r="T1405" i="1" s="1"/>
  <c r="T1402" i="1"/>
  <c r="L1402" i="1"/>
  <c r="P1401" i="1"/>
  <c r="J1401" i="1"/>
  <c r="L1401" i="1" s="1"/>
  <c r="P1400" i="1"/>
  <c r="J1400" i="1"/>
  <c r="L1400" i="1" s="1"/>
  <c r="T1397" i="1"/>
  <c r="L1397" i="1"/>
  <c r="T1396" i="1"/>
  <c r="P1396" i="1"/>
  <c r="L1396" i="1"/>
  <c r="T1395" i="1"/>
  <c r="P1395" i="1"/>
  <c r="L1395" i="1"/>
  <c r="T1392" i="1"/>
  <c r="Q1392" i="1"/>
  <c r="L1392" i="1"/>
  <c r="P1391" i="1"/>
  <c r="J1391" i="1"/>
  <c r="T1391" i="1" s="1"/>
  <c r="T1388" i="1"/>
  <c r="L1388" i="1"/>
  <c r="P1387" i="1"/>
  <c r="J1387" i="1"/>
  <c r="T1387" i="1" s="1"/>
  <c r="P1386" i="1"/>
  <c r="J1386" i="1"/>
  <c r="T1386" i="1" s="1"/>
  <c r="P1384" i="1"/>
  <c r="J1384" i="1"/>
  <c r="T1384" i="1" s="1"/>
  <c r="P1383" i="1"/>
  <c r="J1383" i="1"/>
  <c r="P1382" i="1"/>
  <c r="J1382" i="1"/>
  <c r="T1382" i="1" s="1"/>
  <c r="T1380" i="1"/>
  <c r="T1379" i="1"/>
  <c r="L1379" i="1"/>
  <c r="P1378" i="1"/>
  <c r="J1378" i="1"/>
  <c r="L1378" i="1" s="1"/>
  <c r="T1375" i="1"/>
  <c r="L1375" i="1"/>
  <c r="P1374" i="1"/>
  <c r="J1374" i="1"/>
  <c r="T1374" i="1" s="1"/>
  <c r="P1373" i="1"/>
  <c r="J1373" i="1"/>
  <c r="P1372" i="1"/>
  <c r="J1372" i="1"/>
  <c r="T1372" i="1" s="1"/>
  <c r="P1371" i="1"/>
  <c r="J1371" i="1"/>
  <c r="T1368" i="1"/>
  <c r="L1368" i="1"/>
  <c r="T1367" i="1"/>
  <c r="L1367" i="1"/>
  <c r="T1366" i="1"/>
  <c r="P1366" i="1"/>
  <c r="L1366" i="1"/>
  <c r="T1363" i="1"/>
  <c r="L1363" i="1"/>
  <c r="P1362" i="1"/>
  <c r="J1362" i="1"/>
  <c r="P1360" i="1"/>
  <c r="J1360" i="1"/>
  <c r="L1360" i="1" s="1"/>
  <c r="R1357" i="1"/>
  <c r="L1357" i="1"/>
  <c r="P1356" i="1"/>
  <c r="J1356" i="1"/>
  <c r="P1355" i="1"/>
  <c r="J1355" i="1"/>
  <c r="T1352" i="1"/>
  <c r="L1352" i="1"/>
  <c r="T1351" i="1"/>
  <c r="L1351" i="1"/>
  <c r="P1350" i="1"/>
  <c r="J1350" i="1"/>
  <c r="P1349" i="1"/>
  <c r="J1349" i="1"/>
  <c r="L1349" i="1" s="1"/>
  <c r="P1348" i="1"/>
  <c r="J1348" i="1"/>
  <c r="T1346" i="1"/>
  <c r="T1344" i="1"/>
  <c r="L1344" i="1"/>
  <c r="P1343" i="1"/>
  <c r="J1343" i="1"/>
  <c r="P1342" i="1"/>
  <c r="J1342" i="1"/>
  <c r="T1342" i="1" s="1"/>
  <c r="P1341" i="1"/>
  <c r="J1341" i="1"/>
  <c r="L1341" i="1" s="1"/>
  <c r="P1340" i="1"/>
  <c r="J1340" i="1"/>
  <c r="T1340" i="1" s="1"/>
  <c r="P1339" i="1"/>
  <c r="J1339" i="1"/>
  <c r="P1338" i="1"/>
  <c r="J1338" i="1"/>
  <c r="T1338" i="1" s="1"/>
  <c r="P1337" i="1"/>
  <c r="J1337" i="1"/>
  <c r="T1337" i="1" s="1"/>
  <c r="P1336" i="1"/>
  <c r="J1336" i="1"/>
  <c r="P1334" i="1"/>
  <c r="J1334" i="1"/>
  <c r="T1334" i="1" s="1"/>
  <c r="P1333" i="1"/>
  <c r="J1333" i="1"/>
  <c r="T1333" i="1" s="1"/>
  <c r="P1332" i="1"/>
  <c r="J1332" i="1"/>
  <c r="P1331" i="1"/>
  <c r="J1331" i="1"/>
  <c r="T1331" i="1" s="1"/>
  <c r="P1330" i="1"/>
  <c r="J1330" i="1"/>
  <c r="P1329" i="1"/>
  <c r="J1329" i="1"/>
  <c r="T1329" i="1" s="1"/>
  <c r="P1328" i="1"/>
  <c r="J1328" i="1"/>
  <c r="T1328" i="1" s="1"/>
  <c r="P1327" i="1"/>
  <c r="J1327" i="1"/>
  <c r="L1327" i="1" s="1"/>
  <c r="T1324" i="1"/>
  <c r="L1324" i="1"/>
  <c r="P1323" i="1"/>
  <c r="J1323" i="1"/>
  <c r="L1323" i="1" s="1"/>
  <c r="T1321" i="1"/>
  <c r="P1320" i="1"/>
  <c r="J1320" i="1"/>
  <c r="P1319" i="1"/>
  <c r="J1319" i="1"/>
  <c r="T1319" i="1" s="1"/>
  <c r="P1318" i="1"/>
  <c r="J1318" i="1"/>
  <c r="T1317" i="1"/>
  <c r="L1317" i="1"/>
  <c r="T1316" i="1"/>
  <c r="P1316" i="1"/>
  <c r="L1316" i="1"/>
  <c r="P1315" i="1"/>
  <c r="J1315" i="1"/>
  <c r="T1315" i="1" s="1"/>
  <c r="P1314" i="1"/>
  <c r="J1314" i="1"/>
  <c r="L1314" i="1" s="1"/>
  <c r="P1313" i="1"/>
  <c r="J1313" i="1"/>
  <c r="L1313" i="1" s="1"/>
  <c r="T1311" i="1"/>
  <c r="T1310" i="1"/>
  <c r="L1310" i="1"/>
  <c r="P1309" i="1"/>
  <c r="J1309" i="1"/>
  <c r="T1309" i="1" s="1"/>
  <c r="T1306" i="1"/>
  <c r="S1306" i="1"/>
  <c r="L1306" i="1"/>
  <c r="T1305" i="1"/>
  <c r="P1305" i="1"/>
  <c r="L1305" i="1"/>
  <c r="P1304" i="1"/>
  <c r="J1304" i="1"/>
  <c r="T1304" i="1" s="1"/>
  <c r="P1302" i="1"/>
  <c r="J1302" i="1"/>
  <c r="P1301" i="1"/>
  <c r="J1301" i="1"/>
  <c r="L1301" i="1" s="1"/>
  <c r="P1300" i="1"/>
  <c r="J1300" i="1"/>
  <c r="T1300" i="1" s="1"/>
  <c r="P1298" i="1"/>
  <c r="J1298" i="1"/>
  <c r="P1297" i="1"/>
  <c r="J1297" i="1"/>
  <c r="T1294" i="1"/>
  <c r="L1294" i="1"/>
  <c r="P1293" i="1"/>
  <c r="J1293" i="1"/>
  <c r="T1293" i="1" s="1"/>
  <c r="T1290" i="1"/>
  <c r="P1289" i="1"/>
  <c r="J1289" i="1"/>
  <c r="T1289" i="1" s="1"/>
  <c r="T1286" i="1"/>
  <c r="L1286" i="1"/>
  <c r="P1285" i="1"/>
  <c r="J1285" i="1"/>
  <c r="T1285" i="1" s="1"/>
  <c r="P1284" i="1"/>
  <c r="J1284" i="1"/>
  <c r="P1283" i="1"/>
  <c r="J1283" i="1"/>
  <c r="L1283" i="1" s="1"/>
  <c r="T1280" i="1"/>
  <c r="L1280" i="1"/>
  <c r="P1279" i="1"/>
  <c r="J1279" i="1"/>
  <c r="T1276" i="1"/>
  <c r="L1276" i="1"/>
  <c r="P1275" i="1"/>
  <c r="J1275" i="1"/>
  <c r="L1275" i="1" s="1"/>
  <c r="T1272" i="1"/>
  <c r="T1271" i="1"/>
  <c r="P1271" i="1"/>
  <c r="L1271" i="1"/>
  <c r="L1268" i="1"/>
  <c r="P1267" i="1"/>
  <c r="J1267" i="1"/>
  <c r="L1267" i="1" s="1"/>
  <c r="P1266" i="1"/>
  <c r="J1266" i="1"/>
  <c r="L1266" i="1" s="1"/>
  <c r="P1265" i="1"/>
  <c r="J1265" i="1"/>
  <c r="T1265" i="1" s="1"/>
  <c r="T1263" i="1"/>
  <c r="T1262" i="1"/>
  <c r="L1262" i="1"/>
  <c r="P1261" i="1"/>
  <c r="J1261" i="1"/>
  <c r="P1260" i="1"/>
  <c r="J1260" i="1"/>
  <c r="T1260" i="1" s="1"/>
  <c r="P1259" i="1"/>
  <c r="J1259" i="1"/>
  <c r="T1259" i="1" s="1"/>
  <c r="T1256" i="1"/>
  <c r="L1256" i="1"/>
  <c r="P1255" i="1"/>
  <c r="J1255" i="1"/>
  <c r="T1255" i="1" s="1"/>
  <c r="P1254" i="1"/>
  <c r="J1254" i="1"/>
  <c r="T1254" i="1" s="1"/>
  <c r="P1253" i="1"/>
  <c r="J1253" i="1"/>
  <c r="L1253" i="1" s="1"/>
  <c r="P1252" i="1"/>
  <c r="J1252" i="1"/>
  <c r="T1252" i="1" s="1"/>
  <c r="P1250" i="1"/>
  <c r="J1250" i="1"/>
  <c r="T1250" i="1" s="1"/>
  <c r="P1249" i="1"/>
  <c r="J1249" i="1"/>
  <c r="T1249" i="1" s="1"/>
  <c r="T1246" i="1"/>
  <c r="T1245" i="1"/>
  <c r="L1245" i="1"/>
  <c r="T1244" i="1"/>
  <c r="P1244" i="1"/>
  <c r="L1244" i="1"/>
  <c r="T1241" i="1"/>
  <c r="L1241" i="1"/>
  <c r="P1240" i="1"/>
  <c r="J1240" i="1"/>
  <c r="T1240" i="1" s="1"/>
  <c r="T1238" i="1"/>
  <c r="T1237" i="1"/>
  <c r="L1237" i="1"/>
  <c r="P1236" i="1"/>
  <c r="J1236" i="1"/>
  <c r="L1233" i="1"/>
  <c r="P1232" i="1"/>
  <c r="J1232" i="1"/>
  <c r="T1229" i="1"/>
  <c r="Q1229" i="1"/>
  <c r="L1229" i="1"/>
  <c r="T1228" i="1"/>
  <c r="P1228" i="1"/>
  <c r="L1228" i="1"/>
  <c r="T1227" i="1"/>
  <c r="P1227" i="1"/>
  <c r="L1227" i="1"/>
  <c r="T1226" i="1"/>
  <c r="P1226" i="1"/>
  <c r="L1226" i="1"/>
  <c r="T1225" i="1"/>
  <c r="P1225" i="1"/>
  <c r="L1225" i="1"/>
  <c r="T1224" i="1"/>
  <c r="P1224" i="1"/>
  <c r="L1224" i="1"/>
  <c r="T1223" i="1"/>
  <c r="P1223" i="1"/>
  <c r="L1223" i="1"/>
  <c r="T1222" i="1"/>
  <c r="P1222" i="1"/>
  <c r="L1222" i="1"/>
  <c r="J1219" i="1"/>
  <c r="T1219" i="1" s="1"/>
  <c r="Q1218" i="1"/>
  <c r="L1218" i="1"/>
  <c r="P1217" i="1"/>
  <c r="J1217" i="1"/>
  <c r="L1217" i="1" s="1"/>
  <c r="P1216" i="1"/>
  <c r="J1216" i="1"/>
  <c r="T1216" i="1" s="1"/>
  <c r="P1215" i="1"/>
  <c r="J1215" i="1"/>
  <c r="T1215" i="1" s="1"/>
  <c r="P1214" i="1"/>
  <c r="J1214" i="1"/>
  <c r="L1214" i="1" s="1"/>
  <c r="P1212" i="1"/>
  <c r="J1212" i="1"/>
  <c r="T1212" i="1" s="1"/>
  <c r="P1211" i="1"/>
  <c r="J1211" i="1"/>
  <c r="T1211" i="1" s="1"/>
  <c r="P1210" i="1"/>
  <c r="J1210" i="1"/>
  <c r="P1209" i="1"/>
  <c r="J1209" i="1"/>
  <c r="T1209" i="1" s="1"/>
  <c r="P1208" i="1"/>
  <c r="J1208" i="1"/>
  <c r="P1207" i="1"/>
  <c r="J1207" i="1"/>
  <c r="T1207" i="1" s="1"/>
  <c r="T1204" i="1"/>
  <c r="L1204" i="1"/>
  <c r="T1203" i="1"/>
  <c r="P1203" i="1"/>
  <c r="L1203" i="1"/>
  <c r="T1202" i="1"/>
  <c r="P1202" i="1"/>
  <c r="L1202" i="1"/>
  <c r="T1201" i="1"/>
  <c r="P1201" i="1"/>
  <c r="L1201" i="1"/>
  <c r="T1200" i="1"/>
  <c r="P1200" i="1"/>
  <c r="L1200" i="1"/>
  <c r="T1197" i="1"/>
  <c r="L1196" i="1"/>
  <c r="T1195" i="1"/>
  <c r="P1195" i="1"/>
  <c r="L1195" i="1"/>
  <c r="T1194" i="1"/>
  <c r="P1194" i="1"/>
  <c r="L1194" i="1"/>
  <c r="L1192" i="1"/>
  <c r="T1191" i="1"/>
  <c r="L1191" i="1"/>
  <c r="P1190" i="1"/>
  <c r="J1190" i="1"/>
  <c r="L1190" i="1" s="1"/>
  <c r="P1189" i="1"/>
  <c r="J1189" i="1"/>
  <c r="L1189" i="1" s="1"/>
  <c r="T1186" i="1"/>
  <c r="T1185" i="1"/>
  <c r="L1185" i="1"/>
  <c r="T1184" i="1"/>
  <c r="L1184" i="1"/>
  <c r="T1181" i="1"/>
  <c r="L1181" i="1"/>
  <c r="P1180" i="1"/>
  <c r="J1180" i="1"/>
  <c r="T1180" i="1" s="1"/>
  <c r="T1178" i="1"/>
  <c r="T1177" i="1"/>
  <c r="L1177" i="1"/>
  <c r="P1176" i="1"/>
  <c r="J1176" i="1"/>
  <c r="L1176" i="1" s="1"/>
  <c r="T1173" i="1"/>
  <c r="L1173" i="1"/>
  <c r="T1172" i="1"/>
  <c r="L1172" i="1"/>
  <c r="P1171" i="1"/>
  <c r="J1171" i="1"/>
  <c r="L1171" i="1" s="1"/>
  <c r="L1168" i="1"/>
  <c r="P1167" i="1"/>
  <c r="J1167" i="1"/>
  <c r="P1166" i="1"/>
  <c r="J1166" i="1"/>
  <c r="T1166" i="1" s="1"/>
  <c r="P1165" i="1"/>
  <c r="J1165" i="1"/>
  <c r="L1165" i="1" s="1"/>
  <c r="T1163" i="1"/>
  <c r="T1162" i="1"/>
  <c r="R1162" i="1"/>
  <c r="L1162" i="1"/>
  <c r="T1161" i="1"/>
  <c r="R1161" i="1"/>
  <c r="P1161" i="1"/>
  <c r="L1161" i="1"/>
  <c r="T1160" i="1"/>
  <c r="R1160" i="1"/>
  <c r="P1160" i="1"/>
  <c r="L1160" i="1"/>
  <c r="P1159" i="1"/>
  <c r="J1159" i="1"/>
  <c r="L1159" i="1" s="1"/>
  <c r="P1158" i="1"/>
  <c r="J1158" i="1"/>
  <c r="T1157" i="1"/>
  <c r="L1157" i="1"/>
  <c r="T1156" i="1"/>
  <c r="P1156" i="1"/>
  <c r="L1156" i="1"/>
  <c r="P1155" i="1"/>
  <c r="J1155" i="1"/>
  <c r="T1152" i="1"/>
  <c r="L1152" i="1"/>
  <c r="T1151" i="1"/>
  <c r="P1151" i="1"/>
  <c r="L1151" i="1"/>
  <c r="T1148" i="1"/>
  <c r="L1148" i="1"/>
  <c r="T1146" i="1"/>
  <c r="L1146" i="1"/>
  <c r="T1145" i="1"/>
  <c r="L1145" i="1"/>
  <c r="T1144" i="1"/>
  <c r="P1144" i="1"/>
  <c r="L1144" i="1"/>
  <c r="T1143" i="1"/>
  <c r="L1143" i="1"/>
  <c r="T1142" i="1"/>
  <c r="L1142" i="1"/>
  <c r="T1139" i="1"/>
  <c r="L1139" i="1"/>
  <c r="P1138" i="1"/>
  <c r="J1138" i="1"/>
  <c r="P1137" i="1"/>
  <c r="J1137" i="1"/>
  <c r="T1134" i="1"/>
  <c r="L1134" i="1"/>
  <c r="P1133" i="1"/>
  <c r="J1133" i="1"/>
  <c r="T1133" i="1" s="1"/>
  <c r="T1130" i="1"/>
  <c r="P1130" i="1"/>
  <c r="L1130" i="1"/>
  <c r="P1129" i="1"/>
  <c r="J1129" i="1"/>
  <c r="T1129" i="1" s="1"/>
  <c r="P1128" i="1"/>
  <c r="J1128" i="1"/>
  <c r="L1126" i="1"/>
  <c r="T1125" i="1"/>
  <c r="P1125" i="1"/>
  <c r="L1125" i="1"/>
  <c r="P1124" i="1"/>
  <c r="J1124" i="1"/>
  <c r="L1124" i="1" s="1"/>
  <c r="P1123" i="1"/>
  <c r="J1123" i="1"/>
  <c r="L1123" i="1" s="1"/>
  <c r="P1122" i="1"/>
  <c r="J1122" i="1"/>
  <c r="T1122" i="1" s="1"/>
  <c r="P1121" i="1"/>
  <c r="J1121" i="1"/>
  <c r="L1121" i="1" s="1"/>
  <c r="T1118" i="1"/>
  <c r="L1118" i="1"/>
  <c r="P1117" i="1"/>
  <c r="J1117" i="1"/>
  <c r="T1114" i="1"/>
  <c r="L1114" i="1"/>
  <c r="T1113" i="1"/>
  <c r="L1113" i="1"/>
  <c r="T1112" i="1"/>
  <c r="P1112" i="1"/>
  <c r="L1112" i="1"/>
  <c r="T1111" i="1"/>
  <c r="P1111" i="1"/>
  <c r="L1111" i="1"/>
  <c r="T1110" i="1"/>
  <c r="P1110" i="1"/>
  <c r="L1110" i="1"/>
  <c r="T1109" i="1"/>
  <c r="P1109" i="1"/>
  <c r="L1109" i="1"/>
  <c r="T1108" i="1"/>
  <c r="P1108" i="1"/>
  <c r="L1108" i="1"/>
  <c r="T1107" i="1"/>
  <c r="P1107" i="1"/>
  <c r="L1107" i="1"/>
  <c r="T1106" i="1"/>
  <c r="P1106" i="1"/>
  <c r="L1106" i="1"/>
  <c r="T1105" i="1"/>
  <c r="P1105" i="1"/>
  <c r="L1105" i="1"/>
  <c r="U1102" i="1"/>
  <c r="P1102" i="1"/>
  <c r="J1102" i="1"/>
  <c r="T1102" i="1" s="1"/>
  <c r="T1101" i="1"/>
  <c r="L1101" i="1"/>
  <c r="U1100" i="1"/>
  <c r="P1100" i="1"/>
  <c r="J1100" i="1"/>
  <c r="T1100" i="1" s="1"/>
  <c r="S1097" i="1"/>
  <c r="J1097" i="1"/>
  <c r="L1097" i="1" s="1"/>
  <c r="S1096" i="1"/>
  <c r="J1096" i="1"/>
  <c r="L1096" i="1" s="1"/>
  <c r="L1093" i="1"/>
  <c r="P1092" i="1"/>
  <c r="J1092" i="1"/>
  <c r="P1091" i="1"/>
  <c r="J1091" i="1"/>
  <c r="L1091" i="1" s="1"/>
  <c r="J1089" i="1"/>
  <c r="T1089" i="1" s="1"/>
  <c r="L1086" i="1"/>
  <c r="P1085" i="1"/>
  <c r="J1085" i="1"/>
  <c r="T1085" i="1" s="1"/>
  <c r="P1084" i="1"/>
  <c r="J1084" i="1"/>
  <c r="P1083" i="1"/>
  <c r="J1083" i="1"/>
  <c r="T1083" i="1" s="1"/>
  <c r="T1080" i="1"/>
  <c r="P1080" i="1"/>
  <c r="L1080" i="1"/>
  <c r="T1079" i="1"/>
  <c r="P1079" i="1"/>
  <c r="L1079" i="1"/>
  <c r="T1078" i="1"/>
  <c r="P1078" i="1"/>
  <c r="L1078" i="1"/>
  <c r="T1077" i="1"/>
  <c r="P1077" i="1"/>
  <c r="L1077" i="1"/>
  <c r="T1074" i="1"/>
  <c r="L1074" i="1"/>
  <c r="P1073" i="1"/>
  <c r="J1073" i="1"/>
  <c r="P1072" i="1"/>
  <c r="J1072" i="1"/>
  <c r="T1072" i="1" s="1"/>
  <c r="L1069" i="1"/>
  <c r="P1068" i="1"/>
  <c r="J1068" i="1"/>
  <c r="T1068" i="1" s="1"/>
  <c r="P1067" i="1"/>
  <c r="J1067" i="1"/>
  <c r="L1067" i="1" s="1"/>
  <c r="S1064" i="1"/>
  <c r="T1064" i="1" s="1"/>
  <c r="L1064" i="1"/>
  <c r="T1063" i="1"/>
  <c r="L1063" i="1"/>
  <c r="P1062" i="1"/>
  <c r="J1062" i="1"/>
  <c r="T1062" i="1" s="1"/>
  <c r="P1061" i="1"/>
  <c r="J1061" i="1"/>
  <c r="T1061" i="1" s="1"/>
  <c r="P1060" i="1"/>
  <c r="J1060" i="1"/>
  <c r="P1059" i="1"/>
  <c r="J1059" i="1"/>
  <c r="T1059" i="1" s="1"/>
  <c r="T1058" i="1"/>
  <c r="L1058" i="1"/>
  <c r="P1057" i="1"/>
  <c r="J1057" i="1"/>
  <c r="L1057" i="1" s="1"/>
  <c r="P1056" i="1"/>
  <c r="J1056" i="1"/>
  <c r="P1055" i="1"/>
  <c r="J1055" i="1"/>
  <c r="T1055" i="1" s="1"/>
  <c r="P1054" i="1"/>
  <c r="J1054" i="1"/>
  <c r="L1054" i="1" s="1"/>
  <c r="T1052" i="1"/>
  <c r="T1051" i="1"/>
  <c r="L1051" i="1"/>
  <c r="P1050" i="1"/>
  <c r="J1050" i="1"/>
  <c r="T1050" i="1" s="1"/>
  <c r="T1047" i="1"/>
  <c r="S1046" i="1"/>
  <c r="T1046" i="1" s="1"/>
  <c r="L1046" i="1"/>
  <c r="P1045" i="1"/>
  <c r="J1045" i="1"/>
  <c r="T1045" i="1" s="1"/>
  <c r="P1044" i="1"/>
  <c r="J1044" i="1"/>
  <c r="P1043" i="1"/>
  <c r="J1043" i="1"/>
  <c r="T1043" i="1" s="1"/>
  <c r="P1042" i="1"/>
  <c r="J1042" i="1"/>
  <c r="T1042" i="1" s="1"/>
  <c r="P1041" i="1"/>
  <c r="J1041" i="1"/>
  <c r="P1038" i="1"/>
  <c r="J1038" i="1"/>
  <c r="T1038" i="1" s="1"/>
  <c r="P1036" i="1"/>
  <c r="J1036" i="1"/>
  <c r="T1036" i="1" s="1"/>
  <c r="P1033" i="1"/>
  <c r="J1033" i="1"/>
  <c r="T1033" i="1" s="1"/>
  <c r="L1030" i="1"/>
  <c r="P1029" i="1"/>
  <c r="J1029" i="1"/>
  <c r="T1029" i="1" s="1"/>
  <c r="P1028" i="1"/>
  <c r="J1028" i="1"/>
  <c r="T1028" i="1" s="1"/>
  <c r="T1026" i="1"/>
  <c r="T1025" i="1"/>
  <c r="L1025" i="1"/>
  <c r="P1024" i="1"/>
  <c r="J1024" i="1"/>
  <c r="T1024" i="1" s="1"/>
  <c r="T1021" i="1"/>
  <c r="L1021" i="1"/>
  <c r="P1020" i="1"/>
  <c r="J1020" i="1"/>
  <c r="T1020" i="1" s="1"/>
  <c r="P1019" i="1"/>
  <c r="J1019" i="1"/>
  <c r="L1019" i="1" s="1"/>
  <c r="L1017" i="1"/>
  <c r="T1016" i="1"/>
  <c r="P1016" i="1"/>
  <c r="L1016" i="1"/>
  <c r="P1015" i="1"/>
  <c r="J1015" i="1"/>
  <c r="T1015" i="1" s="1"/>
  <c r="P1014" i="1"/>
  <c r="J1014" i="1"/>
  <c r="L1014" i="1" s="1"/>
  <c r="P1013" i="1"/>
  <c r="J1013" i="1"/>
  <c r="T1013" i="1" s="1"/>
  <c r="T1010" i="1"/>
  <c r="L1010" i="1"/>
  <c r="P1009" i="1"/>
  <c r="J1009" i="1"/>
  <c r="T1009" i="1" s="1"/>
  <c r="P1008" i="1"/>
  <c r="J1008" i="1"/>
  <c r="T1008" i="1" s="1"/>
  <c r="P1007" i="1"/>
  <c r="J1007" i="1"/>
  <c r="P1006" i="1"/>
  <c r="J1006" i="1"/>
  <c r="P1005" i="1"/>
  <c r="J1005" i="1"/>
  <c r="P1004" i="1"/>
  <c r="J1004" i="1"/>
  <c r="T1004" i="1" s="1"/>
  <c r="P1003" i="1"/>
  <c r="J1003" i="1"/>
  <c r="L1003" i="1" s="1"/>
  <c r="P1002" i="1"/>
  <c r="J1002" i="1"/>
  <c r="P1001" i="1"/>
  <c r="J1001" i="1"/>
  <c r="L1001" i="1" s="1"/>
  <c r="P1000" i="1"/>
  <c r="J1000" i="1"/>
  <c r="P999" i="1"/>
  <c r="J999" i="1"/>
  <c r="T999" i="1" s="1"/>
  <c r="P998" i="1"/>
  <c r="J998" i="1"/>
  <c r="T998" i="1" s="1"/>
  <c r="T995" i="1"/>
  <c r="L995" i="1"/>
  <c r="T994" i="1"/>
  <c r="P994" i="1"/>
  <c r="L994" i="1"/>
  <c r="T990" i="1"/>
  <c r="P990" i="1"/>
  <c r="L990" i="1"/>
  <c r="T989" i="1"/>
  <c r="P989" i="1"/>
  <c r="T988" i="1"/>
  <c r="P988" i="1"/>
  <c r="L988" i="1"/>
  <c r="T987" i="1"/>
  <c r="P987" i="1"/>
  <c r="L987" i="1"/>
  <c r="T986" i="1"/>
  <c r="P986" i="1"/>
  <c r="L986" i="1"/>
  <c r="L983" i="1"/>
  <c r="P982" i="1"/>
  <c r="J982" i="1"/>
  <c r="T982" i="1" s="1"/>
  <c r="P981" i="1"/>
  <c r="J981" i="1"/>
  <c r="T981" i="1" s="1"/>
  <c r="T979" i="1"/>
  <c r="T978" i="1"/>
  <c r="L978" i="1"/>
  <c r="P977" i="1"/>
  <c r="J977" i="1"/>
  <c r="T977" i="1" s="1"/>
  <c r="T974" i="1"/>
  <c r="L974" i="1"/>
  <c r="T973" i="1"/>
  <c r="P973" i="1"/>
  <c r="L973" i="1"/>
  <c r="T972" i="1"/>
  <c r="P972" i="1"/>
  <c r="L972" i="1"/>
  <c r="T971" i="1"/>
  <c r="P971" i="1"/>
  <c r="L971" i="1"/>
  <c r="T968" i="1"/>
  <c r="T967" i="1"/>
  <c r="L967" i="1"/>
  <c r="P966" i="1"/>
  <c r="J966" i="1"/>
  <c r="T966" i="1" s="1"/>
  <c r="P964" i="1"/>
  <c r="J964" i="1"/>
  <c r="S961" i="1"/>
  <c r="L961" i="1"/>
  <c r="T960" i="1"/>
  <c r="P960" i="1"/>
  <c r="L960" i="1"/>
  <c r="T959" i="1"/>
  <c r="P959" i="1"/>
  <c r="L959" i="1"/>
  <c r="T958" i="1"/>
  <c r="P958" i="1"/>
  <c r="L958" i="1"/>
  <c r="T955" i="1"/>
  <c r="P954" i="1"/>
  <c r="J954" i="1"/>
  <c r="T954" i="1" s="1"/>
  <c r="P953" i="1"/>
  <c r="J953" i="1"/>
  <c r="T953" i="1" s="1"/>
  <c r="P952" i="1"/>
  <c r="J952" i="1"/>
  <c r="T952" i="1" s="1"/>
  <c r="T949" i="1"/>
  <c r="L949" i="1"/>
  <c r="P948" i="1"/>
  <c r="J948" i="1"/>
  <c r="T948" i="1" s="1"/>
  <c r="P947" i="1"/>
  <c r="J947" i="1"/>
  <c r="L947" i="1" s="1"/>
  <c r="T944" i="1"/>
  <c r="L944" i="1"/>
  <c r="P943" i="1"/>
  <c r="J943" i="1"/>
  <c r="L943" i="1" s="1"/>
  <c r="P942" i="1"/>
  <c r="J942" i="1"/>
  <c r="T942" i="1" s="1"/>
  <c r="T939" i="1"/>
  <c r="L939" i="1"/>
  <c r="P938" i="1"/>
  <c r="J938" i="1"/>
  <c r="T938" i="1" s="1"/>
  <c r="T935" i="1"/>
  <c r="L935" i="1"/>
  <c r="T934" i="1"/>
  <c r="L934" i="1"/>
  <c r="P933" i="1"/>
  <c r="J933" i="1"/>
  <c r="T933" i="1" s="1"/>
  <c r="T930" i="1"/>
  <c r="L930" i="1"/>
  <c r="P929" i="1"/>
  <c r="J929" i="1"/>
  <c r="J926" i="1"/>
  <c r="L926" i="1" s="1"/>
  <c r="J925" i="1"/>
  <c r="T922" i="1"/>
  <c r="L922" i="1"/>
  <c r="T921" i="1"/>
  <c r="P921" i="1"/>
  <c r="L921" i="1"/>
  <c r="T920" i="1"/>
  <c r="P920" i="1"/>
  <c r="L920" i="1"/>
  <c r="T919" i="1"/>
  <c r="P919" i="1"/>
  <c r="L919" i="1"/>
  <c r="T918" i="1"/>
  <c r="P918" i="1"/>
  <c r="L918" i="1"/>
  <c r="T915" i="1"/>
  <c r="L915" i="1"/>
  <c r="T914" i="1"/>
  <c r="L914" i="1"/>
  <c r="P913" i="1"/>
  <c r="J913" i="1"/>
  <c r="T913" i="1" s="1"/>
  <c r="T910" i="1"/>
  <c r="P909" i="1"/>
  <c r="J909" i="1"/>
  <c r="T909" i="1" s="1"/>
  <c r="P908" i="1"/>
  <c r="J908" i="1"/>
  <c r="T908" i="1" s="1"/>
  <c r="T905" i="1"/>
  <c r="P904" i="1"/>
  <c r="J904" i="1"/>
  <c r="T904" i="1" s="1"/>
  <c r="P903" i="1"/>
  <c r="J903" i="1"/>
  <c r="T903" i="1" s="1"/>
  <c r="L900" i="1"/>
  <c r="T899" i="1"/>
  <c r="P899" i="1"/>
  <c r="L899" i="1"/>
  <c r="T898" i="1"/>
  <c r="P898" i="1"/>
  <c r="L898" i="1"/>
  <c r="P897" i="1"/>
  <c r="J897" i="1"/>
  <c r="T897" i="1" s="1"/>
  <c r="T894" i="1"/>
  <c r="P893" i="1"/>
  <c r="J893" i="1"/>
  <c r="T893" i="1" s="1"/>
  <c r="T890" i="1"/>
  <c r="L890" i="1"/>
  <c r="T889" i="1"/>
  <c r="P889" i="1"/>
  <c r="L889" i="1"/>
  <c r="P888" i="1"/>
  <c r="J888" i="1"/>
  <c r="T888" i="1" s="1"/>
  <c r="T885" i="1"/>
  <c r="T884" i="1"/>
  <c r="P883" i="1"/>
  <c r="J883" i="1"/>
  <c r="T883" i="1" s="1"/>
  <c r="P880" i="1"/>
  <c r="J880" i="1"/>
  <c r="L880" i="1" s="1"/>
  <c r="T877" i="1"/>
  <c r="P876" i="1"/>
  <c r="J876" i="1"/>
  <c r="T876" i="1" s="1"/>
  <c r="P875" i="1"/>
  <c r="J875" i="1"/>
  <c r="T875" i="1" s="1"/>
  <c r="J871" i="1"/>
  <c r="T871" i="1" s="1"/>
  <c r="J870" i="1"/>
  <c r="T870" i="1" s="1"/>
  <c r="T867" i="1"/>
  <c r="L867" i="1"/>
  <c r="T866" i="1"/>
  <c r="L866" i="1"/>
  <c r="P865" i="1"/>
  <c r="J865" i="1"/>
  <c r="L865" i="1" s="1"/>
  <c r="T862" i="1"/>
  <c r="P861" i="1"/>
  <c r="J861" i="1"/>
  <c r="T861" i="1" s="1"/>
  <c r="J860" i="1"/>
  <c r="T860" i="1" s="1"/>
  <c r="T858" i="1"/>
  <c r="L858" i="1"/>
  <c r="T857" i="1"/>
  <c r="P857" i="1"/>
  <c r="L857" i="1"/>
  <c r="P855" i="1"/>
  <c r="J855" i="1"/>
  <c r="T855" i="1" s="1"/>
  <c r="P854" i="1"/>
  <c r="J854" i="1"/>
  <c r="T854" i="1" s="1"/>
  <c r="T852" i="1"/>
  <c r="P851" i="1"/>
  <c r="J851" i="1"/>
  <c r="T851" i="1" s="1"/>
  <c r="T848" i="1"/>
  <c r="L848" i="1"/>
  <c r="T847" i="1"/>
  <c r="P847" i="1"/>
  <c r="L847" i="1"/>
  <c r="T846" i="1"/>
  <c r="P846" i="1"/>
  <c r="T845" i="1"/>
  <c r="P845" i="1"/>
  <c r="L845" i="1"/>
  <c r="T844" i="1"/>
  <c r="P844" i="1"/>
  <c r="L844" i="1"/>
  <c r="T843" i="1"/>
  <c r="P843" i="1"/>
  <c r="L843" i="1"/>
  <c r="T842" i="1"/>
  <c r="P842" i="1"/>
  <c r="L842" i="1"/>
  <c r="T841" i="1"/>
  <c r="P841" i="1"/>
  <c r="L841" i="1"/>
  <c r="T840" i="1"/>
  <c r="P840" i="1"/>
  <c r="L840" i="1"/>
  <c r="T839" i="1"/>
  <c r="P839" i="1"/>
  <c r="L839" i="1"/>
  <c r="T836" i="1"/>
  <c r="L836" i="1"/>
  <c r="T835" i="1"/>
  <c r="P835" i="1"/>
  <c r="L835" i="1"/>
  <c r="T834" i="1"/>
  <c r="P834" i="1"/>
  <c r="L834" i="1"/>
  <c r="T833" i="1"/>
  <c r="P833" i="1"/>
  <c r="L833" i="1"/>
  <c r="T832" i="1"/>
  <c r="P832" i="1"/>
  <c r="L832" i="1"/>
  <c r="T831" i="1"/>
  <c r="P831" i="1"/>
  <c r="L831" i="1"/>
  <c r="T830" i="1"/>
  <c r="P830" i="1"/>
  <c r="L830" i="1"/>
  <c r="T829" i="1"/>
  <c r="P829" i="1"/>
  <c r="L829" i="1"/>
  <c r="T826" i="1"/>
  <c r="L826" i="1"/>
  <c r="T825" i="1"/>
  <c r="P825" i="1"/>
  <c r="L825" i="1"/>
  <c r="P824" i="1"/>
  <c r="J824" i="1"/>
  <c r="T821" i="1"/>
  <c r="P820" i="1"/>
  <c r="J820" i="1"/>
  <c r="T820" i="1" s="1"/>
  <c r="P818" i="1"/>
  <c r="J818" i="1"/>
  <c r="T818" i="1" s="1"/>
  <c r="P817" i="1"/>
  <c r="J817" i="1"/>
  <c r="T817" i="1" s="1"/>
  <c r="P816" i="1"/>
  <c r="J816" i="1"/>
  <c r="T816" i="1" s="1"/>
  <c r="P815" i="1"/>
  <c r="J815" i="1"/>
  <c r="T815" i="1" s="1"/>
  <c r="T813" i="1"/>
  <c r="T812" i="1"/>
  <c r="P811" i="1"/>
  <c r="J811" i="1"/>
  <c r="T811" i="1" s="1"/>
  <c r="T808" i="1"/>
  <c r="P807" i="1"/>
  <c r="J807" i="1"/>
  <c r="T807" i="1" s="1"/>
  <c r="P806" i="1"/>
  <c r="J806" i="1"/>
  <c r="T806" i="1" s="1"/>
  <c r="P805" i="1"/>
  <c r="J805" i="1"/>
  <c r="T805" i="1" s="1"/>
  <c r="P804" i="1"/>
  <c r="J804" i="1"/>
  <c r="T804" i="1" s="1"/>
  <c r="P803" i="1"/>
  <c r="J803" i="1"/>
  <c r="T803" i="1" s="1"/>
  <c r="T800" i="1"/>
  <c r="P800" i="1"/>
  <c r="T799" i="1"/>
  <c r="P799" i="1"/>
  <c r="P798" i="1"/>
  <c r="J798" i="1"/>
  <c r="T798" i="1" s="1"/>
  <c r="P797" i="1"/>
  <c r="J797" i="1"/>
  <c r="T797" i="1" s="1"/>
  <c r="T794" i="1"/>
  <c r="T793" i="1"/>
  <c r="P792" i="1"/>
  <c r="J792" i="1"/>
  <c r="T792" i="1" s="1"/>
  <c r="P791" i="1"/>
  <c r="J791" i="1"/>
  <c r="T791" i="1" s="1"/>
  <c r="P789" i="1"/>
  <c r="J789" i="1"/>
  <c r="T789" i="1" s="1"/>
  <c r="P788" i="1"/>
  <c r="J788" i="1"/>
  <c r="T788" i="1" s="1"/>
  <c r="P787" i="1"/>
  <c r="J787" i="1"/>
  <c r="T787" i="1" s="1"/>
  <c r="P786" i="1"/>
  <c r="J786" i="1"/>
  <c r="T786" i="1" s="1"/>
  <c r="T783" i="1"/>
  <c r="P782" i="1"/>
  <c r="J782" i="1"/>
  <c r="T782" i="1" s="1"/>
  <c r="P781" i="1"/>
  <c r="J781" i="1"/>
  <c r="T781" i="1" s="1"/>
  <c r="P780" i="1"/>
  <c r="J780" i="1"/>
  <c r="T780" i="1" s="1"/>
  <c r="T777" i="1"/>
  <c r="P776" i="1"/>
  <c r="J776" i="1"/>
  <c r="T776" i="1" s="1"/>
  <c r="P774" i="1"/>
  <c r="J774" i="1"/>
  <c r="T774" i="1" s="1"/>
  <c r="P773" i="1"/>
  <c r="J773" i="1"/>
  <c r="T773" i="1" s="1"/>
  <c r="P772" i="1"/>
  <c r="J772" i="1"/>
  <c r="T772" i="1" s="1"/>
  <c r="P771" i="1"/>
  <c r="J771" i="1"/>
  <c r="T771" i="1" s="1"/>
  <c r="T768" i="1"/>
  <c r="L768" i="1"/>
  <c r="P767" i="1"/>
  <c r="J767" i="1"/>
  <c r="T767" i="1" s="1"/>
  <c r="T764" i="1"/>
  <c r="P763" i="1"/>
  <c r="J763" i="1"/>
  <c r="T763" i="1" s="1"/>
  <c r="T761" i="1"/>
  <c r="P760" i="1"/>
  <c r="J760" i="1"/>
  <c r="T760" i="1" s="1"/>
  <c r="P758" i="1"/>
  <c r="J758" i="1"/>
  <c r="T758" i="1" s="1"/>
  <c r="P757" i="1"/>
  <c r="J757" i="1"/>
  <c r="T757" i="1" s="1"/>
  <c r="P756" i="1"/>
  <c r="J756" i="1"/>
  <c r="T756" i="1" s="1"/>
  <c r="P752" i="1"/>
  <c r="J752" i="1"/>
  <c r="T752" i="1" s="1"/>
  <c r="P751" i="1"/>
  <c r="J751" i="1"/>
  <c r="T751" i="1" s="1"/>
  <c r="P750" i="1"/>
  <c r="J750" i="1"/>
  <c r="T750" i="1" s="1"/>
  <c r="P746" i="1"/>
  <c r="J746" i="1"/>
  <c r="T746" i="1" s="1"/>
  <c r="P745" i="1"/>
  <c r="J745" i="1"/>
  <c r="T745" i="1" s="1"/>
  <c r="P744" i="1"/>
  <c r="J744" i="1"/>
  <c r="T744" i="1" s="1"/>
  <c r="P741" i="1"/>
  <c r="J741" i="1"/>
  <c r="T741" i="1" s="1"/>
  <c r="P738" i="1"/>
  <c r="J738" i="1"/>
  <c r="T738" i="1" s="1"/>
  <c r="P735" i="1"/>
  <c r="J735" i="1"/>
  <c r="T735" i="1" s="1"/>
  <c r="T732" i="1"/>
  <c r="P731" i="1"/>
  <c r="J731" i="1"/>
  <c r="T731" i="1" s="1"/>
  <c r="P730" i="1"/>
  <c r="J730" i="1"/>
  <c r="T730" i="1" s="1"/>
  <c r="T726" i="1"/>
  <c r="P726" i="1"/>
  <c r="T723" i="1"/>
  <c r="T720" i="1"/>
  <c r="T719" i="1"/>
  <c r="P718" i="1"/>
  <c r="J718" i="1"/>
  <c r="T718" i="1" s="1"/>
  <c r="P717" i="1"/>
  <c r="J717" i="1"/>
  <c r="T717" i="1" s="1"/>
  <c r="P716" i="1"/>
  <c r="J716" i="1"/>
  <c r="T716" i="1" s="1"/>
  <c r="P715" i="1"/>
  <c r="J715" i="1"/>
  <c r="T715" i="1" s="1"/>
  <c r="P714" i="1"/>
  <c r="J714" i="1"/>
  <c r="T714" i="1" s="1"/>
  <c r="J710" i="1"/>
  <c r="S707" i="1"/>
  <c r="P707" i="1" s="1"/>
  <c r="J707" i="1"/>
  <c r="S706" i="1"/>
  <c r="P706" i="1" s="1"/>
  <c r="J706" i="1"/>
  <c r="S705" i="1"/>
  <c r="J705" i="1"/>
  <c r="L705" i="1" s="1"/>
  <c r="S704" i="1"/>
  <c r="J704" i="1"/>
  <c r="L704" i="1" s="1"/>
  <c r="S703" i="1"/>
  <c r="P703" i="1" s="1"/>
  <c r="J703" i="1"/>
  <c r="L703" i="1" s="1"/>
  <c r="S702" i="1"/>
  <c r="P702" i="1" s="1"/>
  <c r="J702" i="1"/>
  <c r="S701" i="1"/>
  <c r="J701" i="1"/>
  <c r="L701" i="1" s="1"/>
  <c r="S700" i="1"/>
  <c r="P700" i="1" s="1"/>
  <c r="J700" i="1"/>
  <c r="L700" i="1" s="1"/>
  <c r="S699" i="1"/>
  <c r="P699" i="1" s="1"/>
  <c r="J699" i="1"/>
  <c r="L699" i="1" s="1"/>
  <c r="S698" i="1"/>
  <c r="J698" i="1"/>
  <c r="L698" i="1" s="1"/>
  <c r="S697" i="1"/>
  <c r="P697" i="1" s="1"/>
  <c r="J697" i="1"/>
  <c r="T694" i="1"/>
  <c r="T693" i="1"/>
  <c r="P692" i="1"/>
  <c r="J692" i="1"/>
  <c r="T692" i="1" s="1"/>
  <c r="P691" i="1"/>
  <c r="J691" i="1"/>
  <c r="T691" i="1" s="1"/>
  <c r="P690" i="1"/>
  <c r="J690" i="1"/>
  <c r="T690" i="1" s="1"/>
  <c r="P689" i="1"/>
  <c r="J689" i="1"/>
  <c r="T689" i="1" s="1"/>
  <c r="P688" i="1"/>
  <c r="J688" i="1"/>
  <c r="T688" i="1" s="1"/>
  <c r="P687" i="1"/>
  <c r="J687" i="1"/>
  <c r="T687" i="1" s="1"/>
  <c r="P686" i="1"/>
  <c r="J686" i="1"/>
  <c r="T686" i="1" s="1"/>
  <c r="P685" i="1"/>
  <c r="J685" i="1"/>
  <c r="T685" i="1" s="1"/>
  <c r="P684" i="1"/>
  <c r="J684" i="1"/>
  <c r="T684" i="1" s="1"/>
  <c r="P683" i="1"/>
  <c r="J683" i="1"/>
  <c r="T683" i="1" s="1"/>
  <c r="T680" i="1"/>
  <c r="P679" i="1"/>
  <c r="J679" i="1"/>
  <c r="T679" i="1" s="1"/>
  <c r="P678" i="1"/>
  <c r="J678" i="1"/>
  <c r="T678" i="1" s="1"/>
  <c r="T675" i="1"/>
  <c r="T674" i="1"/>
  <c r="T673" i="1"/>
  <c r="P673" i="1"/>
  <c r="T672" i="1"/>
  <c r="P672" i="1"/>
  <c r="P671" i="1"/>
  <c r="J671" i="1"/>
  <c r="T671" i="1" s="1"/>
  <c r="T670" i="1"/>
  <c r="P670" i="1"/>
  <c r="P669" i="1"/>
  <c r="J669" i="1"/>
  <c r="T669" i="1" s="1"/>
  <c r="P668" i="1"/>
  <c r="J668" i="1"/>
  <c r="T668" i="1" s="1"/>
  <c r="P664" i="1"/>
  <c r="J664" i="1"/>
  <c r="T664" i="1" s="1"/>
  <c r="T661" i="1"/>
  <c r="P660" i="1"/>
  <c r="J660" i="1"/>
  <c r="P659" i="1"/>
  <c r="J659" i="1"/>
  <c r="T656" i="1"/>
  <c r="T655" i="1"/>
  <c r="P654" i="1"/>
  <c r="J654" i="1"/>
  <c r="T654" i="1" s="1"/>
  <c r="P653" i="1"/>
  <c r="J653" i="1"/>
  <c r="T653" i="1" s="1"/>
  <c r="T650" i="1"/>
  <c r="T649" i="1"/>
  <c r="P649" i="1"/>
  <c r="T648" i="1"/>
  <c r="P648" i="1"/>
  <c r="T647" i="1"/>
  <c r="P647" i="1"/>
  <c r="T646" i="1"/>
  <c r="P646" i="1"/>
  <c r="S643" i="1"/>
  <c r="T643" i="1" s="1"/>
  <c r="S642" i="1"/>
  <c r="T642" i="1" s="1"/>
  <c r="S641" i="1"/>
  <c r="T641" i="1" s="1"/>
  <c r="S640" i="1"/>
  <c r="T640" i="1" s="1"/>
  <c r="S639" i="1"/>
  <c r="T639" i="1" s="1"/>
  <c r="S638" i="1"/>
  <c r="T638" i="1" s="1"/>
  <c r="T636" i="1"/>
  <c r="P636" i="1"/>
  <c r="T635" i="1"/>
  <c r="P635" i="1"/>
  <c r="T633" i="1"/>
  <c r="P633" i="1"/>
  <c r="T632" i="1"/>
  <c r="P632" i="1"/>
  <c r="T630" i="1"/>
  <c r="T629" i="1"/>
  <c r="J628" i="1"/>
  <c r="T628" i="1" s="1"/>
  <c r="T625" i="1"/>
  <c r="J624" i="1"/>
  <c r="T624" i="1" s="1"/>
  <c r="T621" i="1"/>
  <c r="J620" i="1"/>
  <c r="T620" i="1" s="1"/>
  <c r="J619" i="1"/>
  <c r="T619" i="1" s="1"/>
  <c r="T616" i="1"/>
  <c r="T615" i="1"/>
  <c r="J614" i="1"/>
  <c r="T614" i="1" s="1"/>
  <c r="J613" i="1"/>
  <c r="T613" i="1" s="1"/>
  <c r="J612" i="1"/>
  <c r="T612" i="1" s="1"/>
  <c r="T609" i="1"/>
  <c r="T608" i="1"/>
  <c r="T605" i="1"/>
  <c r="T604" i="1"/>
  <c r="T603" i="1"/>
  <c r="P603" i="1"/>
  <c r="T602" i="1"/>
  <c r="P602" i="1"/>
  <c r="T601" i="1"/>
  <c r="P601" i="1"/>
  <c r="T598" i="1"/>
  <c r="T597" i="1"/>
  <c r="J596" i="1"/>
  <c r="L596" i="1" s="1"/>
  <c r="J595" i="1"/>
  <c r="L595" i="1" s="1"/>
  <c r="J594" i="1"/>
  <c r="T591" i="1"/>
  <c r="T590" i="1"/>
  <c r="J589" i="1"/>
  <c r="T589" i="1" s="1"/>
  <c r="T586" i="1"/>
  <c r="P585" i="1"/>
  <c r="J585" i="1"/>
  <c r="T585" i="1" s="1"/>
  <c r="T582" i="1"/>
  <c r="J581" i="1"/>
  <c r="T581" i="1" s="1"/>
  <c r="J580" i="1"/>
  <c r="T580" i="1" s="1"/>
  <c r="J579" i="1"/>
  <c r="T579" i="1" s="1"/>
  <c r="J578" i="1"/>
  <c r="T578" i="1" s="1"/>
  <c r="J573" i="1"/>
  <c r="T573" i="1" s="1"/>
  <c r="J572" i="1"/>
  <c r="T572" i="1" s="1"/>
  <c r="J571" i="1"/>
  <c r="T571" i="1" s="1"/>
  <c r="J566" i="1"/>
  <c r="T566" i="1" s="1"/>
  <c r="U562" i="1"/>
  <c r="T562" i="1"/>
  <c r="J558" i="1"/>
  <c r="T558" i="1" s="1"/>
  <c r="J554" i="1"/>
  <c r="T554" i="1" s="1"/>
  <c r="J550" i="1"/>
  <c r="T550" i="1" s="1"/>
  <c r="J549" i="1"/>
  <c r="T549" i="1" s="1"/>
  <c r="J548" i="1"/>
  <c r="T548" i="1" s="1"/>
  <c r="J547" i="1"/>
  <c r="T547" i="1" s="1"/>
  <c r="J544" i="1"/>
  <c r="T544" i="1" s="1"/>
  <c r="T540" i="1"/>
  <c r="T536" i="1"/>
  <c r="J535" i="1"/>
  <c r="L535" i="1" s="1"/>
  <c r="J534" i="1"/>
  <c r="T534" i="1" s="1"/>
  <c r="T531" i="1"/>
  <c r="T530" i="1"/>
  <c r="J529" i="1"/>
  <c r="T529" i="1" s="1"/>
  <c r="T526" i="1"/>
  <c r="J525" i="1"/>
  <c r="T525" i="1" s="1"/>
  <c r="T522" i="1"/>
  <c r="J521" i="1"/>
  <c r="T521" i="1" s="1"/>
  <c r="J520" i="1"/>
  <c r="T520" i="1" s="1"/>
  <c r="T518" i="1"/>
  <c r="J517" i="1"/>
  <c r="T517" i="1" s="1"/>
  <c r="J516" i="1"/>
  <c r="T516" i="1" s="1"/>
  <c r="T513" i="1"/>
  <c r="P512" i="1"/>
  <c r="J512" i="1"/>
  <c r="T512" i="1" s="1"/>
  <c r="P511" i="1"/>
  <c r="J511" i="1"/>
  <c r="T511" i="1" s="1"/>
  <c r="P510" i="1"/>
  <c r="J510" i="1"/>
  <c r="T510" i="1" s="1"/>
  <c r="T507" i="1"/>
  <c r="T506" i="1"/>
  <c r="T505" i="1"/>
  <c r="J504" i="1"/>
  <c r="T504" i="1" s="1"/>
  <c r="J503" i="1"/>
  <c r="T503" i="1" s="1"/>
  <c r="T499" i="1"/>
  <c r="S499" i="1"/>
  <c r="J498" i="1"/>
  <c r="T498" i="1" s="1"/>
  <c r="T496" i="1"/>
  <c r="T495" i="1"/>
  <c r="U491" i="1"/>
  <c r="T491" i="1"/>
  <c r="P491" i="1"/>
  <c r="J487" i="1"/>
  <c r="T487" i="1" s="1"/>
  <c r="J482" i="1"/>
  <c r="T482" i="1" s="1"/>
  <c r="J481" i="1"/>
  <c r="T481" i="1" s="1"/>
  <c r="J480" i="1"/>
  <c r="T480" i="1" s="1"/>
  <c r="J478" i="1"/>
  <c r="T478" i="1" s="1"/>
  <c r="T475" i="1"/>
  <c r="J474" i="1"/>
  <c r="T474" i="1" s="1"/>
  <c r="J473" i="1"/>
  <c r="T473" i="1" s="1"/>
  <c r="T470" i="1"/>
  <c r="J469" i="1"/>
  <c r="T469" i="1" s="1"/>
  <c r="T466" i="1"/>
  <c r="J465" i="1"/>
  <c r="T465" i="1" s="1"/>
  <c r="J462" i="1"/>
  <c r="T462" i="1" s="1"/>
  <c r="S460" i="1"/>
  <c r="T460" i="1" s="1"/>
  <c r="J459" i="1"/>
  <c r="T459" i="1" s="1"/>
  <c r="J458" i="1"/>
  <c r="T458" i="1" s="1"/>
  <c r="J456" i="1"/>
  <c r="T456" i="1" s="1"/>
  <c r="T453" i="1"/>
  <c r="J452" i="1"/>
  <c r="T452" i="1" s="1"/>
  <c r="T449" i="1"/>
  <c r="T448" i="1"/>
  <c r="J447" i="1"/>
  <c r="T447" i="1" s="1"/>
  <c r="T444" i="1"/>
  <c r="J443" i="1"/>
  <c r="T443" i="1" s="1"/>
  <c r="T440" i="1"/>
  <c r="J439" i="1"/>
  <c r="T439" i="1" s="1"/>
  <c r="T436" i="1"/>
  <c r="J435" i="1"/>
  <c r="T435" i="1" s="1"/>
  <c r="J434" i="1"/>
  <c r="T434" i="1" s="1"/>
  <c r="J433" i="1"/>
  <c r="T433" i="1" s="1"/>
  <c r="T431" i="1"/>
  <c r="T430" i="1"/>
  <c r="J429" i="1"/>
  <c r="T429" i="1" s="1"/>
  <c r="T427" i="1"/>
  <c r="T426" i="1"/>
  <c r="J425" i="1"/>
  <c r="T425" i="1" s="1"/>
  <c r="T422" i="1"/>
  <c r="J421" i="1"/>
  <c r="T421" i="1" s="1"/>
  <c r="J420" i="1"/>
  <c r="T420" i="1" s="1"/>
  <c r="J419" i="1"/>
  <c r="T419" i="1" s="1"/>
  <c r="T416" i="1"/>
  <c r="J415" i="1"/>
  <c r="T415" i="1" s="1"/>
  <c r="J414" i="1"/>
  <c r="T414" i="1" s="1"/>
  <c r="J413" i="1"/>
  <c r="T413" i="1" s="1"/>
  <c r="J412" i="1"/>
  <c r="T412" i="1" s="1"/>
  <c r="T409" i="1"/>
  <c r="P408" i="1"/>
  <c r="J408" i="1"/>
  <c r="T408" i="1" s="1"/>
  <c r="P407" i="1"/>
  <c r="J407" i="1"/>
  <c r="T407" i="1" s="1"/>
  <c r="P406" i="1"/>
  <c r="J406" i="1"/>
  <c r="T406" i="1" s="1"/>
  <c r="P405" i="1"/>
  <c r="J405" i="1"/>
  <c r="T405" i="1" s="1"/>
  <c r="P404" i="1"/>
  <c r="J404" i="1"/>
  <c r="T404" i="1" s="1"/>
  <c r="T401" i="1"/>
  <c r="T400" i="1"/>
  <c r="T399" i="1"/>
  <c r="T398" i="1"/>
  <c r="T397" i="1"/>
  <c r="T396" i="1"/>
  <c r="P394" i="1"/>
  <c r="P393" i="1"/>
  <c r="T392" i="1"/>
  <c r="P392" i="1"/>
  <c r="T390" i="1"/>
  <c r="P390" i="1"/>
  <c r="T388" i="1"/>
  <c r="P388" i="1"/>
  <c r="T386" i="1"/>
  <c r="P386" i="1"/>
  <c r="T382" i="1"/>
  <c r="P382" i="1"/>
  <c r="T379" i="1"/>
  <c r="J378" i="1"/>
  <c r="T378" i="1" s="1"/>
  <c r="J377" i="1"/>
  <c r="T377" i="1" s="1"/>
  <c r="T374" i="1"/>
  <c r="P373" i="1"/>
  <c r="J373" i="1"/>
  <c r="T373" i="1" s="1"/>
  <c r="T370" i="1"/>
  <c r="P369" i="1"/>
  <c r="J369" i="1"/>
  <c r="T369" i="1" s="1"/>
  <c r="T366" i="1"/>
  <c r="J365" i="1"/>
  <c r="T365" i="1" s="1"/>
  <c r="T362" i="1"/>
  <c r="T361" i="1"/>
  <c r="T360" i="1"/>
  <c r="J359" i="1"/>
  <c r="T359" i="1" s="1"/>
  <c r="P357" i="1"/>
  <c r="J357" i="1"/>
  <c r="T357" i="1" s="1"/>
  <c r="P355" i="1"/>
  <c r="J355" i="1"/>
  <c r="T355" i="1" s="1"/>
  <c r="P354" i="1"/>
  <c r="J354" i="1"/>
  <c r="T354" i="1" s="1"/>
  <c r="P353" i="1"/>
  <c r="J353" i="1"/>
  <c r="T353" i="1" s="1"/>
  <c r="T350" i="1"/>
  <c r="T349" i="1"/>
  <c r="T348" i="1"/>
  <c r="T347" i="1"/>
  <c r="T346" i="1"/>
  <c r="T343" i="1"/>
  <c r="J342" i="1"/>
  <c r="T342" i="1" s="1"/>
  <c r="J341" i="1"/>
  <c r="T341" i="1" s="1"/>
  <c r="J337" i="1"/>
  <c r="T337" i="1" s="1"/>
  <c r="J336" i="1"/>
  <c r="T336" i="1" s="1"/>
  <c r="T333" i="1"/>
  <c r="T332" i="1"/>
  <c r="P331" i="1"/>
  <c r="J331" i="1"/>
  <c r="T331" i="1" s="1"/>
  <c r="J329" i="1"/>
  <c r="T329" i="1" s="1"/>
  <c r="T326" i="1"/>
  <c r="J325" i="1"/>
  <c r="T325" i="1" s="1"/>
  <c r="J324" i="1"/>
  <c r="T324" i="1" s="1"/>
  <c r="T318" i="1"/>
  <c r="P317" i="1"/>
  <c r="J317" i="1"/>
  <c r="T317" i="1" s="1"/>
  <c r="T314" i="1"/>
  <c r="J313" i="1"/>
  <c r="T313" i="1" s="1"/>
  <c r="J312" i="1"/>
  <c r="T312" i="1" s="1"/>
  <c r="J311" i="1"/>
  <c r="T311" i="1" s="1"/>
  <c r="T308" i="1"/>
  <c r="S308" i="1"/>
  <c r="P307" i="1"/>
  <c r="J307" i="1"/>
  <c r="T307" i="1" s="1"/>
  <c r="P306" i="1"/>
  <c r="J306" i="1"/>
  <c r="T306" i="1" s="1"/>
  <c r="P304" i="1"/>
  <c r="J304" i="1"/>
  <c r="T304" i="1" s="1"/>
  <c r="P302" i="1"/>
  <c r="J302" i="1"/>
  <c r="T302" i="1" s="1"/>
  <c r="T300" i="1"/>
  <c r="P299" i="1"/>
  <c r="J299" i="1"/>
  <c r="T299" i="1" s="1"/>
  <c r="T297" i="1"/>
  <c r="T296" i="1"/>
  <c r="J295" i="1"/>
  <c r="T295" i="1" s="1"/>
  <c r="T292" i="1"/>
  <c r="T291" i="1"/>
  <c r="T290" i="1"/>
  <c r="J290" i="1"/>
  <c r="T288" i="1"/>
  <c r="T287" i="1"/>
  <c r="T286" i="1"/>
  <c r="T283" i="1"/>
  <c r="T280" i="1"/>
  <c r="J279" i="1"/>
  <c r="T279" i="1" s="1"/>
  <c r="J278" i="1"/>
  <c r="T278" i="1" s="1"/>
  <c r="J277" i="1"/>
  <c r="T277" i="1" s="1"/>
  <c r="J276" i="1"/>
  <c r="T276" i="1" s="1"/>
  <c r="J275" i="1"/>
  <c r="T275" i="1" s="1"/>
  <c r="T272" i="1"/>
  <c r="J271" i="1"/>
  <c r="T271" i="1" s="1"/>
  <c r="J270" i="1"/>
  <c r="T270" i="1" s="1"/>
  <c r="J269" i="1"/>
  <c r="T269" i="1" s="1"/>
  <c r="T266" i="1"/>
  <c r="T265" i="1"/>
  <c r="T264" i="1"/>
  <c r="T261" i="1"/>
  <c r="P260" i="1"/>
  <c r="J260" i="1"/>
  <c r="T260" i="1" s="1"/>
  <c r="T257" i="1"/>
  <c r="T256" i="1"/>
  <c r="J256" i="1"/>
  <c r="T255" i="1"/>
  <c r="J255" i="1"/>
  <c r="T254" i="1"/>
  <c r="J254" i="1"/>
  <c r="T253" i="1"/>
  <c r="J253" i="1"/>
  <c r="T252" i="1"/>
  <c r="J252" i="1"/>
  <c r="T251" i="1"/>
  <c r="T250" i="1"/>
  <c r="T247" i="1"/>
  <c r="J246" i="1"/>
  <c r="T246" i="1" s="1"/>
  <c r="T243" i="1"/>
  <c r="T242" i="1"/>
  <c r="P242" i="1"/>
  <c r="T240" i="1"/>
  <c r="T239" i="1"/>
  <c r="T238" i="1"/>
  <c r="T237" i="1"/>
  <c r="T236" i="1"/>
  <c r="T233" i="1"/>
  <c r="P232" i="1"/>
  <c r="J232" i="1"/>
  <c r="T232" i="1" s="1"/>
  <c r="T229" i="1"/>
  <c r="P228" i="1"/>
  <c r="J228" i="1"/>
  <c r="T228" i="1" s="1"/>
  <c r="P227" i="1"/>
  <c r="J227" i="1"/>
  <c r="T227" i="1" s="1"/>
  <c r="P226" i="1"/>
  <c r="J226" i="1"/>
  <c r="T226" i="1" s="1"/>
  <c r="T223" i="1"/>
  <c r="J222" i="1"/>
  <c r="T222" i="1" s="1"/>
  <c r="J221" i="1"/>
  <c r="T221" i="1" s="1"/>
  <c r="T218" i="1"/>
  <c r="P217" i="1"/>
  <c r="J217" i="1"/>
  <c r="T217" i="1" s="1"/>
  <c r="P216" i="1"/>
  <c r="J216" i="1"/>
  <c r="T216" i="1" s="1"/>
  <c r="P215" i="1"/>
  <c r="J215" i="1"/>
  <c r="T215" i="1" s="1"/>
  <c r="P214" i="1"/>
  <c r="J214" i="1"/>
  <c r="T214" i="1" s="1"/>
  <c r="P213" i="1"/>
  <c r="J213" i="1"/>
  <c r="T213" i="1" s="1"/>
  <c r="T210" i="1"/>
  <c r="T209" i="1"/>
  <c r="J209" i="1"/>
  <c r="T208" i="1"/>
  <c r="J208" i="1"/>
  <c r="T207" i="1"/>
  <c r="J207" i="1"/>
  <c r="T204" i="1"/>
  <c r="P203" i="1"/>
  <c r="J203" i="1"/>
  <c r="T203" i="1" s="1"/>
  <c r="P202" i="1"/>
  <c r="J202" i="1"/>
  <c r="T202" i="1" s="1"/>
  <c r="T199" i="1"/>
  <c r="J198" i="1"/>
  <c r="T198" i="1" s="1"/>
  <c r="J197" i="1"/>
  <c r="T197" i="1" s="1"/>
  <c r="J196" i="1"/>
  <c r="T196" i="1" s="1"/>
  <c r="J195" i="1"/>
  <c r="T195" i="1" s="1"/>
  <c r="J194" i="1"/>
  <c r="T194" i="1" s="1"/>
  <c r="J193" i="1"/>
  <c r="T193" i="1" s="1"/>
  <c r="P189" i="1"/>
  <c r="J189" i="1"/>
  <c r="T189" i="1" s="1"/>
  <c r="P188" i="1"/>
  <c r="J188" i="1"/>
  <c r="T188" i="1" s="1"/>
  <c r="P187" i="1"/>
  <c r="J187" i="1"/>
  <c r="T187" i="1" s="1"/>
  <c r="P186" i="1"/>
  <c r="J186" i="1"/>
  <c r="T186" i="1" s="1"/>
  <c r="P185" i="1"/>
  <c r="J185" i="1"/>
  <c r="T185" i="1" s="1"/>
  <c r="P184" i="1"/>
  <c r="J184" i="1"/>
  <c r="T184" i="1" s="1"/>
  <c r="T181" i="1"/>
  <c r="T180" i="1"/>
  <c r="J179" i="1"/>
  <c r="T179" i="1" s="1"/>
  <c r="J178" i="1"/>
  <c r="T178" i="1" s="1"/>
  <c r="P176" i="1"/>
  <c r="P175" i="1"/>
  <c r="J175" i="1"/>
  <c r="T175" i="1" s="1"/>
  <c r="P174" i="1"/>
  <c r="J174" i="1"/>
  <c r="T174" i="1" s="1"/>
  <c r="P172" i="1"/>
  <c r="J172" i="1"/>
  <c r="T172" i="1" s="1"/>
  <c r="P171" i="1"/>
  <c r="J171" i="1"/>
  <c r="T171" i="1" s="1"/>
  <c r="P169" i="1"/>
  <c r="J169" i="1"/>
  <c r="T169" i="1" s="1"/>
  <c r="P168" i="1"/>
  <c r="J168" i="1"/>
  <c r="T168" i="1" s="1"/>
  <c r="P166" i="1"/>
  <c r="J166" i="1"/>
  <c r="T166" i="1" s="1"/>
  <c r="P165" i="1"/>
  <c r="J165" i="1"/>
  <c r="T165" i="1" s="1"/>
  <c r="T162" i="1"/>
  <c r="T161" i="1"/>
  <c r="T158" i="1"/>
  <c r="J157" i="1"/>
  <c r="T157" i="1" s="1"/>
  <c r="T154" i="1"/>
  <c r="T153" i="1"/>
  <c r="T152" i="1"/>
  <c r="T151" i="1"/>
  <c r="T150" i="1"/>
  <c r="T149" i="1"/>
  <c r="J145" i="1"/>
  <c r="T145" i="1" s="1"/>
  <c r="T142" i="1"/>
  <c r="J141" i="1"/>
  <c r="T141" i="1" s="1"/>
  <c r="T138" i="1"/>
  <c r="T137" i="1"/>
  <c r="T136" i="1"/>
  <c r="T135" i="1"/>
  <c r="T134" i="1"/>
  <c r="T132" i="1"/>
  <c r="T131" i="1"/>
  <c r="T130" i="1"/>
  <c r="T127" i="1"/>
  <c r="J126" i="1"/>
  <c r="T126" i="1" s="1"/>
  <c r="J125" i="1"/>
  <c r="T125" i="1" s="1"/>
  <c r="J124" i="1"/>
  <c r="T124" i="1" s="1"/>
  <c r="J123" i="1"/>
  <c r="T123" i="1" s="1"/>
  <c r="J122" i="1"/>
  <c r="T122" i="1" s="1"/>
  <c r="J121" i="1"/>
  <c r="T121" i="1" s="1"/>
  <c r="J120" i="1"/>
  <c r="T120" i="1" s="1"/>
  <c r="J119" i="1"/>
  <c r="T119" i="1" s="1"/>
  <c r="J118" i="1"/>
  <c r="T118" i="1" s="1"/>
  <c r="J117" i="1"/>
  <c r="T117" i="1" s="1"/>
  <c r="T114" i="1"/>
  <c r="J113" i="1"/>
  <c r="T113" i="1" s="1"/>
  <c r="T111" i="1"/>
  <c r="J110" i="1"/>
  <c r="T110" i="1" s="1"/>
  <c r="T107" i="1"/>
  <c r="J106" i="1"/>
  <c r="T106" i="1" s="1"/>
  <c r="T103" i="1"/>
  <c r="J102" i="1"/>
  <c r="L102" i="1" s="1"/>
  <c r="T99" i="1"/>
  <c r="T98" i="1"/>
  <c r="T97" i="1"/>
  <c r="T96" i="1"/>
  <c r="T95" i="1"/>
  <c r="T94" i="1"/>
  <c r="T93" i="1"/>
  <c r="T92" i="1"/>
  <c r="T91" i="1"/>
  <c r="T89" i="1"/>
  <c r="T88" i="1"/>
  <c r="J87" i="1"/>
  <c r="T87" i="1" s="1"/>
  <c r="J86" i="1"/>
  <c r="T86" i="1" s="1"/>
  <c r="T82" i="1"/>
  <c r="T81" i="1"/>
  <c r="J80" i="1"/>
  <c r="T80" i="1" s="1"/>
  <c r="J79" i="1"/>
  <c r="T79" i="1" s="1"/>
  <c r="J78" i="1"/>
  <c r="T78" i="1" s="1"/>
  <c r="T75" i="1"/>
  <c r="J74" i="1"/>
  <c r="T74" i="1" s="1"/>
  <c r="J73" i="1"/>
  <c r="T73" i="1" s="1"/>
  <c r="J72" i="1"/>
  <c r="T72" i="1" s="1"/>
  <c r="J68" i="1"/>
  <c r="T68" i="1" s="1"/>
  <c r="J67" i="1"/>
  <c r="T67" i="1" s="1"/>
  <c r="J65" i="1"/>
  <c r="T65" i="1" s="1"/>
  <c r="J64" i="1"/>
  <c r="T64" i="1" s="1"/>
  <c r="J62" i="1"/>
  <c r="T62" i="1" s="1"/>
  <c r="J61" i="1"/>
  <c r="T61" i="1" s="1"/>
  <c r="J60" i="1"/>
  <c r="T60" i="1" s="1"/>
  <c r="J59" i="1"/>
  <c r="T59" i="1" s="1"/>
  <c r="J58" i="1"/>
  <c r="T58" i="1" s="1"/>
  <c r="J55" i="1"/>
  <c r="J54" i="1"/>
  <c r="J52" i="1"/>
  <c r="J51" i="1"/>
  <c r="J50" i="1"/>
  <c r="Q46" i="1"/>
  <c r="J46" i="1"/>
  <c r="T46" i="1" s="1"/>
  <c r="T43" i="1"/>
  <c r="T42" i="1"/>
  <c r="J41" i="1"/>
  <c r="T41" i="1" s="1"/>
  <c r="J40" i="1"/>
  <c r="T40" i="1" s="1"/>
  <c r="T37" i="1"/>
  <c r="T36" i="1"/>
  <c r="J35" i="1"/>
  <c r="T35" i="1" s="1"/>
  <c r="J34" i="1"/>
  <c r="T34" i="1" s="1"/>
  <c r="T31" i="1"/>
  <c r="J30" i="1"/>
  <c r="T30" i="1" s="1"/>
  <c r="J29" i="1"/>
  <c r="T29" i="1" s="1"/>
  <c r="J24" i="1"/>
  <c r="T24" i="1" s="1"/>
  <c r="J23" i="1"/>
  <c r="T23" i="1" s="1"/>
  <c r="J22" i="1"/>
  <c r="T22" i="1" s="1"/>
  <c r="N1" i="1"/>
  <c r="B40" i="6" l="1"/>
  <c r="C8" i="13"/>
  <c r="G16" i="13"/>
  <c r="P4470" i="1"/>
  <c r="P2975" i="1"/>
  <c r="P4465" i="1"/>
  <c r="P4479" i="1"/>
  <c r="T4485" i="1"/>
  <c r="P4473" i="1"/>
  <c r="P3055" i="1"/>
  <c r="P3309" i="1"/>
  <c r="P3828" i="1"/>
  <c r="P4474" i="1"/>
  <c r="P4485" i="1"/>
  <c r="P4490" i="1"/>
  <c r="R4321" i="1"/>
  <c r="L1842" i="1"/>
  <c r="T2158" i="1"/>
  <c r="L1384" i="1"/>
  <c r="T2581" i="1"/>
  <c r="T4622" i="1"/>
  <c r="T1842" i="1"/>
  <c r="T3912" i="1"/>
  <c r="T4337" i="1"/>
  <c r="R2530" i="1"/>
  <c r="R3715" i="1"/>
  <c r="R1688" i="1"/>
  <c r="T3099" i="1"/>
  <c r="R3378" i="1"/>
  <c r="R4270" i="1"/>
  <c r="W4482" i="1"/>
  <c r="T4504" i="1"/>
  <c r="T3893" i="1"/>
  <c r="T3684" i="1"/>
  <c r="T4274" i="1"/>
  <c r="R2277" i="1"/>
  <c r="R1746" i="1"/>
  <c r="T2277" i="1"/>
  <c r="W4469" i="1"/>
  <c r="T2621" i="1"/>
  <c r="L3487" i="1"/>
  <c r="T4194" i="1"/>
  <c r="L3378" i="1"/>
  <c r="L2503" i="1"/>
  <c r="L1746" i="1"/>
  <c r="T1349" i="1"/>
  <c r="T3046" i="1"/>
  <c r="T3415" i="1"/>
  <c r="T4016" i="1"/>
  <c r="W4502" i="1"/>
  <c r="R4274" i="1"/>
  <c r="R3099" i="1"/>
  <c r="W3400" i="1"/>
  <c r="W4478" i="1"/>
  <c r="W4504" i="1"/>
  <c r="T3021" i="1"/>
  <c r="T3742" i="1"/>
  <c r="T3734" i="1"/>
  <c r="R4016" i="1"/>
  <c r="T4502" i="1"/>
  <c r="L4512" i="1"/>
  <c r="P1490" i="1"/>
  <c r="P1532" i="1"/>
  <c r="T3487" i="1"/>
  <c r="W4462" i="1"/>
  <c r="R2621" i="1"/>
  <c r="T2879" i="1"/>
  <c r="R4194" i="1"/>
  <c r="R2673" i="1"/>
  <c r="T1275" i="1"/>
  <c r="R2635" i="1"/>
  <c r="P3174" i="1"/>
  <c r="W3828" i="1"/>
  <c r="R4337" i="1"/>
  <c r="P4458" i="1"/>
  <c r="T2503" i="1"/>
  <c r="T2635" i="1"/>
  <c r="T2797" i="1"/>
  <c r="R2821" i="1"/>
  <c r="L3010" i="1"/>
  <c r="R3059" i="1"/>
  <c r="R3659" i="1"/>
  <c r="L3702" i="1"/>
  <c r="T3715" i="1"/>
  <c r="T4270" i="1"/>
  <c r="T4321" i="1"/>
  <c r="R4463" i="1"/>
  <c r="R4646" i="1"/>
  <c r="R4690" i="1"/>
  <c r="T1863" i="1"/>
  <c r="R2131" i="1"/>
  <c r="T3010" i="1"/>
  <c r="R3702" i="1"/>
  <c r="T4011" i="1"/>
  <c r="T2131" i="1"/>
  <c r="R2914" i="1"/>
  <c r="L3006" i="1"/>
  <c r="L3770" i="1"/>
  <c r="R3865" i="1"/>
  <c r="R4040" i="1"/>
  <c r="L3595" i="1"/>
  <c r="L4011" i="1"/>
  <c r="L4641" i="1"/>
  <c r="T2491" i="1"/>
  <c r="T4646" i="1"/>
  <c r="L1858" i="1"/>
  <c r="L3773" i="1"/>
  <c r="W4737" i="1"/>
  <c r="L4844" i="1"/>
  <c r="R2908" i="1"/>
  <c r="R3281" i="1"/>
  <c r="L4473" i="1"/>
  <c r="R4491" i="1"/>
  <c r="L4521" i="1"/>
  <c r="T3006" i="1"/>
  <c r="T3750" i="1"/>
  <c r="T3770" i="1"/>
  <c r="R3876" i="1"/>
  <c r="R4161" i="1"/>
  <c r="R4441" i="1"/>
  <c r="R4465" i="1"/>
  <c r="R4482" i="1"/>
  <c r="L4683" i="1"/>
  <c r="T1189" i="1"/>
  <c r="R2215" i="1"/>
  <c r="R3595" i="1"/>
  <c r="R1931" i="1"/>
  <c r="T2979" i="1"/>
  <c r="R3387" i="1"/>
  <c r="T4040" i="1"/>
  <c r="R4170" i="1"/>
  <c r="L2323" i="1"/>
  <c r="L1089" i="1"/>
  <c r="L2171" i="1"/>
  <c r="R3934" i="1"/>
  <c r="T4004" i="1"/>
  <c r="L4023" i="1"/>
  <c r="R4413" i="1"/>
  <c r="L982" i="1"/>
  <c r="L998" i="1"/>
  <c r="R1700" i="1"/>
  <c r="T1801" i="1"/>
  <c r="T1874" i="1"/>
  <c r="R2259" i="1"/>
  <c r="R2323" i="1"/>
  <c r="R2366" i="1"/>
  <c r="T2536" i="1"/>
  <c r="L2603" i="1"/>
  <c r="R3380" i="1"/>
  <c r="R3676" i="1"/>
  <c r="T3741" i="1"/>
  <c r="R3774" i="1"/>
  <c r="T3876" i="1"/>
  <c r="R3901" i="1"/>
  <c r="L3912" i="1"/>
  <c r="T3934" i="1"/>
  <c r="R4157" i="1"/>
  <c r="T4161" i="1"/>
  <c r="R4371" i="1"/>
  <c r="T4413" i="1"/>
  <c r="L2491" i="1"/>
  <c r="L3730" i="1"/>
  <c r="T2789" i="1"/>
  <c r="T3059" i="1"/>
  <c r="R3730" i="1"/>
  <c r="R4641" i="1"/>
  <c r="T2908" i="1"/>
  <c r="L3750" i="1"/>
  <c r="T3865" i="1"/>
  <c r="T1124" i="1"/>
  <c r="T3141" i="1"/>
  <c r="T4170" i="1"/>
  <c r="T4307" i="1"/>
  <c r="T4473" i="1"/>
  <c r="L1637" i="1"/>
  <c r="T1327" i="1"/>
  <c r="T1637" i="1"/>
  <c r="T1700" i="1"/>
  <c r="R1982" i="1"/>
  <c r="T2366" i="1"/>
  <c r="R3658" i="1"/>
  <c r="T3901" i="1"/>
  <c r="R4023" i="1"/>
  <c r="R4143" i="1"/>
  <c r="T4157" i="1"/>
  <c r="T4410" i="1"/>
  <c r="R4570" i="1"/>
  <c r="L2215" i="1"/>
  <c r="R4475" i="1"/>
  <c r="T1217" i="1"/>
  <c r="T1559" i="1"/>
  <c r="T4475" i="1"/>
  <c r="T1858" i="1"/>
  <c r="L4393" i="1"/>
  <c r="T4686" i="1"/>
  <c r="T3110" i="1"/>
  <c r="L3380" i="1"/>
  <c r="L3741" i="1"/>
  <c r="R4004" i="1"/>
  <c r="R2171" i="1"/>
  <c r="T2259" i="1"/>
  <c r="R3315" i="1"/>
  <c r="T4371" i="1"/>
  <c r="T4465" i="1"/>
  <c r="R4683" i="1"/>
  <c r="T1982" i="1"/>
  <c r="T2317" i="1"/>
  <c r="T2516" i="1"/>
  <c r="T2746" i="1"/>
  <c r="T3315" i="1"/>
  <c r="R3533" i="1"/>
  <c r="T4143" i="1"/>
  <c r="L4622" i="1"/>
  <c r="L2335" i="1"/>
  <c r="R2335" i="1"/>
  <c r="T3120" i="1"/>
  <c r="R3120" i="1"/>
  <c r="T3381" i="1"/>
  <c r="R3381" i="1"/>
  <c r="R1488" i="1"/>
  <c r="T1488" i="1"/>
  <c r="T1653" i="1"/>
  <c r="R1653" i="1"/>
  <c r="L1897" i="1"/>
  <c r="L2807" i="1"/>
  <c r="T535" i="1"/>
  <c r="T3379" i="1"/>
  <c r="R3379" i="1"/>
  <c r="L4353" i="1"/>
  <c r="T4353" i="1"/>
  <c r="L1609" i="1"/>
  <c r="T2985" i="1"/>
  <c r="L2985" i="1"/>
  <c r="R3505" i="1"/>
  <c r="L3505" i="1"/>
  <c r="L2557" i="1"/>
  <c r="L1528" i="1"/>
  <c r="R1528" i="1"/>
  <c r="L3771" i="1"/>
  <c r="T3771" i="1"/>
  <c r="L3783" i="1"/>
  <c r="R3783" i="1"/>
  <c r="R4046" i="1"/>
  <c r="L4046" i="1"/>
  <c r="T596" i="1"/>
  <c r="L1342" i="1"/>
  <c r="L3381" i="1"/>
  <c r="R3412" i="1"/>
  <c r="L3412" i="1"/>
  <c r="L4942" i="1"/>
  <c r="R3310" i="1"/>
  <c r="R3771" i="1"/>
  <c r="T1642" i="1"/>
  <c r="T3554" i="1"/>
  <c r="T3573" i="1"/>
  <c r="T3740" i="1"/>
  <c r="T3899" i="1"/>
  <c r="L4141" i="1"/>
  <c r="T4141" i="1"/>
  <c r="R4141" i="1"/>
  <c r="T4338" i="1"/>
  <c r="R4353" i="1"/>
  <c r="R4376" i="1"/>
  <c r="T4376" i="1"/>
  <c r="L4376" i="1"/>
  <c r="L4423" i="1"/>
  <c r="L4593" i="1"/>
  <c r="T4593" i="1"/>
  <c r="R4593" i="1"/>
  <c r="T4942" i="1"/>
  <c r="R3554" i="1"/>
  <c r="R3740" i="1"/>
  <c r="T1002" i="1"/>
  <c r="L1002" i="1"/>
  <c r="L2180" i="1"/>
  <c r="R2557" i="1"/>
  <c r="L2802" i="1"/>
  <c r="R2802" i="1"/>
  <c r="L1670" i="1"/>
  <c r="T1976" i="1"/>
  <c r="T2017" i="1"/>
  <c r="L2203" i="1"/>
  <c r="R2203" i="1"/>
  <c r="T2274" i="1"/>
  <c r="R2546" i="1"/>
  <c r="R2591" i="1"/>
  <c r="L2653" i="1"/>
  <c r="T2921" i="1"/>
  <c r="R3103" i="1"/>
  <c r="L3103" i="1"/>
  <c r="T3121" i="1"/>
  <c r="T3244" i="1"/>
  <c r="L3244" i="1"/>
  <c r="T3366" i="1"/>
  <c r="R3366" i="1"/>
  <c r="R3495" i="1"/>
  <c r="R3880" i="1"/>
  <c r="L4060" i="1"/>
  <c r="R4127" i="1"/>
  <c r="T4320" i="1"/>
  <c r="R4320" i="1"/>
  <c r="T4444" i="1"/>
  <c r="R4444" i="1"/>
  <c r="L4877" i="1"/>
  <c r="T4877" i="1"/>
  <c r="L1577" i="1"/>
  <c r="R1577" i="1"/>
  <c r="R2661" i="1"/>
  <c r="L2117" i="1"/>
  <c r="L1055" i="1"/>
  <c r="R1744" i="1"/>
  <c r="L2038" i="1"/>
  <c r="R2038" i="1"/>
  <c r="L2161" i="1"/>
  <c r="R2514" i="1"/>
  <c r="L2547" i="1"/>
  <c r="R2547" i="1"/>
  <c r="R2733" i="1"/>
  <c r="T2802" i="1"/>
  <c r="T3171" i="1"/>
  <c r="R3171" i="1"/>
  <c r="T3189" i="1"/>
  <c r="R3189" i="1"/>
  <c r="L3344" i="1"/>
  <c r="R3344" i="1"/>
  <c r="R3352" i="1"/>
  <c r="L3366" i="1"/>
  <c r="R3599" i="1"/>
  <c r="L3776" i="1"/>
  <c r="R3776" i="1"/>
  <c r="T3880" i="1"/>
  <c r="L3900" i="1"/>
  <c r="T3900" i="1"/>
  <c r="L3918" i="1"/>
  <c r="T3918" i="1"/>
  <c r="R3918" i="1"/>
  <c r="R4069" i="1"/>
  <c r="T4069" i="1"/>
  <c r="T4127" i="1"/>
  <c r="L4137" i="1"/>
  <c r="R4137" i="1"/>
  <c r="L4156" i="1"/>
  <c r="T4156" i="1"/>
  <c r="L4320" i="1"/>
  <c r="R4423" i="1"/>
  <c r="L4444" i="1"/>
  <c r="R3858" i="1"/>
  <c r="T4060" i="1"/>
  <c r="L4165" i="1"/>
  <c r="R4165" i="1"/>
  <c r="T1044" i="1"/>
  <c r="L1044" i="1"/>
  <c r="L1386" i="1"/>
  <c r="T1528" i="1"/>
  <c r="T1536" i="1"/>
  <c r="R1821" i="1"/>
  <c r="R1959" i="1"/>
  <c r="T1959" i="1"/>
  <c r="T2335" i="1"/>
  <c r="R2537" i="1"/>
  <c r="L2636" i="1"/>
  <c r="R2936" i="1"/>
  <c r="L3573" i="1"/>
  <c r="L3889" i="1"/>
  <c r="R3889" i="1"/>
  <c r="R4362" i="1"/>
  <c r="R4613" i="1"/>
  <c r="T4613" i="1"/>
  <c r="R4768" i="1"/>
  <c r="T1171" i="1"/>
  <c r="T1190" i="1"/>
  <c r="L1259" i="1"/>
  <c r="L2094" i="1"/>
  <c r="T2094" i="1"/>
  <c r="R2094" i="1"/>
  <c r="R2807" i="1"/>
  <c r="T2936" i="1"/>
  <c r="L3379" i="1"/>
  <c r="L3622" i="1"/>
  <c r="R3622" i="1"/>
  <c r="T4358" i="1"/>
  <c r="R4358" i="1"/>
  <c r="T4453" i="1"/>
  <c r="R4453" i="1"/>
  <c r="R4466" i="1"/>
  <c r="L4466" i="1"/>
  <c r="R1571" i="1"/>
  <c r="T1571" i="1"/>
  <c r="T1609" i="1"/>
  <c r="T2312" i="1"/>
  <c r="L1571" i="1"/>
  <c r="T1313" i="1"/>
  <c r="T1165" i="1"/>
  <c r="T1670" i="1"/>
  <c r="T1818" i="1"/>
  <c r="R2117" i="1"/>
  <c r="T2514" i="1"/>
  <c r="T2653" i="1"/>
  <c r="R3244" i="1"/>
  <c r="L3328" i="1"/>
  <c r="R3328" i="1"/>
  <c r="T3473" i="1"/>
  <c r="L529" i="1"/>
  <c r="L1009" i="1"/>
  <c r="T2932" i="1"/>
  <c r="R3111" i="1"/>
  <c r="L3111" i="1"/>
  <c r="T3130" i="1"/>
  <c r="R3469" i="1"/>
  <c r="T3469" i="1"/>
  <c r="T3776" i="1"/>
  <c r="R3833" i="1"/>
  <c r="T3858" i="1"/>
  <c r="R3900" i="1"/>
  <c r="T4137" i="1"/>
  <c r="R4156" i="1"/>
  <c r="R4306" i="1"/>
  <c r="T4306" i="1"/>
  <c r="L4421" i="1"/>
  <c r="T4548" i="1"/>
  <c r="L4548" i="1"/>
  <c r="L4827" i="1"/>
  <c r="R4827" i="1"/>
  <c r="R2180" i="1"/>
  <c r="L1300" i="1"/>
  <c r="T2663" i="1"/>
  <c r="L2663" i="1"/>
  <c r="L3171" i="1"/>
  <c r="R3571" i="1"/>
  <c r="L1340" i="1"/>
  <c r="R1632" i="1"/>
  <c r="L1745" i="1"/>
  <c r="R1745" i="1"/>
  <c r="L2345" i="1"/>
  <c r="R2940" i="1"/>
  <c r="R2983" i="1"/>
  <c r="T1314" i="1"/>
  <c r="L1334" i="1"/>
  <c r="R1611" i="1"/>
  <c r="R1628" i="1"/>
  <c r="T1628" i="1"/>
  <c r="R1656" i="1"/>
  <c r="R1665" i="1"/>
  <c r="R1722" i="1"/>
  <c r="R1751" i="1"/>
  <c r="R1813" i="1"/>
  <c r="T1823" i="1"/>
  <c r="R1950" i="1"/>
  <c r="T1950" i="1"/>
  <c r="T2105" i="1"/>
  <c r="L2224" i="1"/>
  <c r="R2224" i="1"/>
  <c r="R2351" i="1"/>
  <c r="L2471" i="1"/>
  <c r="R2663" i="1"/>
  <c r="R2728" i="1"/>
  <c r="L3107" i="1"/>
  <c r="R3107" i="1"/>
  <c r="L3131" i="1"/>
  <c r="R3131" i="1"/>
  <c r="T3190" i="1"/>
  <c r="L3190" i="1"/>
  <c r="T3328" i="1"/>
  <c r="T3350" i="1"/>
  <c r="R3350" i="1"/>
  <c r="L3591" i="1"/>
  <c r="T3591" i="1"/>
  <c r="T3629" i="1"/>
  <c r="T3766" i="1"/>
  <c r="L3766" i="1"/>
  <c r="T3773" i="1"/>
  <c r="T4058" i="1"/>
  <c r="L4058" i="1"/>
  <c r="T4165" i="1"/>
  <c r="L4306" i="1"/>
  <c r="R4377" i="1"/>
  <c r="R4395" i="1"/>
  <c r="T4411" i="1"/>
  <c r="R4411" i="1"/>
  <c r="R4476" i="1"/>
  <c r="L4480" i="1"/>
  <c r="L4489" i="1"/>
  <c r="P4522" i="1"/>
  <c r="W4522" i="1"/>
  <c r="L4736" i="1"/>
  <c r="T4723" i="1"/>
  <c r="R4723" i="1"/>
  <c r="L4181" i="1"/>
  <c r="R4181" i="1"/>
  <c r="L4319" i="1"/>
  <c r="R4319" i="1"/>
  <c r="T1323" i="1"/>
  <c r="L1976" i="1"/>
  <c r="L2828" i="1"/>
  <c r="T2828" i="1"/>
  <c r="R2828" i="1"/>
  <c r="T3108" i="1"/>
  <c r="R3757" i="1"/>
  <c r="T1001" i="1"/>
  <c r="T1360" i="1"/>
  <c r="R2211" i="1"/>
  <c r="R2312" i="1"/>
  <c r="R2985" i="1"/>
  <c r="R3097" i="1"/>
  <c r="R3201" i="1"/>
  <c r="T4181" i="1"/>
  <c r="L4348" i="1"/>
  <c r="T4348" i="1"/>
  <c r="T698" i="1"/>
  <c r="R1756" i="1"/>
  <c r="L1756" i="1"/>
  <c r="L1823" i="1"/>
  <c r="L2105" i="1"/>
  <c r="T3362" i="1"/>
  <c r="R3362" i="1"/>
  <c r="L1061" i="1"/>
  <c r="T2038" i="1"/>
  <c r="L767" i="1"/>
  <c r="T880" i="1"/>
  <c r="L1293" i="1"/>
  <c r="T1611" i="1"/>
  <c r="T1665" i="1"/>
  <c r="T1699" i="1"/>
  <c r="R1714" i="1"/>
  <c r="T1722" i="1"/>
  <c r="T1745" i="1"/>
  <c r="T1751" i="1"/>
  <c r="T1813" i="1"/>
  <c r="L1931" i="1"/>
  <c r="L1950" i="1"/>
  <c r="T1988" i="1"/>
  <c r="L2136" i="1"/>
  <c r="T2136" i="1"/>
  <c r="L2144" i="1"/>
  <c r="T2144" i="1"/>
  <c r="R2144" i="1"/>
  <c r="R2345" i="1"/>
  <c r="T2351" i="1"/>
  <c r="R2585" i="1"/>
  <c r="T2728" i="1"/>
  <c r="L2879" i="1"/>
  <c r="T3111" i="1"/>
  <c r="L3125" i="1"/>
  <c r="T3125" i="1"/>
  <c r="R3125" i="1"/>
  <c r="R3200" i="1"/>
  <c r="T3319" i="1"/>
  <c r="L3350" i="1"/>
  <c r="R3859" i="1"/>
  <c r="L3859" i="1"/>
  <c r="R4253" i="1"/>
  <c r="T4377" i="1"/>
  <c r="T4395" i="1"/>
  <c r="T4421" i="1"/>
  <c r="T4493" i="1"/>
  <c r="R4548" i="1"/>
  <c r="R4745" i="1"/>
  <c r="T4827" i="1"/>
  <c r="T1007" i="1"/>
  <c r="L1007" i="1"/>
  <c r="T1631" i="1"/>
  <c r="L1631" i="1"/>
  <c r="R2474" i="1"/>
  <c r="T3308" i="1"/>
  <c r="L3308" i="1"/>
  <c r="L3375" i="1"/>
  <c r="T3375" i="1"/>
  <c r="T3412" i="1"/>
  <c r="R2274" i="1"/>
  <c r="T3097" i="1"/>
  <c r="R3121" i="1"/>
  <c r="L854" i="1"/>
  <c r="T925" i="1"/>
  <c r="L925" i="1"/>
  <c r="T1067" i="1"/>
  <c r="T1121" i="1"/>
  <c r="R1165" i="1"/>
  <c r="T1577" i="1"/>
  <c r="R1818" i="1"/>
  <c r="R1955" i="1"/>
  <c r="T1968" i="1"/>
  <c r="T1253" i="1"/>
  <c r="T1503" i="1"/>
  <c r="T1744" i="1"/>
  <c r="T1877" i="1"/>
  <c r="T1955" i="1"/>
  <c r="T2203" i="1"/>
  <c r="T2733" i="1"/>
  <c r="T865" i="1"/>
  <c r="T1003" i="1"/>
  <c r="L1988" i="1"/>
  <c r="R2161" i="1"/>
  <c r="L2254" i="1"/>
  <c r="R2254" i="1"/>
  <c r="T2488" i="1"/>
  <c r="T2547" i="1"/>
  <c r="T3344" i="1"/>
  <c r="L3362" i="1"/>
  <c r="T3571" i="1"/>
  <c r="R3629" i="1"/>
  <c r="T3658" i="1"/>
  <c r="T595" i="1"/>
  <c r="T1097" i="1"/>
  <c r="L1210" i="1"/>
  <c r="T1210" i="1"/>
  <c r="T1283" i="1"/>
  <c r="T1400" i="1"/>
  <c r="T1417" i="1"/>
  <c r="R1559" i="1"/>
  <c r="R1752" i="1"/>
  <c r="T1752" i="1"/>
  <c r="R1874" i="1"/>
  <c r="T2005" i="1"/>
  <c r="R2005" i="1"/>
  <c r="R2158" i="1"/>
  <c r="T2224" i="1"/>
  <c r="T2763" i="1"/>
  <c r="L2763" i="1"/>
  <c r="L2840" i="1"/>
  <c r="T2840" i="1"/>
  <c r="R2840" i="1"/>
  <c r="T3200" i="1"/>
  <c r="T3346" i="1"/>
  <c r="R3346" i="1"/>
  <c r="T3385" i="1"/>
  <c r="R3385" i="1"/>
  <c r="R3766" i="1"/>
  <c r="T4054" i="1"/>
  <c r="L4054" i="1"/>
  <c r="R4058" i="1"/>
  <c r="L4200" i="1"/>
  <c r="T4200" i="1"/>
  <c r="R4200" i="1"/>
  <c r="R4374" i="1"/>
  <c r="T4489" i="1"/>
  <c r="R2516" i="1"/>
  <c r="T2667" i="1"/>
  <c r="T2673" i="1"/>
  <c r="R2789" i="1"/>
  <c r="R2797" i="1"/>
  <c r="R2979" i="1"/>
  <c r="R2984" i="1"/>
  <c r="R3021" i="1"/>
  <c r="R3110" i="1"/>
  <c r="R3578" i="1"/>
  <c r="T3659" i="1"/>
  <c r="R3684" i="1"/>
  <c r="R3734" i="1"/>
  <c r="R4393" i="1"/>
  <c r="R4512" i="1"/>
  <c r="T4570" i="1"/>
  <c r="R4844" i="1"/>
  <c r="L4457" i="1"/>
  <c r="L4739" i="1"/>
  <c r="I1621" i="19"/>
  <c r="W2543" i="19"/>
  <c r="I1625" i="19"/>
  <c r="K1747" i="19"/>
  <c r="I1842" i="19"/>
  <c r="W2529" i="19"/>
  <c r="W2520" i="19"/>
  <c r="Q1760" i="19"/>
  <c r="G1842" i="19"/>
  <c r="W2557" i="19"/>
  <c r="E2305" i="19"/>
  <c r="Q1754" i="19"/>
  <c r="W2526" i="19"/>
  <c r="W2539" i="19"/>
  <c r="W2553" i="19"/>
  <c r="G562" i="19"/>
  <c r="K1750" i="19"/>
  <c r="W2524" i="19"/>
  <c r="W2536" i="19"/>
  <c r="W2549" i="19"/>
  <c r="W2565" i="19"/>
  <c r="I1624" i="19"/>
  <c r="W2522" i="19"/>
  <c r="W2532" i="19"/>
  <c r="W2546" i="19"/>
  <c r="W2561" i="19"/>
  <c r="F1842" i="19"/>
  <c r="G1911" i="19"/>
  <c r="G2599" i="19"/>
  <c r="G1676" i="19"/>
  <c r="K1758" i="19"/>
  <c r="G1621" i="19"/>
  <c r="Q1749" i="19"/>
  <c r="G1841" i="19"/>
  <c r="G1843" i="19"/>
  <c r="W2519" i="19"/>
  <c r="W2521" i="19"/>
  <c r="W2523" i="19"/>
  <c r="W2525" i="19"/>
  <c r="W2527" i="19"/>
  <c r="W2531" i="19"/>
  <c r="W2534" i="19"/>
  <c r="W2538" i="19"/>
  <c r="W2541" i="19"/>
  <c r="W2544" i="19"/>
  <c r="W2548" i="19"/>
  <c r="W2551" i="19"/>
  <c r="W2555" i="19"/>
  <c r="W2559" i="19"/>
  <c r="W2563" i="19"/>
  <c r="Q1761" i="19"/>
  <c r="E1841" i="19"/>
  <c r="E1843" i="19"/>
  <c r="F1843" i="19"/>
  <c r="Q1759" i="19"/>
  <c r="I1841" i="19"/>
  <c r="K1751" i="19"/>
  <c r="C1844" i="19"/>
  <c r="K1748" i="19"/>
  <c r="T2566" i="19"/>
  <c r="L1000" i="1"/>
  <c r="T1000" i="1"/>
  <c r="R2545" i="1"/>
  <c r="L2545" i="1"/>
  <c r="T2545" i="1"/>
  <c r="L1660" i="1"/>
  <c r="T1660" i="1"/>
  <c r="R1660" i="1"/>
  <c r="L1987" i="1"/>
  <c r="T1987" i="1"/>
  <c r="R1987" i="1"/>
  <c r="T3018" i="1"/>
  <c r="R3018" i="1"/>
  <c r="L4044" i="1"/>
  <c r="T4044" i="1"/>
  <c r="L1056" i="1"/>
  <c r="T1056" i="1"/>
  <c r="L2269" i="1"/>
  <c r="T2269" i="1"/>
  <c r="T2293" i="1"/>
  <c r="R2293" i="1"/>
  <c r="L2293" i="1"/>
  <c r="T2472" i="1"/>
  <c r="R2472" i="1"/>
  <c r="R4052" i="1"/>
  <c r="L4052" i="1"/>
  <c r="T4052" i="1"/>
  <c r="W4492" i="1"/>
  <c r="L929" i="1"/>
  <c r="T929" i="1"/>
  <c r="T947" i="1"/>
  <c r="R1166" i="1"/>
  <c r="T1208" i="1"/>
  <c r="L1208" i="1"/>
  <c r="T1266" i="1"/>
  <c r="L1498" i="1"/>
  <c r="L1514" i="1"/>
  <c r="R1530" i="1"/>
  <c r="T1560" i="1"/>
  <c r="L1709" i="1"/>
  <c r="T1709" i="1"/>
  <c r="T1802" i="1"/>
  <c r="R1802" i="1"/>
  <c r="R1926" i="1"/>
  <c r="T2135" i="1"/>
  <c r="R2135" i="1"/>
  <c r="L2135" i="1"/>
  <c r="L2449" i="1"/>
  <c r="T2499" i="1"/>
  <c r="R2499" i="1"/>
  <c r="R2798" i="1"/>
  <c r="T2798" i="1"/>
  <c r="T2888" i="1"/>
  <c r="L3098" i="1"/>
  <c r="T4002" i="1"/>
  <c r="R4002" i="1"/>
  <c r="L4458" i="1"/>
  <c r="R4461" i="1"/>
  <c r="P4486" i="1"/>
  <c r="T4486" i="1"/>
  <c r="W4486" i="1"/>
  <c r="L4664" i="1"/>
  <c r="T4664" i="1"/>
  <c r="L4674" i="1"/>
  <c r="T4674" i="1"/>
  <c r="T4779" i="1"/>
  <c r="P4779" i="1"/>
  <c r="T1123" i="1"/>
  <c r="T1336" i="1"/>
  <c r="L1336" i="1"/>
  <c r="L1456" i="1"/>
  <c r="L1504" i="1"/>
  <c r="R1560" i="1"/>
  <c r="R2127" i="1"/>
  <c r="T2127" i="1"/>
  <c r="L2803" i="1"/>
  <c r="T2829" i="1"/>
  <c r="R2829" i="1"/>
  <c r="T2835" i="1"/>
  <c r="R2835" i="1"/>
  <c r="L2835" i="1"/>
  <c r="T3270" i="1"/>
  <c r="R3270" i="1"/>
  <c r="W4463" i="1"/>
  <c r="T4861" i="1"/>
  <c r="R1450" i="1"/>
  <c r="T1450" i="1"/>
  <c r="L1655" i="1"/>
  <c r="T1655" i="1"/>
  <c r="R1655" i="1"/>
  <c r="R1739" i="1"/>
  <c r="T1926" i="1"/>
  <c r="T2114" i="1"/>
  <c r="L2119" i="1"/>
  <c r="T2119" i="1"/>
  <c r="R2119" i="1"/>
  <c r="T2226" i="1"/>
  <c r="R2226" i="1"/>
  <c r="L2226" i="1"/>
  <c r="L2456" i="1"/>
  <c r="T2456" i="1"/>
  <c r="R2456" i="1"/>
  <c r="L2567" i="1"/>
  <c r="T2567" i="1"/>
  <c r="T2747" i="1"/>
  <c r="R2747" i="1"/>
  <c r="L2747" i="1"/>
  <c r="R2803" i="1"/>
  <c r="L1158" i="1"/>
  <c r="R1158" i="1"/>
  <c r="T1158" i="1"/>
  <c r="L1450" i="1"/>
  <c r="R1514" i="1"/>
  <c r="L2059" i="1"/>
  <c r="L2421" i="1"/>
  <c r="T2449" i="1"/>
  <c r="L2779" i="1"/>
  <c r="T2779" i="1"/>
  <c r="T3093" i="1"/>
  <c r="L3194" i="1"/>
  <c r="T3194" i="1"/>
  <c r="R3194" i="1"/>
  <c r="L3583" i="1"/>
  <c r="R3843" i="1"/>
  <c r="L3843" i="1"/>
  <c r="L4449" i="1"/>
  <c r="R4519" i="1"/>
  <c r="L4519" i="1"/>
  <c r="W4603" i="1"/>
  <c r="P4603" i="1"/>
  <c r="T4623" i="1"/>
  <c r="L4623" i="1"/>
  <c r="T4766" i="1"/>
  <c r="R4766" i="1"/>
  <c r="L4816" i="1"/>
  <c r="W4816" i="1"/>
  <c r="T1091" i="1"/>
  <c r="L2430" i="1"/>
  <c r="R2430" i="1"/>
  <c r="T2430" i="1"/>
  <c r="T3761" i="1"/>
  <c r="L3761" i="1"/>
  <c r="R3761" i="1"/>
  <c r="R4416" i="1"/>
  <c r="L4416" i="1"/>
  <c r="T4416" i="1"/>
  <c r="T4496" i="1"/>
  <c r="P4496" i="1"/>
  <c r="T4603" i="1"/>
  <c r="L1092" i="1"/>
  <c r="T1092" i="1"/>
  <c r="L1338" i="1"/>
  <c r="T1857" i="1"/>
  <c r="R1857" i="1"/>
  <c r="T1905" i="1"/>
  <c r="R1905" i="1"/>
  <c r="R2040" i="1"/>
  <c r="T2040" i="1"/>
  <c r="R2059" i="1"/>
  <c r="L2311" i="1"/>
  <c r="R2311" i="1"/>
  <c r="T2311" i="1"/>
  <c r="L2333" i="1"/>
  <c r="T2336" i="1"/>
  <c r="R2407" i="1"/>
  <c r="T2407" i="1"/>
  <c r="T2421" i="1"/>
  <c r="T2594" i="1"/>
  <c r="R2594" i="1"/>
  <c r="L2594" i="1"/>
  <c r="R2779" i="1"/>
  <c r="T2845" i="1"/>
  <c r="R2845" i="1"/>
  <c r="L2845" i="1"/>
  <c r="T3043" i="1"/>
  <c r="L3126" i="1"/>
  <c r="T3126" i="1"/>
  <c r="R3126" i="1"/>
  <c r="T3324" i="1"/>
  <c r="P3324" i="1"/>
  <c r="R3583" i="1"/>
  <c r="T3697" i="1"/>
  <c r="R3697" i="1"/>
  <c r="R3721" i="1"/>
  <c r="T3721" i="1"/>
  <c r="T3789" i="1"/>
  <c r="L3789" i="1"/>
  <c r="R3789" i="1"/>
  <c r="T4322" i="1"/>
  <c r="L4335" i="1"/>
  <c r="R4335" i="1"/>
  <c r="T4335" i="1"/>
  <c r="R4449" i="1"/>
  <c r="R4623" i="1"/>
  <c r="R4665" i="1"/>
  <c r="T4665" i="1"/>
  <c r="L4665" i="1"/>
  <c r="L2318" i="1"/>
  <c r="T2318" i="1"/>
  <c r="T2587" i="1"/>
  <c r="R2587" i="1"/>
  <c r="L2587" i="1"/>
  <c r="L1546" i="1"/>
  <c r="L1567" i="1"/>
  <c r="T1567" i="1"/>
  <c r="R1776" i="1"/>
  <c r="L1776" i="1"/>
  <c r="T1916" i="1"/>
  <c r="L1916" i="1"/>
  <c r="R1916" i="1"/>
  <c r="R2318" i="1"/>
  <c r="T2515" i="1"/>
  <c r="R2515" i="1"/>
  <c r="L3558" i="1"/>
  <c r="T3558" i="1"/>
  <c r="R3558" i="1"/>
  <c r="L3872" i="1"/>
  <c r="T3872" i="1"/>
  <c r="R4044" i="1"/>
  <c r="L1129" i="1"/>
  <c r="L1212" i="1"/>
  <c r="L1469" i="1"/>
  <c r="R1469" i="1"/>
  <c r="T1469" i="1"/>
  <c r="T1604" i="1"/>
  <c r="L1750" i="1"/>
  <c r="T1750" i="1"/>
  <c r="L1808" i="1"/>
  <c r="R1808" i="1"/>
  <c r="T1808" i="1"/>
  <c r="R2009" i="1"/>
  <c r="T2009" i="1"/>
  <c r="R2269" i="1"/>
  <c r="L2511" i="1"/>
  <c r="T2511" i="1"/>
  <c r="T3245" i="1"/>
  <c r="R4490" i="1"/>
  <c r="T4490" i="1"/>
  <c r="L4490" i="1"/>
  <c r="T1073" i="1"/>
  <c r="L1073" i="1"/>
  <c r="R1463" i="1"/>
  <c r="T1463" i="1"/>
  <c r="L1739" i="1"/>
  <c r="T3314" i="1"/>
  <c r="R3314" i="1"/>
  <c r="L3314" i="1"/>
  <c r="R3856" i="1"/>
  <c r="R3872" i="1"/>
  <c r="T4018" i="1"/>
  <c r="L4018" i="1"/>
  <c r="R4018" i="1"/>
  <c r="L4373" i="1"/>
  <c r="R4373" i="1"/>
  <c r="R4467" i="1"/>
  <c r="L4467" i="1"/>
  <c r="T1176" i="1"/>
  <c r="T1279" i="1"/>
  <c r="L1279" i="1"/>
  <c r="L1827" i="1"/>
  <c r="R1827" i="1"/>
  <c r="R3093" i="1"/>
  <c r="T4373" i="1"/>
  <c r="L4419" i="1"/>
  <c r="T4419" i="1"/>
  <c r="R4419" i="1"/>
  <c r="T4461" i="1"/>
  <c r="L4679" i="1"/>
  <c r="T4679" i="1"/>
  <c r="R4679" i="1"/>
  <c r="T2793" i="1"/>
  <c r="R2793" i="1"/>
  <c r="L4155" i="1"/>
  <c r="T4155" i="1"/>
  <c r="L4240" i="1"/>
  <c r="T4240" i="1"/>
  <c r="R4240" i="1"/>
  <c r="L4650" i="1"/>
  <c r="T4650" i="1"/>
  <c r="L1433" i="1"/>
  <c r="L1921" i="1"/>
  <c r="T1921" i="1"/>
  <c r="R1921" i="1"/>
  <c r="L2365" i="1"/>
  <c r="T2365" i="1"/>
  <c r="R2365" i="1"/>
  <c r="R3567" i="1"/>
  <c r="L3567" i="1"/>
  <c r="T3606" i="1"/>
  <c r="L3606" i="1"/>
  <c r="R3726" i="1"/>
  <c r="T3726" i="1"/>
  <c r="R3751" i="1"/>
  <c r="L3751" i="1"/>
  <c r="T3751" i="1"/>
  <c r="R4322" i="1"/>
  <c r="L4445" i="1"/>
  <c r="L4766" i="1"/>
  <c r="L1084" i="1"/>
  <c r="T1084" i="1"/>
  <c r="L1318" i="1"/>
  <c r="T1318" i="1"/>
  <c r="T1378" i="1"/>
  <c r="L1410" i="1"/>
  <c r="T1410" i="1"/>
  <c r="T1444" i="1"/>
  <c r="L1444" i="1"/>
  <c r="R1851" i="1"/>
  <c r="L2034" i="1"/>
  <c r="T2034" i="1"/>
  <c r="T2051" i="1"/>
  <c r="L2051" i="1"/>
  <c r="T2878" i="1"/>
  <c r="L2878" i="1"/>
  <c r="R2878" i="1"/>
  <c r="R3557" i="1"/>
  <c r="L3557" i="1"/>
  <c r="T3564" i="1"/>
  <c r="L3564" i="1"/>
  <c r="T3567" i="1"/>
  <c r="R3606" i="1"/>
  <c r="T3692" i="1"/>
  <c r="R3692" i="1"/>
  <c r="R3700" i="1"/>
  <c r="L4151" i="1"/>
  <c r="R4151" i="1"/>
  <c r="T4151" i="1"/>
  <c r="R4431" i="1"/>
  <c r="T4431" i="1"/>
  <c r="R4445" i="1"/>
  <c r="L4614" i="1"/>
  <c r="T4614" i="1"/>
  <c r="R4614" i="1"/>
  <c r="L4647" i="1"/>
  <c r="T4647" i="1"/>
  <c r="R4427" i="1"/>
  <c r="T4427" i="1"/>
  <c r="P4480" i="1"/>
  <c r="T4480" i="1"/>
  <c r="W4480" i="1"/>
  <c r="L3018" i="1"/>
  <c r="L3250" i="1"/>
  <c r="T3250" i="1"/>
  <c r="R3250" i="1"/>
  <c r="R3351" i="1"/>
  <c r="T3351" i="1"/>
  <c r="L3394" i="1"/>
  <c r="T3394" i="1"/>
  <c r="R3394" i="1"/>
  <c r="L3863" i="1"/>
  <c r="R3863" i="1"/>
  <c r="L3885" i="1"/>
  <c r="T3885" i="1"/>
  <c r="T701" i="1"/>
  <c r="P701" i="1"/>
  <c r="L1320" i="1"/>
  <c r="T1320" i="1"/>
  <c r="T1355" i="1"/>
  <c r="R1355" i="1"/>
  <c r="L1355" i="1"/>
  <c r="R1572" i="1"/>
  <c r="R1604" i="1"/>
  <c r="R1768" i="1"/>
  <c r="L1820" i="1"/>
  <c r="T1820" i="1"/>
  <c r="R1820" i="1"/>
  <c r="T1900" i="1"/>
  <c r="R1900" i="1"/>
  <c r="L2472" i="1"/>
  <c r="L2651" i="1"/>
  <c r="T2692" i="1"/>
  <c r="R2692" i="1"/>
  <c r="L2692" i="1"/>
  <c r="L3220" i="1"/>
  <c r="T3220" i="1"/>
  <c r="R3245" i="1"/>
  <c r="L3351" i="1"/>
  <c r="L3856" i="1"/>
  <c r="R4478" i="1"/>
  <c r="L4478" i="1"/>
  <c r="L4861" i="1"/>
  <c r="T1301" i="1"/>
  <c r="L1309" i="1"/>
  <c r="T1572" i="1"/>
  <c r="T1769" i="1"/>
  <c r="R1769" i="1"/>
  <c r="L1900" i="1"/>
  <c r="T2207" i="1"/>
  <c r="R2207" i="1"/>
  <c r="L2515" i="1"/>
  <c r="L2527" i="1"/>
  <c r="T2527" i="1"/>
  <c r="R2527" i="1"/>
  <c r="L2664" i="1"/>
  <c r="T2664" i="1"/>
  <c r="R2664" i="1"/>
  <c r="L2898" i="1"/>
  <c r="T2898" i="1"/>
  <c r="L3243" i="1"/>
  <c r="T3243" i="1"/>
  <c r="R3465" i="1"/>
  <c r="T3465" i="1"/>
  <c r="T3863" i="1"/>
  <c r="L4111" i="1"/>
  <c r="R4111" i="1"/>
  <c r="T4111" i="1"/>
  <c r="T4463" i="1"/>
  <c r="R4694" i="1"/>
  <c r="T4694" i="1"/>
  <c r="L938" i="1"/>
  <c r="L1285" i="1"/>
  <c r="R1567" i="1"/>
  <c r="T2160" i="1"/>
  <c r="L2160" i="1"/>
  <c r="R2160" i="1"/>
  <c r="L4379" i="1"/>
  <c r="T4379" i="1"/>
  <c r="P4471" i="1"/>
  <c r="T4471" i="1"/>
  <c r="L4731" i="1"/>
  <c r="W4731" i="1"/>
  <c r="R2876" i="1"/>
  <c r="T2876" i="1"/>
  <c r="W3062" i="1"/>
  <c r="L3746" i="1"/>
  <c r="T3746" i="1"/>
  <c r="R3098" i="1"/>
  <c r="T3155" i="1"/>
  <c r="R3155" i="1"/>
  <c r="L3602" i="1"/>
  <c r="T3602" i="1"/>
  <c r="W4852" i="1"/>
  <c r="L4852" i="1"/>
  <c r="T703" i="1"/>
  <c r="T1481" i="1"/>
  <c r="T1691" i="1"/>
  <c r="R1691" i="1"/>
  <c r="T1827" i="1"/>
  <c r="L1851" i="1"/>
  <c r="R2336" i="1"/>
  <c r="R2567" i="1"/>
  <c r="R3043" i="1"/>
  <c r="T3408" i="1"/>
  <c r="R3408" i="1"/>
  <c r="L3700" i="1"/>
  <c r="T4491" i="1"/>
  <c r="P4491" i="1"/>
  <c r="L4599" i="1"/>
  <c r="T4599" i="1"/>
  <c r="L594" i="1"/>
  <c r="T594" i="1"/>
  <c r="T1362" i="1"/>
  <c r="L1362" i="1"/>
  <c r="R1760" i="1"/>
  <c r="T1760" i="1"/>
  <c r="T1852" i="1"/>
  <c r="R1852" i="1"/>
  <c r="L2177" i="1"/>
  <c r="T2177" i="1"/>
  <c r="R2286" i="1"/>
  <c r="L2286" i="1"/>
  <c r="L2291" i="1"/>
  <c r="T2326" i="1"/>
  <c r="R2326" i="1"/>
  <c r="R2333" i="1"/>
  <c r="L2382" i="1"/>
  <c r="L2530" i="1"/>
  <c r="L2537" i="1"/>
  <c r="R2751" i="1"/>
  <c r="T2751" i="1"/>
  <c r="T2972" i="1"/>
  <c r="R2972" i="1"/>
  <c r="L3026" i="1"/>
  <c r="T3045" i="1"/>
  <c r="R3045" i="1"/>
  <c r="T3053" i="1"/>
  <c r="L3053" i="1"/>
  <c r="R3053" i="1"/>
  <c r="L3385" i="1"/>
  <c r="R3398" i="1"/>
  <c r="T3398" i="1"/>
  <c r="L3398" i="1"/>
  <c r="L3692" i="1"/>
  <c r="L4332" i="1"/>
  <c r="R4332" i="1"/>
  <c r="T4332" i="1"/>
  <c r="L4431" i="1"/>
  <c r="P4503" i="1"/>
  <c r="W4503" i="1"/>
  <c r="R2334" i="1"/>
  <c r="T2334" i="1"/>
  <c r="L2334" i="1"/>
  <c r="L3274" i="1"/>
  <c r="T3274" i="1"/>
  <c r="L3481" i="1"/>
  <c r="T3481" i="1"/>
  <c r="L3525" i="1"/>
  <c r="R3525" i="1"/>
  <c r="R3824" i="1"/>
  <c r="T3824" i="1"/>
  <c r="L3897" i="1"/>
  <c r="R3897" i="1"/>
  <c r="T3897" i="1"/>
  <c r="L4135" i="1"/>
  <c r="T4135" i="1"/>
  <c r="R4135" i="1"/>
  <c r="L4147" i="1"/>
  <c r="R4147" i="1"/>
  <c r="T4147" i="1"/>
  <c r="L4260" i="1"/>
  <c r="T4260" i="1"/>
  <c r="R4260" i="1"/>
  <c r="L4459" i="1"/>
  <c r="R4459" i="1"/>
  <c r="L4747" i="1"/>
  <c r="W4747" i="1"/>
  <c r="R4767" i="1"/>
  <c r="L4767" i="1"/>
  <c r="L4809" i="1"/>
  <c r="R2974" i="1"/>
  <c r="L2974" i="1"/>
  <c r="R3027" i="1"/>
  <c r="L3027" i="1"/>
  <c r="T3027" i="1"/>
  <c r="R4074" i="1"/>
  <c r="L4074" i="1"/>
  <c r="L4375" i="1"/>
  <c r="T4375" i="1"/>
  <c r="R4375" i="1"/>
  <c r="L4487" i="1"/>
  <c r="R4487" i="1"/>
  <c r="L4730" i="1"/>
  <c r="W4730" i="1"/>
  <c r="T704" i="1"/>
  <c r="L1297" i="1"/>
  <c r="T1297" i="1"/>
  <c r="L1524" i="1"/>
  <c r="T1524" i="1"/>
  <c r="L1740" i="1"/>
  <c r="T1740" i="1"/>
  <c r="R1740" i="1"/>
  <c r="T2104" i="1"/>
  <c r="R2104" i="1"/>
  <c r="T2276" i="1"/>
  <c r="R2276" i="1"/>
  <c r="L1043" i="1"/>
  <c r="L1405" i="1"/>
  <c r="L1628" i="1"/>
  <c r="R1817" i="1"/>
  <c r="T1817" i="1"/>
  <c r="L1877" i="1"/>
  <c r="L1898" i="1"/>
  <c r="T1954" i="1"/>
  <c r="R1954" i="1"/>
  <c r="T1958" i="1"/>
  <c r="L1958" i="1"/>
  <c r="R1958" i="1"/>
  <c r="R2029" i="1"/>
  <c r="T2029" i="1"/>
  <c r="R2321" i="1"/>
  <c r="T2321" i="1"/>
  <c r="R2512" i="1"/>
  <c r="T2512" i="1"/>
  <c r="R2638" i="1"/>
  <c r="T2638" i="1"/>
  <c r="T1014" i="1"/>
  <c r="L1033" i="1"/>
  <c r="L1085" i="1"/>
  <c r="T1341" i="1"/>
  <c r="L1632" i="1"/>
  <c r="L1643" i="1"/>
  <c r="R1704" i="1"/>
  <c r="L1704" i="1"/>
  <c r="T1704" i="1"/>
  <c r="L1954" i="1"/>
  <c r="T2021" i="1"/>
  <c r="R2021" i="1"/>
  <c r="L2029" i="1"/>
  <c r="L2321" i="1"/>
  <c r="L2408" i="1"/>
  <c r="L2638" i="1"/>
  <c r="L2984" i="1"/>
  <c r="L3118" i="1"/>
  <c r="T3118" i="1"/>
  <c r="L3787" i="1"/>
  <c r="T3787" i="1"/>
  <c r="T3924" i="1"/>
  <c r="R3924" i="1"/>
  <c r="L3924" i="1"/>
  <c r="L4066" i="1"/>
  <c r="T4066" i="1"/>
  <c r="T4117" i="1"/>
  <c r="R4117" i="1"/>
  <c r="T4121" i="1"/>
  <c r="R4121" i="1"/>
  <c r="L4121" i="1"/>
  <c r="T4354" i="1"/>
  <c r="R4354" i="1"/>
  <c r="R4372" i="1"/>
  <c r="T4372" i="1"/>
  <c r="L4411" i="1"/>
  <c r="R4425" i="1"/>
  <c r="T4425" i="1"/>
  <c r="L4425" i="1"/>
  <c r="L4484" i="1"/>
  <c r="T4516" i="1"/>
  <c r="R4563" i="1"/>
  <c r="T4563" i="1"/>
  <c r="T4767" i="1"/>
  <c r="T3928" i="1"/>
  <c r="R3928" i="1"/>
  <c r="L4468" i="1"/>
  <c r="T4468" i="1"/>
  <c r="L4483" i="1"/>
  <c r="R4483" i="1"/>
  <c r="L2104" i="1"/>
  <c r="L2264" i="1"/>
  <c r="T2264" i="1"/>
  <c r="L2276" i="1"/>
  <c r="T2288" i="1"/>
  <c r="R2288" i="1"/>
  <c r="L2288" i="1"/>
  <c r="L2383" i="1"/>
  <c r="T2383" i="1"/>
  <c r="R2383" i="1"/>
  <c r="R2775" i="1"/>
  <c r="T2775" i="1"/>
  <c r="L2775" i="1"/>
  <c r="L1373" i="1"/>
  <c r="T1373" i="1"/>
  <c r="T1477" i="1"/>
  <c r="R1477" i="1"/>
  <c r="L1483" i="1"/>
  <c r="T1500" i="1"/>
  <c r="L1500" i="1"/>
  <c r="R1692" i="1"/>
  <c r="T1692" i="1"/>
  <c r="L1781" i="1"/>
  <c r="R1781" i="1"/>
  <c r="L1817" i="1"/>
  <c r="T2496" i="1"/>
  <c r="R2496" i="1"/>
  <c r="L3239" i="1"/>
  <c r="T3239" i="1"/>
  <c r="R3239" i="1"/>
  <c r="R3795" i="1"/>
  <c r="T3795" i="1"/>
  <c r="L1008" i="1"/>
  <c r="L1249" i="1"/>
  <c r="L1255" i="1"/>
  <c r="L1477" i="1"/>
  <c r="R1654" i="1"/>
  <c r="L1692" i="1"/>
  <c r="R1898" i="1"/>
  <c r="L2021" i="1"/>
  <c r="R2264" i="1"/>
  <c r="L2316" i="1"/>
  <c r="T2316" i="1"/>
  <c r="L2384" i="1"/>
  <c r="R2384" i="1"/>
  <c r="T2384" i="1"/>
  <c r="T2471" i="1"/>
  <c r="L2496" i="1"/>
  <c r="R2603" i="1"/>
  <c r="T2696" i="1"/>
  <c r="L2696" i="1"/>
  <c r="R2746" i="1"/>
  <c r="T2974" i="1"/>
  <c r="L3108" i="1"/>
  <c r="T3160" i="1"/>
  <c r="R3160" i="1"/>
  <c r="L3396" i="1"/>
  <c r="R3396" i="1"/>
  <c r="L3795" i="1"/>
  <c r="T4074" i="1"/>
  <c r="L4117" i="1"/>
  <c r="L4354" i="1"/>
  <c r="T4417" i="1"/>
  <c r="R4417" i="1"/>
  <c r="L4417" i="1"/>
  <c r="W4516" i="1"/>
  <c r="L1328" i="1"/>
  <c r="L1605" i="1"/>
  <c r="T1634" i="1"/>
  <c r="L1634" i="1"/>
  <c r="L2002" i="1"/>
  <c r="R2002" i="1"/>
  <c r="L2329" i="1"/>
  <c r="R2329" i="1"/>
  <c r="L2425" i="1"/>
  <c r="L2884" i="1"/>
  <c r="L2927" i="1"/>
  <c r="L2955" i="1"/>
  <c r="T3082" i="1"/>
  <c r="R3082" i="1"/>
  <c r="L3157" i="1"/>
  <c r="R3157" i="1"/>
  <c r="L3246" i="1"/>
  <c r="L3272" i="1"/>
  <c r="T3272" i="1"/>
  <c r="R3477" i="1"/>
  <c r="T3477" i="1"/>
  <c r="L3556" i="1"/>
  <c r="T3556" i="1"/>
  <c r="L3626" i="1"/>
  <c r="L3781" i="1"/>
  <c r="L3834" i="1"/>
  <c r="L3917" i="1"/>
  <c r="T3920" i="1"/>
  <c r="R3920" i="1"/>
  <c r="L4019" i="1"/>
  <c r="L4472" i="1"/>
  <c r="R4520" i="1"/>
  <c r="L4773" i="1"/>
  <c r="T4773" i="1"/>
  <c r="L4814" i="1"/>
  <c r="W4814" i="1"/>
  <c r="R2354" i="1"/>
  <c r="L2354" i="1"/>
  <c r="T3839" i="1"/>
  <c r="R3839" i="1"/>
  <c r="T3854" i="1"/>
  <c r="L3854" i="1"/>
  <c r="T702" i="1"/>
  <c r="L981" i="1"/>
  <c r="L1038" i="1"/>
  <c r="L1102" i="1"/>
  <c r="L1289" i="1"/>
  <c r="P698" i="1"/>
  <c r="L888" i="1"/>
  <c r="L942" i="1"/>
  <c r="L966" i="1"/>
  <c r="T1214" i="1"/>
  <c r="L1265" i="1"/>
  <c r="L1374" i="1"/>
  <c r="L1464" i="1"/>
  <c r="T1464" i="1"/>
  <c r="L1656" i="1"/>
  <c r="R1787" i="1"/>
  <c r="L1821" i="1"/>
  <c r="R1980" i="1"/>
  <c r="L2302" i="1"/>
  <c r="T2302" i="1"/>
  <c r="L2317" i="1"/>
  <c r="T2354" i="1"/>
  <c r="R2372" i="1"/>
  <c r="R2483" i="1"/>
  <c r="R2576" i="1"/>
  <c r="R2678" i="1"/>
  <c r="T2714" i="1"/>
  <c r="T2764" i="1"/>
  <c r="R2907" i="1"/>
  <c r="R3662" i="1"/>
  <c r="R3701" i="1"/>
  <c r="T3701" i="1"/>
  <c r="L3701" i="1"/>
  <c r="R3854" i="1"/>
  <c r="L3920" i="1"/>
  <c r="R4033" i="1"/>
  <c r="L4038" i="1"/>
  <c r="R4038" i="1"/>
  <c r="T4115" i="1"/>
  <c r="L4115" i="1"/>
  <c r="R4415" i="1"/>
  <c r="L4415" i="1"/>
  <c r="T4478" i="1"/>
  <c r="L4481" i="1"/>
  <c r="P4487" i="1"/>
  <c r="W4487" i="1"/>
  <c r="T4520" i="1"/>
  <c r="P4520" i="1"/>
  <c r="W4542" i="1"/>
  <c r="R4559" i="1"/>
  <c r="P4606" i="1"/>
  <c r="R4615" i="1"/>
  <c r="T4615" i="1"/>
  <c r="L4768" i="1"/>
  <c r="T705" i="1"/>
  <c r="T1060" i="1"/>
  <c r="L1060" i="1"/>
  <c r="T1096" i="1"/>
  <c r="P1096" i="1"/>
  <c r="T1787" i="1"/>
  <c r="T2372" i="1"/>
  <c r="L2451" i="1"/>
  <c r="R2451" i="1"/>
  <c r="T2576" i="1"/>
  <c r="T2678" i="1"/>
  <c r="L2765" i="1"/>
  <c r="R2765" i="1"/>
  <c r="T2884" i="1"/>
  <c r="T2907" i="1"/>
  <c r="R2927" i="1"/>
  <c r="R3246" i="1"/>
  <c r="R3269" i="1"/>
  <c r="T3269" i="1"/>
  <c r="R3449" i="1"/>
  <c r="L3449" i="1"/>
  <c r="T3449" i="1"/>
  <c r="T3464" i="1"/>
  <c r="L3464" i="1"/>
  <c r="R3566" i="1"/>
  <c r="L3566" i="1"/>
  <c r="R3626" i="1"/>
  <c r="T3662" i="1"/>
  <c r="L3686" i="1"/>
  <c r="T3686" i="1"/>
  <c r="R3686" i="1"/>
  <c r="R3781" i="1"/>
  <c r="T3834" i="1"/>
  <c r="R3917" i="1"/>
  <c r="R4019" i="1"/>
  <c r="T4033" i="1"/>
  <c r="T4209" i="1"/>
  <c r="R4209" i="1"/>
  <c r="T4257" i="1"/>
  <c r="R4257" i="1"/>
  <c r="R4311" i="1"/>
  <c r="L4311" i="1"/>
  <c r="L4333" i="1"/>
  <c r="T4333" i="1"/>
  <c r="T4559" i="1"/>
  <c r="L4648" i="1"/>
  <c r="T4648" i="1"/>
  <c r="R4648" i="1"/>
  <c r="T3390" i="1"/>
  <c r="L3390" i="1"/>
  <c r="R3857" i="1"/>
  <c r="L3857" i="1"/>
  <c r="R4343" i="1"/>
  <c r="L4343" i="1"/>
  <c r="T707" i="1"/>
  <c r="L1041" i="1"/>
  <c r="T1041" i="1"/>
  <c r="T1497" i="1"/>
  <c r="L1497" i="1"/>
  <c r="L1833" i="1"/>
  <c r="T1833" i="1"/>
  <c r="R2425" i="1"/>
  <c r="T2483" i="1"/>
  <c r="L1029" i="1"/>
  <c r="L1180" i="1"/>
  <c r="L1215" i="1"/>
  <c r="L1329" i="1"/>
  <c r="L1459" i="1"/>
  <c r="T1459" i="1"/>
  <c r="L1653" i="1"/>
  <c r="L2211" i="1"/>
  <c r="T2529" i="1"/>
  <c r="R2529" i="1"/>
  <c r="L2585" i="1"/>
  <c r="L2667" i="1"/>
  <c r="T2724" i="1"/>
  <c r="R2724" i="1"/>
  <c r="L2983" i="1"/>
  <c r="L2999" i="1"/>
  <c r="R2999" i="1"/>
  <c r="T2999" i="1"/>
  <c r="L3141" i="1"/>
  <c r="L3269" i="1"/>
  <c r="L3387" i="1"/>
  <c r="T3399" i="1"/>
  <c r="R3399" i="1"/>
  <c r="L3524" i="1"/>
  <c r="R3524" i="1"/>
  <c r="T3535" i="1"/>
  <c r="R3535" i="1"/>
  <c r="R3563" i="1"/>
  <c r="L3563" i="1"/>
  <c r="L3578" i="1"/>
  <c r="T3672" i="1"/>
  <c r="R3672" i="1"/>
  <c r="L4065" i="1"/>
  <c r="R4065" i="1"/>
  <c r="T4469" i="1"/>
  <c r="P4475" i="1"/>
  <c r="W4475" i="1"/>
  <c r="P4488" i="1"/>
  <c r="W4488" i="1"/>
  <c r="L4686" i="1"/>
  <c r="L4745" i="1"/>
  <c r="L4131" i="1"/>
  <c r="R4131" i="1"/>
  <c r="L4381" i="1"/>
  <c r="T4381" i="1"/>
  <c r="T4467" i="1"/>
  <c r="T697" i="1"/>
  <c r="L2536" i="1"/>
  <c r="L2645" i="1"/>
  <c r="L2661" i="1"/>
  <c r="L2940" i="1"/>
  <c r="L3130" i="1"/>
  <c r="L3533" i="1"/>
  <c r="L3570" i="1"/>
  <c r="L3599" i="1"/>
  <c r="L4253" i="1"/>
  <c r="T4459" i="1"/>
  <c r="P4459" i="1"/>
  <c r="W4467" i="1"/>
  <c r="R4471" i="1"/>
  <c r="P4493" i="1"/>
  <c r="W4493" i="1"/>
  <c r="L4769" i="1"/>
  <c r="T3582" i="1"/>
  <c r="R3582" i="1"/>
  <c r="T4482" i="1"/>
  <c r="R4769" i="1"/>
  <c r="R2242" i="1"/>
  <c r="T2242" i="1"/>
  <c r="T3320" i="1"/>
  <c r="R4460" i="1"/>
  <c r="L4460" i="1"/>
  <c r="T4941" i="1"/>
  <c r="R4941" i="1"/>
  <c r="P704" i="1"/>
  <c r="L933" i="1"/>
  <c r="L948" i="1"/>
  <c r="L964" i="1"/>
  <c r="T964" i="1"/>
  <c r="L1015" i="1"/>
  <c r="L1042" i="1"/>
  <c r="L1100" i="1"/>
  <c r="T1434" i="1"/>
  <c r="L1434" i="1"/>
  <c r="T1499" i="1"/>
  <c r="L1499" i="1"/>
  <c r="T1601" i="1"/>
  <c r="R1601" i="1"/>
  <c r="L1601" i="1"/>
  <c r="L2103" i="1"/>
  <c r="R2118" i="1"/>
  <c r="L2118" i="1"/>
  <c r="T2118" i="1"/>
  <c r="L2242" i="1"/>
  <c r="T2426" i="1"/>
  <c r="L2426" i="1"/>
  <c r="R2500" i="1"/>
  <c r="T2500" i="1"/>
  <c r="T2520" i="1"/>
  <c r="R2520" i="1"/>
  <c r="L2520" i="1"/>
  <c r="L2644" i="1"/>
  <c r="R2650" i="1"/>
  <c r="R2656" i="1"/>
  <c r="T2656" i="1"/>
  <c r="L2656" i="1"/>
  <c r="T3149" i="1"/>
  <c r="R3149" i="1"/>
  <c r="L3149" i="1"/>
  <c r="L3202" i="1"/>
  <c r="T3202" i="1"/>
  <c r="R3202" i="1"/>
  <c r="T3334" i="1"/>
  <c r="R3339" i="1"/>
  <c r="R3393" i="1"/>
  <c r="T3393" i="1"/>
  <c r="L3393" i="1"/>
  <c r="R3671" i="1"/>
  <c r="T3671" i="1"/>
  <c r="L3671" i="1"/>
  <c r="T3919" i="1"/>
  <c r="R3919" i="1"/>
  <c r="L3919" i="1"/>
  <c r="P4457" i="1"/>
  <c r="W4457" i="1"/>
  <c r="T4457" i="1"/>
  <c r="R4906" i="1"/>
  <c r="L4941" i="1"/>
  <c r="L1992" i="1"/>
  <c r="R1992" i="1"/>
  <c r="T1992" i="1"/>
  <c r="T2263" i="1"/>
  <c r="L2263" i="1"/>
  <c r="R2263" i="1"/>
  <c r="R2777" i="1"/>
  <c r="L2777" i="1"/>
  <c r="T2777" i="1"/>
  <c r="R3172" i="1"/>
  <c r="T3172" i="1"/>
  <c r="L3172" i="1"/>
  <c r="R3422" i="1"/>
  <c r="T3422" i="1"/>
  <c r="R4302" i="1"/>
  <c r="L4302" i="1"/>
  <c r="L4317" i="1"/>
  <c r="T4317" i="1"/>
  <c r="R4317" i="1"/>
  <c r="R4464" i="1"/>
  <c r="W4466" i="1"/>
  <c r="T4466" i="1"/>
  <c r="R1629" i="1"/>
  <c r="T1629" i="1"/>
  <c r="L1629" i="1"/>
  <c r="T1672" i="1"/>
  <c r="R1672" i="1"/>
  <c r="R1799" i="1"/>
  <c r="T1799" i="1"/>
  <c r="R1828" i="1"/>
  <c r="T1828" i="1"/>
  <c r="R1972" i="1"/>
  <c r="T1972" i="1"/>
  <c r="L1972" i="1"/>
  <c r="R2167" i="1"/>
  <c r="T2167" i="1"/>
  <c r="L2167" i="1"/>
  <c r="T2250" i="1"/>
  <c r="R2250" i="1"/>
  <c r="R3565" i="1"/>
  <c r="L3565" i="1"/>
  <c r="T3572" i="1"/>
  <c r="R3572" i="1"/>
  <c r="L3572" i="1"/>
  <c r="L1617" i="1"/>
  <c r="T1617" i="1"/>
  <c r="R1617" i="1"/>
  <c r="L1167" i="1"/>
  <c r="T1167" i="1"/>
  <c r="R1449" i="1"/>
  <c r="T1449" i="1"/>
  <c r="L1449" i="1"/>
  <c r="T1774" i="1"/>
  <c r="L1774" i="1"/>
  <c r="R1774" i="1"/>
  <c r="R1869" i="1"/>
  <c r="T1869" i="1"/>
  <c r="T1930" i="1"/>
  <c r="R1930" i="1"/>
  <c r="L2039" i="1"/>
  <c r="R2039" i="1"/>
  <c r="T2039" i="1"/>
  <c r="T2148" i="1"/>
  <c r="R2148" i="1"/>
  <c r="L2148" i="1"/>
  <c r="R2184" i="1"/>
  <c r="T2184" i="1"/>
  <c r="L2184" i="1"/>
  <c r="L2873" i="1"/>
  <c r="R2873" i="1"/>
  <c r="T2873" i="1"/>
  <c r="R3691" i="1"/>
  <c r="T3691" i="1"/>
  <c r="T3709" i="1"/>
  <c r="R3709" i="1"/>
  <c r="L3709" i="1"/>
  <c r="T3714" i="1"/>
  <c r="R3714" i="1"/>
  <c r="L3714" i="1"/>
  <c r="T4309" i="1"/>
  <c r="R4309" i="1"/>
  <c r="R4312" i="1"/>
  <c r="T4312" i="1"/>
  <c r="L4312" i="1"/>
  <c r="R4462" i="1"/>
  <c r="T4462" i="1"/>
  <c r="L1735" i="1"/>
  <c r="T1735" i="1"/>
  <c r="L977" i="1"/>
  <c r="L1045" i="1"/>
  <c r="T1057" i="1"/>
  <c r="L1330" i="1"/>
  <c r="T1330" i="1"/>
  <c r="R1622" i="1"/>
  <c r="T2123" i="1"/>
  <c r="R2123" i="1"/>
  <c r="L2123" i="1"/>
  <c r="R2255" i="1"/>
  <c r="L2255" i="1"/>
  <c r="T2255" i="1"/>
  <c r="T2766" i="1"/>
  <c r="R2766" i="1"/>
  <c r="L2766" i="1"/>
  <c r="L3032" i="1"/>
  <c r="L3050" i="1"/>
  <c r="T3050" i="1"/>
  <c r="L3168" i="1"/>
  <c r="T3168" i="1"/>
  <c r="R3168" i="1"/>
  <c r="R3279" i="1"/>
  <c r="L3279" i="1"/>
  <c r="T3279" i="1"/>
  <c r="R3395" i="1"/>
  <c r="T3395" i="1"/>
  <c r="L3422" i="1"/>
  <c r="P4464" i="1"/>
  <c r="W4464" i="1"/>
  <c r="T4464" i="1"/>
  <c r="L1062" i="1"/>
  <c r="T1348" i="1"/>
  <c r="L1348" i="1"/>
  <c r="T1610" i="1"/>
  <c r="L1610" i="1"/>
  <c r="R1610" i="1"/>
  <c r="T1622" i="1"/>
  <c r="R1735" i="1"/>
  <c r="L1911" i="1"/>
  <c r="T1911" i="1"/>
  <c r="R1911" i="1"/>
  <c r="L2650" i="1"/>
  <c r="T2662" i="1"/>
  <c r="R2662" i="1"/>
  <c r="L2662" i="1"/>
  <c r="T3042" i="1"/>
  <c r="R3042" i="1"/>
  <c r="L3042" i="1"/>
  <c r="L3154" i="1"/>
  <c r="R3154" i="1"/>
  <c r="T3154" i="1"/>
  <c r="T3303" i="1"/>
  <c r="R3320" i="1"/>
  <c r="L3334" i="1"/>
  <c r="L3339" i="1"/>
  <c r="R3343" i="1"/>
  <c r="L3395" i="1"/>
  <c r="T3634" i="1"/>
  <c r="R3634" i="1"/>
  <c r="L3634" i="1"/>
  <c r="T3680" i="1"/>
  <c r="R3680" i="1"/>
  <c r="L3680" i="1"/>
  <c r="T4302" i="1"/>
  <c r="T4774" i="1"/>
  <c r="R4774" i="1"/>
  <c r="L4774" i="1"/>
  <c r="L4906" i="1"/>
  <c r="L1128" i="1"/>
  <c r="T1128" i="1"/>
  <c r="L2540" i="1"/>
  <c r="T2540" i="1"/>
  <c r="R2540" i="1"/>
  <c r="T2565" i="1"/>
  <c r="L2565" i="1"/>
  <c r="R2565" i="1"/>
  <c r="T2922" i="1"/>
  <c r="R2922" i="1"/>
  <c r="L2922" i="1"/>
  <c r="R3195" i="1"/>
  <c r="T3195" i="1"/>
  <c r="L3195" i="1"/>
  <c r="R3725" i="1"/>
  <c r="T3725" i="1"/>
  <c r="L3853" i="1"/>
  <c r="L3855" i="1"/>
  <c r="L3867" i="1"/>
  <c r="T3867" i="1"/>
  <c r="R3867" i="1"/>
  <c r="L1298" i="1"/>
  <c r="T1298" i="1"/>
  <c r="L1333" i="1"/>
  <c r="T1401" i="1"/>
  <c r="T1407" i="1"/>
  <c r="L1416" i="1"/>
  <c r="T1416" i="1"/>
  <c r="L1515" i="1"/>
  <c r="T1515" i="1"/>
  <c r="T1612" i="1"/>
  <c r="R1612" i="1"/>
  <c r="L1612" i="1"/>
  <c r="T1868" i="1"/>
  <c r="R1868" i="1"/>
  <c r="T1927" i="1"/>
  <c r="R1927" i="1"/>
  <c r="L1942" i="1"/>
  <c r="R1942" i="1"/>
  <c r="R1956" i="1"/>
  <c r="T1956" i="1"/>
  <c r="L1956" i="1"/>
  <c r="T2007" i="1"/>
  <c r="R2091" i="1"/>
  <c r="L2091" i="1"/>
  <c r="T2091" i="1"/>
  <c r="T2290" i="1"/>
  <c r="T2971" i="1"/>
  <c r="R2971" i="1"/>
  <c r="T3184" i="1"/>
  <c r="R3184" i="1"/>
  <c r="R3188" i="1"/>
  <c r="L3514" i="1"/>
  <c r="R3555" i="1"/>
  <c r="T3555" i="1"/>
  <c r="L3555" i="1"/>
  <c r="T3716" i="1"/>
  <c r="R3716" i="1"/>
  <c r="L3725" i="1"/>
  <c r="P3834" i="1"/>
  <c r="W3834" i="1"/>
  <c r="R4474" i="1"/>
  <c r="T4474" i="1"/>
  <c r="W4484" i="1"/>
  <c r="T4484" i="1"/>
  <c r="P4484" i="1"/>
  <c r="L1068" i="1"/>
  <c r="L1083" i="1"/>
  <c r="L1240" i="1"/>
  <c r="T1383" i="1"/>
  <c r="L1383" i="1"/>
  <c r="R1934" i="1"/>
  <c r="T1934" i="1"/>
  <c r="L1934" i="1"/>
  <c r="L3235" i="1"/>
  <c r="T3235" i="1"/>
  <c r="L3343" i="1"/>
  <c r="T3450" i="1"/>
  <c r="L3450" i="1"/>
  <c r="R3450" i="1"/>
  <c r="T3574" i="1"/>
  <c r="R3574" i="1"/>
  <c r="L4462" i="1"/>
  <c r="T4555" i="1"/>
  <c r="L4555" i="1"/>
  <c r="R4555" i="1"/>
  <c r="L707" i="1"/>
  <c r="R1853" i="1"/>
  <c r="T1853" i="1"/>
  <c r="L1853" i="1"/>
  <c r="L1828" i="1"/>
  <c r="T3199" i="1"/>
  <c r="R3199" i="1"/>
  <c r="T1005" i="1"/>
  <c r="L1005" i="1"/>
  <c r="L2013" i="1"/>
  <c r="T2013" i="1"/>
  <c r="R2013" i="1"/>
  <c r="T1565" i="1"/>
  <c r="R1565" i="1"/>
  <c r="T3849" i="1"/>
  <c r="R3849" i="1"/>
  <c r="R3853" i="1"/>
  <c r="R3855" i="1"/>
  <c r="P4476" i="1"/>
  <c r="W4476" i="1"/>
  <c r="T4598" i="1"/>
  <c r="R4598" i="1"/>
  <c r="L4598" i="1"/>
  <c r="T1054" i="1"/>
  <c r="L1122" i="1"/>
  <c r="T1137" i="1"/>
  <c r="L1137" i="1"/>
  <c r="T1581" i="1"/>
  <c r="L1581" i="1"/>
  <c r="T1666" i="1"/>
  <c r="R1666" i="1"/>
  <c r="L1672" i="1"/>
  <c r="L1799" i="1"/>
  <c r="L2250" i="1"/>
  <c r="R3032" i="1"/>
  <c r="R3050" i="1"/>
  <c r="T1529" i="1"/>
  <c r="R1529" i="1"/>
  <c r="T2202" i="1"/>
  <c r="R2202" i="1"/>
  <c r="L2202" i="1"/>
  <c r="R2434" i="1"/>
  <c r="L2434" i="1"/>
  <c r="T2434" i="1"/>
  <c r="L3908" i="1"/>
  <c r="T3908" i="1"/>
  <c r="R3908" i="1"/>
  <c r="R4414" i="1"/>
  <c r="T4414" i="1"/>
  <c r="L4414" i="1"/>
  <c r="L1415" i="1"/>
  <c r="L1529" i="1"/>
  <c r="L2007" i="1"/>
  <c r="R2098" i="1"/>
  <c r="T2098" i="1"/>
  <c r="R2103" i="1"/>
  <c r="R2145" i="1"/>
  <c r="L2145" i="1"/>
  <c r="T2145" i="1"/>
  <c r="T2283" i="1"/>
  <c r="R2283" i="1"/>
  <c r="L2287" i="1"/>
  <c r="T2287" i="1"/>
  <c r="L2290" i="1"/>
  <c r="L2350" i="1"/>
  <c r="T2350" i="1"/>
  <c r="R2350" i="1"/>
  <c r="L2507" i="1"/>
  <c r="T2507" i="1"/>
  <c r="R2507" i="1"/>
  <c r="T2644" i="1"/>
  <c r="T2723" i="1"/>
  <c r="R2723" i="1"/>
  <c r="L2723" i="1"/>
  <c r="T2973" i="1"/>
  <c r="R2973" i="1"/>
  <c r="L3022" i="1"/>
  <c r="R3022" i="1"/>
  <c r="T3022" i="1"/>
  <c r="L3123" i="1"/>
  <c r="T3123" i="1"/>
  <c r="R3123" i="1"/>
  <c r="L3188" i="1"/>
  <c r="R3560" i="1"/>
  <c r="L3560" i="1"/>
  <c r="T3560" i="1"/>
  <c r="R3652" i="1"/>
  <c r="T3652" i="1"/>
  <c r="L3652" i="1"/>
  <c r="L3736" i="1"/>
  <c r="T3736" i="1"/>
  <c r="R3736" i="1"/>
  <c r="R4061" i="1"/>
  <c r="T4061" i="1"/>
  <c r="L4061" i="1"/>
  <c r="L659" i="1"/>
  <c r="T659" i="1"/>
  <c r="L702" i="1"/>
  <c r="T1496" i="1"/>
  <c r="L1496" i="1"/>
  <c r="L1523" i="1"/>
  <c r="T2003" i="1"/>
  <c r="R2003" i="1"/>
  <c r="R2501" i="1"/>
  <c r="T2501" i="1"/>
  <c r="L2501" i="1"/>
  <c r="T1284" i="1"/>
  <c r="L1284" i="1"/>
  <c r="L1343" i="1"/>
  <c r="T1343" i="1"/>
  <c r="T2284" i="1"/>
  <c r="R2284" i="1"/>
  <c r="R2306" i="1"/>
  <c r="L2306" i="1"/>
  <c r="T2306" i="1"/>
  <c r="T2909" i="1"/>
  <c r="R2909" i="1"/>
  <c r="L2909" i="1"/>
  <c r="R3426" i="1"/>
  <c r="T3426" i="1"/>
  <c r="R3497" i="1"/>
  <c r="T3497" i="1"/>
  <c r="L3497" i="1"/>
  <c r="T3519" i="1"/>
  <c r="R3519" i="1"/>
  <c r="L3519" i="1"/>
  <c r="T699" i="1"/>
  <c r="T706" i="1"/>
  <c r="L706" i="1"/>
  <c r="L1013" i="1"/>
  <c r="L1254" i="1"/>
  <c r="L1260" i="1"/>
  <c r="T1339" i="1"/>
  <c r="L1339" i="1"/>
  <c r="L1382" i="1"/>
  <c r="L1387" i="1"/>
  <c r="L1455" i="1"/>
  <c r="T1455" i="1"/>
  <c r="R1515" i="1"/>
  <c r="R1676" i="1"/>
  <c r="T1676" i="1"/>
  <c r="L1699" i="1"/>
  <c r="L1768" i="1"/>
  <c r="L1875" i="1"/>
  <c r="T1875" i="1"/>
  <c r="L1933" i="1"/>
  <c r="T1933" i="1"/>
  <c r="R1933" i="1"/>
  <c r="T1942" i="1"/>
  <c r="T2000" i="1"/>
  <c r="R2000" i="1"/>
  <c r="L2004" i="1"/>
  <c r="T2004" i="1"/>
  <c r="R2004" i="1"/>
  <c r="L2082" i="1"/>
  <c r="T2082" i="1"/>
  <c r="R2082" i="1"/>
  <c r="L2284" i="1"/>
  <c r="T2478" i="1"/>
  <c r="R2478" i="1"/>
  <c r="L2478" i="1"/>
  <c r="L2770" i="1"/>
  <c r="R2770" i="1"/>
  <c r="R2918" i="1"/>
  <c r="T2918" i="1"/>
  <c r="L2918" i="1"/>
  <c r="T2951" i="1"/>
  <c r="L2951" i="1"/>
  <c r="R2951" i="1"/>
  <c r="L3426" i="1"/>
  <c r="L3494" i="1"/>
  <c r="T3494" i="1"/>
  <c r="R3514" i="1"/>
  <c r="T3548" i="1"/>
  <c r="R3548" i="1"/>
  <c r="L3548" i="1"/>
  <c r="L3849" i="1"/>
  <c r="L3864" i="1"/>
  <c r="R3864" i="1"/>
  <c r="T3864" i="1"/>
  <c r="P4466" i="1"/>
  <c r="T4476" i="1"/>
  <c r="R2373" i="1"/>
  <c r="L2373" i="1"/>
  <c r="T2373" i="1"/>
  <c r="T2541" i="1"/>
  <c r="L2541" i="1"/>
  <c r="L2639" i="1"/>
  <c r="T2639" i="1"/>
  <c r="T2844" i="1"/>
  <c r="R2844" i="1"/>
  <c r="R2850" i="1"/>
  <c r="T2850" i="1"/>
  <c r="L2850" i="1"/>
  <c r="L2891" i="1"/>
  <c r="R2891" i="1"/>
  <c r="L3002" i="1"/>
  <c r="R3002" i="1"/>
  <c r="R3075" i="1"/>
  <c r="L3075" i="1"/>
  <c r="T3075" i="1"/>
  <c r="T3275" i="1"/>
  <c r="W3275" i="1"/>
  <c r="T3287" i="1"/>
  <c r="R3287" i="1"/>
  <c r="T3460" i="1"/>
  <c r="R3460" i="1"/>
  <c r="L3460" i="1"/>
  <c r="R3706" i="1"/>
  <c r="T3706" i="1"/>
  <c r="L3706" i="1"/>
  <c r="T4012" i="1"/>
  <c r="R4012" i="1"/>
  <c r="T4045" i="1"/>
  <c r="R4045" i="1"/>
  <c r="R4522" i="1"/>
  <c r="L4522" i="1"/>
  <c r="R4575" i="1"/>
  <c r="T4575" i="1"/>
  <c r="T4904" i="1"/>
  <c r="R4904" i="1"/>
  <c r="L1155" i="1"/>
  <c r="T1155" i="1"/>
  <c r="L1232" i="1"/>
  <c r="T1232" i="1"/>
  <c r="L1473" i="1"/>
  <c r="T1473" i="1"/>
  <c r="R1473" i="1"/>
  <c r="R1531" i="1"/>
  <c r="L1531" i="1"/>
  <c r="T1531" i="1"/>
  <c r="T1585" i="1"/>
  <c r="L1585" i="1"/>
  <c r="R1585" i="1"/>
  <c r="L1673" i="1"/>
  <c r="R1673" i="1"/>
  <c r="L1800" i="1"/>
  <c r="T1800" i="1"/>
  <c r="R1800" i="1"/>
  <c r="T1917" i="1"/>
  <c r="R1917" i="1"/>
  <c r="L1917" i="1"/>
  <c r="T1966" i="1"/>
  <c r="R1966" i="1"/>
  <c r="T2115" i="1"/>
  <c r="L2115" i="1"/>
  <c r="R2115" i="1"/>
  <c r="L2196" i="1"/>
  <c r="T2196" i="1"/>
  <c r="L2352" i="1"/>
  <c r="R2352" i="1"/>
  <c r="T2352" i="1"/>
  <c r="T2517" i="1"/>
  <c r="R2517" i="1"/>
  <c r="R2571" i="1"/>
  <c r="T2571" i="1"/>
  <c r="L2571" i="1"/>
  <c r="R2729" i="1"/>
  <c r="T2729" i="1"/>
  <c r="L2822" i="1"/>
  <c r="T2822" i="1"/>
  <c r="R2822" i="1"/>
  <c r="L2844" i="1"/>
  <c r="R2874" i="1"/>
  <c r="T2874" i="1"/>
  <c r="R3052" i="1"/>
  <c r="T3052" i="1"/>
  <c r="T3114" i="1"/>
  <c r="R3114" i="1"/>
  <c r="W3174" i="1"/>
  <c r="R3273" i="1"/>
  <c r="L3273" i="1"/>
  <c r="L3287" i="1"/>
  <c r="T3307" i="1"/>
  <c r="R3307" i="1"/>
  <c r="L3307" i="1"/>
  <c r="R3386" i="1"/>
  <c r="T3386" i="1"/>
  <c r="R3403" i="1"/>
  <c r="T3403" i="1"/>
  <c r="L3403" i="1"/>
  <c r="R3530" i="1"/>
  <c r="L3530" i="1"/>
  <c r="L3544" i="1"/>
  <c r="R3628" i="1"/>
  <c r="T3628" i="1"/>
  <c r="L3628" i="1"/>
  <c r="T3782" i="1"/>
  <c r="R3782" i="1"/>
  <c r="T3788" i="1"/>
  <c r="R3788" i="1"/>
  <c r="T3942" i="1"/>
  <c r="L3942" i="1"/>
  <c r="L4012" i="1"/>
  <c r="L4045" i="1"/>
  <c r="L4394" i="1"/>
  <c r="T4394" i="1"/>
  <c r="R4424" i="1"/>
  <c r="L4424" i="1"/>
  <c r="T4424" i="1"/>
  <c r="W4539" i="1"/>
  <c r="P4539" i="1"/>
  <c r="T4560" i="1"/>
  <c r="R4560" i="1"/>
  <c r="L4560" i="1"/>
  <c r="L4575" i="1"/>
  <c r="T4762" i="1"/>
  <c r="R4762" i="1"/>
  <c r="L4762" i="1"/>
  <c r="R4836" i="1"/>
  <c r="T4836" i="1"/>
  <c r="T4840" i="1"/>
  <c r="L4840" i="1"/>
  <c r="R4840" i="1"/>
  <c r="T4895" i="1"/>
  <c r="L4895" i="1"/>
  <c r="R4895" i="1"/>
  <c r="L4904" i="1"/>
  <c r="T1117" i="1"/>
  <c r="L1117" i="1"/>
  <c r="T1443" i="1"/>
  <c r="L1443" i="1"/>
  <c r="T1780" i="1"/>
  <c r="R1780" i="1"/>
  <c r="T1829" i="1"/>
  <c r="R1829" i="1"/>
  <c r="L1829" i="1"/>
  <c r="R1912" i="1"/>
  <c r="T1912" i="1"/>
  <c r="L1912" i="1"/>
  <c r="L2019" i="1"/>
  <c r="T2019" i="1"/>
  <c r="R2019" i="1"/>
  <c r="R2050" i="1"/>
  <c r="L2050" i="1"/>
  <c r="L2219" i="1"/>
  <c r="T2219" i="1"/>
  <c r="T2270" i="1"/>
  <c r="L2270" i="1"/>
  <c r="R2270" i="1"/>
  <c r="L2524" i="1"/>
  <c r="T2524" i="1"/>
  <c r="R2541" i="1"/>
  <c r="T2608" i="1"/>
  <c r="R2608" i="1"/>
  <c r="L2608" i="1"/>
  <c r="R2639" i="1"/>
  <c r="T2891" i="1"/>
  <c r="L2902" i="1"/>
  <c r="T2902" i="1"/>
  <c r="R2902" i="1"/>
  <c r="T2962" i="1"/>
  <c r="R2962" i="1"/>
  <c r="L2962" i="1"/>
  <c r="T3002" i="1"/>
  <c r="R3009" i="1"/>
  <c r="L3009" i="1"/>
  <c r="T3009" i="1"/>
  <c r="L3070" i="1"/>
  <c r="R3070" i="1"/>
  <c r="T3070" i="1"/>
  <c r="T3209" i="1"/>
  <c r="R3209" i="1"/>
  <c r="R3224" i="1"/>
  <c r="T3224" i="1"/>
  <c r="R3561" i="1"/>
  <c r="L3561" i="1"/>
  <c r="T3561" i="1"/>
  <c r="L3782" i="1"/>
  <c r="L3788" i="1"/>
  <c r="L4002" i="1"/>
  <c r="R4059" i="1"/>
  <c r="T4059" i="1"/>
  <c r="L4059" i="1"/>
  <c r="R4386" i="1"/>
  <c r="T4386" i="1"/>
  <c r="R4397" i="1"/>
  <c r="T4397" i="1"/>
  <c r="L4397" i="1"/>
  <c r="W4519" i="1"/>
  <c r="P4519" i="1"/>
  <c r="T4519" i="1"/>
  <c r="T4539" i="1"/>
  <c r="T4826" i="1"/>
  <c r="R4826" i="1"/>
  <c r="T4829" i="1"/>
  <c r="R4829" i="1"/>
  <c r="T2734" i="1"/>
  <c r="L2734" i="1"/>
  <c r="L824" i="1"/>
  <c r="T824" i="1"/>
  <c r="T1006" i="1"/>
  <c r="L1006" i="1"/>
  <c r="L1138" i="1"/>
  <c r="T1138" i="1"/>
  <c r="T1332" i="1"/>
  <c r="L1332" i="1"/>
  <c r="L1371" i="1"/>
  <c r="T1371" i="1"/>
  <c r="T1513" i="1"/>
  <c r="R1513" i="1"/>
  <c r="L1513" i="1"/>
  <c r="R1561" i="1"/>
  <c r="L1561" i="1"/>
  <c r="T1561" i="1"/>
  <c r="R1664" i="1"/>
  <c r="T1664" i="1"/>
  <c r="L1664" i="1"/>
  <c r="T1698" i="1"/>
  <c r="R1698" i="1"/>
  <c r="L1698" i="1"/>
  <c r="T1796" i="1"/>
  <c r="R1796" i="1"/>
  <c r="L1796" i="1"/>
  <c r="T2092" i="1"/>
  <c r="R2092" i="1"/>
  <c r="L2092" i="1"/>
  <c r="R2140" i="1"/>
  <c r="L2140" i="1"/>
  <c r="T2159" i="1"/>
  <c r="L2159" i="1"/>
  <c r="R2159" i="1"/>
  <c r="T2353" i="1"/>
  <c r="L2353" i="1"/>
  <c r="L2674" i="1"/>
  <c r="R2674" i="1"/>
  <c r="T2752" i="1"/>
  <c r="R2752" i="1"/>
  <c r="L2752" i="1"/>
  <c r="T2834" i="1"/>
  <c r="L2834" i="1"/>
  <c r="T3060" i="1"/>
  <c r="L3060" i="1"/>
  <c r="L3150" i="1"/>
  <c r="T3150" i="1"/>
  <c r="L3209" i="1"/>
  <c r="L3224" i="1"/>
  <c r="L3278" i="1"/>
  <c r="R3278" i="1"/>
  <c r="T3278" i="1"/>
  <c r="L3352" i="1"/>
  <c r="T3361" i="1"/>
  <c r="R3361" i="1"/>
  <c r="R3544" i="1"/>
  <c r="T3586" i="1"/>
  <c r="R3586" i="1"/>
  <c r="R3611" i="1"/>
  <c r="L3611" i="1"/>
  <c r="R3942" i="1"/>
  <c r="T4010" i="1"/>
  <c r="R4010" i="1"/>
  <c r="L4010" i="1"/>
  <c r="L4826" i="1"/>
  <c r="L4829" i="1"/>
  <c r="L1302" i="1"/>
  <c r="T1302" i="1"/>
  <c r="T1489" i="1"/>
  <c r="R1489" i="1"/>
  <c r="T1558" i="1"/>
  <c r="R1558" i="1"/>
  <c r="L1558" i="1"/>
  <c r="L1906" i="1"/>
  <c r="R1906" i="1"/>
  <c r="T2349" i="1"/>
  <c r="R2349" i="1"/>
  <c r="L2398" i="1"/>
  <c r="R2398" i="1"/>
  <c r="T2398" i="1"/>
  <c r="L2465" i="1"/>
  <c r="R2465" i="1"/>
  <c r="R2519" i="1"/>
  <c r="T2519" i="1"/>
  <c r="T2580" i="1"/>
  <c r="P2580" i="1"/>
  <c r="T2631" i="1"/>
  <c r="R2631" i="1"/>
  <c r="L2631" i="1"/>
  <c r="R2785" i="1"/>
  <c r="T2785" i="1"/>
  <c r="R2903" i="1"/>
  <c r="L2903" i="1"/>
  <c r="T2903" i="1"/>
  <c r="T3065" i="1"/>
  <c r="R3065" i="1"/>
  <c r="L3065" i="1"/>
  <c r="T3081" i="1"/>
  <c r="R3081" i="1"/>
  <c r="L3081" i="1"/>
  <c r="L3158" i="1"/>
  <c r="R3158" i="1"/>
  <c r="T3158" i="1"/>
  <c r="L3374" i="1"/>
  <c r="T3374" i="1"/>
  <c r="R3374" i="1"/>
  <c r="R3756" i="1"/>
  <c r="T3756" i="1"/>
  <c r="R3775" i="1"/>
  <c r="L3775" i="1"/>
  <c r="T3775" i="1"/>
  <c r="T3820" i="1"/>
  <c r="R3820" i="1"/>
  <c r="L3820" i="1"/>
  <c r="T4205" i="1"/>
  <c r="R4205" i="1"/>
  <c r="L4479" i="1"/>
  <c r="R4479" i="1"/>
  <c r="W4489" i="1"/>
  <c r="P4489" i="1"/>
  <c r="R4863" i="1"/>
  <c r="T4863" i="1"/>
  <c r="L4863" i="1"/>
  <c r="T1624" i="1"/>
  <c r="R1624" i="1"/>
  <c r="T1876" i="1"/>
  <c r="R1876" i="1"/>
  <c r="T1925" i="1"/>
  <c r="R1925" i="1"/>
  <c r="T2143" i="1"/>
  <c r="L2143" i="1"/>
  <c r="L2178" i="1"/>
  <c r="T2178" i="1"/>
  <c r="R2322" i="1"/>
  <c r="T2322" i="1"/>
  <c r="L2322" i="1"/>
  <c r="T2457" i="1"/>
  <c r="R2457" i="1"/>
  <c r="R2494" i="1"/>
  <c r="L2494" i="1"/>
  <c r="T2525" i="1"/>
  <c r="R2525" i="1"/>
  <c r="L2525" i="1"/>
  <c r="L2665" i="1"/>
  <c r="R2665" i="1"/>
  <c r="T2691" i="1"/>
  <c r="R2691" i="1"/>
  <c r="L2704" i="1"/>
  <c r="T2704" i="1"/>
  <c r="R2704" i="1"/>
  <c r="W3239" i="1"/>
  <c r="P3239" i="1"/>
  <c r="R3268" i="1"/>
  <c r="T3268" i="1"/>
  <c r="L3384" i="1"/>
  <c r="T3384" i="1"/>
  <c r="R3418" i="1"/>
  <c r="T3418" i="1"/>
  <c r="L3418" i="1"/>
  <c r="T3531" i="1"/>
  <c r="R3531" i="1"/>
  <c r="R3553" i="1"/>
  <c r="L3553" i="1"/>
  <c r="R3600" i="1"/>
  <c r="L3600" i="1"/>
  <c r="R3667" i="1"/>
  <c r="T3667" i="1"/>
  <c r="T4142" i="1"/>
  <c r="R4142" i="1"/>
  <c r="L4142" i="1"/>
  <c r="R4310" i="1"/>
  <c r="T4310" i="1"/>
  <c r="L4310" i="1"/>
  <c r="R4314" i="1"/>
  <c r="L4314" i="1"/>
  <c r="T4314" i="1"/>
  <c r="T4366" i="1"/>
  <c r="R4366" i="1"/>
  <c r="L4366" i="1"/>
  <c r="L4392" i="1"/>
  <c r="T4392" i="1"/>
  <c r="R4392" i="1"/>
  <c r="L4401" i="1"/>
  <c r="T4401" i="1"/>
  <c r="R4412" i="1"/>
  <c r="T4412" i="1"/>
  <c r="L4412" i="1"/>
  <c r="R4470" i="1"/>
  <c r="T4470" i="1"/>
  <c r="R4032" i="1"/>
  <c r="L4032" i="1"/>
  <c r="T4398" i="1"/>
  <c r="R4398" i="1"/>
  <c r="T4439" i="1"/>
  <c r="R4439" i="1"/>
  <c r="R4660" i="1"/>
  <c r="T4660" i="1"/>
  <c r="T2175" i="1"/>
  <c r="R2175" i="1"/>
  <c r="L2285" i="1"/>
  <c r="R2285" i="1"/>
  <c r="L3145" i="1"/>
  <c r="R3145" i="1"/>
  <c r="T3145" i="1"/>
  <c r="T3448" i="1"/>
  <c r="R3448" i="1"/>
  <c r="T3600" i="1"/>
  <c r="T1409" i="1"/>
  <c r="L1409" i="1"/>
  <c r="L1613" i="1"/>
  <c r="L1675" i="1"/>
  <c r="L1713" i="1"/>
  <c r="L1784" i="1"/>
  <c r="T1809" i="1"/>
  <c r="R1809" i="1"/>
  <c r="T1897" i="1"/>
  <c r="L1907" i="1"/>
  <c r="L2175" i="1"/>
  <c r="T2408" i="1"/>
  <c r="L2535" i="1"/>
  <c r="L2611" i="1"/>
  <c r="R2636" i="1"/>
  <c r="T2651" i="1"/>
  <c r="R3026" i="1"/>
  <c r="T3061" i="1"/>
  <c r="R3061" i="1"/>
  <c r="T3103" i="1"/>
  <c r="T3493" i="1"/>
  <c r="R3493" i="1"/>
  <c r="T3933" i="1"/>
  <c r="R3933" i="1"/>
  <c r="T3951" i="1"/>
  <c r="R3951" i="1"/>
  <c r="L3951" i="1"/>
  <c r="T102" i="1"/>
  <c r="P705" i="1"/>
  <c r="L913" i="1"/>
  <c r="L1004" i="1"/>
  <c r="T1019" i="1"/>
  <c r="L1028" i="1"/>
  <c r="L1036" i="1"/>
  <c r="P1097" i="1"/>
  <c r="L1211" i="1"/>
  <c r="L1216" i="1"/>
  <c r="L1250" i="1"/>
  <c r="L1304" i="1"/>
  <c r="L1315" i="1"/>
  <c r="L1331" i="1"/>
  <c r="T1350" i="1"/>
  <c r="L1350" i="1"/>
  <c r="L1391" i="1"/>
  <c r="L1439" i="1"/>
  <c r="L1519" i="1"/>
  <c r="T1546" i="1"/>
  <c r="R1602" i="1"/>
  <c r="T1602" i="1"/>
  <c r="L1630" i="1"/>
  <c r="L1697" i="1"/>
  <c r="T1708" i="1"/>
  <c r="R1708" i="1"/>
  <c r="R1731" i="1"/>
  <c r="T1776" i="1"/>
  <c r="L1797" i="1"/>
  <c r="T1797" i="1"/>
  <c r="R1797" i="1"/>
  <c r="L1809" i="1"/>
  <c r="L1846" i="1"/>
  <c r="L1946" i="1"/>
  <c r="T1946" i="1"/>
  <c r="L1957" i="1"/>
  <c r="T1957" i="1"/>
  <c r="R1957" i="1"/>
  <c r="L1996" i="1"/>
  <c r="L2009" i="1"/>
  <c r="L2017" i="1"/>
  <c r="L2265" i="1"/>
  <c r="T2285" i="1"/>
  <c r="R2370" i="1"/>
  <c r="T2382" i="1"/>
  <c r="L2495" i="1"/>
  <c r="R2637" i="1"/>
  <c r="T2637" i="1"/>
  <c r="L2637" i="1"/>
  <c r="L2778" i="1"/>
  <c r="L2877" i="1"/>
  <c r="T2877" i="1"/>
  <c r="R2877" i="1"/>
  <c r="T2923" i="1"/>
  <c r="R2923" i="1"/>
  <c r="L3020" i="1"/>
  <c r="T3020" i="1"/>
  <c r="L3051" i="1"/>
  <c r="L3061" i="1"/>
  <c r="L3091" i="1"/>
  <c r="L3112" i="1"/>
  <c r="T3112" i="1"/>
  <c r="R3112" i="1"/>
  <c r="R3203" i="1"/>
  <c r="L3465" i="1"/>
  <c r="L3469" i="1"/>
  <c r="L3473" i="1"/>
  <c r="L3477" i="1"/>
  <c r="L3493" i="1"/>
  <c r="T3505" i="1"/>
  <c r="L3529" i="1"/>
  <c r="T3529" i="1"/>
  <c r="W3833" i="1"/>
  <c r="P3833" i="1"/>
  <c r="L3838" i="1"/>
  <c r="T3838" i="1"/>
  <c r="R3838" i="1"/>
  <c r="L3933" i="1"/>
  <c r="L4037" i="1"/>
  <c r="T4037" i="1"/>
  <c r="R4037" i="1"/>
  <c r="R4051" i="1"/>
  <c r="T4051" i="1"/>
  <c r="L4051" i="1"/>
  <c r="T4067" i="1"/>
  <c r="L4070" i="1"/>
  <c r="T4070" i="1"/>
  <c r="R4070" i="1"/>
  <c r="R4176" i="1"/>
  <c r="T4176" i="1"/>
  <c r="L4176" i="1"/>
  <c r="R4420" i="1"/>
  <c r="T4420" i="1"/>
  <c r="L4420" i="1"/>
  <c r="T4508" i="1"/>
  <c r="R4508" i="1"/>
  <c r="L4613" i="1"/>
  <c r="L4615" i="1"/>
  <c r="L3989" i="1"/>
  <c r="R3989" i="1"/>
  <c r="T3989" i="1"/>
  <c r="L4118" i="1"/>
  <c r="T4118" i="1"/>
  <c r="R4118" i="1"/>
  <c r="R4180" i="1"/>
  <c r="T4180" i="1"/>
  <c r="L4279" i="1"/>
  <c r="T4279" i="1"/>
  <c r="R4279" i="1"/>
  <c r="W4848" i="1"/>
  <c r="L4848" i="1"/>
  <c r="T1408" i="1"/>
  <c r="T1553" i="1"/>
  <c r="R1553" i="1"/>
  <c r="T1822" i="1"/>
  <c r="L1822" i="1"/>
  <c r="R1961" i="1"/>
  <c r="T1961" i="1"/>
  <c r="L1961" i="1"/>
  <c r="T2001" i="1"/>
  <c r="R2001" i="1"/>
  <c r="T2137" i="1"/>
  <c r="R2137" i="1"/>
  <c r="R2178" i="1"/>
  <c r="T2467" i="1"/>
  <c r="R2467" i="1"/>
  <c r="T2665" i="1"/>
  <c r="T2928" i="1"/>
  <c r="R2928" i="1"/>
  <c r="R3384" i="1"/>
  <c r="T3553" i="1"/>
  <c r="L4180" i="1"/>
  <c r="T4199" i="1"/>
  <c r="R4199" i="1"/>
  <c r="L4334" i="1"/>
  <c r="R4334" i="1"/>
  <c r="T4334" i="1"/>
  <c r="L4398" i="1"/>
  <c r="R4401" i="1"/>
  <c r="L4439" i="1"/>
  <c r="L4660" i="1"/>
  <c r="L4815" i="1"/>
  <c r="L534" i="1"/>
  <c r="L855" i="1"/>
  <c r="L1207" i="1"/>
  <c r="L1261" i="1"/>
  <c r="T1261" i="1"/>
  <c r="L1319" i="1"/>
  <c r="L1356" i="1"/>
  <c r="R1356" i="1"/>
  <c r="L1468" i="1"/>
  <c r="R1605" i="1"/>
  <c r="R1643" i="1"/>
  <c r="L1803" i="1"/>
  <c r="L1904" i="1"/>
  <c r="T2025" i="1"/>
  <c r="R2025" i="1"/>
  <c r="R2051" i="1"/>
  <c r="R2179" i="1"/>
  <c r="L2179" i="1"/>
  <c r="L2467" i="1"/>
  <c r="L2502" i="1"/>
  <c r="R2502" i="1"/>
  <c r="T2521" i="1"/>
  <c r="R2521" i="1"/>
  <c r="R2645" i="1"/>
  <c r="L2738" i="1"/>
  <c r="T2738" i="1"/>
  <c r="R2763" i="1"/>
  <c r="R2955" i="1"/>
  <c r="L3109" i="1"/>
  <c r="L3288" i="1"/>
  <c r="T3404" i="1"/>
  <c r="R3404" i="1"/>
  <c r="L3404" i="1"/>
  <c r="L3448" i="1"/>
  <c r="T3501" i="1"/>
  <c r="R3501" i="1"/>
  <c r="T3566" i="1"/>
  <c r="T3653" i="1"/>
  <c r="R3653" i="1"/>
  <c r="L3653" i="1"/>
  <c r="R3762" i="1"/>
  <c r="L3762" i="1"/>
  <c r="R3807" i="1"/>
  <c r="T3807" i="1"/>
  <c r="L3807" i="1"/>
  <c r="L4199" i="1"/>
  <c r="L4318" i="1"/>
  <c r="L4344" i="1"/>
  <c r="R4344" i="1"/>
  <c r="T4344" i="1"/>
  <c r="L4388" i="1"/>
  <c r="T4388" i="1"/>
  <c r="R4388" i="1"/>
  <c r="W4687" i="1"/>
  <c r="L4687" i="1"/>
  <c r="T660" i="1"/>
  <c r="L660" i="1"/>
  <c r="T943" i="1"/>
  <c r="T1267" i="1"/>
  <c r="T1356" i="1"/>
  <c r="T1468" i="1"/>
  <c r="T1508" i="1"/>
  <c r="R1519" i="1"/>
  <c r="R1613" i="1"/>
  <c r="R1675" i="1"/>
  <c r="T1713" i="1"/>
  <c r="R1726" i="1"/>
  <c r="T1731" i="1"/>
  <c r="R1784" i="1"/>
  <c r="R1803" i="1"/>
  <c r="T1819" i="1"/>
  <c r="R1904" i="1"/>
  <c r="R1907" i="1"/>
  <c r="R1938" i="1"/>
  <c r="T1938" i="1"/>
  <c r="R2102" i="1"/>
  <c r="L2102" i="1"/>
  <c r="T2116" i="1"/>
  <c r="R2116" i="1"/>
  <c r="R2138" i="1"/>
  <c r="T2138" i="1"/>
  <c r="R2176" i="1"/>
  <c r="L2176" i="1"/>
  <c r="T2179" i="1"/>
  <c r="R2223" i="1"/>
  <c r="L2223" i="1"/>
  <c r="T2920" i="1"/>
  <c r="R2920" i="1"/>
  <c r="L2923" i="1"/>
  <c r="T3054" i="1"/>
  <c r="R3054" i="1"/>
  <c r="T3066" i="1"/>
  <c r="R3066" i="1"/>
  <c r="R3109" i="1"/>
  <c r="T3203" i="1"/>
  <c r="L3208" i="1"/>
  <c r="T3208" i="1"/>
  <c r="R3208" i="1"/>
  <c r="R3288" i="1"/>
  <c r="R3496" i="1"/>
  <c r="R3559" i="1"/>
  <c r="L3559" i="1"/>
  <c r="T3762" i="1"/>
  <c r="T3790" i="1"/>
  <c r="R3790" i="1"/>
  <c r="T3829" i="1"/>
  <c r="T3833" i="1"/>
  <c r="L3871" i="1"/>
  <c r="T3871" i="1"/>
  <c r="R3881" i="1"/>
  <c r="L3899" i="1"/>
  <c r="T3929" i="1"/>
  <c r="R3929" i="1"/>
  <c r="L4113" i="1"/>
  <c r="T4113" i="1"/>
  <c r="L4120" i="1"/>
  <c r="T4120" i="1"/>
  <c r="R4136" i="1"/>
  <c r="L4190" i="1"/>
  <c r="T4190" i="1"/>
  <c r="R4190" i="1"/>
  <c r="R4315" i="1"/>
  <c r="R4318" i="1"/>
  <c r="R4399" i="1"/>
  <c r="L4399" i="1"/>
  <c r="T4399" i="1"/>
  <c r="T4440" i="1"/>
  <c r="L4440" i="1"/>
  <c r="R4440" i="1"/>
  <c r="R4486" i="1"/>
  <c r="L4486" i="1"/>
  <c r="L4508" i="1"/>
  <c r="T4521" i="1"/>
  <c r="P4521" i="1"/>
  <c r="P4538" i="1"/>
  <c r="W4538" i="1"/>
  <c r="T4588" i="1"/>
  <c r="R4588" i="1"/>
  <c r="T4649" i="1"/>
  <c r="T4675" i="1"/>
  <c r="R4675" i="1"/>
  <c r="T1159" i="1"/>
  <c r="R1159" i="1"/>
  <c r="L2109" i="1"/>
  <c r="R2109" i="1"/>
  <c r="R2143" i="1"/>
  <c r="T2494" i="1"/>
  <c r="T3285" i="1"/>
  <c r="R3285" i="1"/>
  <c r="T3510" i="1"/>
  <c r="R3510" i="1"/>
  <c r="T3649" i="1"/>
  <c r="R3649" i="1"/>
  <c r="L697" i="1"/>
  <c r="L1059" i="1"/>
  <c r="L1457" i="1"/>
  <c r="L1553" i="1"/>
  <c r="R1618" i="1"/>
  <c r="T1618" i="1"/>
  <c r="T1721" i="1"/>
  <c r="R1721" i="1"/>
  <c r="T1756" i="1"/>
  <c r="L1819" i="1"/>
  <c r="T2162" i="1"/>
  <c r="R2162" i="1"/>
  <c r="T2185" i="1"/>
  <c r="R2185" i="1"/>
  <c r="T2291" i="1"/>
  <c r="T2657" i="1"/>
  <c r="L2657" i="1"/>
  <c r="R2657" i="1"/>
  <c r="T2672" i="1"/>
  <c r="L2672" i="1"/>
  <c r="T3164" i="1"/>
  <c r="R3164" i="1"/>
  <c r="L3164" i="1"/>
  <c r="R3570" i="1"/>
  <c r="R3643" i="1"/>
  <c r="T3643" i="1"/>
  <c r="R3941" i="1"/>
  <c r="T3941" i="1"/>
  <c r="T4032" i="1"/>
  <c r="R4067" i="1"/>
  <c r="L4171" i="1"/>
  <c r="R4171" i="1"/>
  <c r="L4649" i="1"/>
  <c r="T2370" i="1"/>
  <c r="R2397" i="1"/>
  <c r="L2455" i="1"/>
  <c r="T2455" i="1"/>
  <c r="T2502" i="1"/>
  <c r="R2535" i="1"/>
  <c r="T2561" i="1"/>
  <c r="R2561" i="1"/>
  <c r="L2561" i="1"/>
  <c r="R2607" i="1"/>
  <c r="R2611" i="1"/>
  <c r="R2672" i="1"/>
  <c r="R2738" i="1"/>
  <c r="T700" i="1"/>
  <c r="L897" i="1"/>
  <c r="L1020" i="1"/>
  <c r="L1050" i="1"/>
  <c r="L1133" i="1"/>
  <c r="L1236" i="1"/>
  <c r="T1236" i="1"/>
  <c r="L1454" i="1"/>
  <c r="L1458" i="1"/>
  <c r="T1542" i="1"/>
  <c r="L1542" i="1"/>
  <c r="T1630" i="1"/>
  <c r="L1688" i="1"/>
  <c r="T1697" i="1"/>
  <c r="T1726" i="1"/>
  <c r="L1792" i="1"/>
  <c r="R1792" i="1"/>
  <c r="T1798" i="1"/>
  <c r="R1798" i="1"/>
  <c r="L1801" i="1"/>
  <c r="R1846" i="1"/>
  <c r="L1932" i="1"/>
  <c r="T1932" i="1"/>
  <c r="L1938" i="1"/>
  <c r="R1946" i="1"/>
  <c r="R1965" i="1"/>
  <c r="L1965" i="1"/>
  <c r="R1968" i="1"/>
  <c r="T1983" i="1"/>
  <c r="R1983" i="1"/>
  <c r="R1996" i="1"/>
  <c r="L2116" i="1"/>
  <c r="L2138" i="1"/>
  <c r="R2163" i="1"/>
  <c r="T2163" i="1"/>
  <c r="L2163" i="1"/>
  <c r="L2207" i="1"/>
  <c r="T2265" i="1"/>
  <c r="T2397" i="1"/>
  <c r="T2495" i="1"/>
  <c r="L2522" i="1"/>
  <c r="R2522" i="1"/>
  <c r="R2539" i="1"/>
  <c r="L2539" i="1"/>
  <c r="T2556" i="1"/>
  <c r="L2556" i="1"/>
  <c r="T2607" i="1"/>
  <c r="T2612" i="1"/>
  <c r="R2612" i="1"/>
  <c r="L2612" i="1"/>
  <c r="T2778" i="1"/>
  <c r="L2821" i="1"/>
  <c r="T2883" i="1"/>
  <c r="R2883" i="1"/>
  <c r="L2914" i="1"/>
  <c r="L2920" i="1"/>
  <c r="R3020" i="1"/>
  <c r="R3051" i="1"/>
  <c r="L3054" i="1"/>
  <c r="L3066" i="1"/>
  <c r="L3076" i="1"/>
  <c r="T3076" i="1"/>
  <c r="R3091" i="1"/>
  <c r="R3113" i="1"/>
  <c r="L3113" i="1"/>
  <c r="T3119" i="1"/>
  <c r="L3119" i="1"/>
  <c r="L3201" i="1"/>
  <c r="T3218" i="1"/>
  <c r="R3218" i="1"/>
  <c r="L3280" i="1"/>
  <c r="T3280" i="1"/>
  <c r="L3283" i="1"/>
  <c r="T3283" i="1"/>
  <c r="R3286" i="1"/>
  <c r="L3286" i="1"/>
  <c r="T3430" i="1"/>
  <c r="R3430" i="1"/>
  <c r="R3482" i="1"/>
  <c r="T3482" i="1"/>
  <c r="T3496" i="1"/>
  <c r="R3529" i="1"/>
  <c r="T3562" i="1"/>
  <c r="R3562" i="1"/>
  <c r="R3650" i="1"/>
  <c r="T3650" i="1"/>
  <c r="L3650" i="1"/>
  <c r="T3693" i="1"/>
  <c r="R3693" i="1"/>
  <c r="R3742" i="1"/>
  <c r="L3774" i="1"/>
  <c r="R3777" i="1"/>
  <c r="L3777" i="1"/>
  <c r="L3790" i="1"/>
  <c r="T3808" i="1"/>
  <c r="R3808" i="1"/>
  <c r="W3829" i="1"/>
  <c r="T3881" i="1"/>
  <c r="L3929" i="1"/>
  <c r="L4068" i="1"/>
  <c r="R4068" i="1"/>
  <c r="T4109" i="1"/>
  <c r="R4109" i="1"/>
  <c r="T4136" i="1"/>
  <c r="T4315" i="1"/>
  <c r="L4342" i="1"/>
  <c r="T4342" i="1"/>
  <c r="R4342" i="1"/>
  <c r="T4380" i="1"/>
  <c r="R4380" i="1"/>
  <c r="L4380" i="1"/>
  <c r="P4483" i="1"/>
  <c r="W4483" i="1"/>
  <c r="T4483" i="1"/>
  <c r="W4521" i="1"/>
  <c r="T4538" i="1"/>
  <c r="R4579" i="1"/>
  <c r="T4579" i="1"/>
  <c r="L4588" i="1"/>
  <c r="R4647" i="1"/>
  <c r="L4675" i="1"/>
  <c r="L4684" i="1"/>
  <c r="R4684" i="1"/>
  <c r="T4684" i="1"/>
  <c r="T2282" i="1"/>
  <c r="R2282" i="1"/>
  <c r="R2461" i="1"/>
  <c r="L2461" i="1"/>
  <c r="T2513" i="1"/>
  <c r="L2513" i="1"/>
  <c r="T2528" i="1"/>
  <c r="R2528" i="1"/>
  <c r="R2531" i="1"/>
  <c r="T2531" i="1"/>
  <c r="T2568" i="1"/>
  <c r="R2568" i="1"/>
  <c r="T2958" i="1"/>
  <c r="L2958" i="1"/>
  <c r="L3074" i="1"/>
  <c r="T3074" i="1"/>
  <c r="T3122" i="1"/>
  <c r="R3122" i="1"/>
  <c r="L3210" i="1"/>
  <c r="T3210" i="1"/>
  <c r="R3414" i="1"/>
  <c r="T3414" i="1"/>
  <c r="L3440" i="1"/>
  <c r="R3440" i="1"/>
  <c r="T3520" i="1"/>
  <c r="R3520" i="1"/>
  <c r="R3532" i="1"/>
  <c r="T3532" i="1"/>
  <c r="L4169" i="1"/>
  <c r="T4169" i="1"/>
  <c r="R4169" i="1"/>
  <c r="R4204" i="1"/>
  <c r="L4204" i="1"/>
  <c r="T4284" i="1"/>
  <c r="R4284" i="1"/>
  <c r="R4385" i="1"/>
  <c r="L4385" i="1"/>
  <c r="T4385" i="1"/>
  <c r="W4477" i="1"/>
  <c r="P4477" i="1"/>
  <c r="T4477" i="1"/>
  <c r="L4645" i="1"/>
  <c r="T4645" i="1"/>
  <c r="R4645" i="1"/>
  <c r="R4680" i="1"/>
  <c r="T4680" i="1"/>
  <c r="L4680" i="1"/>
  <c r="L4820" i="1"/>
  <c r="R4820" i="1"/>
  <c r="T4820" i="1"/>
  <c r="R4053" i="1"/>
  <c r="T4053" i="1"/>
  <c r="R4195" i="1"/>
  <c r="T4195" i="1"/>
  <c r="T4316" i="1"/>
  <c r="R4316" i="1"/>
  <c r="L4316" i="1"/>
  <c r="R4418" i="1"/>
  <c r="L4418" i="1"/>
  <c r="L4488" i="1"/>
  <c r="R4488" i="1"/>
  <c r="T4488" i="1"/>
  <c r="T4553" i="1"/>
  <c r="R4553" i="1"/>
  <c r="W4720" i="1"/>
  <c r="T4720" i="1"/>
  <c r="R4791" i="1"/>
  <c r="T4791" i="1"/>
  <c r="R2008" i="1"/>
  <c r="T2008" i="1"/>
  <c r="R2289" i="1"/>
  <c r="L2289" i="1"/>
  <c r="L2450" i="1"/>
  <c r="R2450" i="1"/>
  <c r="T2461" i="1"/>
  <c r="R2513" i="1"/>
  <c r="T2700" i="1"/>
  <c r="R2700" i="1"/>
  <c r="T2745" i="1"/>
  <c r="R2745" i="1"/>
  <c r="R2894" i="1"/>
  <c r="T2894" i="1"/>
  <c r="R2932" i="1"/>
  <c r="R2958" i="1"/>
  <c r="R3001" i="1"/>
  <c r="T3001" i="1"/>
  <c r="R3023" i="1"/>
  <c r="L3023" i="1"/>
  <c r="R3046" i="1"/>
  <c r="R3074" i="1"/>
  <c r="L3156" i="1"/>
  <c r="T3156" i="1"/>
  <c r="R3156" i="1"/>
  <c r="R3210" i="1"/>
  <c r="R3220" i="1"/>
  <c r="T3440" i="1"/>
  <c r="L3645" i="1"/>
  <c r="T3645" i="1"/>
  <c r="R3645" i="1"/>
  <c r="R3746" i="1"/>
  <c r="R3755" i="1"/>
  <c r="T3755" i="1"/>
  <c r="R3893" i="1"/>
  <c r="T3913" i="1"/>
  <c r="R3913" i="1"/>
  <c r="L4053" i="1"/>
  <c r="L4195" i="1"/>
  <c r="T4204" i="1"/>
  <c r="L4209" i="1"/>
  <c r="R4307" i="1"/>
  <c r="T4370" i="1"/>
  <c r="R4370" i="1"/>
  <c r="R4428" i="1"/>
  <c r="T4428" i="1"/>
  <c r="T4432" i="1"/>
  <c r="R4432" i="1"/>
  <c r="L4432" i="1"/>
  <c r="T4503" i="1"/>
  <c r="T4542" i="1"/>
  <c r="L4553" i="1"/>
  <c r="W4605" i="1"/>
  <c r="T4605" i="1"/>
  <c r="R4695" i="1"/>
  <c r="L4695" i="1"/>
  <c r="T4758" i="1"/>
  <c r="R4758" i="1"/>
  <c r="P4778" i="1"/>
  <c r="W4778" i="1"/>
  <c r="L4791" i="1"/>
  <c r="L4189" i="1"/>
  <c r="R4189" i="1"/>
  <c r="T4189" i="1"/>
  <c r="T2087" i="1"/>
  <c r="R2087" i="1"/>
  <c r="T2310" i="1"/>
  <c r="R2310" i="1"/>
  <c r="T3707" i="1"/>
  <c r="R3707" i="1"/>
  <c r="T3906" i="1"/>
  <c r="R3906" i="1"/>
  <c r="R3947" i="1"/>
  <c r="T3947" i="1"/>
  <c r="R4172" i="1"/>
  <c r="T4172" i="1"/>
  <c r="L4278" i="1"/>
  <c r="R4278" i="1"/>
  <c r="L4362" i="1"/>
  <c r="L4410" i="1"/>
  <c r="R4468" i="1"/>
  <c r="L4492" i="1"/>
  <c r="L4563" i="1"/>
  <c r="R4618" i="1"/>
  <c r="T4618" i="1"/>
  <c r="T4898" i="1"/>
  <c r="R4898" i="1"/>
  <c r="L4265" i="1"/>
  <c r="T4265" i="1"/>
  <c r="T4378" i="1"/>
  <c r="R4378" i="1"/>
  <c r="R4426" i="1"/>
  <c r="T4426" i="1"/>
  <c r="L4485" i="1"/>
  <c r="R4485" i="1"/>
  <c r="L4554" i="1"/>
  <c r="T4554" i="1"/>
  <c r="L4676" i="1"/>
  <c r="T4676" i="1"/>
  <c r="R4676" i="1"/>
  <c r="L4905" i="1"/>
  <c r="T4905" i="1"/>
  <c r="R4905" i="1"/>
  <c r="T1764" i="1"/>
  <c r="R1764" i="1"/>
  <c r="L2146" i="1"/>
  <c r="T2146" i="1"/>
  <c r="R2146" i="1"/>
  <c r="R2445" i="1"/>
  <c r="L2445" i="1"/>
  <c r="T2598" i="1"/>
  <c r="R2598" i="1"/>
  <c r="T2767" i="1"/>
  <c r="L2767" i="1"/>
  <c r="R2998" i="1"/>
  <c r="L2998" i="1"/>
  <c r="R3255" i="1"/>
  <c r="T3255" i="1"/>
  <c r="T3451" i="1"/>
  <c r="R3451" i="1"/>
  <c r="T3590" i="1"/>
  <c r="R3590" i="1"/>
  <c r="R3803" i="1"/>
  <c r="T3803" i="1"/>
  <c r="L999" i="1"/>
  <c r="L1024" i="1"/>
  <c r="L1072" i="1"/>
  <c r="L1166" i="1"/>
  <c r="L1209" i="1"/>
  <c r="L1252" i="1"/>
  <c r="L1337" i="1"/>
  <c r="L1372" i="1"/>
  <c r="L1488" i="1"/>
  <c r="L1530" i="1"/>
  <c r="L1654" i="1"/>
  <c r="L1714" i="1"/>
  <c r="L1764" i="1"/>
  <c r="L1905" i="1"/>
  <c r="L1980" i="1"/>
  <c r="L2087" i="1"/>
  <c r="T2197" i="1"/>
  <c r="R2197" i="1"/>
  <c r="L2310" i="1"/>
  <c r="L2512" i="1"/>
  <c r="R2526" i="1"/>
  <c r="L2526" i="1"/>
  <c r="L2546" i="1"/>
  <c r="L2591" i="1"/>
  <c r="L2598" i="1"/>
  <c r="L2724" i="1"/>
  <c r="L2764" i="1"/>
  <c r="L2829" i="1"/>
  <c r="L2888" i="1"/>
  <c r="T3087" i="1"/>
  <c r="L3087" i="1"/>
  <c r="L3255" i="1"/>
  <c r="L3281" i="1"/>
  <c r="L3310" i="1"/>
  <c r="L3319" i="1"/>
  <c r="L3444" i="1"/>
  <c r="L3451" i="1"/>
  <c r="R3534" i="1"/>
  <c r="T3534" i="1"/>
  <c r="L3590" i="1"/>
  <c r="L3612" i="1"/>
  <c r="R3612" i="1"/>
  <c r="L3707" i="1"/>
  <c r="L3757" i="1"/>
  <c r="L3803" i="1"/>
  <c r="L3906" i="1"/>
  <c r="L3947" i="1"/>
  <c r="L4172" i="1"/>
  <c r="L4185" i="1"/>
  <c r="R4185" i="1"/>
  <c r="R4265" i="1"/>
  <c r="L4336" i="1"/>
  <c r="T4336" i="1"/>
  <c r="R4338" i="1"/>
  <c r="L4358" i="1"/>
  <c r="W4468" i="1"/>
  <c r="P4468" i="1"/>
  <c r="T4487" i="1"/>
  <c r="R4554" i="1"/>
  <c r="T4592" i="1"/>
  <c r="R4592" i="1"/>
  <c r="L4618" i="1"/>
  <c r="L4690" i="1"/>
  <c r="P4892" i="1"/>
  <c r="W4892" i="1"/>
  <c r="L4898" i="1"/>
  <c r="T3332" i="1"/>
  <c r="R3332" i="1"/>
  <c r="T3784" i="1"/>
  <c r="R3784" i="1"/>
  <c r="L3902" i="1"/>
  <c r="R3902" i="1"/>
  <c r="T4003" i="1"/>
  <c r="L4003" i="1"/>
  <c r="L4116" i="1"/>
  <c r="R4116" i="1"/>
  <c r="L4280" i="1"/>
  <c r="T4280" i="1"/>
  <c r="W4472" i="1"/>
  <c r="T4472" i="1"/>
  <c r="P4481" i="1"/>
  <c r="W4481" i="1"/>
  <c r="P4498" i="1"/>
  <c r="T4498" i="1"/>
  <c r="R4571" i="1"/>
  <c r="T4571" i="1"/>
  <c r="T4754" i="1"/>
  <c r="L4754" i="1"/>
  <c r="L4824" i="1"/>
  <c r="T4824" i="1"/>
  <c r="L1406" i="1"/>
  <c r="L1642" i="1"/>
  <c r="L1769" i="1"/>
  <c r="L1863" i="1"/>
  <c r="L1959" i="1"/>
  <c r="L2114" i="1"/>
  <c r="L2474" i="1"/>
  <c r="L2488" i="1"/>
  <c r="R2566" i="1"/>
  <c r="T2566" i="1"/>
  <c r="L2714" i="1"/>
  <c r="L2876" i="1"/>
  <c r="L2921" i="1"/>
  <c r="L3082" i="1"/>
  <c r="L3120" i="1"/>
  <c r="L3189" i="1"/>
  <c r="L3204" i="1"/>
  <c r="R3204" i="1"/>
  <c r="L3332" i="1"/>
  <c r="L3495" i="1"/>
  <c r="T3515" i="1"/>
  <c r="R3515" i="1"/>
  <c r="L3676" i="1"/>
  <c r="L3784" i="1"/>
  <c r="L3952" i="1"/>
  <c r="T3952" i="1"/>
  <c r="T3990" i="1"/>
  <c r="L3990" i="1"/>
  <c r="L4257" i="1"/>
  <c r="R4308" i="1"/>
  <c r="L4308" i="1"/>
  <c r="L4372" i="1"/>
  <c r="L4441" i="1"/>
  <c r="W4461" i="1"/>
  <c r="R4477" i="1"/>
  <c r="T4479" i="1"/>
  <c r="T4481" i="1"/>
  <c r="L4493" i="1"/>
  <c r="W4498" i="1"/>
  <c r="T4522" i="1"/>
  <c r="L4571" i="1"/>
  <c r="L4597" i="1"/>
  <c r="T4597" i="1"/>
  <c r="R4597" i="1"/>
  <c r="R4669" i="1"/>
  <c r="L4669" i="1"/>
  <c r="T4669" i="1"/>
  <c r="W4460" i="1"/>
  <c r="T4460" i="1"/>
  <c r="L4552" i="1"/>
  <c r="R4552" i="1"/>
  <c r="T4828" i="1"/>
  <c r="R4828" i="1"/>
  <c r="L4903" i="1"/>
  <c r="T4903" i="1"/>
  <c r="R4903" i="1"/>
  <c r="R3708" i="1"/>
  <c r="T3708" i="1"/>
  <c r="L3721" i="1"/>
  <c r="L3938" i="1"/>
  <c r="T3938" i="1"/>
  <c r="T4001" i="1"/>
  <c r="L4001" i="1"/>
  <c r="L4374" i="1"/>
  <c r="T4400" i="1"/>
  <c r="R4400" i="1"/>
  <c r="R4422" i="1"/>
  <c r="T4422" i="1"/>
  <c r="T4458" i="1"/>
  <c r="L4469" i="1"/>
  <c r="T4492" i="1"/>
  <c r="W4496" i="1"/>
  <c r="W4606" i="1"/>
  <c r="T4673" i="1"/>
  <c r="R4673" i="1"/>
  <c r="L4828" i="1"/>
  <c r="T4288" i="1"/>
  <c r="R4288" i="1"/>
  <c r="L4899" i="1"/>
  <c r="R4899" i="1"/>
  <c r="J17" i="13"/>
  <c r="F31" i="13" s="1"/>
  <c r="AF54" i="9"/>
  <c r="AF56" i="9" s="1"/>
  <c r="C20" i="13"/>
  <c r="C21" i="13"/>
  <c r="B18" i="6"/>
  <c r="C67" i="6" s="1"/>
  <c r="J29" i="12"/>
  <c r="E9" i="6"/>
  <c r="E11" i="13"/>
  <c r="C65" i="6" l="1"/>
  <c r="C66" i="6"/>
  <c r="E1844" i="19"/>
  <c r="F1844" i="19"/>
  <c r="I1844" i="19"/>
  <c r="G1844" i="19"/>
  <c r="B3095" i="19"/>
  <c r="E3095" i="19" s="1"/>
  <c r="F3299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sunfashion</author>
    <author>chiba</author>
    <author>a.hamada</author>
  </authors>
  <commentList>
    <comment ref="E22" authorId="0" shapeId="0" xr:uid="{0B4E56DF-F6A3-4964-8751-14B74F9CA9A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PI: S-1668</t>
        </r>
      </text>
    </comment>
    <comment ref="K22" authorId="1" shapeId="0" xr:uid="{46BE0545-A25E-4E9D-8A25-B14F3A26848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CIF HK Price  USD 0.34/m ( FedEx $0.20/m + Insurance $0.03/m ) </t>
        </r>
      </text>
    </comment>
    <comment ref="Q22" authorId="1" shapeId="0" xr:uid="{E4FECD3E-CBE1-4024-A03D-A96424F78E6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K23" authorId="1" shapeId="0" xr:uid="{52A17B67-B02F-4ECB-BD6D-B796D037F825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CIF HK Price  USD 0.34/m ( FedEx $0.20/m + Insurance $0.03/m ) </t>
        </r>
      </text>
    </comment>
    <comment ref="Q23" authorId="1" shapeId="0" xr:uid="{6281FAAD-9EA8-4FBC-A85F-7546449EFCB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K24" authorId="1" shapeId="0" xr:uid="{1FF78368-CCC7-45A9-91A0-919C053356C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CIF HK Price  USD 0.34/m ( FedEx $0.20/m + Insurance $0.03/m ) </t>
        </r>
      </text>
    </comment>
    <comment ref="Q24" authorId="1" shapeId="0" xr:uid="{05C9665E-2F74-41AB-B4B5-B64194E1448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K26" authorId="0" shapeId="0" xr:uid="{7997D384-56CE-47FC-BB57-C5DF059C493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Price : USD 0.49/m  
CIF HK Price  USD 0.23/m ( FedEx $0.20/m + Insurance $0.03/m )</t>
        </r>
      </text>
    </comment>
    <comment ref="K27" authorId="0" shapeId="0" xr:uid="{025A27B4-1889-4A12-B6CA-93FCA175AF7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Price : USD 0.49/m  
CIF HK Price  USD 0.23/m ( FedEx $0.20/m + Insurance $0.03/m )</t>
        </r>
      </text>
    </comment>
    <comment ref="E58" authorId="0" shapeId="0" xr:uid="{D8D0AE29-FB28-47B1-A562-EE1F55D5CEE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S-1689</t>
        </r>
      </text>
    </comment>
    <comment ref="K75" authorId="0" shapeId="0" xr:uid="{C08EDF04-A888-4208-853E-B8BE59BFD85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運賃にon
</t>
        </r>
      </text>
    </comment>
    <comment ref="E78" authorId="1" shapeId="0" xr:uid="{EE7DB904-1A98-43DA-A340-2390625A771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 2745</t>
        </r>
      </text>
    </comment>
    <comment ref="K78" authorId="1" shapeId="0" xr:uid="{395C88DF-B797-4B07-85F1-D3EA99075E7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1.92/m  </t>
        </r>
        <r>
          <rPr>
            <sz val="9"/>
            <color indexed="81"/>
            <rFont val="MS P ゴシック"/>
            <family val="3"/>
            <charset val="128"/>
          </rPr>
          <t xml:space="preserve">
CIF HK Price  USD 2.12/m ( FedEx $0.18/m + Insurance $0.02/m ) </t>
        </r>
      </text>
    </comment>
    <comment ref="K79" authorId="1" shapeId="0" xr:uid="{6C1623B1-9B24-415F-AFFB-9E08293C663D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1.20/m  </t>
        </r>
        <r>
          <rPr>
            <sz val="9"/>
            <color indexed="81"/>
            <rFont val="MS P ゴシック"/>
            <family val="3"/>
            <charset val="128"/>
          </rPr>
          <t xml:space="preserve">
CIF HK Price  USD 1.40/m ( FedEx $0.18/m + Insurance $0.02/m ) </t>
        </r>
      </text>
    </comment>
    <comment ref="K80" authorId="1" shapeId="0" xr:uid="{8A2DF98F-7E3E-4C99-BB74-AD25716726D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1.20/m  </t>
        </r>
        <r>
          <rPr>
            <sz val="9"/>
            <color indexed="81"/>
            <rFont val="MS P ゴシック"/>
            <family val="3"/>
            <charset val="128"/>
          </rPr>
          <t xml:space="preserve">
CIF HK Price  USD 1.40/m ( FedEx $0.18/m + Insurance $0.02/m ) </t>
        </r>
      </text>
    </comment>
    <comment ref="K83" authorId="1" shapeId="0" xr:uid="{E99E6DA9-B924-4EF3-84AD-2E36923F0551}">
      <text>
        <r>
          <rPr>
            <sz val="9"/>
            <color indexed="81"/>
            <rFont val="MS P ゴシック"/>
            <family val="3"/>
            <charset val="128"/>
          </rPr>
          <t xml:space="preserve">FedEx $0.18/m + Insurance $0.02/m ) </t>
        </r>
      </text>
    </comment>
    <comment ref="K84" authorId="1" shapeId="0" xr:uid="{FEB12573-5C42-42D2-8602-68A7B86BEF50}">
      <text>
        <r>
          <rPr>
            <sz val="9"/>
            <color indexed="81"/>
            <rFont val="MS P ゴシック"/>
            <family val="3"/>
            <charset val="128"/>
          </rPr>
          <t xml:space="preserve">FedEx $0.18/m + Insurance $0.02/m ) </t>
        </r>
      </text>
    </comment>
    <comment ref="K91" authorId="1" shapeId="0" xr:uid="{A33E4D61-806D-4661-86A7-A6E2F7719E1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
レート100 </t>
        </r>
      </text>
    </comment>
    <comment ref="K92" authorId="1" shapeId="0" xr:uid="{31C49D9A-38EF-4D0D-86B8-E89EF7F1382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
レート100 </t>
        </r>
      </text>
    </comment>
    <comment ref="K94" authorId="1" shapeId="0" xr:uid="{9CAA7E39-D047-4CB2-8EFC-ADDD60EE8A2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
レート100 </t>
        </r>
      </text>
    </comment>
    <comment ref="K95" authorId="1" shapeId="0" xr:uid="{E2A1D38C-A2C1-40FB-830E-EF74B827EBF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
レート100 </t>
        </r>
      </text>
    </comment>
    <comment ref="K96" authorId="1" shapeId="0" xr:uid="{6BFFB2BA-DDFE-47E4-B990-ECC6C0AAD85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
レート100 </t>
        </r>
      </text>
    </comment>
    <comment ref="K97" authorId="1" shapeId="0" xr:uid="{62E97169-EFA2-49DC-89FD-0F65FCA3C2D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
レート100 </t>
        </r>
      </text>
    </comment>
    <comment ref="K106" authorId="1" shapeId="0" xr:uid="{D22824D7-1710-48E8-AA5F-587F0E26DF7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0.54/m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1.44/m ( FedEx $0.90/m</t>
        </r>
      </text>
    </comment>
    <comment ref="Q106" authorId="1" shapeId="0" xr:uid="{B59E54C2-D632-4475-BA74-AD3E5FF2A42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K108" authorId="1" shapeId="0" xr:uid="{6C3EEC14-E4F4-4136-BB36-1F3C362B3811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0.54/m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1.44/m ( FedEx $0.90/m</t>
        </r>
      </text>
    </comment>
    <comment ref="Q113" authorId="1" shapeId="0" xr:uid="{24BFF169-93A4-46C1-BBDF-9E731574D0D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Q117" authorId="0" shapeId="0" xr:uid="{195C963E-BF7A-403C-9B8C-73C784E94E1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118" authorId="0" shapeId="0" xr:uid="{A7C380A5-6B84-4121-81BF-38A629443F0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119" authorId="0" shapeId="0" xr:uid="{84371C60-3260-481A-833D-2C1D485922D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120" authorId="0" shapeId="0" xr:uid="{F657FC41-BA20-44FD-AE42-6CE05B30D8E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121" authorId="0" shapeId="0" xr:uid="{7633D24F-063C-4725-8606-E5F8DE0B6EA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122" authorId="0" shapeId="0" xr:uid="{8D61F377-DF6F-41CB-9FA1-04241E9589B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123" authorId="0" shapeId="0" xr:uid="{E0DF9B0A-D415-4E21-93CB-C94E1B59517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124" authorId="0" shapeId="0" xr:uid="{0D6D3636-83C5-4052-916E-0A4F21845BA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125" authorId="0" shapeId="0" xr:uid="{097179F4-2912-40A6-8862-C8F1AEF4EE9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126" authorId="0" shapeId="0" xr:uid="{0E7E844E-A3AD-4159-BB5E-014EACBD902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130" authorId="1" shapeId="0" xr:uid="{38CF80E5-A89B-49E8-9C7E-E987425C615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 USD 0.35 / m 
サンプル単価：0.35 x 2 = USD 0.70
 /m </t>
        </r>
      </text>
    </comment>
    <comment ref="Q130" authorId="1" shapeId="0" xr:uid="{21A30B39-246C-457C-B164-B0290BDD90A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 USD 0.28 / m 
サンプル単価：0.28 x 2 = USD 0.56 /m </t>
        </r>
      </text>
    </comment>
    <comment ref="K131" authorId="1" shapeId="0" xr:uid="{343CD265-6A55-4F21-931A-53DE135644D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 USD 0.35 / m 
サンプル単価：0.35 x 2 = USD 0.70
 /m </t>
        </r>
      </text>
    </comment>
    <comment ref="Q131" authorId="1" shapeId="0" xr:uid="{299C8BC8-3C43-4A6A-AD9C-AFADB2D220E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 USD 0.28 / m 
サンプル単価：0.28 x 2 = USD 0.56 /m </t>
        </r>
      </text>
    </comment>
    <comment ref="K132" authorId="1" shapeId="0" xr:uid="{8E896C5D-5E0B-43C2-80FB-233D66893D4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 USD 0.35 / m 
サンプル単価：0.35 x 2 = USD 0.70
 /m </t>
        </r>
      </text>
    </comment>
    <comment ref="Q132" authorId="1" shapeId="0" xr:uid="{3E6DC0BE-663C-4440-8591-4026AAF4BB0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 USD 0.28 / m 
サンプル単価：0.28 x 2 = USD 0.56 /m </t>
        </r>
      </text>
    </comment>
    <comment ref="Q134" authorId="0" shapeId="0" xr:uid="{97F364A0-616B-41BB-80F6-89CED5B2A42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レート90固定
</t>
        </r>
      </text>
    </comment>
    <comment ref="Q135" authorId="0" shapeId="0" xr:uid="{4D44CC66-0BAA-471D-BC7C-FD9AAC460A1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レート90固定
</t>
        </r>
      </text>
    </comment>
    <comment ref="Q136" authorId="0" shapeId="0" xr:uid="{50105414-D09D-4B01-88CB-E1D64300956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レート90固定
</t>
        </r>
      </text>
    </comment>
    <comment ref="Q137" authorId="0" shapeId="0" xr:uid="{926D1BBB-22E9-430F-A573-C775F400B8B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レート90固定
</t>
        </r>
      </text>
    </comment>
    <comment ref="K149" authorId="1" shapeId="0" xr:uid="{F464B93D-998B-49C3-B39A-37B66E21208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白チップの単価に合わせて計算</t>
        </r>
      </text>
    </comment>
    <comment ref="K150" authorId="1" shapeId="0" xr:uid="{AC4D9A1D-0C02-4157-8D43-5ECECB8635F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白チップの単価に合わせて計算</t>
        </r>
      </text>
    </comment>
    <comment ref="K153" authorId="1" shapeId="0" xr:uid="{5E099640-DA35-4AC7-9A9F-420C0F7FE0B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白チップの単価に合わせて計算</t>
        </r>
      </text>
    </comment>
    <comment ref="K161" authorId="1" shapeId="0" xr:uid="{47B4945A-7759-4309-B91D-FCAA2813115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 
</t>
        </r>
      </text>
    </comment>
    <comment ref="K165" authorId="0" shapeId="0" xr:uid="{4E0F755A-C36B-40F3-84A9-AAA23144052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 
</t>
        </r>
      </text>
    </comment>
    <comment ref="K168" authorId="0" shapeId="0" xr:uid="{FE82529F-7680-44BF-963C-BBDBA917DDE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</t>
        </r>
      </text>
    </comment>
    <comment ref="K171" authorId="0" shapeId="0" xr:uid="{2DFC4F6D-C692-4C39-B2CE-1B4C7743443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</t>
        </r>
      </text>
    </comment>
    <comment ref="K174" authorId="0" shapeId="0" xr:uid="{BBAE8408-DBE6-4200-B7B6-66A986AB96B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</t>
        </r>
      </text>
    </comment>
    <comment ref="K193" authorId="1" shapeId="0" xr:uid="{07F607F9-7AFA-4221-BC1F-6F1B21CBA8C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色物に合わせて計算</t>
        </r>
      </text>
    </comment>
    <comment ref="K194" authorId="1" shapeId="0" xr:uid="{645B71A2-C6C9-4462-B105-37078B87D88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色物に合わせて計算</t>
        </r>
      </text>
    </comment>
    <comment ref="K195" authorId="1" shapeId="0" xr:uid="{C7C6CAEB-F374-450D-8D75-99229F4DD26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色物に合わせて計算</t>
        </r>
      </text>
    </comment>
    <comment ref="K196" authorId="1" shapeId="0" xr:uid="{99474F62-DCFC-4EDF-A7E8-33D9898854F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色物に合わせて計算</t>
        </r>
      </text>
    </comment>
    <comment ref="K197" authorId="1" shapeId="0" xr:uid="{E36D91B6-3A0A-4D9E-B363-A0EA0ADC8C0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色物に合わせて計算</t>
        </r>
      </text>
    </comment>
    <comment ref="K198" authorId="1" shapeId="0" xr:uid="{5844923F-D601-41BF-9FFF-E37A5B43194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色物に合わせて計算</t>
        </r>
      </text>
    </comment>
    <comment ref="Q202" authorId="1" shapeId="0" xr:uid="{9A56E03D-BA9C-4778-B78D-A1AFC727A58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Q203" authorId="1" shapeId="0" xr:uid="{D87A10D6-72DC-4CD6-81D8-EE447B32ECB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Q221" authorId="0" shapeId="0" xr:uid="{738D0224-C422-4210-894F-8CA8BACBF20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レート90固定
</t>
        </r>
      </text>
    </comment>
    <comment ref="Q222" authorId="0" shapeId="0" xr:uid="{98983F1E-B6FB-48E6-AEB3-C097B79D7CC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レート90固定
</t>
        </r>
      </text>
    </comment>
    <comment ref="E226" authorId="0" shapeId="0" xr:uid="{690BBF89-78F6-42D0-A745-47DF5948F1B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 S-1761</t>
        </r>
      </text>
    </comment>
    <comment ref="E236" authorId="0" shapeId="0" xr:uid="{C5A3C7DE-013C-4698-AB58-E13FE2A6454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 2801
</t>
        </r>
      </text>
    </comment>
    <comment ref="K236" authorId="1" shapeId="0" xr:uid="{0505E060-6FA4-43E1-A962-20DA8D09650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105 ÷ 0.7 ÷ 90 </t>
        </r>
      </text>
    </comment>
    <comment ref="K237" authorId="1" shapeId="0" xr:uid="{C2FC484A-F531-4443-A88D-017D5CB69CE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105 ÷ 0.65 ÷ 90 </t>
        </r>
      </text>
    </comment>
    <comment ref="K238" authorId="1" shapeId="0" xr:uid="{B3340FD5-1C65-4024-9B96-475671D5217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(114 + 35 )  ÷ 0.6 ÷ 90 </t>
        </r>
      </text>
    </comment>
    <comment ref="K239" authorId="1" shapeId="0" xr:uid="{003CD538-AD08-4CBA-ABBA-63DF9225367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(114 + 70 )  ÷ 0.65 ÷ 90 </t>
        </r>
      </text>
    </comment>
    <comment ref="E242" authorId="1" shapeId="0" xr:uid="{76EC98FE-A9C9-4208-A1C3-D0F8337F26E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 2807</t>
        </r>
      </text>
    </comment>
    <comment ref="K242" authorId="1" shapeId="0" xr:uid="{09FF6E6A-B211-48E8-BA28-6876038F95FE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1.92/m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2.44/m ( FedEx $75+小林さんextra でプラス) </t>
        </r>
      </text>
    </comment>
    <comment ref="K248" authorId="1" shapeId="0" xr:uid="{C66A7630-3D2A-408C-BBEA-E7754C32ACD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HF 込み
</t>
        </r>
      </text>
    </comment>
    <comment ref="K262" authorId="1" shapeId="0" xr:uid="{D260181C-3E7D-4809-81CD-8A119F496A0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HF 込み
</t>
        </r>
      </text>
    </comment>
    <comment ref="E269" authorId="0" shapeId="0" xr:uid="{05787DD8-249E-4ADE-911D-75EFB8E744C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2828</t>
        </r>
      </text>
    </comment>
    <comment ref="K269" authorId="1" shapeId="0" xr:uid="{DCA771AB-1907-4306-917E-9AB6A58227C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0.34/m ( FedEx $0.23/m ) </t>
        </r>
      </text>
    </comment>
    <comment ref="Q269" authorId="1" shapeId="0" xr:uid="{9B88F8F8-6409-40D8-8992-7C1AFC18BF2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K270" authorId="1" shapeId="0" xr:uid="{E0194F66-2BC0-4DAD-BAF7-54DB20884B8E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CIF HK Price  USD 0.34/m ( FedEx $0.20/m + Insurance $0.03/m ) </t>
        </r>
      </text>
    </comment>
    <comment ref="Q270" authorId="1" shapeId="0" xr:uid="{EC65D928-83A6-4363-9A44-B846E728930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K271" authorId="1" shapeId="0" xr:uid="{5A32FF94-06C2-4FF6-9AFB-15674A76D4D5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CIF HK Price  USD 0.34/m ( FedEx $0.20/m + Insurance $0.03/m ) </t>
        </r>
      </text>
    </comment>
    <comment ref="Q271" authorId="1" shapeId="0" xr:uid="{842A27E3-BA5A-4BC3-A4DB-86607245E2F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K273" authorId="1" shapeId="0" xr:uid="{26B8A276-9191-4CAA-B1CC-90BF593CD1F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0.34/m ( FedEx $0.23/m ) </t>
        </r>
      </text>
    </comment>
    <comment ref="E275" authorId="0" shapeId="0" xr:uid="{A2BCE080-601C-41DA-A209-6EC73EFCFF4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2829</t>
        </r>
      </text>
    </comment>
    <comment ref="K275" authorId="0" shapeId="0" xr:uid="{BFE461F9-729C-42C7-9B3F-F61A88F7BD1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6.53/m
GB test : USD 0.50/m x 300m = USD 150 ( NYが支払うので、NY には請求無し）&amp;Handling Fee USD 20 込み &gt;&gt;&gt;7.10 
CIF HK : 7.94
0.84 x 300 = USD 252 
Insurance USD 0.1
Freight USD 0.74</t>
        </r>
      </text>
    </comment>
    <comment ref="E276" authorId="0" shapeId="0" xr:uid="{10F59FB9-9B19-4C7D-8CCD-0415D5C85A4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2829</t>
        </r>
      </text>
    </comment>
    <comment ref="K276" authorId="0" shapeId="0" xr:uid="{62FF79A5-2E19-40F4-A393-EEE0E5EA6BD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6.53/m
GB test : USD 0.50/m x 300m = USD 150 ( NYが支払うので、NY には請求無し）&amp;Handling Fee USD 20 込み &gt;&gt;&gt;7.10 
CIF HK : 7.94
0.84 x 300 = USD 252 
Insurance USD 0.1
Freight USD 0.74</t>
        </r>
      </text>
    </comment>
    <comment ref="E277" authorId="0" shapeId="0" xr:uid="{9EB5EC30-F944-489E-A530-918FE0C202B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2829</t>
        </r>
      </text>
    </comment>
    <comment ref="K277" authorId="0" shapeId="0" xr:uid="{D9BE92A3-904C-48AF-8E5C-EDA60FD9B44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6.53/m
GB test : USD 0.50/m x 300m = USD 150 ( NYが支払うので、NY には請求無し）&amp;Handling Fee USD 20 込み &gt;&gt;&gt;7.10 
CIF HK : 7.94
0.84 x 300 = USD 252 
Insurance USD 0.1
Freight USD 0.74</t>
        </r>
      </text>
    </comment>
    <comment ref="E278" authorId="0" shapeId="0" xr:uid="{3269F161-4FF8-4FAE-B341-38681E5AD93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2829</t>
        </r>
      </text>
    </comment>
    <comment ref="K278" authorId="0" shapeId="0" xr:uid="{86DB78D2-F41A-4F2F-92B1-8D3092800D4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6.53/m
GB test : USD 0.50/m x 300m = USD 150 ( NYが支払うので、NY には請求無し）&amp;Handling Fee USD 20 込み &gt;&gt;&gt;7.10 
CIF HK : 7.94
0.84 x 300 = USD 252 
Insurance USD 0.1
Freight USD 0.74</t>
        </r>
      </text>
    </comment>
    <comment ref="E279" authorId="0" shapeId="0" xr:uid="{AED61BC2-8056-41D7-A147-7ED8817E18D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2829</t>
        </r>
      </text>
    </comment>
    <comment ref="K279" authorId="0" shapeId="0" xr:uid="{B96AE842-CAF1-474A-B623-010091BA825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6.53/m
GB test : USD 0.50/m x 300m = USD 150 ( NYが支払うので、NY には請求無し）&amp;Handling Fee USD 20 込み &gt;&gt;&gt;7.10 
CIF HK : 7.94
0.84 x 300 = USD 252 
Insurance USD 0.1
Freight USD 0.74</t>
        </r>
      </text>
    </comment>
    <comment ref="K280" authorId="0" shapeId="0" xr:uid="{A059D1A0-5196-47E2-90A7-076CA75B7FB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K281" authorId="0" shapeId="0" xr:uid="{17466DCD-52A8-4879-AB34-F3F9F3B7629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6.53/m
GB test : USD 0.50/m x 300m = USD 150 ( NYが支払うので、NY には請求無し）&amp;Handling Fee USD 20 込み &gt;&gt;&gt;7.10 
CIF HK : 7.94
0.84 x 300 = USD 252 
Insurance USD 0.1
Freight USD 0.74</t>
        </r>
      </text>
    </comment>
    <comment ref="K282" authorId="1" shapeId="0" xr:uid="{28B86EC9-536D-485B-B0C5-8A6D21D2D99F}">
      <text>
        <r>
          <rPr>
            <sz val="9"/>
            <color indexed="81"/>
            <rFont val="MS P ゴシック"/>
            <family val="3"/>
            <charset val="128"/>
          </rPr>
          <t xml:space="preserve">FedEx $0.18/m + Insurance $0.02/m ) </t>
        </r>
      </text>
    </comment>
    <comment ref="K283" authorId="0" shapeId="0" xr:uid="{D92F48B6-DD76-46B7-9EC2-18ACD3DBCA5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6.53/m
GB test : USD 0.50/m x 300m = USD 150 ( NYが支払うので、NY には請求無し） </t>
        </r>
      </text>
    </comment>
    <comment ref="Q283" authorId="0" shapeId="0" xr:uid="{DB50B3AE-BDA1-4C8A-A441-6D620E1347B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6.53/m
GB test : USD 0.50/m x 300m = USD 150 ( NYが支払うので、NY には請求無し） </t>
        </r>
      </text>
    </comment>
    <comment ref="K299" authorId="1" shapeId="0" xr:uid="{59299FEC-D0AF-4CB9-9F86-5C0757143B8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1.92/m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3.51/m ( 小林さん判断FedEx $95) </t>
        </r>
      </text>
    </comment>
    <comment ref="K300" authorId="1" shapeId="0" xr:uid="{472625AD-0E03-48E4-9A05-12918E3A3A3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単価に込み</t>
        </r>
      </text>
    </comment>
    <comment ref="K302" authorId="1" shapeId="0" xr:uid="{8641454D-76E3-49C3-9CBD-DF9E7250730E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1.20/m  </t>
        </r>
        <r>
          <rPr>
            <sz val="9"/>
            <color indexed="81"/>
            <rFont val="MS P ゴシック"/>
            <family val="3"/>
            <charset val="128"/>
          </rPr>
          <t xml:space="preserve">
CIF HK Price  USD 1.40/m ( FedEx $0.18/m + Insurance $0.02/m ) </t>
        </r>
      </text>
    </comment>
    <comment ref="K308" authorId="0" shapeId="0" xr:uid="{502AD2BC-DED9-4E4B-BBB5-927DFB689E9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顧客には1 set で請求。その分、Bibhu にon 。Osaka →NY は通常通り2件on </t>
        </r>
      </text>
    </comment>
    <comment ref="Q311" authorId="1" shapeId="0" xr:uid="{39BE1BF7-FDF4-4920-B784-570F38878F1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Q312" authorId="1" shapeId="0" xr:uid="{BD140417-95A6-4A35-B4D6-52F55C0DDD9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Q313" authorId="1" shapeId="0" xr:uid="{2AFC9657-7416-4E78-821F-3498F870FF6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K315" authorId="0" shapeId="0" xr:uid="{B8AB7055-CB8A-4779-8734-A4650E4C5FA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HF +  Hellessy 分のHF 1件分もon </t>
        </r>
      </text>
    </comment>
    <comment ref="Q315" authorId="0" shapeId="0" xr:uid="{D5949D33-6F7E-47E3-A680-637AC5A2383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Hellessy 分のHF はOsaka →NY は通常通りHellessy にon </t>
        </r>
      </text>
    </comment>
    <comment ref="K319" authorId="1" shapeId="0" xr:uid="{13459A63-E1EC-4ABC-9D72-4AC0ADDABAC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HF 込み
</t>
        </r>
      </text>
    </comment>
    <comment ref="Q319" authorId="0" shapeId="0" xr:uid="{50C67C93-25FC-4F2F-93E8-5B7367EDAFB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HF 除
</t>
        </r>
      </text>
    </comment>
    <comment ref="E324" authorId="0" shapeId="0" xr:uid="{F8675E91-6B3E-4F36-9121-86691F52E56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2809</t>
        </r>
      </text>
    </comment>
    <comment ref="K324" authorId="1" shapeId="0" xr:uid="{84798226-F1BB-4234-84A8-D78D5B34DDDB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0.34/m ( FedEx $0.23/m ) </t>
        </r>
      </text>
    </comment>
    <comment ref="Q324" authorId="1" shapeId="0" xr:uid="{7C2AD12A-D945-467E-AB0D-D3705AD9E72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K325" authorId="1" shapeId="0" xr:uid="{A3AFE87A-1391-46C8-949E-563B265071B1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CIF HK Price  USD 0.34/m ( FedEx $0.20/m + Insurance $0.03/m ) </t>
        </r>
      </text>
    </comment>
    <comment ref="Q325" authorId="1" shapeId="0" xr:uid="{86802AD5-163A-4224-90BC-7A5EAF7B892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K327" authorId="1" shapeId="0" xr:uid="{C4DF8AC2-6BDF-481A-B6AE-1ADD1E3EF4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0.34/m ( FedEx $0.23/m ) </t>
        </r>
      </text>
    </comment>
    <comment ref="E329" authorId="0" shapeId="0" xr:uid="{A301B0AC-EDE7-4F50-8D95-049710C7528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2880</t>
        </r>
      </text>
    </comment>
    <comment ref="K334" authorId="0" shapeId="0" xr:uid="{D31031E9-F0B5-48F3-9C69-0D2E782EE87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HF 込み</t>
        </r>
      </text>
    </comment>
    <comment ref="E336" authorId="0" shapeId="0" xr:uid="{797A1EB1-B18A-4AC2-A1AA-AB8E36B3F0A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2879</t>
        </r>
      </text>
    </comment>
    <comment ref="Q341" authorId="1" shapeId="0" xr:uid="{9F71FA79-0C5C-461A-B11D-B1B21937819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Q342" authorId="1" shapeId="0" xr:uid="{3F9256D5-4336-4D8F-A38A-DF64EC33D1C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K344" authorId="1" shapeId="0" xr:uid="{36B7D417-5D6B-47A3-9980-51366A6EC2C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HF 込み
</t>
        </r>
      </text>
    </comment>
    <comment ref="K346" authorId="1" shapeId="0" xr:uid="{44F440C5-C3DB-4BFD-BDA5-AAB694A2B60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白チップの単価に合わせて計算</t>
        </r>
      </text>
    </comment>
    <comment ref="K359" authorId="1" shapeId="0" xr:uid="{836EC66A-ABBA-4F0D-9F1E-075929A3690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黒単価に合わせて計算</t>
        </r>
      </text>
    </comment>
    <comment ref="Q359" authorId="1" shapeId="0" xr:uid="{D1FFE6BC-BF5F-4B13-8163-BFF4F36A2F8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黒単価に合わせて計算</t>
        </r>
      </text>
    </comment>
    <comment ref="K361" authorId="1" shapeId="0" xr:uid="{3B1D450C-C031-4A8B-8300-3ED6F0797D3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のみ請求</t>
        </r>
      </text>
    </comment>
    <comment ref="K363" authorId="1" shapeId="0" xr:uid="{408D98BF-FC0B-4FD9-9076-FE6B978AFED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HF 1set のみ込み
</t>
        </r>
      </text>
    </comment>
    <comment ref="E369" authorId="0" shapeId="0" xr:uid="{3E2AF525-D013-4C15-8281-1C55E2EBD5F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 2937</t>
        </r>
      </text>
    </comment>
    <comment ref="Q373" authorId="1" shapeId="0" xr:uid="{C4247CD6-75A6-46C5-9C43-6D2B8C2C9E1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E377" authorId="0" shapeId="0" xr:uid="{CAE9841F-402D-4302-9AEC-E5F5C0244ED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2952
</t>
        </r>
      </text>
    </comment>
    <comment ref="K377" authorId="1" shapeId="0" xr:uid="{5AE1A839-98B9-4451-BD11-2674910B5FB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0.34/m ( FedEx $0.23/m ) </t>
        </r>
      </text>
    </comment>
    <comment ref="Q377" authorId="1" shapeId="0" xr:uid="{3B2F9F81-F7DC-4B89-9127-5513989E207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K378" authorId="1" shapeId="0" xr:uid="{3E8C4533-045B-4875-B7AF-1D9B81B23939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CIF HK Price  USD 0.34/m ( FedEx $0.20/m + Insurance $0.03/m ) </t>
        </r>
      </text>
    </comment>
    <comment ref="Q378" authorId="1" shapeId="0" xr:uid="{EF84C355-BB25-4F51-B591-F39D28FBF81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K380" authorId="1" shapeId="0" xr:uid="{F114E69D-3453-496F-B3EC-B8F5573BB545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0.34/m ( FedEx $0.23/m ) </t>
        </r>
      </text>
    </comment>
    <comment ref="K386" authorId="0" shapeId="0" xr:uid="{02F5D963-E514-4C00-9D36-EE2CCC075E2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K388" authorId="0" shapeId="0" xr:uid="{B3294C42-EFCC-435E-8766-80DBFFA6D83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K390" authorId="0" shapeId="0" xr:uid="{DFEADAF5-A730-47B3-96C9-8B223DBB8C6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K392" authorId="0" shapeId="0" xr:uid="{C7AC734F-57A8-4AF0-9627-A998057EA4B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G396" authorId="0" shapeId="0" xr:uid="{EA931DF8-2EA0-44DA-BADE-C14DBB57A82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K400" authorId="1" shapeId="0" xr:uid="{A3EF2FBC-A3D0-424A-AA9A-27836A6F44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顧客請求額は本来 USD 125　今回はOsaka / NY で折半なので実費請求</t>
        </r>
      </text>
    </comment>
    <comment ref="K401" authorId="1" shapeId="0" xr:uid="{CBECCD56-0977-4041-A602-C296FC49D00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顧客請求額は本来 USD 125　今回はOsaka / NY で折半なので実費請求</t>
        </r>
      </text>
    </comment>
    <comment ref="E412" authorId="0" shapeId="0" xr:uid="{2D1ECCEB-D157-41D9-96B2-185F94DAD6D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 2983</t>
        </r>
      </text>
    </comment>
    <comment ref="E429" authorId="1" shapeId="0" xr:uid="{4B79F79B-BA67-43F2-8CF1-BF44F985322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 3001</t>
        </r>
      </text>
    </comment>
    <comment ref="K429" authorId="1" shapeId="0" xr:uid="{34B22F8B-295D-4F86-BED3-8F723357709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 
レート90
色物単価に合わせて計算</t>
        </r>
      </text>
    </comment>
    <comment ref="S429" authorId="1" shapeId="0" xr:uid="{999BEAAA-9FD2-4B6F-B679-EDE505CCA58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E433" authorId="0" shapeId="0" xr:uid="{4E9F4C64-5BC3-4985-B5E2-E0F90EFD07C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 3029</t>
        </r>
      </text>
    </comment>
    <comment ref="Q433" authorId="1" shapeId="0" xr:uid="{6988D917-EF77-4765-A765-AFB31041962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Q434" authorId="1" shapeId="0" xr:uid="{01940CE3-EFBE-466F-85F3-E172D08F7DC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Q435" authorId="1" shapeId="0" xr:uid="{6A86A02E-6013-4D87-B727-59C590F0D5D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K437" authorId="1" shapeId="0" xr:uid="{96CDA4C7-9A1C-48B0-A776-96CBCD98643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HF 込み
</t>
        </r>
      </text>
    </comment>
    <comment ref="K441" authorId="1" shapeId="0" xr:uid="{568ECB18-87FF-4965-AC45-CA3F1171C26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HF 込み
</t>
        </r>
      </text>
    </comment>
    <comment ref="K445" authorId="1" shapeId="0" xr:uid="{3B3DB296-B3AE-4FB9-A6E3-28A93F79A99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HF 込み
</t>
        </r>
      </text>
    </comment>
    <comment ref="K471" authorId="1" shapeId="0" xr:uid="{A2EBC853-3C5E-459A-B02A-3F20A1CEE28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HF 込み
</t>
        </r>
      </text>
    </comment>
    <comment ref="E473" authorId="0" shapeId="0" xr:uid="{FA06C1F2-9E98-44D6-974D-AA8DC6239A9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 3044</t>
        </r>
      </text>
    </comment>
    <comment ref="K473" authorId="1" shapeId="0" xr:uid="{17AD7733-8352-4B77-B935-081461908F7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EXW JAPAN USD 0.26/m 
(HF 12 + courier 70)÷1000m + 0.26 = 0.35
 </t>
        </r>
      </text>
    </comment>
    <comment ref="S473" authorId="1" shapeId="0" xr:uid="{ED4684AF-5744-4BB4-A424-DED80C8FF53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E474" authorId="0" shapeId="0" xr:uid="{21906E91-C255-49F7-9061-F6997A4BD7E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 3044</t>
        </r>
      </text>
    </comment>
    <comment ref="K474" authorId="1" shapeId="0" xr:uid="{832E1401-B030-4037-8662-130B79BC3D0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EXW JAPAN USD 0.26/m 
(HF 12 + courier 70)÷1000m + 0.26 = 0.35
 </t>
        </r>
      </text>
    </comment>
    <comment ref="G478" authorId="1" shapeId="0" xr:uid="{96C65BCE-AFBB-46C4-B542-9545DCB8D25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#2 = Lab-dip 2 </t>
        </r>
      </text>
    </comment>
    <comment ref="K478" authorId="0" shapeId="0" xr:uid="{BE93431A-155B-4198-835E-DCC1361E0BE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染色代込
2800/m + 19600/col 
=4231/m</t>
        </r>
      </text>
    </comment>
    <comment ref="G480" authorId="1" shapeId="0" xr:uid="{3D073AED-BA2E-43FD-BFF0-BC2B8100C03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# 1 = lab-dip 1</t>
        </r>
      </text>
    </comment>
    <comment ref="K480" authorId="0" shapeId="0" xr:uid="{E7FE40F5-D4F2-4BAE-8EB3-31B7BE300B8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染色代込
2800/m + 26000/col 
=3749/m</t>
        </r>
      </text>
    </comment>
    <comment ref="G481" authorId="1" shapeId="0" xr:uid="{C54CCF79-03BD-404E-8C18-6A692D17A09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# 1 = lab-dip 1</t>
        </r>
      </text>
    </comment>
    <comment ref="K481" authorId="0" shapeId="0" xr:uid="{DC3C298B-A73E-46E7-A63D-5400A085106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染色代込
2800/m + 26000/col 
=3749/m</t>
        </r>
      </text>
    </comment>
    <comment ref="K482" authorId="0" shapeId="0" xr:uid="{2E4AC401-4A1D-4186-BCC6-DDE641F048B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染色代込
2800/m + 19600/col 
=4231/m</t>
        </r>
      </text>
    </comment>
    <comment ref="E487" authorId="0" shapeId="0" xr:uid="{706F7707-B917-4B34-9C7E-EFEB642705D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 3060</t>
        </r>
      </text>
    </comment>
    <comment ref="K489" authorId="1" shapeId="0" xr:uid="{5052F2A0-C86D-4AA7-93D3-84ECE477C47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HF 込み
</t>
        </r>
      </text>
    </comment>
    <comment ref="K491" authorId="1" shapeId="0" xr:uid="{ACCB0493-82F0-440B-93C5-E0A434E69CA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491" authorId="0" shapeId="0" xr:uid="{A8083998-F3FB-452D-9FF8-BC645363D3E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500" authorId="1" shapeId="0" xr:uid="{A4079CB5-0AC4-43EA-B611-CB6089B485B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HF 込み
</t>
        </r>
      </text>
    </comment>
    <comment ref="E516" authorId="1" shapeId="0" xr:uid="{E9AF8C74-C192-4DFE-8DE4-1CFBAA32D58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 3080</t>
        </r>
      </text>
    </comment>
    <comment ref="K516" authorId="1" shapeId="0" xr:uid="{05FD4094-C18C-413E-A698-AFED8AB78EB9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0.34/m ( FedEx $0.23/m ) </t>
        </r>
      </text>
    </comment>
    <comment ref="Q516" authorId="1" shapeId="0" xr:uid="{0503089E-9ACC-4B0A-A6F5-9995B9D66E5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K517" authorId="1" shapeId="0" xr:uid="{4A44E5BB-202B-4B19-978B-D0147BBA8451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0.34/m ( FedEx $0.23/m ) </t>
        </r>
      </text>
    </comment>
    <comment ref="Q517" authorId="1" shapeId="0" xr:uid="{AFEB70E5-BDAF-4F96-B856-EB7E241983B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K520" authorId="1" shapeId="0" xr:uid="{681AC690-411C-4A0D-B22B-A0DAFEF22F5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0.34/m ( FedEx $0.23/m ) </t>
        </r>
      </text>
    </comment>
    <comment ref="Q520" authorId="1" shapeId="0" xr:uid="{F812B7EB-BA21-4965-A6DE-F2685A66B55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K521" authorId="1" shapeId="0" xr:uid="{7527F344-4DCA-4081-8107-DB40368284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0.34/m ( FedEx $0.23/m ) </t>
        </r>
      </text>
    </comment>
    <comment ref="Q521" authorId="1" shapeId="0" xr:uid="{BB1A2E2D-0F8F-4ABA-85B0-84CA8F864D0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K523" authorId="1" shapeId="0" xr:uid="{DD429051-A583-4549-8D55-66ADD4FB2809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0.34/m ( FedEx $0.23/m ) </t>
        </r>
      </text>
    </comment>
    <comment ref="K539" authorId="1" shapeId="0" xr:uid="{43B05C40-18AA-4B87-B53D-64F63E86E1F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</t>
        </r>
      </text>
    </comment>
    <comment ref="K541" authorId="1" shapeId="0" xr:uid="{6AA44920-6EBE-4029-8713-AF3D5E330B9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</t>
        </r>
      </text>
    </comment>
    <comment ref="E547" authorId="1" shapeId="0" xr:uid="{E53CE63D-2A39-420D-AD3F-3AC143E0CC8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PI#3089</t>
        </r>
      </text>
    </comment>
    <comment ref="S549" authorId="1" shapeId="0" xr:uid="{1B1E33CE-AF6E-4AB6-A949-AF96330A0CC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S554" authorId="1" shapeId="0" xr:uid="{A147F3F0-3D2F-40A7-BAA6-14DCEBE4552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Q558" authorId="1" shapeId="0" xr:uid="{0A2A77BD-21F3-42F4-A8BF-38704A9AE3F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K560" authorId="1" shapeId="0" xr:uid="{B83EDB84-E82F-469D-9B4A-ED4DDF33B69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HF 込み
</t>
        </r>
      </text>
    </comment>
    <comment ref="K562" authorId="1" shapeId="0" xr:uid="{0657F54E-97A7-48F0-8996-CAB8EE6A87C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562" authorId="0" shapeId="0" xr:uid="{42993130-2AEC-4688-8F98-B57D5630B5E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E571" authorId="0" shapeId="0" xr:uid="{B8CF91D8-7D7A-4564-A7D6-DA599090FC0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 3116</t>
        </r>
      </text>
    </comment>
    <comment ref="S571" authorId="1" shapeId="0" xr:uid="{8E8B7337-F0B6-49E2-A78B-90A7ED9D342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E612" authorId="1" shapeId="0" xr:uid="{F8DC49DF-FBEE-41DA-A15D-246DD7F4835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3170</t>
        </r>
      </text>
    </comment>
    <comment ref="K617" authorId="1" shapeId="0" xr:uid="{1B1E3063-EEDC-4DFF-97FA-88B78A16579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HF 込み</t>
        </r>
      </text>
    </comment>
    <comment ref="Q619" authorId="0" shapeId="0" xr:uid="{549BFBDB-609F-4905-9B3C-066E00BFA3D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レート90固定
</t>
        </r>
      </text>
    </comment>
    <comment ref="Q620" authorId="0" shapeId="0" xr:uid="{DB1005EC-4C14-4A07-9D52-37E8F935DB7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レート90固定
</t>
        </r>
      </text>
    </comment>
    <comment ref="K632" authorId="0" shapeId="0" xr:uid="{58FF0900-473A-4785-95CD-9B7CEB634C5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FOB Thailand</t>
        </r>
      </text>
    </comment>
    <comment ref="K633" authorId="0" shapeId="0" xr:uid="{D0303962-4DB4-438A-A21C-CE7D56F0542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FOB Thailand</t>
        </r>
      </text>
    </comment>
    <comment ref="K635" authorId="0" shapeId="0" xr:uid="{71139423-2589-44C8-AE34-EEDFE313FBF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FOB Thailand</t>
        </r>
      </text>
    </comment>
    <comment ref="K636" authorId="0" shapeId="0" xr:uid="{D01A32D2-CB47-41F9-B18E-96E30037251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FOB Thailand</t>
        </r>
      </text>
    </comment>
    <comment ref="G638" authorId="0" shapeId="0" xr:uid="{8BF570B3-3267-4EF3-8FE3-AF4CB7AAB6B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G640" authorId="0" shapeId="0" xr:uid="{BD7F9257-163E-4461-975B-82F10D81082E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G642" authorId="0" shapeId="0" xr:uid="{20B30AB2-B745-48FC-85B7-0520E8CA7A8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J642" authorId="0" shapeId="0" xr:uid="{829E3817-73C2-48B1-B7D7-1BC7956AB9F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5m test
1m shipping sample 
4m 控え
</t>
        </r>
      </text>
    </comment>
    <comment ref="J643" authorId="0" shapeId="0" xr:uid="{05D92A43-D4E3-4CA4-82AD-1FC82DB0644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5m test
1m shipping sample 
4m 控え
</t>
        </r>
      </text>
    </comment>
    <comment ref="G664" authorId="1" shapeId="0" xr:uid="{347522FC-34EF-448B-9B83-41E4FFEF2D0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Lot 0168YN </t>
        </r>
      </text>
    </comment>
    <comment ref="Q664" authorId="0" shapeId="0" xr:uid="{0B9F799D-74C4-497E-9077-185D5EB6073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レート90固定
</t>
        </r>
      </text>
    </comment>
    <comment ref="E668" authorId="0" shapeId="0" xr:uid="{5D91DB50-8F13-4148-92F6-2B66456D304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 # 3263</t>
        </r>
      </text>
    </comment>
    <comment ref="K668" authorId="1" shapeId="0" xr:uid="{894DFDEE-37AF-4BA0-8BD6-9EAE98D1263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EXW JAPAN USD 0.26/m 
(HF 15 + courier 250+Insurance 35)÷4350m  + 0.26 = abt 0.35
 </t>
        </r>
      </text>
    </comment>
    <comment ref="S668" authorId="1" shapeId="0" xr:uid="{94BE5FB3-E9C8-4EF8-8995-1460EA1F8E3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K669" authorId="1" shapeId="0" xr:uid="{4CE685A5-BEF8-4DB0-8E99-2B9A3D4565B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EXW JAPAN USD 0.46/m 
(HF 15 + courier 250+Insurance 35)÷4350m + (別注270 ÷1750m)+ 0.46 = abt 0.68
 </t>
        </r>
      </text>
    </comment>
    <comment ref="K670" authorId="0" shapeId="0" xr:uid="{7744A67C-CDFB-43DC-BBC0-5C436C0408E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HKに含んでる</t>
        </r>
      </text>
    </comment>
    <comment ref="K671" authorId="1" shapeId="0" xr:uid="{F32433B9-883E-4A81-B469-66CD032AE1C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EXW JAPAN USD 0.46/m 
(HF 15 + courier 250+Insurance 35)÷4350m + (別注270 + 小口50)÷1400m = abt 0.30
 </t>
        </r>
      </text>
    </comment>
    <comment ref="K672" authorId="0" shapeId="0" xr:uid="{789CD484-79E2-466D-978F-119D064D7D8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HKに含んでる</t>
        </r>
      </text>
    </comment>
    <comment ref="K673" authorId="0" shapeId="0" xr:uid="{633EBD2D-67E2-4C4D-A430-3567A2099F5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HKに含んでる</t>
        </r>
      </text>
    </comment>
    <comment ref="K674" authorId="0" shapeId="0" xr:uid="{6E5D50FC-5FA6-412E-B1C8-085D007CB1F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HKに含んでる</t>
        </r>
      </text>
    </comment>
    <comment ref="K675" authorId="0" shapeId="0" xr:uid="{8D771467-1CC9-4A55-BD43-D3E5127FA46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HKに含んでる</t>
        </r>
      </text>
    </comment>
    <comment ref="E678" authorId="1" shapeId="0" xr:uid="{01E10E0E-D557-46D6-B1F7-FC6277BE6E9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3261</t>
        </r>
      </text>
    </comment>
    <comment ref="E683" authorId="1" shapeId="0" xr:uid="{BEFE3031-5C2E-4035-ABDC-BEAA67E0A72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3275</t>
        </r>
      </text>
    </comment>
    <comment ref="K695" authorId="1" shapeId="0" xr:uid="{CDEF3C1B-3F46-4B01-B175-D8955E53DC3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HF 込み</t>
        </r>
      </text>
    </comment>
    <comment ref="G697" authorId="1" shapeId="0" xr:uid="{4ACE9EE5-254D-4F29-8F0A-EB5F93E908A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#2 = Lab-dip 2 </t>
        </r>
      </text>
    </comment>
    <comment ref="G698" authorId="1" shapeId="0" xr:uid="{475DBD1D-8729-42FB-878E-DB791F215E7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#2 = Lab-dip 2 </t>
        </r>
      </text>
    </comment>
    <comment ref="G699" authorId="1" shapeId="0" xr:uid="{26E09BA6-8281-4BAE-85C1-66A0F5D034C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#2 = Lab-dip 2 </t>
        </r>
      </text>
    </comment>
    <comment ref="E714" authorId="0" shapeId="0" xr:uid="{82AFB11E-DB8D-45CF-8BE6-09FB9CC506B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3283</t>
        </r>
      </text>
    </comment>
    <comment ref="K714" authorId="0" shapeId="0" xr:uid="{F848040B-78E5-4771-ADA2-6B8AD6D79DE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6.53/m
CIF &gt;&gt;&gt; Freight &amp; Handling Fee &amp; Insurance &amp; GB test </t>
        </r>
      </text>
    </comment>
    <comment ref="E715" authorId="0" shapeId="0" xr:uid="{1DF963FB-A356-4201-96C5-99659EF778A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3283</t>
        </r>
      </text>
    </comment>
    <comment ref="K715" authorId="0" shapeId="0" xr:uid="{BCAD4AE8-19CB-403E-AC0A-A19D52F6D56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6.53/m
CIF &gt;&gt;&gt; Freight &amp; Handling Fee &amp; Insurance &amp; GB test </t>
        </r>
      </text>
    </comment>
    <comment ref="E716" authorId="0" shapeId="0" xr:uid="{4645201B-160E-42E1-A16F-39947828A9F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3283</t>
        </r>
      </text>
    </comment>
    <comment ref="K716" authorId="0" shapeId="0" xr:uid="{4F3E5521-CE03-434A-B1AD-40035E6D9B5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6.53/m
CIF &gt;&gt;&gt; Freight &amp; Handling Fee &amp; Insurance &amp; GB test </t>
        </r>
      </text>
    </comment>
    <comment ref="E717" authorId="0" shapeId="0" xr:uid="{F1B4776C-CA9C-4927-9798-F0A225BDD22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3283</t>
        </r>
      </text>
    </comment>
    <comment ref="K717" authorId="0" shapeId="0" xr:uid="{3FE3F3DC-D166-4F5C-97DB-0B3974691EC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6.53/m
CIF &gt;&gt;&gt; Freight &amp; Handling Fee &amp; Insurance &amp; GB test </t>
        </r>
      </text>
    </comment>
    <comment ref="E718" authorId="0" shapeId="0" xr:uid="{193474F9-745A-48FA-822F-AD0EC7E3221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3283</t>
        </r>
      </text>
    </comment>
    <comment ref="K718" authorId="0" shapeId="0" xr:uid="{3B6C75AE-C9A5-4148-8D87-6C35E6D8213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6.53/m
CIF &gt;&gt;&gt; Freight &amp; Handling Fee &amp; Insurance &amp; GB test </t>
        </r>
      </text>
    </comment>
    <comment ref="K719" authorId="0" shapeId="0" xr:uid="{2EB4E72A-FF46-41AD-B486-29CF24F0231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K720" authorId="0" shapeId="0" xr:uid="{1B455F15-0CDD-4245-A4CF-4CCA800F452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K721" authorId="0" shapeId="0" xr:uid="{36DDBB28-4DB5-47FB-9294-9F7EDB08A44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K722" authorId="0" shapeId="0" xr:uid="{F314AC60-EAC3-4A51-9457-968745407DD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K723" authorId="0" shapeId="0" xr:uid="{C9178084-D5A0-465B-908A-8D0CC93ADF5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6.53/m
GB test= USD 150 ( NYが支払うので、NY には請求無し） </t>
        </r>
      </text>
    </comment>
    <comment ref="Q723" authorId="0" shapeId="0" xr:uid="{45006B84-45A6-4779-9CBB-B468AD38015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EXW USD 6.53/m
GB test= USD 150 ( NYが支払うので、NY には請求無し） </t>
        </r>
      </text>
    </comment>
    <comment ref="Q726" authorId="1" shapeId="0" xr:uid="{AE7F0A68-9BC6-41CD-AAC7-7C24E53245C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K728" authorId="1" shapeId="0" xr:uid="{242C6F4A-BFE2-4C6A-B5A5-6008F253622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HF 込み
</t>
        </r>
      </text>
    </comment>
    <comment ref="K730" authorId="1" shapeId="0" xr:uid="{A01F7261-D07F-4705-B7A8-F9009AE1A58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Black単価106に合わせて計算</t>
        </r>
      </text>
    </comment>
    <comment ref="K731" authorId="1" shapeId="0" xr:uid="{1B30EF7D-2E23-45D8-88BD-B6BEEEE77C81}">
      <text>
        <r>
          <rPr>
            <b/>
            <sz val="9"/>
            <color indexed="81"/>
            <rFont val="MS P ゴシック"/>
            <family val="3"/>
            <charset val="128"/>
          </rPr>
          <t>chiba:
染色+30込みの単価で計算</t>
        </r>
      </text>
    </comment>
    <comment ref="K733" authorId="1" shapeId="0" xr:uid="{17CC4F0C-905D-448F-BCCC-0AC333D4F38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HF 込み
</t>
        </r>
      </text>
    </comment>
    <comment ref="E735" authorId="1" shapeId="0" xr:uid="{564A3056-A7AE-44FC-95B0-3F75E090F2A6}">
      <text>
        <r>
          <rPr>
            <b/>
            <sz val="9"/>
            <color indexed="81"/>
            <rFont val="MS P ゴシック"/>
            <family val="3"/>
            <charset val="128"/>
          </rPr>
          <t>chiba:
PI # 3296</t>
        </r>
      </text>
    </comment>
    <comment ref="S735" authorId="1" shapeId="0" xr:uid="{E7ECD160-9BAA-484C-90D8-605D9AB0EEB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値引き単価</t>
        </r>
      </text>
    </comment>
    <comment ref="E738" authorId="1" shapeId="0" xr:uid="{D9B3C354-09DA-4C6D-919B-FB55064E32A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PI # 3297
</t>
        </r>
      </text>
    </comment>
    <comment ref="S738" authorId="1" shapeId="0" xr:uid="{596ACD86-1E0B-4F6E-B0A7-B25C08B2A59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値引き単価</t>
        </r>
      </text>
    </comment>
    <comment ref="E741" authorId="1" shapeId="0" xr:uid="{4A0CCCBA-3B69-4D1A-8D4F-3B405126E24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PI # 3298
</t>
        </r>
      </text>
    </comment>
    <comment ref="S741" authorId="1" shapeId="0" xr:uid="{E2FA7920-ACC4-467E-905B-48940583A30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値引き単価</t>
        </r>
      </text>
    </comment>
    <comment ref="E744" authorId="1" shapeId="0" xr:uid="{778F58B2-526D-40DD-BF3E-940068FC4231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PI # 3299
</t>
        </r>
      </text>
    </comment>
    <comment ref="E745" authorId="1" shapeId="0" xr:uid="{F658A769-7036-4A49-9C1C-D7DE83F05EB7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PI # 3299
</t>
        </r>
      </text>
    </comment>
    <comment ref="E746" authorId="1" shapeId="0" xr:uid="{A6DBC2B9-0E99-4E2B-93B5-2577D6B7057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PI # 3299
</t>
        </r>
      </text>
    </comment>
    <comment ref="E750" authorId="1" shapeId="0" xr:uid="{B2785731-719E-4F44-A051-0E7738C6E81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3315</t>
        </r>
      </text>
    </comment>
    <comment ref="S750" authorId="1" shapeId="0" xr:uid="{CC9D8C9D-2F2B-438B-B65F-F1D1AB6FCCF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Q756" authorId="1" shapeId="0" xr:uid="{0DB3C989-CE77-4398-ADCE-A97F7864872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K765" authorId="1" shapeId="0" xr:uid="{D531A79D-6581-4FFB-BECF-77D73AA3609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HF 込み
</t>
        </r>
      </text>
    </comment>
    <comment ref="K769" authorId="1" shapeId="0" xr:uid="{344F089E-772C-4CCE-984E-9BC37204057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HF 込み
</t>
        </r>
      </text>
    </comment>
    <comment ref="E771" authorId="1" shapeId="0" xr:uid="{80EA1375-79FE-4406-AC1E-8C2FFB09583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3316</t>
        </r>
      </text>
    </comment>
    <comment ref="Q771" authorId="1" shapeId="0" xr:uid="{E911C6F3-D34D-4328-B659-C5115B1B0F0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Q772" authorId="1" shapeId="0" xr:uid="{EEA5AB57-17B2-44ED-B8E8-79449CD7442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Q773" authorId="1" shapeId="0" xr:uid="{BF260261-47FC-42E4-BF11-6CA031A4332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Q774" authorId="1" shapeId="0" xr:uid="{AB83D537-0A82-47BA-99F8-F1CC5700FA5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K778" authorId="1" shapeId="0" xr:uid="{3D1D32AE-E78E-4050-B3BE-827FFAF0625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HF 込み
</t>
        </r>
      </text>
    </comment>
    <comment ref="E786" authorId="1" shapeId="0" xr:uid="{F22FC4BC-667F-47BA-99BF-C9C1684B066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 : 3340</t>
        </r>
      </text>
    </comment>
    <comment ref="K786" authorId="1" shapeId="0" xr:uid="{B0E85817-8947-493D-BDC6-66E8AC85266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0.34/m ( FedEx $0.23/m ) </t>
        </r>
      </text>
    </comment>
    <comment ref="K787" authorId="1" shapeId="0" xr:uid="{DA591051-616A-4DA5-85D2-98340736D41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0.34/m ( FedEx $0.23/m ) </t>
        </r>
      </text>
    </comment>
    <comment ref="K788" authorId="1" shapeId="0" xr:uid="{ECA215BF-2C71-46A9-9050-57CC7FEA586B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0.34/m ( FedEx $0.23/m ) </t>
        </r>
      </text>
    </comment>
    <comment ref="K789" authorId="1" shapeId="0" xr:uid="{498B00AA-589A-4F02-80F7-410963E81E8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0.34/m ( FedEx $0.23/m ) </t>
        </r>
      </text>
    </comment>
    <comment ref="K791" authorId="1" shapeId="0" xr:uid="{FB8C416E-FBE2-41FE-8475-1E8715F4600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0.36/m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0.59/m ( FedEx $0.23/m ) </t>
        </r>
      </text>
    </comment>
    <comment ref="K792" authorId="1" shapeId="0" xr:uid="{CB4C7FD7-E339-4BE4-88C6-899E9F59E8A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0.36/m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0.59/m ( FedEx $0.23/m ) </t>
        </r>
      </text>
    </comment>
    <comment ref="K793" authorId="0" shapeId="0" xr:uid="{9091E3F4-C760-4EB4-97BF-1845B565CD5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顧客invoice では、1 setのみ記載</t>
        </r>
      </text>
    </comment>
    <comment ref="K794" authorId="0" shapeId="0" xr:uid="{E7A7953C-305F-43DA-8A31-C2E0003001D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顧客invoice では、1 setのみ記載</t>
        </r>
      </text>
    </comment>
    <comment ref="K795" authorId="1" shapeId="0" xr:uid="{61079DCA-F417-469A-9851-40B0BBE3CBF7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0.34/m ( FedEx $0.23/m ) </t>
        </r>
      </text>
    </comment>
    <comment ref="E797" authorId="0" shapeId="0" xr:uid="{A4FBEAB5-AF54-488B-801A-E432C54028A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3371</t>
        </r>
      </text>
    </comment>
    <comment ref="K822" authorId="1" shapeId="0" xr:uid="{266D6313-C2C8-434A-B2F2-391405F7DA9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HF 込み
</t>
        </r>
      </text>
    </comment>
    <comment ref="E824" authorId="0" shapeId="0" xr:uid="{690B70D4-F173-4079-BAC4-C1B10826EEC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3368 </t>
        </r>
      </text>
    </comment>
    <comment ref="E829" authorId="0" shapeId="0" xr:uid="{52246124-4F6E-4C40-B29E-717428B766B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3369 </t>
        </r>
      </text>
    </comment>
    <comment ref="K834" authorId="0" shapeId="0" xr:uid="{0ECA6EA3-39DA-4C6F-8C09-D0558CB6830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USD 180 に含んでいる</t>
        </r>
      </text>
    </comment>
    <comment ref="E839" authorId="0" shapeId="0" xr:uid="{1A9A59C5-7CBE-4C78-8402-D266C89B156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3370</t>
        </r>
      </text>
    </comment>
    <comment ref="K846" authorId="0" shapeId="0" xr:uid="{0FE7CFA0-03AF-4C8C-89EC-78F97FB9B81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USD 180 に含んでいる</t>
        </r>
      </text>
    </comment>
    <comment ref="K847" authorId="0" shapeId="0" xr:uid="{77DD1E31-BFD9-4E42-9100-35D9753F3E6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USD 180 に含んでいる</t>
        </r>
      </text>
    </comment>
    <comment ref="Q870" authorId="1" shapeId="0" xr:uid="{13BD81F4-7312-49C7-BBE5-4B02DFE6207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Q871" authorId="1" shapeId="0" xr:uid="{68280B77-2D29-45D0-968F-05A78A3F10E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K878" authorId="1" shapeId="0" xr:uid="{ECA7B776-5921-40DA-AB34-6F69C9FE264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HF 込み
</t>
        </r>
      </text>
    </comment>
    <comment ref="K884" authorId="0" shapeId="0" xr:uid="{4016D58D-6EBC-45B5-AE3A-00EA4BB020D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K886" authorId="1" shapeId="0" xr:uid="{B81F6C4F-A295-4D40-9077-824CC0D59A1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HF 込み
</t>
        </r>
      </text>
    </comment>
    <comment ref="E888" authorId="1" shapeId="0" xr:uid="{732FBE43-1ED2-4790-BB87-08423458B8D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3385</t>
        </r>
      </text>
    </comment>
    <comment ref="K891" authorId="1" shapeId="0" xr:uid="{BE121C04-B88F-4F0E-9F21-0E9CC3E7F59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HF 込み
</t>
        </r>
      </text>
    </comment>
    <comment ref="K899" authorId="0" shapeId="0" xr:uid="{604E24F6-4B8D-4808-9273-7842CABB4EB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USD 180 に含んでいる</t>
        </r>
      </text>
    </comment>
    <comment ref="K916" authorId="1" shapeId="0" xr:uid="{7A591B04-6DA7-412E-B070-5E86BBF773C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HF 込み
</t>
        </r>
      </text>
    </comment>
    <comment ref="E925" authorId="0" shapeId="0" xr:uid="{66B84C40-5A59-4A08-B7ED-54FD6454164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CM-0024-China version</t>
        </r>
      </text>
    </comment>
    <comment ref="Q925" authorId="0" shapeId="0" xr:uid="{C68A3B2A-F606-4820-9147-063D7FB2F99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Osaka 50% / NY 50%
</t>
        </r>
      </text>
    </comment>
    <comment ref="S925" authorId="1" shapeId="0" xr:uid="{D395655C-6B78-4DFA-9995-94F5FA1AEA7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仕入先：Double M ( China) 
</t>
        </r>
      </text>
    </comment>
    <comment ref="E926" authorId="0" shapeId="0" xr:uid="{4A2FD37D-36FA-484F-BB81-30078056D7E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CM-0024-China version</t>
        </r>
      </text>
    </comment>
    <comment ref="Q926" authorId="0" shapeId="0" xr:uid="{82F6BB18-EFA5-4FA7-A012-A985E2D974E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Osaka 50% / NY 50%
</t>
        </r>
      </text>
    </comment>
    <comment ref="S926" authorId="1" shapeId="0" xr:uid="{6A7E3BAF-CE0C-4CA7-8C22-FC32CBEA244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仕入先：Double M ( China) 
</t>
        </r>
      </text>
    </comment>
    <comment ref="T926" authorId="0" shapeId="0" xr:uid="{C41F995A-F9BC-4411-932A-4C1C2F1171E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USD0.84 x 2150m = USD 1806</t>
        </r>
      </text>
    </comment>
    <comment ref="E942" authorId="0" shapeId="0" xr:uid="{A41D6625-CF13-4F91-A1EA-3DE70DC0031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3448</t>
        </r>
      </text>
    </comment>
    <comment ref="K962" authorId="1" shapeId="0" xr:uid="{265F00B8-0011-4282-9EB3-C1AD8BC31DC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HF 込み
</t>
        </r>
      </text>
    </comment>
    <comment ref="K968" authorId="1" shapeId="0" xr:uid="{F5F522F1-0850-47CB-9617-07389F0E067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顧客への請求無し・NY のみ請求</t>
        </r>
      </text>
    </comment>
    <comment ref="E986" authorId="0" shapeId="0" xr:uid="{BE744B71-58DC-4532-A556-1D18FCE3A1E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PI＃3528</t>
        </r>
      </text>
    </comment>
    <comment ref="K989" authorId="0" shapeId="0" xr:uid="{99D56A93-4AC3-4E56-9C22-517B0BF1B17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USD 200 に含んでいる</t>
        </r>
      </text>
    </comment>
    <comment ref="E1013" authorId="1" shapeId="0" xr:uid="{E0FD6D8C-D63B-40DD-83A4-0A84E9FDD50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3519 </t>
        </r>
      </text>
    </comment>
    <comment ref="K1013" authorId="1" shapeId="0" xr:uid="{27AC5911-006A-4098-AD2D-447F84930AB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0.38/m ( FedEx $0.19/m ) </t>
        </r>
      </text>
    </comment>
    <comment ref="K1014" authorId="1" shapeId="0" xr:uid="{D9D8F8FE-63D1-4CEE-A0D2-D517CB8C9CF1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0.38/m ( FedEx $0.19/m ) </t>
        </r>
      </text>
    </comment>
    <comment ref="K1015" authorId="1" shapeId="0" xr:uid="{7C1DA170-D697-47E3-87CE-A5DDBD576C29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0.38/m ( FedEx $0.19/m ) </t>
        </r>
      </text>
    </comment>
    <comment ref="K1017" authorId="1" shapeId="0" xr:uid="{E6ED37C3-1BBB-415D-AB08-0E235B940DEE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0.38/m ( FedEx $0.19/m ) </t>
        </r>
      </text>
    </comment>
    <comment ref="S1028" authorId="1" shapeId="0" xr:uid="{3B5DAE8A-4EE5-4EA1-B39A-9105660EE64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S1029" authorId="1" shapeId="0" xr:uid="{82355DB7-6751-409F-B8EE-F1933413610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E1041" authorId="0" shapeId="0" xr:uid="{8037728C-4F36-463D-8F0A-3C4F149E372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INV 3548</t>
        </r>
      </text>
    </comment>
    <comment ref="Q1058" authorId="1" shapeId="0" xr:uid="{832C39E2-666E-4054-A272-4E43FF41F5E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Osaka - NY Cut Fee USD 12</t>
        </r>
      </text>
    </comment>
    <comment ref="Q1063" authorId="1" shapeId="0" xr:uid="{84323787-FBCE-4E16-AC69-11411FEE54E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Osaka - NY Cut Fee USD 12</t>
        </r>
      </text>
    </comment>
    <comment ref="E1079" authorId="0" shapeId="0" xr:uid="{19044529-558B-4E40-8A70-805B0E66DE8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アイメックス　MOKUBA商品</t>
        </r>
      </text>
    </comment>
    <comment ref="E1080" authorId="0" shapeId="0" xr:uid="{5614B0FD-0EEC-4D8C-B841-A59A8D7F5F9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アイメックス　MOKUBA商品</t>
        </r>
      </text>
    </comment>
    <comment ref="O1082" authorId="0" shapeId="0" xr:uid="{5D80BB78-B1D9-49AD-B107-6E7CAEA4544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10/27入金済</t>
        </r>
      </text>
    </comment>
    <comment ref="E1083" authorId="1" shapeId="0" xr:uid="{9FE1DEBF-AC04-48F0-AD6E-81FF9E4D0B9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3580</t>
        </r>
      </text>
    </comment>
    <comment ref="O1083" authorId="0" shapeId="0" xr:uid="{DC62D1AD-D5E6-45AE-AFF2-6F40A35D849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10/27入金済</t>
        </r>
      </text>
    </comment>
    <comment ref="S1083" authorId="1" shapeId="0" xr:uid="{740A373F-A825-41CC-B178-F4FB9482897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O1084" authorId="0" shapeId="0" xr:uid="{CB0814D9-B409-4E39-8711-222C935C8A6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10/27入金済</t>
        </r>
      </text>
    </comment>
    <comment ref="O1085" authorId="0" shapeId="0" xr:uid="{DCD77998-5A9A-4A05-A169-5F0CE8AC9D9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10/27入金済</t>
        </r>
      </text>
    </comment>
    <comment ref="O1086" authorId="0" shapeId="0" xr:uid="{AA88239E-4D3A-4626-9C93-F003543F89C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10/27入金済</t>
        </r>
      </text>
    </comment>
    <comment ref="Q1086" authorId="1" shapeId="0" xr:uid="{B4AE9888-DD38-43B2-9AC0-0DD388FE5AFD}">
      <text>
        <r>
          <rPr>
            <b/>
            <sz val="9"/>
            <color indexed="81"/>
            <rFont val="MS P ゴシック"/>
            <family val="3"/>
            <charset val="128"/>
          </rPr>
          <t>chiba
サンプル5m 分の運賃</t>
        </r>
      </text>
    </comment>
    <comment ref="O1087" authorId="0" shapeId="0" xr:uid="{67DA9D3B-3FB3-498B-82C0-5E1797BA34C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10/27入金済</t>
        </r>
      </text>
    </comment>
    <comment ref="K1100" authorId="1" shapeId="0" xr:uid="{709EC095-EBB4-42AD-9A64-24A7B3D511B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K1102" authorId="1" shapeId="0" xr:uid="{33EF1A97-8C64-4D9C-9F47-AE1BF96E62B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117" authorId="0" shapeId="0" xr:uid="{7781817E-05F0-40F7-B489-12CDE6A1D0E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アイメックス　MOKUBA商品</t>
        </r>
      </text>
    </comment>
    <comment ref="E1121" authorId="1" shapeId="0" xr:uid="{E65B036E-EBF3-4C88-8B8C-515D1B57CEF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PI＃3603</t>
        </r>
      </text>
    </comment>
    <comment ref="K1121" authorId="1" shapeId="0" xr:uid="{75F310EA-BC7E-4656-8120-D9F33CE320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0.38/m ( FedEx $0.19/m ) </t>
        </r>
      </text>
    </comment>
    <comment ref="K1122" authorId="1" shapeId="0" xr:uid="{7FD3E2D0-9400-4AB4-92B7-EBC47725BEBA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0.38/m ( FedEx $0.19/m ) </t>
        </r>
      </text>
    </comment>
    <comment ref="K1123" authorId="1" shapeId="0" xr:uid="{CAFBD76A-6260-4844-8410-97B980F18D5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0.38/m ( FedEx $0.19/m ) </t>
        </r>
      </text>
    </comment>
    <comment ref="K1124" authorId="1" shapeId="0" xr:uid="{1A4179B1-F2CA-47BE-9929-4088F35FE065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0.38/m ( FedEx $0.19/m ) </t>
        </r>
      </text>
    </comment>
    <comment ref="K1126" authorId="1" shapeId="0" xr:uid="{E59C1827-C179-4A26-B983-1904B93D9AB1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0.38/m ( FedEx $0.19/m ) </t>
        </r>
      </text>
    </comment>
    <comment ref="E1133" authorId="0" shapeId="0" xr:uid="{D94DBAC7-9716-4655-9E66-A689A2A03DA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3622
</t>
        </r>
      </text>
    </comment>
    <comment ref="S1133" authorId="1" shapeId="0" xr:uid="{B10C989B-8F58-48E0-88E4-65343F2E841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E1137" authorId="1" shapeId="0" xr:uid="{6B290790-ED3B-4B87-BC77-6840BBB1B8C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3621</t>
        </r>
      </text>
    </comment>
    <comment ref="E1142" authorId="1" shapeId="0" xr:uid="{9573300C-1F60-49B4-A22D-7E6A6545E91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3729</t>
        </r>
      </text>
    </comment>
    <comment ref="K1142" authorId="0" shapeId="0" xr:uid="{7A373598-A04B-4988-8F19-B80B787D7E4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通常EXW USD 6.53/m
今回特別にバルク単価で対応</t>
        </r>
      </text>
    </comment>
    <comment ref="Q1142" authorId="0" shapeId="0" xr:uid="{04DFB143-6209-46E5-B42E-F90112CB70C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通常EXW USD 6.53/m
今回特別にバルク単価で対応</t>
        </r>
      </text>
    </comment>
    <comment ref="K1143" authorId="0" shapeId="0" xr:uid="{3B47E797-E73E-4399-98AB-F7B01B72653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K1144" authorId="0" shapeId="0" xr:uid="{BC895DF1-59AD-4E8E-A13A-6685A3521E4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K1145" authorId="0" shapeId="0" xr:uid="{0691A3E6-2B81-46F9-B78B-212EA544F19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K1146" authorId="0" shapeId="0" xr:uid="{4844F942-EDCA-42A9-8945-BF9A9EC6CE3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K1147" authorId="0" shapeId="0" xr:uid="{34E147BB-0788-4E96-80C0-E2D74420E3F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K1148" authorId="0" shapeId="0" xr:uid="{B39EB1E4-CC4E-440F-ABE3-15DCC3E6E70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6.53/m
GB test= USD 150 ( NYが支払うので、NY には請求無し） </t>
        </r>
      </text>
    </comment>
    <comment ref="Q1148" authorId="0" shapeId="0" xr:uid="{CBEA6843-AA57-4026-9EE9-4CB9671C76A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EXW USD 6.53/m
GB test= USD 150 ( NYが支払うので、NY には請求無し） </t>
        </r>
      </text>
    </comment>
    <comment ref="K1151" authorId="0" shapeId="0" xr:uid="{6DA06496-F778-4ECD-A454-E99C16B00A1C}">
      <text>
        <r>
          <rPr>
            <b/>
            <sz val="9"/>
            <color indexed="81"/>
            <rFont val="MS P ゴシック"/>
            <family val="3"/>
            <charset val="128"/>
          </rPr>
          <t>sunfashion:
サンプル2倍単価
通常3.67</t>
        </r>
      </text>
    </comment>
    <comment ref="S1151" authorId="0" shapeId="0" xr:uid="{1F7AE186-3CF4-430A-B30F-4B5215C6861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サンプル1.5倍単価
</t>
        </r>
      </text>
    </comment>
    <comment ref="E1158" authorId="1" shapeId="0" xr:uid="{D8CF78B3-B7B4-44CD-B774-D6212304789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3787</t>
        </r>
      </text>
    </comment>
    <comment ref="E1159" authorId="1" shapeId="0" xr:uid="{DB0FD9B9-6118-4721-8BC8-649CB0CC7A5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3787</t>
        </r>
      </text>
    </comment>
    <comment ref="E1165" authorId="1" shapeId="0" xr:uid="{54982ADB-BDDC-4656-8169-F4D054EDA5B1}">
      <text>
        <r>
          <rPr>
            <b/>
            <sz val="9"/>
            <color indexed="81"/>
            <rFont val="MS P ゴシック"/>
            <family val="3"/>
            <charset val="128"/>
          </rPr>
          <t>chiba
PI# 3788</t>
        </r>
      </text>
    </comment>
    <comment ref="E1166" authorId="1" shapeId="0" xr:uid="{D5B17B9F-5655-40FF-AB7D-8013F15B524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3787</t>
        </r>
      </text>
    </comment>
    <comment ref="Q1180" authorId="1" shapeId="0" xr:uid="{D5913082-8BE8-4321-A507-AD8EDDE3AE4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E1189" authorId="0" shapeId="0" xr:uid="{69694AFA-AE7A-4015-910C-CF72C1DD2EE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3639</t>
        </r>
      </text>
    </comment>
    <comment ref="K1189" authorId="0" shapeId="0" xr:uid="{94A5FFB9-B303-46B3-8013-D9F947FEAC7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$0.46/m
C&amp;F China : $0.55/m</t>
        </r>
      </text>
    </comment>
    <comment ref="K1190" authorId="0" shapeId="0" xr:uid="{070AD203-9980-43BD-A514-0DBF6A84F3C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$0.46/m
C&amp;F China : $0.55/m</t>
        </r>
      </text>
    </comment>
    <comment ref="E1194" authorId="1" shapeId="0" xr:uid="{8DE28648-FE99-4BBB-A689-5B325D018BF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PI＃3646</t>
        </r>
      </text>
    </comment>
    <comment ref="S1200" authorId="1" shapeId="0" xr:uid="{7706B79F-F9D5-43B9-98EA-272323CB58B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E1207" authorId="1" shapeId="0" xr:uid="{C70616A9-9E5E-405F-B6EE-52DC34BE9A9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PO# 318 = PI# 3650</t>
        </r>
      </text>
    </comment>
    <comment ref="S1214" authorId="1" shapeId="0" xr:uid="{C56238D0-D45C-41E1-8C3C-38E82E19461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E1222" authorId="0" shapeId="0" xr:uid="{053569B5-A5A6-44A8-80A9-DC7E61AA48D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3657（Alix PO319)
</t>
        </r>
      </text>
    </comment>
    <comment ref="Q1232" authorId="1" shapeId="0" xr:uid="{C74C7303-084F-4C81-AD33-543505BAA27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E1249" authorId="1" shapeId="0" xr:uid="{69F0D3EF-D357-4BFC-B1EF-D7005F098B3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3678</t>
        </r>
      </text>
    </comment>
    <comment ref="Q1252" authorId="1" shapeId="0" xr:uid="{9405097C-CD06-473A-8C12-F8C9F96CB96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Q1253" authorId="1" shapeId="0" xr:uid="{9D7CDB2C-35A5-4936-8D6F-9B63D3452D0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Q1254" authorId="1" shapeId="0" xr:uid="{B840ACD9-554C-4D03-810B-FCCA755BD67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Q1255" authorId="1" shapeId="0" xr:uid="{0291A171-2710-433B-A679-520760D0C42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E1265" authorId="1" shapeId="0" xr:uid="{DCA944D0-8B11-4910-8BB1-BAAEA431CE4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3688</t>
        </r>
      </text>
    </comment>
    <comment ref="E1271" authorId="1" shapeId="0" xr:uid="{3103EDA8-DEC5-47EF-AF3B-56E06ADFD1B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5540広幅バージョン
（5540から5540W に移行）
</t>
        </r>
      </text>
    </comment>
    <comment ref="E1275" authorId="1" shapeId="0" xr:uid="{9A0FC173-807D-43BF-9233-A1ACC2E9D22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3707</t>
        </r>
      </text>
    </comment>
    <comment ref="E1279" authorId="1" shapeId="0" xr:uid="{023C3B26-CE04-4CA5-9B5D-B69335CFCE8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3708
</t>
        </r>
      </text>
    </comment>
    <comment ref="Q1281" authorId="1" shapeId="0" xr:uid="{60F3F431-93C3-4E21-BD61-BF8BAA7726B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FedEx 6500円で小林さんに連絡</t>
        </r>
      </text>
    </comment>
    <comment ref="E1283" authorId="1" shapeId="0" xr:uid="{FDCC130E-93DE-4D8C-901C-E96BFB45C4B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3702</t>
        </r>
      </text>
    </comment>
    <comment ref="K1283" authorId="1" shapeId="0" xr:uid="{BE7474C6-B5D2-4F42-B04B-28B06D52EC7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JAPAN USD 0.26
C&amp;F HK : USD 0.32
</t>
        </r>
      </text>
    </comment>
    <comment ref="K1284" authorId="1" shapeId="0" xr:uid="{B1BB7E03-DBBB-4C63-B186-044E972EB38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JAPAN USD 0.26
C&amp;F HK : USD 0.32
</t>
        </r>
      </text>
    </comment>
    <comment ref="K1285" authorId="1" shapeId="0" xr:uid="{FBE6EFD6-661F-410B-9782-2F6071E21D0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JAPAN USD 0.33
C&amp;F HK : USD 0.41
</t>
        </r>
      </text>
    </comment>
    <comment ref="Q1287" authorId="1" shapeId="0" xr:uid="{D7D879F2-686E-421B-AE53-9F7AAC7BC59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FedEx 3500円で小林さんに連絡</t>
        </r>
      </text>
    </comment>
    <comment ref="S1305" authorId="1" shapeId="0" xr:uid="{5DB12792-84AC-49ED-83D9-00FF03026D3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本来は200円</t>
        </r>
      </text>
    </comment>
    <comment ref="E1313" authorId="0" shapeId="0" xr:uid="{586E5EED-267B-466C-B501-019F4E0040B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 # 3744</t>
        </r>
      </text>
    </comment>
    <comment ref="K1313" authorId="1" shapeId="0" xr:uid="{9EA191E6-2BE2-40F8-AAAD-C12C838DD8E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50%
染色代込
</t>
        </r>
      </text>
    </comment>
    <comment ref="K1314" authorId="1" shapeId="0" xr:uid="{654DCFED-68A6-4E94-B0B6-AB8F0C923E8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50%
染色代込
</t>
        </r>
      </text>
    </comment>
    <comment ref="K1315" authorId="1" shapeId="0" xr:uid="{DF983D56-7683-4A31-8EB0-FCB3696782C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50%
染色代込
</t>
        </r>
      </text>
    </comment>
    <comment ref="K1318" authorId="1" shapeId="0" xr:uid="{ACFAEF5E-5C5B-4BD1-86E3-014A36DEFDC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50%
染色代込
</t>
        </r>
      </text>
    </comment>
    <comment ref="K1319" authorId="1" shapeId="0" xr:uid="{28767601-06AD-478B-9B23-0DB7BD4877E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50%
染色代込
</t>
        </r>
      </text>
    </comment>
    <comment ref="K1320" authorId="1" shapeId="0" xr:uid="{6D4FD0C6-D234-4893-8DA4-371E69C1EFE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50%
染色代込
</t>
        </r>
      </text>
    </comment>
    <comment ref="E1327" authorId="0" shapeId="0" xr:uid="{43BADAB7-9D1D-448A-A5F0-5B1D2CBB5A1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SF 品番- 5642 (M ) </t>
        </r>
      </text>
    </comment>
    <comment ref="E1328" authorId="0" shapeId="0" xr:uid="{61FA7AC8-8703-4496-9817-120991B30D9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SF 品番- 5642 (M ) </t>
        </r>
      </text>
    </comment>
    <comment ref="E1329" authorId="0" shapeId="0" xr:uid="{0928BF8B-04FD-4FCA-B7FE-85786C077A7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SF 品番- 5642 (M ) </t>
        </r>
      </text>
    </comment>
    <comment ref="E1330" authorId="0" shapeId="0" xr:uid="{7492DDE9-9D4F-477E-80BD-C15172142E2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SF 品番- 5642 (M ) </t>
        </r>
      </text>
    </comment>
    <comment ref="E1331" authorId="0" shapeId="0" xr:uid="{36D0F278-4B64-4E6F-815B-E3C313CC110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SF 品番- 5642 (M ) </t>
        </r>
      </text>
    </comment>
    <comment ref="E1332" authorId="0" shapeId="0" xr:uid="{E6A3BDD5-B55E-483C-872C-02A9464AF04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SF 品番- 5642 (M ) </t>
        </r>
      </text>
    </comment>
    <comment ref="E1333" authorId="0" shapeId="0" xr:uid="{6FE397FA-397D-40E4-9631-F8C75CB3869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SF 品番- 5642 (M ) </t>
        </r>
      </text>
    </comment>
    <comment ref="E1334" authorId="0" shapeId="0" xr:uid="{363E1017-A623-4FB4-9402-46593103740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SF 品番- 5642 (M ) </t>
        </r>
      </text>
    </comment>
    <comment ref="E1336" authorId="0" shapeId="0" xr:uid="{A7EACD9A-F3E6-4F13-B1FB-2CD5CDA6999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 SF品番- 5643 (M ) </t>
        </r>
      </text>
    </comment>
    <comment ref="E1337" authorId="0" shapeId="0" xr:uid="{04CB2593-BAE5-4996-87B7-6B8CB3C8BF1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 SF品番- 5643 (M ) </t>
        </r>
      </text>
    </comment>
    <comment ref="E1338" authorId="0" shapeId="0" xr:uid="{C72C67D2-6CCF-4CC1-A863-48B2A4C6D78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 SF品番- 5643 (M ) </t>
        </r>
      </text>
    </comment>
    <comment ref="E1339" authorId="0" shapeId="0" xr:uid="{599E0DA2-5148-486A-8610-6B608743378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 SF品番- 5643 (M ) </t>
        </r>
      </text>
    </comment>
    <comment ref="E1340" authorId="0" shapeId="0" xr:uid="{487110E6-4354-4D14-ADDF-22035B06F4D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 SF品番- 5643 (M ) </t>
        </r>
      </text>
    </comment>
    <comment ref="E1341" authorId="0" shapeId="0" xr:uid="{FA612613-F138-4250-90D4-F2C2A9A0CCA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 SF品番- 5643 (M ) </t>
        </r>
      </text>
    </comment>
    <comment ref="E1342" authorId="0" shapeId="0" xr:uid="{72B99576-021D-4DE3-B03A-ECCA9B63C5E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 SF品番- 5643 (M ) </t>
        </r>
      </text>
    </comment>
    <comment ref="E1343" authorId="0" shapeId="0" xr:uid="{4132CC88-5651-4067-B586-5A774D2A90D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 SF品番- 5643 (M ) </t>
        </r>
      </text>
    </comment>
    <comment ref="E1348" authorId="1" shapeId="0" xr:uid="{979953DE-E0FE-4CAA-81DC-62CBBD544BD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3742</t>
        </r>
      </text>
    </comment>
    <comment ref="T1352" authorId="1" shapeId="0" xr:uid="{E2B077FD-B3DC-428E-978A-EB8A29ECD3D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大阪負担</t>
        </r>
      </text>
    </comment>
    <comment ref="Q1353" authorId="1" shapeId="0" xr:uid="{3DF93DEB-4294-4259-9AD6-A4328AF0A25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6000円で連絡
</t>
        </r>
      </text>
    </comment>
    <comment ref="E1355" authorId="1" shapeId="0" xr:uid="{ACE5E532-84BC-4413-8CC5-C5AE83A1D71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3743</t>
        </r>
      </text>
    </comment>
    <comment ref="I1356" authorId="0" shapeId="0" xr:uid="{69D70A45-4DC3-45EF-B0F5-9A0BD6F4FE3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7 rolls に変更？</t>
        </r>
      </text>
    </comment>
    <comment ref="S1357" authorId="1" shapeId="0" xr:uid="{1D4C7671-1B2A-45A3-BED6-432AB109E1FE}">
      <text>
        <r>
          <rPr>
            <b/>
            <sz val="9"/>
            <color indexed="81"/>
            <rFont val="MS P ゴシック"/>
            <family val="3"/>
            <charset val="128"/>
          </rPr>
          <t>chiba:
運賃0 / 白メンコ 30円 x 32 反　= 960 円</t>
        </r>
      </text>
    </comment>
    <comment ref="Q1358" authorId="1" shapeId="0" xr:uid="{FEA76D36-BE16-43AB-BB52-DF86242A99C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6000円で連絡
</t>
        </r>
      </text>
    </comment>
    <comment ref="E1360" authorId="0" shapeId="0" xr:uid="{A80A2CD5-EAC8-4284-982E-F5ECB792468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アイメックス　MOKUBA商品</t>
        </r>
      </text>
    </comment>
    <comment ref="E1362" authorId="0" shapeId="0" xr:uid="{B22A8A8E-6065-431A-A344-7275AE1FD8D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アイメックス　MOKUBA商品</t>
        </r>
      </text>
    </comment>
    <comment ref="E1371" authorId="1" shapeId="0" xr:uid="{7EB2E722-C967-4546-9F74-8CD79297F73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PI＃3768</t>
        </r>
      </text>
    </comment>
    <comment ref="S1371" authorId="1" shapeId="0" xr:uid="{254A0411-1C60-4A5D-BAF0-2BBE5903041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S1373" authorId="1" shapeId="0" xr:uid="{26A7DA24-EBFA-4D09-A736-4519D00BE72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E1400" authorId="1" shapeId="0" xr:uid="{E6BCFDF7-BD33-447A-9B55-346772FD0D1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PI⇒3784</t>
        </r>
      </text>
    </comment>
    <comment ref="K1400" authorId="1" shapeId="0" xr:uid="{57C61F8E-2BCC-4DB8-95F9-BD36A003F09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JAPAN USD 0.26
C&amp;F HK : USD 0.40
</t>
        </r>
      </text>
    </comment>
    <comment ref="K1401" authorId="1" shapeId="0" xr:uid="{98786CDC-C309-4A4F-AC44-123DBF1E439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JAPAN USD 0.26
C&amp;F HK : USD 0.32
</t>
        </r>
      </text>
    </comment>
    <comment ref="Q1403" authorId="1" shapeId="0" xr:uid="{5A9BB96E-7494-4A59-803E-841BBFA3DD3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FedEx 2600円で小林さんに連絡</t>
        </r>
      </text>
    </comment>
    <comment ref="Q1418" authorId="1" shapeId="0" xr:uid="{B980E523-3BBE-461F-B9A6-57A337BB48C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Osaka - NY Cut Fee USD 12</t>
        </r>
      </text>
    </comment>
    <comment ref="E1422" authorId="0" shapeId="0" xr:uid="{5EF4A6FE-A818-40C7-97B3-3B7611E1C4A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3844 for Col.13 Coral </t>
        </r>
      </text>
    </comment>
    <comment ref="E1423" authorId="0" shapeId="0" xr:uid="{DF468462-8160-4C6E-80D2-7E994F57258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3844 for Col.13 Coral </t>
        </r>
      </text>
    </comment>
    <comment ref="L1424" authorId="1" shapeId="0" xr:uid="{18EE548B-F33C-4F1D-9F5A-BF5498ABA1E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顧客にはtest fee 一括でUSD 210.99で請求</t>
        </r>
      </text>
    </comment>
    <comment ref="Q1427" authorId="0" shapeId="0" xr:uid="{DD8F1CFD-CFE4-4192-B02E-43C147AB1187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EXW USD 6.53/m
GB test= USD 150 ( NYが支払うので、NY には請求無し） </t>
        </r>
      </text>
    </comment>
    <comment ref="K1428" authorId="0" shapeId="0" xr:uid="{A4D4CA52-54A4-426D-BA99-5B8EE47BAC7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通常EXW USD 6.53/m
バルク単価で対応</t>
        </r>
      </text>
    </comment>
    <comment ref="Q1428" authorId="0" shapeId="0" xr:uid="{FE0A6B7B-4727-4B95-BBE2-F71612D79A7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通常EXW USD 6.53/m
バルク単価で対応</t>
        </r>
      </text>
    </comment>
    <comment ref="L1430" authorId="0" shapeId="0" xr:uid="{1828C477-6858-4225-8518-26B4C9BE3EB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先方には請求なし 
NYのみ請求</t>
        </r>
      </text>
    </comment>
    <comment ref="S1430" authorId="1" shapeId="0" xr:uid="{547F1AB7-6A96-4E42-9EF1-6D833E370CD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alisped &amp; 福通
</t>
        </r>
      </text>
    </comment>
    <comment ref="E1433" authorId="1" shapeId="0" xr:uid="{510CA1FE-D824-4A00-9BDF-C7C136F5265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PI＃3812</t>
        </r>
      </text>
    </comment>
    <comment ref="Q1435" authorId="1" shapeId="0" xr:uid="{96368427-2297-48C3-BBCE-DA560227D92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12/cutで請求</t>
        </r>
      </text>
    </comment>
    <comment ref="Q1445" authorId="1" shapeId="0" xr:uid="{A3924B0D-DEDD-4869-B06B-967DD7BE406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12/cutで請求</t>
        </r>
      </text>
    </comment>
    <comment ref="E1449" authorId="1" shapeId="0" xr:uid="{1E14208F-AF75-4BEB-98A6-B04835D858E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PI＃3815</t>
        </r>
      </text>
    </comment>
    <comment ref="E1463" authorId="1" shapeId="0" xr:uid="{EFB65154-B3DD-46FE-BD95-EFFEDFAF969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PI＃3821</t>
        </r>
      </text>
    </comment>
    <comment ref="S1463" authorId="1" shapeId="0" xr:uid="{CD6FA4C1-8E33-4F42-9AE5-2BF55295E5B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E1468" authorId="1" shapeId="0" xr:uid="{DD70BE63-6CBE-45CF-92DC-B38D726DD2C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PI＃3821-2
</t>
        </r>
      </text>
    </comment>
    <comment ref="S1468" authorId="1" shapeId="0" xr:uid="{CEF74859-C026-4D0C-A96A-BB3E67B47D8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S1473" authorId="1" shapeId="0" xr:uid="{CBBDA9E2-9596-4D33-8AFC-F63FA892E71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E1477" authorId="1" shapeId="0" xr:uid="{CF72B686-6FD9-482E-AD6A-FF599ADC497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3826</t>
        </r>
      </text>
    </comment>
    <comment ref="E1481" authorId="1" shapeId="0" xr:uid="{6DF1979B-B464-4C2A-8B13-2F9F97EF804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PI＃3837</t>
        </r>
      </text>
    </comment>
    <comment ref="E1483" authorId="1" shapeId="0" xr:uid="{C4F1AAE1-2CB7-4401-B7E9-BBBD9BA4F3C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PI＃3838</t>
        </r>
      </text>
    </comment>
    <comment ref="E1488" authorId="1" shapeId="0" xr:uid="{42A7E8DC-4D85-4B08-98C0-BFE046DF836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PI＃3836</t>
        </r>
      </text>
    </comment>
    <comment ref="S1490" authorId="1" shapeId="0" xr:uid="{A14F69C0-6985-49E9-B297-C2AEDED0251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別注単価
</t>
        </r>
      </text>
    </comment>
    <comment ref="Q1494" authorId="1" shapeId="0" xr:uid="{46BB4711-E4C6-4990-9686-912AD19362F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60,582円で連絡済</t>
        </r>
      </text>
    </comment>
    <comment ref="E1513" authorId="1" shapeId="0" xr:uid="{4D567482-2F62-4E7E-9291-3A6FF24C218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3860</t>
        </r>
      </text>
    </comment>
    <comment ref="K1513" authorId="1" shapeId="0" xr:uid="{161F7EEE-E6F2-4FDF-85EB-26BDC9ECECA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0.38/m ( FedEx $0.19/m ) </t>
        </r>
      </text>
    </comment>
    <comment ref="K1514" authorId="1" shapeId="0" xr:uid="{71638C97-EA68-405D-9A14-86E8DD26440D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0.38/m ( FedEx $0.19/m ) </t>
        </r>
      </text>
    </comment>
    <comment ref="K1515" authorId="1" shapeId="0" xr:uid="{D5EC5EC5-D5BE-4F49-AD34-5D1EF82F3219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0.38/m ( FedEx $0.19/m ) </t>
        </r>
      </text>
    </comment>
    <comment ref="K1517" authorId="1" shapeId="0" xr:uid="{116373E6-67C8-4F48-A791-8EBD0C9DDCBE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0.38/m ( FedEx $0.19/m ) </t>
        </r>
      </text>
    </comment>
    <comment ref="E1528" authorId="1" shapeId="0" xr:uid="{F51223F2-3768-4738-8DBF-37BC9ADEA40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3864</t>
        </r>
      </text>
    </comment>
    <comment ref="S1528" authorId="1" shapeId="0" xr:uid="{0C50548B-4B15-44DA-BBE9-574FFEBE647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S1529" authorId="1" shapeId="0" xr:uid="{59866ADD-45A2-420D-9466-E9B72E09C27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S1532" authorId="1" shapeId="0" xr:uid="{1CF78F3E-DEEA-4499-838F-2B53E0C20EB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別注糸代 19000円/col + 小口製作費 3000/col 
</t>
        </r>
      </text>
    </comment>
    <comment ref="L1533" authorId="1" shapeId="0" xr:uid="{DBD1D756-4ED4-4A8A-A4A9-6EE4C8E6CBE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小林さんから顧客請求は 1 set 
</t>
        </r>
      </text>
    </comment>
    <comment ref="Q1533" authorId="1" shapeId="0" xr:uid="{1B059E1F-9522-4633-9CE9-BF8F21AA401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Osaka → NY 2 sets 請求</t>
        </r>
      </text>
    </comment>
    <comment ref="E1546" authorId="1" shapeId="0" xr:uid="{A9206844-1488-45E5-949A-6B8AF336229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3883</t>
        </r>
      </text>
    </comment>
    <comment ref="Q1554" authorId="1" shapeId="0" xr:uid="{C926566B-CDCA-4012-9DE9-2CEC8DE3EAA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12/cutで請求</t>
        </r>
      </text>
    </comment>
    <comment ref="E1561" authorId="1" shapeId="0" xr:uid="{AC27A132-4EA3-456B-91EF-6A43DC2B2AA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社内在庫より出荷
</t>
        </r>
      </text>
    </comment>
    <comment ref="E1565" authorId="0" shapeId="0" xr:uid="{9D233128-BADB-4F1B-B488-8262FEF0FE3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アイメックス　MOKUBA商品</t>
        </r>
      </text>
    </comment>
    <comment ref="E1567" authorId="0" shapeId="0" xr:uid="{BB140831-4B8B-4E4C-93E3-413F96D9C7F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アイメックス　MOKUBA商品</t>
        </r>
      </text>
    </comment>
    <comment ref="Q1573" authorId="1" shapeId="0" xr:uid="{CCA7EB84-AC4A-4012-BE60-86D6F959D0A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12/cutで請求</t>
        </r>
      </text>
    </comment>
    <comment ref="E1581" authorId="1" shapeId="0" xr:uid="{76C4C909-2622-467F-97EE-C28B68D1EF0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3915</t>
        </r>
      </text>
    </comment>
    <comment ref="Q1583" authorId="1" shapeId="0" xr:uid="{8E4CF9F9-9F94-4C8E-B85D-E23B0B08037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2500円で連絡</t>
        </r>
      </text>
    </comment>
    <comment ref="E1585" authorId="1" shapeId="0" xr:uid="{89CE4D8C-C82B-4E87-BCA5-A537051A8F6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3914</t>
        </r>
      </text>
    </comment>
    <comment ref="Q1587" authorId="1" shapeId="0" xr:uid="{76CD6BF4-F298-4022-BC0F-943FBCD7F33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2500円で連絡</t>
        </r>
      </text>
    </comment>
    <comment ref="E1601" authorId="1" shapeId="0" xr:uid="{B0D5F01F-8D6F-4E94-A836-EBE45240A7D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3926</t>
        </r>
      </text>
    </comment>
    <comment ref="E1604" authorId="1" shapeId="0" xr:uid="{AA27C0C9-15CE-440C-8F37-81F5AF6B7DE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3927 →INVOICE 発行はなし</t>
        </r>
      </text>
    </comment>
    <comment ref="E1617" authorId="1" shapeId="0" xr:uid="{02ECD97C-37DA-41D5-8696-C40C07A7E66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3961</t>
        </r>
      </text>
    </comment>
    <comment ref="Q1638" authorId="1" shapeId="0" xr:uid="{96F298A6-D0B5-47E4-9416-1BAD49A577F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12/cutで請求</t>
        </r>
      </text>
    </comment>
    <comment ref="S1642" authorId="1" shapeId="0" xr:uid="{07429C77-BFC4-4C38-AE1F-63493314810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E1653" authorId="1" shapeId="0" xr:uid="{443D80C2-6E5E-4040-B67C-A1E3157E705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 # 4003</t>
        </r>
      </text>
    </comment>
    <comment ref="S1653" authorId="1" shapeId="0" xr:uid="{AB8D5D99-61F3-4EF6-90B5-B3C0EB4D14C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S1655" authorId="1" shapeId="0" xr:uid="{D4C79280-1658-4065-81E9-44CB5AD8A40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E1660" authorId="1" shapeId="0" xr:uid="{F4DCBEC5-F7AE-4FBA-9AB3-CB5D76BDEB2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KKF-7711-58
</t>
        </r>
      </text>
    </comment>
    <comment ref="K1661" authorId="1" shapeId="0" xr:uid="{B51D81BF-B14F-4A0A-9447-88693741673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NYのみ請求</t>
        </r>
      </text>
    </comment>
    <comment ref="Q1661" authorId="1" shapeId="0" xr:uid="{22FC339B-0FF5-4AE3-9416-A84B87010B4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NYのみ請求</t>
        </r>
      </text>
    </comment>
    <comment ref="E1664" authorId="1" shapeId="0" xr:uid="{08DA33BB-2B1B-4311-8AC9-03CA106B7B1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4020</t>
        </r>
      </text>
    </comment>
    <comment ref="Q1668" authorId="1" shapeId="0" xr:uid="{8E1BDE7E-7395-4335-BE53-202D146066B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UPS $60 ￥5358で連絡</t>
        </r>
      </text>
    </comment>
    <comment ref="Q1689" authorId="1" shapeId="0" xr:uid="{F8236CC9-F67E-45E8-BC49-C43C15E4F0C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12/cutで請求</t>
        </r>
      </text>
    </comment>
    <comment ref="Q1693" authorId="1" shapeId="0" xr:uid="{D0EF11AF-FE79-4937-99E4-7ADEC13674E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12/cutで請求</t>
        </r>
      </text>
    </comment>
    <comment ref="E1697" authorId="1" shapeId="0" xr:uid="{5ADFF855-439F-455E-8991-43EC057A404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PI＃4044</t>
        </r>
      </text>
    </comment>
    <comment ref="S1697" authorId="1" shapeId="0" xr:uid="{994BCBB0-6BFF-4F2D-9710-BDECFB30779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E1704" authorId="1" shapeId="0" xr:uid="{AD40647C-E232-449A-9022-C933C9F427A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4044-2</t>
        </r>
      </text>
    </comment>
    <comment ref="E1708" authorId="1" shapeId="0" xr:uid="{D03633D8-C14D-4944-9984-ADB0896A48B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PI＃4045</t>
        </r>
      </text>
    </comment>
    <comment ref="K1719" authorId="1" shapeId="0" xr:uid="{BCC51E8C-4132-4C4A-B3CA-298B41F83EA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小林さん宛てサンプルと同送</t>
        </r>
      </text>
    </comment>
    <comment ref="Q1727" authorId="1" shapeId="0" xr:uid="{B5F4D9D9-2280-4B42-9B4B-98B3F2E33CB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12/cutで請求</t>
        </r>
      </text>
    </comment>
    <comment ref="E1739" authorId="1" shapeId="0" xr:uid="{B84960B1-B9A8-4B41-987E-BFDA1CDC639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4054</t>
        </r>
      </text>
    </comment>
    <comment ref="S1739" authorId="1" shapeId="0" xr:uid="{0AB08829-B10B-4E70-A19A-04EA59195E2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E1744" authorId="1" shapeId="0" xr:uid="{0368845B-CDDC-4EE0-9181-7A15C6EEA38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PI＃4067</t>
        </r>
      </text>
    </comment>
    <comment ref="S1744" authorId="1" shapeId="0" xr:uid="{5BAA9E98-0A29-4965-BBEB-A4343788E41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E1750" authorId="1" shapeId="0" xr:uid="{FAEE48F3-E5BA-4E65-98A4-0E2A31FA0D2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4072</t>
        </r>
      </text>
    </comment>
    <comment ref="E1756" authorId="1" shapeId="0" xr:uid="{FC716007-D9E0-4497-91F0-A519239121C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4073</t>
        </r>
      </text>
    </comment>
    <comment ref="Q1770" authorId="1" shapeId="0" xr:uid="{F9B30463-1A8A-4AC7-91C0-B351CB388BD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12/cutで請求</t>
        </r>
      </text>
    </comment>
    <comment ref="Q1788" authorId="1" shapeId="0" xr:uid="{D098D65A-331D-489E-935E-A450D0B4988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12/cutで請求</t>
        </r>
      </text>
    </comment>
    <comment ref="E1796" authorId="1" shapeId="0" xr:uid="{C59DB040-2FD6-4B12-B79B-C4797490985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PI＃4096</t>
        </r>
      </text>
    </comment>
    <comment ref="K1796" authorId="1" shapeId="0" xr:uid="{23659F25-380D-4506-9CAA-51476BA0FEE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一括全量生産</t>
        </r>
      </text>
    </comment>
    <comment ref="S1796" authorId="1" shapeId="0" xr:uid="{BAF70848-D987-49D3-BCCA-663E73DBEB7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一括全量生産
輸出梱包費用込み</t>
        </r>
      </text>
    </comment>
    <comment ref="E1797" authorId="1" shapeId="0" xr:uid="{0969F81F-D191-47B8-9AE6-71CC52D76A1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PI＃4096</t>
        </r>
      </text>
    </comment>
    <comment ref="K1797" authorId="1" shapeId="0" xr:uid="{AE3A7635-ABCA-45C5-9029-9661ACA5AD7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一括全量生産</t>
        </r>
      </text>
    </comment>
    <comment ref="S1797" authorId="1" shapeId="0" xr:uid="{F2D83004-0AF0-40C3-B7DD-7CE69D5973D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一括全量生産
輸出梱包費用込み</t>
        </r>
      </text>
    </comment>
    <comment ref="E1798" authorId="1" shapeId="0" xr:uid="{297EE91A-779B-4F99-84B1-10311657F4E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PI＃4096</t>
        </r>
      </text>
    </comment>
    <comment ref="K1798" authorId="1" shapeId="0" xr:uid="{0C3B6CE3-AE48-47A7-8ADE-A1FD3C8AF9F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一括全量生産</t>
        </r>
      </text>
    </comment>
    <comment ref="S1798" authorId="1" shapeId="0" xr:uid="{1A191A17-2A39-4791-96BA-271443376F4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一括全量生産
輸出梱包費用込み</t>
        </r>
      </text>
    </comment>
    <comment ref="E1799" authorId="1" shapeId="0" xr:uid="{E83A57A9-8B48-4FE6-8A01-75BDA223E9D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PI＃4096</t>
        </r>
      </text>
    </comment>
    <comment ref="K1799" authorId="1" shapeId="0" xr:uid="{1C045D04-AF50-4F38-87E1-3A3609C69EA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一括全量生産</t>
        </r>
      </text>
    </comment>
    <comment ref="S1799" authorId="1" shapeId="0" xr:uid="{9FBDD3B1-79B7-41C8-BFE9-1B033489188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一括全量生産
輸出梱包費用込み</t>
        </r>
      </text>
    </comment>
    <comment ref="E1800" authorId="1" shapeId="0" xr:uid="{730E06DD-8DC4-4A04-997D-D72411D35E6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PI＃4096</t>
        </r>
      </text>
    </comment>
    <comment ref="K1800" authorId="1" shapeId="0" xr:uid="{550C98B7-8F63-4CBE-905E-AEE809FEF0C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一括全量生産</t>
        </r>
      </text>
    </comment>
    <comment ref="S1800" authorId="1" shapeId="0" xr:uid="{5471AAA1-BD98-49AE-8C62-502426CF61C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一括全量生産
輸出梱包費用込み</t>
        </r>
      </text>
    </comment>
    <comment ref="E1801" authorId="1" shapeId="0" xr:uid="{2DD80A29-FEBC-4C00-9EA1-25D73078559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PI＃4096</t>
        </r>
      </text>
    </comment>
    <comment ref="K1801" authorId="1" shapeId="0" xr:uid="{3F5AA29A-001E-465E-8856-5BC29072C7B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一括全量生産</t>
        </r>
      </text>
    </comment>
    <comment ref="S1801" authorId="1" shapeId="0" xr:uid="{23FE0DFC-D6E5-40FD-9109-462ACA5572D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一括全量生産
輸出梱包費用込み</t>
        </r>
      </text>
    </comment>
    <comment ref="K1806" authorId="1" shapeId="0" xr:uid="{C39E3EA4-1EA5-43D5-9BA9-80D6F293B509}">
      <text>
        <r>
          <rPr>
            <b/>
            <sz val="9"/>
            <color indexed="81"/>
            <rFont val="MS P ゴシック"/>
            <family val="3"/>
            <charset val="128"/>
          </rPr>
          <t>chiba:
梱包代も含む</t>
        </r>
      </text>
    </comment>
    <comment ref="Q1806" authorId="1" shapeId="0" xr:uid="{447467FB-4290-45C1-8F22-1E4EC2D960AB}">
      <text>
        <r>
          <rPr>
            <b/>
            <sz val="9"/>
            <color indexed="81"/>
            <rFont val="MS P ゴシック"/>
            <family val="3"/>
            <charset val="128"/>
          </rPr>
          <t>chiba:
梱包代も含む</t>
        </r>
      </text>
    </comment>
    <comment ref="E1813" authorId="1" shapeId="0" xr:uid="{3567AFFE-12C3-4ED0-9240-B55BBE6EA34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4090</t>
        </r>
      </text>
    </comment>
    <comment ref="I1818" authorId="1" shapeId="0" xr:uid="{23ECA785-3F4D-43CE-B8B8-26C50489F79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7反社内在庫から</t>
        </r>
      </text>
    </comment>
    <comment ref="Q1835" authorId="1" shapeId="0" xr:uid="{A88C6D10-EA05-4CDF-BD9F-81FC1D68644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12/cutで請求</t>
        </r>
      </text>
    </comment>
    <comment ref="E1839" authorId="0" shapeId="0" xr:uid="{1E33A361-B154-4E6A-B640-F55886F21F1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China version :　工場Double M</t>
        </r>
      </text>
    </comment>
    <comment ref="Q1839" authorId="0" shapeId="0" xr:uid="{31BA33BE-504D-40E6-89FE-22E03107C74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Osaka 50% / NY 50%
</t>
        </r>
      </text>
    </comment>
    <comment ref="R1839" authorId="0" shapeId="0" xr:uid="{3C33C0AE-F264-4DCD-8EC4-9337F8970E7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Osaka 50% / NY 50%
</t>
        </r>
      </text>
    </comment>
    <comment ref="S1839" authorId="1" shapeId="0" xr:uid="{9E0F29B7-13D6-42FA-A75D-50F1ECCD999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仕入先：Double M ( China) 
</t>
        </r>
      </text>
    </comment>
    <comment ref="Q1847" authorId="1" shapeId="0" xr:uid="{A81C8A58-BBAB-48FC-B9F2-AAC023F9E01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12/cutで請求</t>
        </r>
      </text>
    </comment>
    <comment ref="Q1859" authorId="1" shapeId="0" xr:uid="{848A8F4C-3F40-44E7-887B-AEF3B8A15E4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12/cutで請求</t>
        </r>
      </text>
    </comment>
    <comment ref="Q1864" authorId="1" shapeId="0" xr:uid="{E8412EA5-582D-44E5-B95F-0837855EF98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12/cutで請求</t>
        </r>
      </text>
    </comment>
    <comment ref="E1881" authorId="0" shapeId="0" xr:uid="{9CEB58B7-2EA5-4EA8-8FC7-EDCE6643FAB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China version :　工場Double M</t>
        </r>
      </text>
    </comment>
    <comment ref="Q1881" authorId="0" shapeId="0" xr:uid="{66EF6C1C-ABB0-4D1B-AA28-10C7C939292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Osaka 50% / NY 50%
</t>
        </r>
      </text>
    </comment>
    <comment ref="S1881" authorId="1" shapeId="0" xr:uid="{A2D2EA0A-DD8B-4055-B05F-F657AD1D4F7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仕入先：Double M ( China) 
</t>
        </r>
      </text>
    </comment>
    <comment ref="E1884" authorId="0" shapeId="0" xr:uid="{938C1BE5-E2EE-43E0-842E-EF335E76E65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China version :　工場Double M</t>
        </r>
      </text>
    </comment>
    <comment ref="Q1884" authorId="0" shapeId="0" xr:uid="{AAD5BE1C-622F-4734-B6B1-D893F58B348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Osaka 50% / NY 50%
</t>
        </r>
      </text>
    </comment>
    <comment ref="S1884" authorId="1" shapeId="0" xr:uid="{80C907EC-2931-487D-8CF1-533F77C7031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仕入先：Double M ( China) 
</t>
        </r>
      </text>
    </comment>
    <comment ref="E1887" authorId="0" shapeId="0" xr:uid="{081C0973-ADD0-4CDB-B76D-34D3F4E1521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China version :　工場Double M</t>
        </r>
      </text>
    </comment>
    <comment ref="Q1887" authorId="0" shapeId="0" xr:uid="{F31B27A9-7B65-4765-B017-08EBEC9DF03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Osaka 50% / NY 50%
</t>
        </r>
      </text>
    </comment>
    <comment ref="S1887" authorId="1" shapeId="0" xr:uid="{6F95DF9E-F7D2-4B08-85D8-65A6217AD1C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仕入先：Double M ( China) 
</t>
        </r>
      </text>
    </comment>
    <comment ref="S1888" authorId="1" shapeId="0" xr:uid="{C0A6557B-18B8-4B29-9279-A577F09DE5B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仕入先：Double M ( China) 
</t>
        </r>
      </text>
    </comment>
    <comment ref="E1889" authorId="0" shapeId="0" xr:uid="{9FC37907-AEB2-49E8-A519-9453E4DD356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China version :　工場Double M</t>
        </r>
      </text>
    </comment>
    <comment ref="Q1889" authorId="0" shapeId="0" xr:uid="{F2CC959F-B457-4A0F-A1CF-404FBA17895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Osaka 50% / NY 50%
</t>
        </r>
      </text>
    </comment>
    <comment ref="S1889" authorId="1" shapeId="0" xr:uid="{0468C279-78FC-4DD9-8DE6-2B78C6C3275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仕入先：Double M ( China) 
</t>
        </r>
      </text>
    </comment>
    <comment ref="S1890" authorId="1" shapeId="0" xr:uid="{668B6F01-86FE-4D6C-A289-DB2FE83118D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仕入先：Double M ( China) 
</t>
        </r>
      </text>
    </comment>
    <comment ref="E1891" authorId="0" shapeId="0" xr:uid="{68315EFB-5AA0-40E6-B5F4-92E8ED77A34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China version :　工場Double M</t>
        </r>
      </text>
    </comment>
    <comment ref="Q1891" authorId="0" shapeId="0" xr:uid="{52A10B83-4248-4937-A513-09A85422483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Osaka 50% / NY 50%
</t>
        </r>
      </text>
    </comment>
    <comment ref="S1891" authorId="1" shapeId="0" xr:uid="{5E529E25-0E7E-4C6A-ADAF-17E442CD4EB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仕入先：Double M ( China) 
</t>
        </r>
      </text>
    </comment>
    <comment ref="Q1892" authorId="0" shapeId="0" xr:uid="{1F7E4B6E-5DF6-45E2-9841-9AD85C448D1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Osaka 50% / NY 50%
</t>
        </r>
      </text>
    </comment>
    <comment ref="S1892" authorId="1" shapeId="0" xr:uid="{24652326-5750-4929-8264-93E8B7C4E08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仕入先：Double M ( China) 
</t>
        </r>
      </text>
    </comment>
    <comment ref="S1893" authorId="1" shapeId="0" xr:uid="{33CC5E47-7900-4E4F-B0DB-007F87E8882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仕入先：Double M ( China) 
</t>
        </r>
      </text>
    </comment>
    <comment ref="S1894" authorId="1" shapeId="0" xr:uid="{02AB126E-4642-4EE8-B5F6-E7C5A4470AB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仕入先：Double M ( China) 
</t>
        </r>
      </text>
    </comment>
    <comment ref="S1906" authorId="1" shapeId="0" xr:uid="{799D0E75-2426-4D9C-A166-83FBC1A2B0C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E1911" authorId="1" shapeId="0" xr:uid="{212F81FB-EC9A-4C23-BF2A-C38422F500E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4171</t>
        </r>
      </text>
    </comment>
    <comment ref="K1911" authorId="1" shapeId="0" xr:uid="{3D96B5D5-66CE-4C25-8BFA-E5CA2EAAD85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0.38/m ( FedEx $0.19/m ) </t>
        </r>
      </text>
    </comment>
    <comment ref="K1912" authorId="1" shapeId="0" xr:uid="{BA1DDEBA-73D8-45E2-A59F-8B56CD7C8347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0.38/m ( FedEx $0.19/m ) </t>
        </r>
      </text>
    </comment>
    <comment ref="K1914" authorId="1" shapeId="0" xr:uid="{3A124C6E-E525-43B7-9D48-E2182BF48359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0.38/m ( FedEx $0.19/m ) </t>
        </r>
      </text>
    </comment>
    <comment ref="Q1921" authorId="1" shapeId="0" xr:uid="{FF91C622-41C1-41AA-BF89-BD6F1080B18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E1925" authorId="1" shapeId="0" xr:uid="{E16EDC4C-5323-41F9-9EB9-D2D8A28AFB0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PI＃4187</t>
        </r>
      </text>
    </comment>
    <comment ref="S1925" authorId="1" shapeId="0" xr:uid="{4BFE1736-3751-4CBC-B920-0DBFA22B4B7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E1930" authorId="1" shapeId="0" xr:uid="{7C1827E6-BC4E-40E2-A863-AB9188F81B2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PI＃4187</t>
        </r>
      </text>
    </comment>
    <comment ref="E1938" authorId="0" shapeId="0" xr:uid="{E4B07E5F-A4F4-407B-A022-28E2DAC0A40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KKF8468S</t>
        </r>
      </text>
    </comment>
    <comment ref="Q1938" authorId="1" shapeId="0" xr:uid="{A0606417-22B0-434F-9D3E-F2854EC4047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E1942" authorId="1" shapeId="0" xr:uid="{EF5DD6AE-5F32-4602-B16C-6A3FC2C01B2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4210</t>
        </r>
      </text>
    </comment>
    <comment ref="S1942" authorId="1" shapeId="0" xr:uid="{B9685E05-91AD-4212-B927-CEFDCEB1204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Q1950" authorId="1" shapeId="0" xr:uid="{D71775E2-FD99-4E6D-9460-3684875BBD7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E1954" authorId="1" shapeId="0" xr:uid="{706F8D56-A5E9-4F39-856B-8414D47B170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PI＃4148</t>
        </r>
      </text>
    </comment>
    <comment ref="Q1972" authorId="1" shapeId="0" xr:uid="{16D3F5AB-E77E-4553-A824-987E3335435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レート90
</t>
        </r>
      </text>
    </comment>
    <comment ref="K1974" authorId="1" shapeId="0" xr:uid="{ED3F3E3C-F4FF-4FB7-A867-9A662295FC1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120円レート
</t>
        </r>
      </text>
    </comment>
    <comment ref="E1987" authorId="1" shapeId="0" xr:uid="{6471E77B-48FB-4E8D-86A2-FD74D405E90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4254</t>
        </r>
      </text>
    </comment>
    <comment ref="S1987" authorId="1" shapeId="0" xr:uid="{5300AF3C-45C5-41B9-B0E1-F175C83A85D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E2013" authorId="1" shapeId="0" xr:uid="{515335FC-B7DE-44C9-9281-D2154448081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4254-1</t>
        </r>
      </text>
    </comment>
    <comment ref="S2013" authorId="1" shapeId="0" xr:uid="{4FA47C3C-4AE2-418E-AFF3-366ECF9160B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V2028" authorId="1" shapeId="0" xr:uid="{D1D13A2B-18FA-4A0D-BE1A-3D26E40C02E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Q2030" authorId="1" shapeId="0" xr:uid="{5F91AB47-4866-47B7-B9B0-82432F88D84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12/cutで請求</t>
        </r>
      </text>
    </comment>
    <comment ref="V2033" authorId="1" shapeId="0" xr:uid="{C188F813-8576-435A-AD3D-09D2AB8E832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Q2046" authorId="1" shapeId="0" xr:uid="{CE97AD5F-C287-4AFC-BF5A-00C567EFF7A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12/cutで請求</t>
        </r>
      </text>
    </comment>
    <comment ref="V2049" authorId="1" shapeId="0" xr:uid="{A045BB84-8CAA-4255-A6E1-9AAA57716F0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Q2052" authorId="1" shapeId="0" xr:uid="{35D9A6CD-6CAA-4971-B5D5-AE5950A505B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12/cutで請求</t>
        </r>
      </text>
    </comment>
    <comment ref="E2056" authorId="0" shapeId="0" xr:uid="{23BA8247-7FC5-4377-80BF-441EB3C70D4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China Factory DOUBLE.M </t>
        </r>
      </text>
    </comment>
    <comment ref="Q2056" authorId="0" shapeId="0" xr:uid="{1D63C228-9AC2-4347-ABC2-C628A382516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Osaka 50% / NY 50%
</t>
        </r>
      </text>
    </comment>
    <comment ref="M2059" authorId="0" shapeId="0" xr:uid="{EFB439BD-5AF7-4613-B403-75D1BD40C15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キバタ原産国</t>
        </r>
      </text>
    </comment>
    <comment ref="E2063" authorId="0" shapeId="0" xr:uid="{98E454EB-BC03-4A87-A5DF-1047D5718F5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China version</t>
        </r>
      </text>
    </comment>
    <comment ref="K2063" authorId="1" shapeId="0" xr:uid="{685D1A8D-BCBA-4F0F-A2F9-E6AACC07965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sample fee USD 390 + yarn book USD 50 </t>
        </r>
      </text>
    </comment>
    <comment ref="Q2063" authorId="0" shapeId="0" xr:uid="{83EA77E8-DC10-495E-BC5F-4B41ADB4FFD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Osaka 50% / NY 50%
</t>
        </r>
      </text>
    </comment>
    <comment ref="R2063" authorId="0" shapeId="0" xr:uid="{E3E270A2-0E66-4048-8475-27104525603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Osaka 50% / NY 50%
</t>
        </r>
      </text>
    </comment>
    <comment ref="S2063" authorId="1" shapeId="0" xr:uid="{3BAF9ED0-357E-4CAE-A4A0-A6B0421F48A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仕入先：Emax Fashion Company Ltd. ( China) 
一式 32m USD 195 ( bank fee USD 35含む）+yarn color book USD 50
</t>
        </r>
      </text>
    </comment>
    <comment ref="T2063" authorId="1" shapeId="0" xr:uid="{1DD7F473-C13F-448D-A954-32ECE495D1A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仕入先：Emax Fashion Company Ltd. ( China) 
一式 32m USD 195 ( bank fee USD 35含む）+yarn color book USD 50
</t>
        </r>
      </text>
    </comment>
    <comment ref="E2064" authorId="0" shapeId="0" xr:uid="{C0327958-371D-433A-A5F4-10668DD4724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China version</t>
        </r>
      </text>
    </comment>
    <comment ref="Q2064" authorId="0" shapeId="0" xr:uid="{490D2171-878D-41B3-9424-F7FE1C8E168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Osaka 50% / NY 50%
</t>
        </r>
      </text>
    </comment>
    <comment ref="S2064" authorId="1" shapeId="0" xr:uid="{A0D78A66-415E-488F-9541-ECDD09D9D85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仕入先：Emax Fashion Company Ltd. ( China) 
一式 32m USD 195 ( bank fee USD 35含む）+yarn color book USD 50
</t>
        </r>
      </text>
    </comment>
    <comment ref="T2064" authorId="1" shapeId="0" xr:uid="{94678B41-D4E9-4EF6-A951-70A4E55C62F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仕入先：Emax Fashion Company Ltd. ( China) 
一式 32m USD 195 ( bank fee USD 35含む）+yarn color book USD 50
</t>
        </r>
      </text>
    </comment>
    <comment ref="E2065" authorId="0" shapeId="0" xr:uid="{2693BE53-B5CA-49CC-ABAE-9E5495FF097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China version</t>
        </r>
      </text>
    </comment>
    <comment ref="Q2065" authorId="0" shapeId="0" xr:uid="{92BDE01D-9848-47F9-B7E0-A1220ACE3EC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Osaka 50% / NY 50%
</t>
        </r>
      </text>
    </comment>
    <comment ref="S2065" authorId="1" shapeId="0" xr:uid="{7BB1702C-5579-4E6D-A96C-48C1448F678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仕入先：Emax Fashion Company Ltd. ( China) 
一式 32m USD 195 ( bank fee USD 35含む）+yarn color book USD 50
</t>
        </r>
      </text>
    </comment>
    <comment ref="T2065" authorId="1" shapeId="0" xr:uid="{1BC7D31D-D990-4841-9526-1CCFF9F591A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仕入先：Emax Fashion Company Ltd. ( China) 
一式 32m USD 195 ( bank fee USD 35含む）+yarn color book USD 50
</t>
        </r>
      </text>
    </comment>
    <comment ref="E2066" authorId="0" shapeId="0" xr:uid="{E09BDCEA-AFD5-4C1F-B6B6-898CAC12F42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China version</t>
        </r>
      </text>
    </comment>
    <comment ref="Q2066" authorId="0" shapeId="0" xr:uid="{E6ADCE36-3140-4069-9C5B-3BFE02BCF4F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Osaka 50% / NY 50%
</t>
        </r>
      </text>
    </comment>
    <comment ref="S2066" authorId="1" shapeId="0" xr:uid="{284C9AF2-5D3F-4E11-9AE2-CF3862981A3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仕入先：Emax Fashion Company Ltd. ( China) 
一式 32m USD 195 ( bank fee USD 35含む）+yarn color book USD 50
</t>
        </r>
      </text>
    </comment>
    <comment ref="T2066" authorId="1" shapeId="0" xr:uid="{856D1AFB-4851-4A80-9F1E-8333CC2C2E8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仕入先：Emax Fashion Company Ltd. ( China) 
一式 32m USD 195 ( bank fee USD 35含む）+yarn color book USD 50
</t>
        </r>
      </text>
    </comment>
    <comment ref="Q2079" authorId="1" shapeId="0" xr:uid="{5B16CC46-D25B-4809-A820-CDB9347D47D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V2081" authorId="1" shapeId="0" xr:uid="{608F1C01-7416-4133-A0C6-F8EFB240B7C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Q2083" authorId="1" shapeId="0" xr:uid="{E1D3895A-080C-42F2-80AB-F75FD4F6CDD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12/cutで請求</t>
        </r>
      </text>
    </comment>
    <comment ref="Q2095" authorId="1" shapeId="0" xr:uid="{B235FAB4-3BA1-4ACA-B43B-BFCA70D7D20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V2108" authorId="1" shapeId="0" xr:uid="{BA2E2D52-3B5A-4CCC-987D-3A320DBEB2A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Q2110" authorId="1" shapeId="0" xr:uid="{B613F385-EA7E-4696-9B12-52ED1196F7F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12/cutで請求</t>
        </r>
      </text>
    </comment>
    <comment ref="E2123" authorId="1" shapeId="0" xr:uid="{3C19F9AE-23FF-4CF0-8336-CF934232AF3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KKF-7711-58
</t>
        </r>
      </text>
    </comment>
    <comment ref="S2127" authorId="1" shapeId="0" xr:uid="{98DDC6FA-DFAE-4B7D-B1C3-660CA5EE17A2}">
      <text>
        <r>
          <rPr>
            <b/>
            <sz val="9"/>
            <color indexed="81"/>
            <rFont val="MS P ゴシック"/>
            <family val="3"/>
            <charset val="128"/>
          </rPr>
          <t>chiba:
# 9 生成り単価</t>
        </r>
      </text>
    </comment>
    <comment ref="E2131" authorId="1" shapeId="0" xr:uid="{7996811C-6DE6-4E4B-9ADA-26A306F1314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4317</t>
        </r>
      </text>
    </comment>
    <comment ref="Q2133" authorId="1" shapeId="0" xr:uid="{4C9771A0-1C5D-4C49-ADB9-60E611E0066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21000÷120= USD 175で連絡</t>
        </r>
      </text>
    </comment>
    <comment ref="Q2139" authorId="1" shapeId="0" xr:uid="{C57F9C17-BDEC-40BE-B17B-39833369303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Q2147" authorId="1" shapeId="0" xr:uid="{8DB1029E-5387-47F3-B9AD-4DEE314B376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Q2149" authorId="1" shapeId="0" xr:uid="{6CA93608-3665-4759-BF5C-500C291FF40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S2152" authorId="1" shapeId="0" xr:uid="{E76F8707-8CDD-4605-A04F-8DCB6A5456D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先染糸使用
</t>
        </r>
      </text>
    </comment>
    <comment ref="S2153" authorId="1" shapeId="0" xr:uid="{CAB5C005-94B8-4EA4-8D66-318BC1FC5D1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先染糸使用
</t>
        </r>
      </text>
    </comment>
    <comment ref="Q2155" authorId="1" shapeId="0" xr:uid="{9916404B-D22F-4C62-AF2F-142B48C48C0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E2171" authorId="1" shapeId="0" xr:uid="{9C838122-4E52-4708-B938-5EE9755F464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4452</t>
        </r>
      </text>
    </comment>
    <comment ref="Q2190" authorId="1" shapeId="0" xr:uid="{7C332C6D-FAEA-4330-8B1F-40A2A2F24E4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Q2193" authorId="1" shapeId="0" xr:uid="{B4510E96-7050-4D27-BE5C-B08759A3B91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V2195" authorId="1" shapeId="0" xr:uid="{6B2D6860-B53C-4028-8EFA-D7AD581E388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Q2198" authorId="1" shapeId="0" xr:uid="{D86A7E19-32C4-43CB-A75B-B3A8359429E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12/cutで請求</t>
        </r>
      </text>
    </comment>
    <comment ref="Q2208" authorId="1" shapeId="0" xr:uid="{36A5A10A-BF9E-454B-B7E0-D3D4FCDBBA9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E2230" authorId="0" shapeId="0" xr:uid="{6E6C3D27-5A62-4F3A-ACB3-528A81B2578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China version :　工場Double M</t>
        </r>
      </text>
    </comment>
    <comment ref="Q2230" authorId="0" shapeId="0" xr:uid="{3CD93B19-79C1-408A-ADAB-84DE261AA3A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Osaka 50% / NY 50%
</t>
        </r>
      </text>
    </comment>
    <comment ref="R2230" authorId="0" shapeId="0" xr:uid="{75763304-7587-45F7-A344-C2F8F0105C6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Osaka 50% / NY 50%
</t>
        </r>
      </text>
    </comment>
    <comment ref="S2230" authorId="1" shapeId="0" xr:uid="{721D08ED-27C2-4872-832F-0A5A5C7A93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仕入先：Double M ( China) 
</t>
        </r>
      </text>
    </comment>
    <comment ref="T2230" authorId="1" shapeId="0" xr:uid="{D5171D3E-EE31-4EEE-9AD3-3CB1DA32C7A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仕入先：Double M ( China) 
</t>
        </r>
      </text>
    </comment>
    <comment ref="E2233" authorId="0" shapeId="0" xr:uid="{0213C556-521F-4428-92B8-BDF0D4B61BA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China version :　工場Double M</t>
        </r>
      </text>
    </comment>
    <comment ref="Q2233" authorId="0" shapeId="0" xr:uid="{9F8AE6CB-14AB-4C5F-8024-BCB8CA31F7E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Osaka 50% / NY 50%
</t>
        </r>
      </text>
    </comment>
    <comment ref="R2233" authorId="0" shapeId="0" xr:uid="{D178D5FD-E0A7-413D-853D-B3817C2537F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Osaka 50% / NY 50%
</t>
        </r>
      </text>
    </comment>
    <comment ref="S2233" authorId="1" shapeId="0" xr:uid="{89A96FF7-87CE-4570-85DD-27EE9FE6EFC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仕入先：Double M ( China) 
</t>
        </r>
      </text>
    </comment>
    <comment ref="T2233" authorId="1" shapeId="0" xr:uid="{4E2D2AFE-3315-493B-8899-4367B27A70C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仕入先：Double M ( China) 
</t>
        </r>
      </text>
    </comment>
    <comment ref="E2236" authorId="0" shapeId="0" xr:uid="{665C89F5-E8C3-4A41-AE67-EEEA9D594CE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China version
PI# 4514</t>
        </r>
      </text>
    </comment>
    <comment ref="Q2236" authorId="0" shapeId="0" xr:uid="{922F3D23-956D-485A-BEC7-D2CB412C7F6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Osaka 50% / NY 50%
</t>
        </r>
      </text>
    </comment>
    <comment ref="S2236" authorId="1" shapeId="0" xr:uid="{ECBBB7B1-0A0E-4F5C-87C0-CFD1E0E631A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仕入先：Double M ( China) 
</t>
        </r>
      </text>
    </comment>
    <comment ref="E2237" authorId="0" shapeId="0" xr:uid="{86B08C7C-9FFD-4A0E-9E51-C3AD6E7D1AB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China version</t>
        </r>
      </text>
    </comment>
    <comment ref="L2237" authorId="0" shapeId="0" xr:uid="{6DF87A22-B73B-425B-9304-D785ABC60880}">
      <text>
        <r>
          <rPr>
            <b/>
            <sz val="9"/>
            <color indexed="81"/>
            <rFont val="MS P ゴシック"/>
            <family val="3"/>
            <charset val="128"/>
          </rPr>
          <t>sunfashion:
顧客への請求はなし。Osaka →NY には請求</t>
        </r>
      </text>
    </comment>
    <comment ref="Q2237" authorId="0" shapeId="0" xr:uid="{C4C5CA71-9A5B-4220-B6B0-AD00A9E73D2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Osaka 50% / NY 50%
</t>
        </r>
      </text>
    </comment>
    <comment ref="S2237" authorId="1" shapeId="0" xr:uid="{B1A715EC-5C28-438D-BF35-24D2296ABED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仕入先：Double M ( China) 
</t>
        </r>
      </text>
    </comment>
    <comment ref="E2238" authorId="0" shapeId="0" xr:uid="{E913940F-ECA1-4FA8-9D52-BDF189F8C64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China version</t>
        </r>
      </text>
    </comment>
    <comment ref="E2239" authorId="0" shapeId="0" xr:uid="{45A39A01-0DEF-44C5-BC63-B127B4B78F0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China version</t>
        </r>
      </text>
    </comment>
    <comment ref="V2241" authorId="1" shapeId="0" xr:uid="{7F7E6A31-44B2-41E8-8A89-A94E15CB065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S2246" authorId="1" shapeId="0" xr:uid="{55E83875-8DA2-42B0-AD08-6DEA60F2188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先染糸使用
</t>
        </r>
      </text>
    </comment>
    <comment ref="Q2247" authorId="1" shapeId="0" xr:uid="{674BE8B0-1B98-4001-A243-CC41648A748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次回はNY にはUSD 12
で請求</t>
        </r>
      </text>
    </comment>
    <comment ref="E2250" authorId="1" shapeId="0" xr:uid="{97E96A9E-F14E-438D-9E30-9790093882D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PI＃4527
</t>
        </r>
      </text>
    </comment>
    <comment ref="S2250" authorId="1" shapeId="0" xr:uid="{3906DC80-21B5-4343-9EE9-27BA4BDA38B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E2254" authorId="1" shapeId="0" xr:uid="{715B02F6-EAD2-44DD-BF76-0E0264F8C2F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PI＃4527
</t>
        </r>
      </text>
    </comment>
    <comment ref="S2254" authorId="1" shapeId="0" xr:uid="{C010DC44-013E-4236-B3DD-808FD8B7103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E2255" authorId="1" shapeId="0" xr:uid="{9E124AB9-E7C2-4F6D-8D49-5392571EB90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PI＃4527
</t>
        </r>
      </text>
    </comment>
    <comment ref="K2261" authorId="1" shapeId="0" xr:uid="{1CCC6DCE-337A-4A35-84EE-94E7C1580C0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120円レート
</t>
        </r>
      </text>
    </comment>
    <comment ref="E2263" authorId="1" shapeId="0" xr:uid="{38854DE8-7FFA-4516-98F4-56645EC59BD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PI＃4527-2
</t>
        </r>
      </text>
    </comment>
    <comment ref="S2263" authorId="1" shapeId="0" xr:uid="{4D2A01A7-F34C-4058-AC4F-0F8B1BD011F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E2264" authorId="1" shapeId="0" xr:uid="{57F820D6-55D9-4A01-B102-0CC5C5E3CA0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PI＃4527-2
</t>
        </r>
      </text>
    </comment>
    <comment ref="E2265" authorId="1" shapeId="0" xr:uid="{272F5211-FB14-436E-943F-4DA6F2CAFB9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PI＃4527-2
</t>
        </r>
      </text>
    </comment>
    <comment ref="E2269" authorId="1" shapeId="0" xr:uid="{F69675CF-18E0-4DA7-B8F5-F63A17298A9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4546</t>
        </r>
      </text>
    </comment>
    <comment ref="K2269" authorId="1" shapeId="0" xr:uid="{4CA0BE77-9241-4883-A8A0-68686C07794D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0.38/m ( FedEx $0.19/m ) </t>
        </r>
      </text>
    </comment>
    <comment ref="E2270" authorId="1" shapeId="0" xr:uid="{A95AEA86-685D-49E8-9689-2E99A10F6FD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4546
</t>
        </r>
      </text>
    </comment>
    <comment ref="K2270" authorId="1" shapeId="0" xr:uid="{30839430-3805-4C0E-AEF8-CD206C5C1819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0.38/m ( FedEx $0.19/m ) </t>
        </r>
      </text>
    </comment>
    <comment ref="K2272" authorId="1" shapeId="0" xr:uid="{9305BB75-A077-48A3-8E1C-A26BF76C829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chiba:EXW Price : USD 0.57/m  </t>
        </r>
        <r>
          <rPr>
            <sz val="9"/>
            <color indexed="81"/>
            <rFont val="MS P ゴシック"/>
            <family val="3"/>
            <charset val="128"/>
          </rPr>
          <t xml:space="preserve">
C&amp;F HK Price  USD 0.38/m ( FedEx $0.19/m ) </t>
        </r>
      </text>
    </comment>
    <comment ref="Q2275" authorId="1" shapeId="0" xr:uid="{7CA111D5-9259-4D67-9E09-FDAC822BF72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Q2278" authorId="1" shapeId="0" xr:uid="{80369DE3-0315-44B4-B213-4CF66D38BE6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Q2294" authorId="1" shapeId="0" xr:uid="{A64602A0-D134-44A5-B522-D52F1305D61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E2297" authorId="1" shapeId="0" xr:uid="{8383D300-C76E-4C88-A6EB-1DF4774D841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KKF-8867 D/#1
</t>
        </r>
      </text>
    </comment>
    <comment ref="Q2298" authorId="1" shapeId="0" xr:uid="{3AE79EB2-169D-4DF7-ABF7-9FF7408A803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3/m
で請求</t>
        </r>
      </text>
    </comment>
    <comment ref="U2302" authorId="1" shapeId="0" xr:uid="{104AA570-7402-4EA5-96BD-6FFF67E2DB6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9月中にサンプルオーダーの場合は従来価格で対応</t>
        </r>
      </text>
    </comment>
    <comment ref="E2306" authorId="0" shapeId="0" xr:uid="{EE51FBE8-1907-49A6-B62C-FA9D212C8B4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China version</t>
        </r>
      </text>
    </comment>
    <comment ref="Q2306" authorId="0" shapeId="0" xr:uid="{8E5937F0-883F-4011-8A00-FDCC6DDBBD5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Osaka 50% / NY 50%
</t>
        </r>
      </text>
    </comment>
    <comment ref="S2306" authorId="1" shapeId="0" xr:uid="{5CBD8A10-2BA6-48F1-A76C-00686D3C577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仕入先：Emax Fashion Company Ltd. ( China) 
</t>
        </r>
      </text>
    </comment>
    <comment ref="T2306" authorId="1" shapeId="0" xr:uid="{132F4682-D2F7-479F-92D1-D77A92CEB0F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仕入先：Emax Fashion Company Ltd. ( China) 
</t>
        </r>
      </text>
    </comment>
    <comment ref="Q2307" authorId="0" shapeId="0" xr:uid="{3CA32A48-06D1-47EB-B11E-B92E9F74F1F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Osaka 50% / NY 50%
</t>
        </r>
      </text>
    </comment>
    <comment ref="R2307" authorId="0" shapeId="0" xr:uid="{F9BB8F44-0DBB-4888-9E33-68A093CCD0A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Osaka 50% / NY 50%
</t>
        </r>
      </text>
    </comment>
    <comment ref="S2307" authorId="1" shapeId="0" xr:uid="{ABF65F96-AE24-4B2F-BFB5-3E7017CBBB8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仕入先：Emax Fashion Company Ltd. ( China) 
</t>
        </r>
      </text>
    </comment>
    <comment ref="T2307" authorId="1" shapeId="0" xr:uid="{73C12C5B-A785-42CF-9EB4-44DD5A480DE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仕入先：Emax Fashion Company Ltd. ( China) 
</t>
        </r>
      </text>
    </comment>
    <comment ref="E2310" authorId="0" shapeId="0" xr:uid="{B13BF06F-250D-4FA3-A7CB-F9705C2BE52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4604</t>
        </r>
      </text>
    </comment>
    <comment ref="Q2313" authorId="1" shapeId="0" xr:uid="{2426EDF4-D808-4820-BA52-C76BFB1006B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E2316" authorId="0" shapeId="0" xr:uid="{89DAAB48-3C3F-4C4C-B503-E6B16FBCD15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4605</t>
        </r>
      </text>
    </comment>
    <comment ref="E2321" authorId="0" shapeId="0" xr:uid="{DF01DEF7-3445-42E3-8062-EB78444CF57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4606</t>
        </r>
      </text>
    </comment>
    <comment ref="E2326" authorId="0" shapeId="0" xr:uid="{2427122C-7BA8-4E16-ACDC-7860EA4A382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4607</t>
        </r>
      </text>
    </comment>
    <comment ref="Q2327" authorId="1" shapeId="0" xr:uid="{412ACCC9-A224-4632-89D7-7D6758F0E74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E2333" authorId="1" shapeId="0" xr:uid="{7B2B27AC-4ECE-482E-BB14-901ED942DB1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4609</t>
        </r>
      </text>
    </comment>
    <comment ref="E2334" authorId="1" shapeId="0" xr:uid="{B796C12C-D66F-4E34-B4BA-3BC0DB6FF3B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4609</t>
        </r>
      </text>
    </comment>
    <comment ref="E2335" authorId="1" shapeId="0" xr:uid="{720C231C-E560-4CCB-BEA4-88F40C252C0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4609</t>
        </r>
      </text>
    </comment>
    <comment ref="E2336" authorId="1" shapeId="0" xr:uid="{1C438FE6-5C6A-4691-AE7B-DE1E7C430CC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4609</t>
        </r>
      </text>
    </comment>
    <comment ref="Q2337" authorId="1" shapeId="0" xr:uid="{CAF104F4-155A-4040-BF34-CE20A94702E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Q2355" authorId="1" shapeId="0" xr:uid="{275939E4-3572-45AD-8331-5032AAF8585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Q2356" authorId="1" shapeId="0" xr:uid="{D60A58EE-0700-4C34-9289-86D74DA5D00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Q2363" authorId="1" shapeId="0" xr:uid="{D69E78AA-2674-46CF-AA48-2C3E774DEA4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E2377" authorId="1" shapeId="0" xr:uid="{92B4A7BD-2C74-43FE-92D2-3D1FAD9316A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4722</t>
        </r>
      </text>
    </comment>
    <comment ref="Q2379" authorId="1" shapeId="0" xr:uid="{3682870D-8FB6-48E1-9D75-1ADB6D44A4CA}">
      <text>
        <r>
          <rPr>
            <b/>
            <sz val="9"/>
            <color indexed="81"/>
            <rFont val="MS P ゴシック"/>
            <family val="3"/>
            <charset val="128"/>
          </rPr>
          <t>chiba
EXW 4.73x 0.94</t>
        </r>
      </text>
    </comment>
    <comment ref="Q2385" authorId="1" shapeId="0" xr:uid="{91957F37-E21A-45BA-99B3-1F3F9A2707B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V2388" authorId="1" shapeId="0" xr:uid="{54F7F678-537F-4066-AC13-321F2D72971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2389" authorId="1" shapeId="0" xr:uid="{3B8D3D07-AB48-401F-9AC9-E474040A3FC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INV# 4675</t>
        </r>
      </text>
    </comment>
    <comment ref="E2390" authorId="1" shapeId="0" xr:uid="{D877E9C2-7807-4C69-9192-BA3F52D55CD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INV# 4675</t>
        </r>
      </text>
    </comment>
    <comment ref="E2392" authorId="1" shapeId="0" xr:uid="{3988CD34-B6B1-46FD-B167-ACF6CE50E15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INV# 4728</t>
        </r>
      </text>
    </comment>
    <comment ref="E2393" authorId="1" shapeId="0" xr:uid="{F1FCD81B-F305-4CEA-B592-C6F3333EC62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INV# 4728</t>
        </r>
      </text>
    </comment>
    <comment ref="E2394" authorId="1" shapeId="0" xr:uid="{E40A5419-59EE-4323-B4D1-5F10FC9EF01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INV# 4728</t>
        </r>
      </text>
    </comment>
    <comment ref="V2396" authorId="1" shapeId="0" xr:uid="{6A1E0512-0B6B-46A0-A232-76BEAC111A7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Q2399" authorId="1" shapeId="0" xr:uid="{350C82CF-90D5-4E2E-A30B-BF95C541393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V2402" authorId="1" shapeId="0" xr:uid="{25D91610-EC05-4AA2-8150-AE9E98E33EB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2412" authorId="1" shapeId="0" xr:uid="{42CA5C2A-7236-4A0D-A0C2-C51749B7E45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4686</t>
        </r>
      </text>
    </comment>
    <comment ref="S2412" authorId="1" shapeId="0" xr:uid="{62346B7B-9BAD-483B-B3BE-63639B283C3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先染糸使用
</t>
        </r>
      </text>
    </comment>
    <comment ref="Q2413" authorId="1" shapeId="0" xr:uid="{8C017F07-0F89-4AC9-A746-F3D19047CF8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E2416" authorId="1" shapeId="0" xr:uid="{F1A502CA-3EC5-43EC-A5F1-F132EF4901A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4687</t>
        </r>
      </text>
    </comment>
    <comment ref="S2416" authorId="1" shapeId="0" xr:uid="{204CC21A-C5EC-42CF-854C-83A23C4A2D8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先染糸使用
</t>
        </r>
      </text>
    </comment>
    <comment ref="S2417" authorId="1" shapeId="0" xr:uid="{05DF7284-4C04-4403-BD48-FAC9C060D36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先染糸使用
</t>
        </r>
      </text>
    </comment>
    <comment ref="Q2418" authorId="1" shapeId="0" xr:uid="{3FC945A4-C61E-457E-B53B-77E11639D48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E2421" authorId="0" shapeId="0" xr:uid="{C4E0F28F-88E7-4369-9A32-F352197ACB3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アイメックス　MOKUBA商品</t>
        </r>
      </text>
    </comment>
    <comment ref="Q2443" authorId="1" shapeId="0" xr:uid="{38CEDFBE-984F-4B7A-8183-6128C9EF07F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E2445" authorId="1" shapeId="0" xr:uid="{DF0C0C75-13B9-4180-BB4F-0E6B932D220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4427</t>
        </r>
      </text>
    </comment>
    <comment ref="E2461" authorId="0" shapeId="0" xr:uid="{F5ACB7EF-4C79-42B1-BAA0-A035336DD9C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4744</t>
        </r>
      </text>
    </comment>
    <comment ref="Q2462" authorId="1" shapeId="0" xr:uid="{B595D4EC-2E92-4FC4-8368-8DF8E6824FF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Q2463" authorId="1" shapeId="0" xr:uid="{05CE04EC-1DBA-4CFB-A471-C13466BB90B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E2465" authorId="0" shapeId="0" xr:uid="{C1F351D2-1D37-4633-9EB7-F8F46850522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D/#F-3407
INV 4743</t>
        </r>
      </text>
    </comment>
    <comment ref="V2477" authorId="1" shapeId="0" xr:uid="{A65C515F-DF25-4FD2-9E83-250ED9EF4B1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Q2479" authorId="1" shapeId="0" xr:uid="{1236E471-4F01-48DE-A13C-DB81A061022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V2482" authorId="1" shapeId="0" xr:uid="{DB64A59F-3A48-427C-ACFE-FF736C8FD90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Q2484" authorId="1" shapeId="0" xr:uid="{3C6E0D33-9B9C-4726-9F56-F8424810026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S2498" authorId="1" shapeId="0" xr:uid="{C0CDA9A3-9FF9-4F12-BEC7-9D5A322EC5E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1200円住所変更手数料</t>
        </r>
      </text>
    </comment>
    <comment ref="T2498" authorId="1" shapeId="0" xr:uid="{421DD271-2B30-4B90-A01C-7151A857AF3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1200円住所変更手数料</t>
        </r>
      </text>
    </comment>
    <comment ref="G2507" authorId="1" shapeId="0" xr:uid="{38D07AF2-32BF-4332-AF2E-41E98B2A318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こるどん色番 #生成</t>
        </r>
      </text>
    </comment>
    <comment ref="Q2538" authorId="1" shapeId="0" xr:uid="{6C571D0F-A506-4E32-8967-122BB56DAA4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Q2542" authorId="1" shapeId="0" xr:uid="{83328918-15A0-4190-827C-69EDD75D695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Q2543" authorId="1" shapeId="0" xr:uid="{3AB9E60D-AF4E-4712-ABE3-D921DCA9E81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E2556" authorId="1" shapeId="0" xr:uid="{3EC909B7-1EC0-480A-911D-97AAF54DF7B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4825</t>
        </r>
      </text>
    </comment>
    <comment ref="S2557" authorId="1" shapeId="0" xr:uid="{DA3DE912-6A39-43D0-AE6F-0ABD73F6CA2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Q2569" authorId="1" shapeId="0" xr:uid="{D5A0048F-5B5D-47FF-AC44-59BA66F269D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G2571" authorId="1" shapeId="0" xr:uid="{E97A0B69-964F-48B6-AC10-CC861E1A2E2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S2572" authorId="1" shapeId="0" xr:uid="{1CE575C4-E560-4F8B-AD35-23F3876D7A5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T2572" authorId="1" shapeId="0" xr:uid="{8D0B6AFF-5883-4CCD-9E51-73A766DB2A0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Q2573" authorId="1" shapeId="0" xr:uid="{F7335CB2-61CD-495E-A676-8CCB0FF90B8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E2580" authorId="1" shapeId="0" xr:uid="{8B141799-DD6B-4B41-B4D1-21D066B5C41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PI#4895</t>
        </r>
      </text>
    </comment>
    <comment ref="Q2583" authorId="1" shapeId="0" xr:uid="{68DD5F36-944E-4F46-B277-7646AC9519D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Q2589" authorId="1" shapeId="0" xr:uid="{56179038-17B4-40F1-9DB9-E44B5B49F93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G2598" authorId="1" shapeId="0" xr:uid="{DC2C7804-39C1-4158-829F-8EB1E2C7749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こるどん色番 #生成</t>
        </r>
      </text>
    </comment>
    <comment ref="L2610" authorId="1" shapeId="0" xr:uid="{741A1502-1A59-48C6-86E7-9006D679806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NYのみ請求</t>
        </r>
      </text>
    </comment>
    <comment ref="E2616" authorId="1" shapeId="0" xr:uid="{B355EAE4-0345-4B17-9E16-F2B38079D56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KKF8867 D# 2</t>
        </r>
      </text>
    </comment>
    <comment ref="L2625" authorId="1" shapeId="0" xr:uid="{7C153A73-119E-406A-AB7A-EC5837644FE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のみ請求
</t>
        </r>
      </text>
    </comment>
    <comment ref="L2626" authorId="1" shapeId="0" xr:uid="{311CD860-65A9-4D1E-9FD2-97A2A67E49B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のみ請求
</t>
        </r>
      </text>
    </comment>
    <comment ref="L2627" authorId="1" shapeId="0" xr:uid="{EDE70F8B-7A5F-4C91-9D96-2986D8769E6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のみ請求
</t>
        </r>
      </text>
    </comment>
    <comment ref="L2628" authorId="1" shapeId="0" xr:uid="{F061496B-D4D8-4773-A73E-6731F6311EC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のみ請求
</t>
        </r>
      </text>
    </comment>
    <comment ref="E2631" authorId="1" shapeId="0" xr:uid="{A499DEDF-A34D-4F94-9BC3-86EDDB3BEB5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 ＃4908</t>
        </r>
      </text>
    </comment>
    <comment ref="E2635" authorId="0" shapeId="0" xr:uid="{0B0DDC32-C0A3-490A-A617-BB5F14E0883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PI4985 </t>
        </r>
      </text>
    </comment>
    <comment ref="G2639" authorId="0" shapeId="0" xr:uid="{5E161B59-FD9F-4F9C-878B-D695788BBD3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S2640" authorId="1" shapeId="0" xr:uid="{6237CC6B-CEBF-4ED3-B335-3F48F4312C1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T2640" authorId="1" shapeId="0" xr:uid="{8C9C8D6B-E21D-4BB8-B8A3-21C5F4C307B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Q2641" authorId="1" shapeId="0" xr:uid="{47EEFEF0-4033-407D-B2AA-0A5FD70DDAC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E2644" authorId="0" shapeId="0" xr:uid="{678AA35D-085D-40C5-A9D9-FBFC25B9DE2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PI4986 </t>
        </r>
      </text>
    </comment>
    <comment ref="Q2646" authorId="1" shapeId="0" xr:uid="{96D2B511-03AB-454F-BD87-9BB10E93949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E2650" authorId="0" shapeId="0" xr:uid="{A361701C-F305-439A-B79C-1A8F439A552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PI4987   </t>
        </r>
      </text>
    </comment>
    <comment ref="Q2652" authorId="1" shapeId="0" xr:uid="{11F629D0-38A2-407D-B36E-32A2D514CE8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E2656" authorId="0" shapeId="0" xr:uid="{EF0F2C34-236B-489D-BE1E-4D5C416480B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PI4988     </t>
        </r>
      </text>
    </comment>
    <comment ref="Q2658" authorId="1" shapeId="0" xr:uid="{BA870B4E-6A82-4A8D-ADB8-D5DCC8AE2DD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Q2659" authorId="1" shapeId="0" xr:uid="{9022EC80-1161-4B41-8EAD-FFDC3A41B7C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E2661" authorId="0" shapeId="0" xr:uid="{00CD9FEC-F741-4A48-A4A9-2FB244B2547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PI4989    </t>
        </r>
      </text>
    </comment>
    <comment ref="Q2666" authorId="1" shapeId="0" xr:uid="{F5BF0792-3203-4A4C-ABFB-56870B31CC5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S2668" authorId="1" shapeId="0" xr:uid="{A78E3AD2-4325-4A22-B843-62BF290E765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小口製作代+ビーカー染色代+別注染色代</t>
        </r>
      </text>
    </comment>
    <comment ref="T2668" authorId="1" shapeId="0" xr:uid="{4D86EEE8-D1D6-4009-842C-797269ECB58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小口製作代+ビーカー染色代+別注染色代</t>
        </r>
      </text>
    </comment>
    <comment ref="Q2669" authorId="1" shapeId="0" xr:uid="{E424D984-FE6F-4CBA-9863-B0078C41BBF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V2677" authorId="1" shapeId="0" xr:uid="{473994D3-1C97-4380-BEC3-6A2F582370F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Q2683" authorId="1" shapeId="0" xr:uid="{158C24E8-C452-4AAF-849C-58BF804D404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K2684" authorId="1" shapeId="0" xr:uid="{6C56AACA-748A-4CC3-97DC-B64F2C76CE2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小林さん宛てサンプルと同送</t>
        </r>
      </text>
    </comment>
    <comment ref="V2685" authorId="1" shapeId="0" xr:uid="{5ED33261-AD4B-4CC1-ACBD-0C5E20B7F72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Q2687" authorId="1" shapeId="0" xr:uid="{2518379B-4953-4785-B3A5-A4E167BAFF9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Q2693" authorId="1" shapeId="0" xr:uid="{F48C8DBF-FF60-4AA6-B441-73FCDF6C504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E2696" authorId="1" shapeId="0" xr:uid="{0AF2E949-83B7-43D5-81EA-2895443E03E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PI#4955</t>
        </r>
      </text>
    </comment>
    <comment ref="E2704" authorId="1" shapeId="0" xr:uid="{E058DA4F-CBED-4160-9423-5CFD85BA783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4960</t>
        </r>
      </text>
    </comment>
    <comment ref="V2707" authorId="1" shapeId="0" xr:uid="{3FC55ED9-A37B-4805-8EFC-18A53AC89F6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V2717" authorId="1" shapeId="0" xr:uid="{CDDDF4EA-442A-4AC6-AE76-45CE3848210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2745" authorId="1" shapeId="0" xr:uid="{133240BC-8BEE-420E-8B04-5767B755C54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5080</t>
        </r>
      </text>
    </comment>
    <comment ref="E2751" authorId="1" shapeId="0" xr:uid="{CF54A51C-7E11-49F4-9ED5-BF46ADD7751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PI#5101 </t>
        </r>
      </text>
    </comment>
    <comment ref="V2755" authorId="1" shapeId="0" xr:uid="{5305C47A-D387-4949-A0CD-FA2E9579A16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Q2759" authorId="1" shapeId="0" xr:uid="{2C322AB1-2117-47AD-876C-C9E919D7745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E2763" authorId="0" shapeId="0" xr:uid="{D573F206-CD29-4F75-AC59-B19863F7B3E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5110</t>
        </r>
      </text>
    </comment>
    <comment ref="G2766" authorId="1" shapeId="0" xr:uid="{F8E25EE8-47C3-4204-8037-CADF2B7DD40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G2767" authorId="1" shapeId="0" xr:uid="{29842328-EBA3-4C22-92B2-B92A0366295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S2768" authorId="1" shapeId="0" xr:uid="{5DA54641-B243-402C-85C2-A32EF26355F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T2768" authorId="1" shapeId="0" xr:uid="{3454DA36-2613-4D43-8DDD-A6E3E152EC2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G2770" authorId="1" shapeId="0" xr:uid="{6DED703A-098A-4CB5-88AB-F4A9A438DF1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S2771" authorId="1" shapeId="0" xr:uid="{37F319FE-49E1-48F0-95FD-6FAA468252B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別注糸代はCCR-02(SS)と合わせて1件のみ。
小口製作代のみ</t>
        </r>
      </text>
    </comment>
    <comment ref="T2771" authorId="1" shapeId="0" xr:uid="{FB5029F3-0BF5-4F18-A208-A8CF58BDA3F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別注糸代はCCR-02(SS)と合わせて1件のみ。
小口製作代のみ</t>
        </r>
      </text>
    </comment>
    <comment ref="Q2772" authorId="1" shapeId="0" xr:uid="{E6E97A98-5213-4387-9113-B412C2C789F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Q2776" authorId="1" shapeId="0" xr:uid="{E8AFEBA2-E41F-4657-BE2E-A1CA980CD4C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G2777" authorId="1" shapeId="0" xr:uid="{32DF9F48-CBCF-407C-B9CB-C720C3ADBD5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G2778" authorId="1" shapeId="0" xr:uid="{8308A6C5-7D94-48B8-832F-52842A93784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G2779" authorId="1" shapeId="0" xr:uid="{4BE17DE4-A9A4-4A63-A9CE-392FF7D1F3B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S2780" authorId="1" shapeId="0" xr:uid="{A68363C8-A161-44E5-8419-D86F7D9B165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T2780" authorId="1" shapeId="0" xr:uid="{738566EB-0715-405D-A5EF-A69CF6E9E5B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Q2781" authorId="1" shapeId="0" xr:uid="{10A3CE6F-F63F-4100-9701-5C62ED05584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K2782" authorId="1" shapeId="0" xr:uid="{CC64BB56-F184-4502-BE55-E72D1B61208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PO-02723と一緒に手配なので、無し</t>
        </r>
      </text>
    </comment>
    <comment ref="S2782" authorId="1" shapeId="0" xr:uid="{767217EC-C292-4525-8FA8-07F9210970BB}">
      <text>
        <r>
          <rPr>
            <b/>
            <sz val="9"/>
            <color indexed="81"/>
            <rFont val="MS P ゴシック"/>
            <family val="3"/>
            <charset val="128"/>
          </rPr>
          <t>chiba:
PO-02723と一緒に手配なので、無し</t>
        </r>
      </text>
    </comment>
    <comment ref="T2782" authorId="1" shapeId="0" xr:uid="{E59FEE96-27AA-45C7-803F-73F6D65E4E75}">
      <text>
        <r>
          <rPr>
            <b/>
            <sz val="9"/>
            <color indexed="81"/>
            <rFont val="MS P ゴシック"/>
            <family val="3"/>
            <charset val="128"/>
          </rPr>
          <t>chiba:
PO-02723と一緒に手配なので、無し</t>
        </r>
      </text>
    </comment>
    <comment ref="Q2786" authorId="1" shapeId="0" xr:uid="{8C046B70-0EC7-446F-8BE4-6C597A720B6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E2793" authorId="0" shapeId="0" xr:uid="{C2730915-0AB2-4299-A058-3D89DBFB1CC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4970</t>
        </r>
      </text>
    </comment>
    <comment ref="E2807" authorId="1" shapeId="0" xr:uid="{5C958783-1693-4436-A23A-6AA6362D689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PI#5115</t>
        </r>
      </text>
    </comment>
    <comment ref="Q2817" authorId="1" shapeId="0" xr:uid="{A40C56BB-5AA4-40FA-B2DE-41D4194E0BC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Q2830" authorId="1" shapeId="0" xr:uid="{829B68CD-3F83-481B-A872-0B4B4C4287F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12/cutで請求</t>
        </r>
      </text>
    </comment>
    <comment ref="V2833" authorId="1" shapeId="0" xr:uid="{0DBD1268-F069-43C1-8FE0-F02592D24A2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V2843" authorId="1" shapeId="0" xr:uid="{7DCBBC59-D38B-4EB0-9A56-4908E97F62B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Q2846" authorId="1" shapeId="0" xr:uid="{D11897EB-D616-46CB-856A-6FF1A379FBF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12/cutで請求</t>
        </r>
      </text>
    </comment>
    <comment ref="R2846" authorId="1" shapeId="0" xr:uid="{E3B03CA2-C814-479E-A144-F351C7D1A9A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12/cutで請求</t>
        </r>
      </text>
    </comment>
    <comment ref="V2853" authorId="1" shapeId="0" xr:uid="{71A8CB5A-C2B9-45C1-8B75-C092ACDA885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V2858" authorId="1" shapeId="0" xr:uid="{836B6140-8728-4C1F-8306-46E4F213C57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2859" authorId="1" shapeId="0" xr:uid="{978944F5-7706-474D-8F9B-55C4982661E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KKF2808 D/# 230</t>
        </r>
      </text>
    </comment>
    <comment ref="E2860" authorId="1" shapeId="0" xr:uid="{BCEC8BB5-AA25-4716-9AC2-4ECA4F00268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KKF2808 D/# 230</t>
        </r>
      </text>
    </comment>
    <comment ref="E2861" authorId="1" shapeId="0" xr:uid="{40E05712-DE48-44BF-B4D2-5E2DDF9A9B4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KKF2808 D/# 230</t>
        </r>
      </text>
    </comment>
    <comment ref="Q2871" authorId="1" shapeId="0" xr:uid="{EAA1EAAF-743A-44DD-B4E9-606BC102FED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V2872" authorId="1" shapeId="0" xr:uid="{D8391430-149D-495E-8DA0-E9E228AA840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2873" authorId="1" shapeId="0" xr:uid="{D7D7DE72-C514-4002-BA22-07A9BDB8FF1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5175</t>
        </r>
      </text>
    </comment>
    <comment ref="V2904" authorId="1" shapeId="0" xr:uid="{F5184317-AF30-4C83-86C7-6BC239B8260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2918" authorId="1" shapeId="0" xr:uid="{A9FC7FFA-A23D-406F-8BE7-C0A58A34668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PI#5239</t>
        </r>
      </text>
    </comment>
    <comment ref="E2940" authorId="1" shapeId="0" xr:uid="{4F04388C-B8F6-444C-8122-327654B7C29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5253</t>
        </r>
      </text>
    </comment>
    <comment ref="E2955" authorId="1" shapeId="0" xr:uid="{54C0CB00-10AC-4A71-92F2-E7D521130B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5286</t>
        </r>
      </text>
    </comment>
    <comment ref="E2958" authorId="1" shapeId="0" xr:uid="{99BFEA2A-5D41-4486-9291-F8886B26CC6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5286-2
</t>
        </r>
      </text>
    </comment>
    <comment ref="E2966" authorId="1" shapeId="0" xr:uid="{B17806AD-9417-41FA-88DA-7C53B0AFE34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宇仁品番のまま提案</t>
        </r>
      </text>
    </comment>
    <comment ref="E2971" authorId="1" shapeId="0" xr:uid="{E5F70BB4-883B-40F7-B1BC-14117B4E02C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5319</t>
        </r>
      </text>
    </comment>
    <comment ref="G2973" authorId="1" shapeId="0" xr:uid="{49B786FC-F13B-4DEE-8D04-45F39B196C3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G2974" authorId="1" shapeId="0" xr:uid="{2C8FA25E-1312-4FF5-9D34-733D926EF1F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S2975" authorId="1" shapeId="0" xr:uid="{F5FB4029-F4CF-4B6C-8799-725D67D90B1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T2975" authorId="1" shapeId="0" xr:uid="{3DFACEF5-DAAD-4220-B528-AA8FE75E40F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Q2976" authorId="1" shapeId="0" xr:uid="{59AA1913-885B-4421-B2DC-8DBE425B656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Q2980" authorId="1" shapeId="0" xr:uid="{2234FBC2-627F-42AE-A355-0F12D5871D6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E2983" authorId="1" shapeId="0" xr:uid="{D6114840-9FA7-4C12-80A0-EEFC5C03BF8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5318</t>
        </r>
      </text>
    </comment>
    <comment ref="G2984" authorId="1" shapeId="0" xr:uid="{D69B2AA1-D6ED-4BEE-94F2-86D69E8B7A2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G2985" authorId="1" shapeId="0" xr:uid="{1FAA4878-C80B-406E-95C8-F32B680AA61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S2986" authorId="1" shapeId="0" xr:uid="{05F037B8-17C9-46FD-B8BF-F7BCE17D1DF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別注糸代はCCR-02(SS)と合わせて1件のみ。
小口製作代のみ</t>
        </r>
      </text>
    </comment>
    <comment ref="Q2995" authorId="1" shapeId="0" xr:uid="{38EDBDAB-10B1-4C6E-8A57-3FC8594A22B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V2997" authorId="1" shapeId="0" xr:uid="{43333A5E-B74A-4272-8E84-E4A4C581803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2998" authorId="1" shapeId="0" xr:uid="{64F65599-259B-4BD1-8D7C-F855553E9F8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PI#5329</t>
        </r>
      </text>
    </comment>
    <comment ref="E3009" authorId="1" shapeId="0" xr:uid="{E1E874D6-6405-442F-811A-A86996C7C1D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5354</t>
        </r>
      </text>
    </comment>
    <comment ref="E3013" authorId="0" shapeId="0" xr:uid="{2507AF70-A613-4F39-9B42-5AB10C8D9C4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KKF4004</t>
        </r>
      </text>
    </comment>
    <comment ref="F3013" authorId="1" shapeId="0" xr:uid="{F31650C0-FDAD-4DB5-AD63-448C4FF4D2D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プリントの有効幅</t>
        </r>
      </text>
    </comment>
    <comment ref="E3014" authorId="0" shapeId="0" xr:uid="{20D80BE2-7808-4464-98CA-BEEE4BD3CF3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KKF4004</t>
        </r>
      </text>
    </comment>
    <comment ref="F3014" authorId="1" shapeId="0" xr:uid="{39D6347A-1774-4F19-B398-33128BFA8C9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プリントの有効幅</t>
        </r>
      </text>
    </comment>
    <comment ref="E3015" authorId="0" shapeId="0" xr:uid="{021B1744-0620-43CD-85AE-EFDBFB35F82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KKF4004</t>
        </r>
      </text>
    </comment>
    <comment ref="F3015" authorId="1" shapeId="0" xr:uid="{6767F9C1-0450-44D4-907A-7E11F8BEC47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プリントの有効幅</t>
        </r>
      </text>
    </comment>
    <comment ref="E3018" authorId="0" shapeId="0" xr:uid="{BB43BBD4-A7E0-40A0-BBB5-C26EC733900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下げ札が「3370　C-31」</t>
        </r>
      </text>
    </comment>
    <comment ref="E3020" authorId="0" shapeId="0" xr:uid="{2EA5F64D-651F-43E5-82CB-A5D3738643F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(KKF8385-W)</t>
        </r>
      </text>
    </comment>
    <comment ref="E3021" authorId="0" shapeId="0" xr:uid="{7B6A8497-DB1B-45B2-9A9D-B1A15B3473E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(KKF9047)</t>
        </r>
      </text>
    </comment>
    <comment ref="E3022" authorId="0" shapeId="0" xr:uid="{0138D73A-AB1F-4CB8-82EA-FB856AD0047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(KKF9047)</t>
        </r>
      </text>
    </comment>
    <comment ref="E3023" authorId="0" shapeId="0" xr:uid="{3D460423-5C09-42C5-BF7F-951CD150496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(KKF9047)</t>
        </r>
      </text>
    </comment>
    <comment ref="E3036" authorId="0" shapeId="0" xr:uid="{CEA48DA8-98FA-42B5-BCF2-64802ACED8F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KKF8250-58 D#1</t>
        </r>
      </text>
    </comment>
    <comment ref="E3037" authorId="0" shapeId="0" xr:uid="{B402041A-4E5F-40C2-B3B0-D611BF1C0B2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KKF8250-58 D#1</t>
        </r>
      </text>
    </comment>
    <comment ref="E3042" authorId="0" shapeId="0" xr:uid="{628EF192-F830-4C27-98E0-4281D8E6262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PI#5380</t>
        </r>
      </text>
    </comment>
    <comment ref="E3050" authorId="1" shapeId="0" xr:uid="{ABF967F2-A4AF-48CC-A441-9211AE482D5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INV#5401</t>
        </r>
      </text>
    </comment>
    <comment ref="G3054" authorId="1" shapeId="0" xr:uid="{58921213-7409-47A9-B126-7620E7EE0B2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S3055" authorId="1" shapeId="0" xr:uid="{9351876E-1A3E-43EC-BCF1-575F5F4A770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T3055" authorId="1" shapeId="0" xr:uid="{84F056CA-C3FB-4AEE-91CB-2F64A1AEA53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Q3056" authorId="1" shapeId="0" xr:uid="{A6584002-2230-4F9B-B396-746A2D38811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E3059" authorId="1" shapeId="0" xr:uid="{C4ADC81C-E590-4009-9484-A103A2C13FE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INV#5400</t>
        </r>
      </text>
    </comment>
    <comment ref="G3061" authorId="1" shapeId="0" xr:uid="{C0D843F9-0504-446A-93AD-15E1E68406B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S3062" authorId="1" shapeId="0" xr:uid="{33E186CB-AA7C-4970-94B7-FBF15B908E6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T3062" authorId="1" shapeId="0" xr:uid="{69FA256F-0BAA-4D38-9247-AACE9CABE7E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E3081" authorId="1" shapeId="0" xr:uid="{A19AC92E-CCF2-4003-BC0A-3F56E50F481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PI#5409</t>
        </r>
      </text>
    </comment>
    <comment ref="K3084" authorId="1" shapeId="0" xr:uid="{B9A5800C-A567-4E67-BD91-43DA0F39AF8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cut fee + IFC </t>
        </r>
      </text>
    </comment>
    <comment ref="E3087" authorId="1" shapeId="0" xr:uid="{AFEC225C-7130-4701-A821-CDC06B0579C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PI#5405</t>
        </r>
      </text>
    </comment>
    <comment ref="V3090" authorId="1" shapeId="0" xr:uid="{9F8D2FBD-2FAA-4A8E-B303-8B7E07252F3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3091" authorId="1" shapeId="0" xr:uid="{7B3F2586-6CAE-40D5-B982-C8E9F594F7B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PI#5412</t>
        </r>
      </text>
    </comment>
    <comment ref="E3097" authorId="1" shapeId="0" xr:uid="{FC74AF4E-E0A5-4F9D-A1EF-5EC07E89DA7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PI#5418</t>
        </r>
      </text>
    </comment>
    <comment ref="E3168" authorId="1" shapeId="0" xr:uid="{81028EEF-A01E-4FB0-BD7A-1FAF5B01E7B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PI#5466</t>
        </r>
      </text>
    </comment>
    <comment ref="G3171" authorId="1" shapeId="0" xr:uid="{25BEF0D7-1535-42DB-878D-3578A6BFF9E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G3172" authorId="1" shapeId="0" xr:uid="{53CB92AC-B345-4606-BCC4-AF212831445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S3173" authorId="1" shapeId="0" xr:uid="{0FE1745D-92A4-49AC-86E7-C72E62D51CF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別注糸代8000円のみ
別注ミニマム1500m/colなので、小口製作代は不要
</t>
        </r>
      </text>
    </comment>
    <comment ref="S3174" authorId="1" shapeId="0" xr:uid="{FF941BDF-55F5-4DC7-9AD2-82432FDCBD2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小口製作費 + 別注糸代</t>
        </r>
      </text>
    </comment>
    <comment ref="E3194" authorId="1" shapeId="0" xr:uid="{E8E45F3A-C761-40D5-A5A1-01C12C9B2F5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PI#5510
</t>
        </r>
      </text>
    </comment>
    <comment ref="K3241" authorId="1" shapeId="0" xr:uid="{7DA3DD6C-8147-4EF5-B5ED-0D18377EB3E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(JPY 32,826, US$1.00=JPY 115換算)で見積もり</t>
        </r>
      </text>
    </comment>
    <comment ref="L3241" authorId="1" shapeId="0" xr:uid="{4ADACC4D-0FF0-406F-AE15-17331306800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(JPY 32,826, US$1.00=JPY 115換算)で見積もり</t>
        </r>
      </text>
    </comment>
    <comment ref="Q3241" authorId="1" shapeId="0" xr:uid="{26F52DA8-E3C3-48DE-8214-7EEB2900225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(JPY 32,826, US$1.00=JPY 115換算)で見積もり</t>
        </r>
      </text>
    </comment>
    <comment ref="R3241" authorId="1" shapeId="0" xr:uid="{DD9A6D72-04E7-4191-AB1C-18CF07243EA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(JPY 32,826, US$1.00=JPY 115換算)で見積もり</t>
        </r>
      </text>
    </comment>
    <comment ref="E3243" authorId="0" shapeId="0" xr:uid="{738A9CC8-F56A-4A09-9966-D1191595660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下げ札が「3370　C-31」</t>
        </r>
      </text>
    </comment>
    <comment ref="E3244" authorId="0" shapeId="0" xr:uid="{CFD60118-8C62-4BBB-9080-71BC567E82B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下げ札が「3370　C-31」</t>
        </r>
      </text>
    </comment>
    <comment ref="E3245" authorId="0" shapeId="0" xr:uid="{56FDC6C5-26B7-401C-A9A1-95559E8A9AA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下げ札が「3370　C-31」</t>
        </r>
      </text>
    </comment>
    <comment ref="E3246" authorId="0" shapeId="0" xr:uid="{CA83EE50-5F82-459D-92DA-592C7B14463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下げ札が「3370　C-31」</t>
        </r>
      </text>
    </comment>
    <comment ref="V3254" authorId="1" shapeId="0" xr:uid="{7F7FC5EF-B055-4005-8F46-0A1683802FB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V3258" authorId="1" shapeId="0" xr:uid="{893C6ACD-98BF-4928-8CC2-9635482F37D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3259" authorId="1" shapeId="0" xr:uid="{46E0064A-A42A-4D48-8C91-D6966E273C2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KKF2808 D/# 230</t>
        </r>
      </text>
    </comment>
    <comment ref="J3259" authorId="0" shapeId="0" xr:uid="{108A69C6-F520-4C91-8CB1-88C60C53A6A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small roll, no cut fee
</t>
        </r>
      </text>
    </comment>
    <comment ref="V3262" authorId="1" shapeId="0" xr:uid="{061BF137-8F0E-4F03-A86C-16CB8037CE8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3263" authorId="1" shapeId="0" xr:uid="{AA74571F-42B5-4603-B7DD-8670A0E343E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KKF2808 D/# 230</t>
        </r>
      </text>
    </comment>
    <comment ref="S3292" authorId="1" shapeId="0" xr:uid="{863F07F1-1C20-446D-8955-393C00D4118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　※サンプル代（30m／色）　￥10,000</t>
        </r>
      </text>
    </comment>
    <comment ref="S3293" authorId="1" shapeId="0" xr:uid="{DF84D626-156F-4356-B204-DD4111503CB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　※サンプル代（30m／色）　￥10,000</t>
        </r>
      </text>
    </comment>
    <comment ref="Q3305" authorId="1" shapeId="0" xr:uid="{AFB09BAF-BC64-464A-96BC-59410FD61CE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E3307" authorId="1" shapeId="0" xr:uid="{5C42ABEA-0DD3-46FA-8F2A-AE1E3011586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5624</t>
        </r>
      </text>
    </comment>
    <comment ref="G3308" authorId="1" shapeId="0" xr:uid="{FEF6C3C3-2F02-413A-8E98-738641943A4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S3309" authorId="1" shapeId="0" xr:uid="{3A317928-F730-45E1-A203-110C966DB4E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T3309" authorId="1" shapeId="0" xr:uid="{6D955BC7-FD60-4A3E-88E2-40EAE96D91E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E3314" authorId="1" shapeId="0" xr:uid="{2ADEC89A-D041-42C8-9052-20825A3BC11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5625</t>
        </r>
      </text>
    </comment>
    <comment ref="E3319" authorId="1" shapeId="0" xr:uid="{B75AD805-B54B-45A6-BBA5-12F20484638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5626</t>
        </r>
      </text>
    </comment>
    <comment ref="G3320" authorId="1" shapeId="0" xr:uid="{85C90317-9F6E-41CD-84A9-66DFB3BA9A0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K3321" authorId="1" shapeId="0" xr:uid="{B1A794A6-1166-40D4-A373-FBC9E3BD6AD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PO-03109 と同時進行なので、小口代など不要</t>
        </r>
      </text>
    </comment>
    <comment ref="Q3321" authorId="1" shapeId="0" xr:uid="{E04E95CE-AF8B-4ACB-93BB-BD6590282AE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PO-03109 と同時進行なので、小口代など不要</t>
        </r>
      </text>
    </comment>
    <comment ref="S3321" authorId="1" shapeId="0" xr:uid="{328B581D-BE84-4701-AC11-9776C2CB51C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T3321" authorId="1" shapeId="0" xr:uid="{B3636035-D16B-43BA-9D3F-C96EB0E28D7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E3328" authorId="1" shapeId="0" xr:uid="{B3479209-6987-4296-BBB6-06825B61122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5627</t>
        </r>
      </text>
    </comment>
    <comment ref="E3332" authorId="1" shapeId="0" xr:uid="{C5CACBA1-5091-4DE1-9874-5359EE394EC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5628</t>
        </r>
      </text>
    </comment>
    <comment ref="G3332" authorId="1" shapeId="0" xr:uid="{0B81F189-5524-44B0-8350-3B7869B37A3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K3333" authorId="1" shapeId="0" xr:uid="{912B6BB4-8BD0-4D59-A76F-C3421C03D75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PO-03109 と同時進行なので、小口代など不要</t>
        </r>
      </text>
    </comment>
    <comment ref="Q3333" authorId="1" shapeId="0" xr:uid="{18A845C8-4838-445C-ABC8-5032DCF2904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PO-03109 と同時進行なので、小口代など不要</t>
        </r>
      </text>
    </comment>
    <comment ref="S3333" authorId="1" shapeId="0" xr:uid="{AF0CDC08-850D-48F6-99C2-FF2C77E55B5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T3333" authorId="1" shapeId="0" xr:uid="{54A1A4F2-43D4-4278-806E-A14BA8E44EA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V3342" authorId="1" shapeId="0" xr:uid="{834AAE2C-F7D0-4593-8062-0A4861F1BB8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3350" authorId="1" shapeId="0" xr:uid="{8CB76C93-3CB8-4C9C-AC60-2C44B741CF5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PI#5631</t>
        </r>
      </text>
    </comment>
    <comment ref="L3357" authorId="1" shapeId="0" xr:uid="{67EA942C-41DC-48F7-9BB5-622D03E88B3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顧客請求無し・NYのみ請求
</t>
        </r>
      </text>
    </comment>
    <comment ref="V3368" authorId="1" shapeId="0" xr:uid="{1EC77D6B-A6C1-492A-8345-89A8872E62D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3369" authorId="1" shapeId="0" xr:uid="{01F0E38B-4A88-46AE-BF6C-596AFF65BB2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KKF8867 D#2</t>
        </r>
      </text>
    </comment>
    <comment ref="V3377" authorId="1" shapeId="0" xr:uid="{681E8396-6DA3-44E3-A20C-D3A76558FC6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3378" authorId="1" shapeId="0" xr:uid="{11A1C674-A8BC-48BB-A2D7-66B8FB14D15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KKF2425E2X-W</t>
        </r>
      </text>
    </comment>
    <comment ref="E3379" authorId="1" shapeId="0" xr:uid="{B4B8AC96-BF20-4156-99B9-0E2A0310E6E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KKF2425E2X-W</t>
        </r>
      </text>
    </comment>
    <comment ref="E3380" authorId="1" shapeId="0" xr:uid="{A3EA4988-8E8C-4054-B16E-2447BC1426B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KKF2425E2X-W</t>
        </r>
      </text>
    </comment>
    <comment ref="E3381" authorId="1" shapeId="0" xr:uid="{1DC08B12-13AC-42BE-8310-CC279A2DD61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KKF2425E2X-W</t>
        </r>
      </text>
    </comment>
    <comment ref="V3383" authorId="1" shapeId="0" xr:uid="{7D6CF350-A984-4A27-8542-130732CEED1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3384" authorId="1" shapeId="0" xr:uid="{2D213931-80A6-4933-945B-8883AC76570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KKF2210E2X-W</t>
        </r>
      </text>
    </comment>
    <comment ref="E3385" authorId="1" shapeId="0" xr:uid="{97D2B8B6-DB7A-49B2-9F01-9AA5F4D8BBC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KKF2210E2X-W</t>
        </r>
      </text>
    </comment>
    <comment ref="E3386" authorId="1" shapeId="0" xr:uid="{37AF7505-B40E-4F74-8359-60359C415BF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KKF2210E2X-W</t>
        </r>
      </text>
    </comment>
    <comment ref="E3387" authorId="1" shapeId="0" xr:uid="{CE5F8DE5-CEB2-43D8-879A-48EECB10F9F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KKF2210E2X-W</t>
        </r>
      </text>
    </comment>
    <comment ref="E3408" authorId="0" shapeId="0" xr:uid="{CB331DD2-07AB-449E-909C-ADE25C90BF4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PI/INV#5677</t>
        </r>
      </text>
    </comment>
    <comment ref="E3422" authorId="1" shapeId="0" xr:uid="{CA1F9020-075E-4E96-BD69-BEB746D408A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PI#5712</t>
        </r>
      </text>
    </comment>
    <comment ref="E3426" authorId="1" shapeId="0" xr:uid="{1429C42F-D5FC-48F7-9E34-9494888523D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PI#5713</t>
        </r>
      </text>
    </comment>
    <comment ref="E3448" authorId="0" shapeId="0" xr:uid="{2E68BE86-CA75-4B50-9597-10863E6F854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PI#5744</t>
        </r>
      </text>
    </comment>
    <comment ref="V3454" authorId="1" shapeId="0" xr:uid="{4A71D8BE-630B-443D-8633-A2A126B51E4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V3459" authorId="1" shapeId="0" xr:uid="{3EFC29E4-EB04-4858-9412-8726F5DA147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3460" authorId="0" shapeId="0" xr:uid="{FD3BA68D-0BA6-4DA9-B1B4-6F7F0A2EBEA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KKF5511</t>
        </r>
      </text>
    </comment>
    <comment ref="E3464" authorId="0" shapeId="0" xr:uid="{34DF6157-3246-428E-8DA6-4B267AC90B2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5781</t>
        </r>
      </text>
    </comment>
    <comment ref="S3464" authorId="1" shapeId="0" xr:uid="{84AAAE89-190A-4AD2-ABF6-BDEC80C2D5F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E3477" authorId="1" shapeId="0" xr:uid="{FF6D4638-797B-41FB-96F8-AAB3203E4D8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5792</t>
        </r>
      </text>
    </comment>
    <comment ref="E3481" authorId="1" shapeId="0" xr:uid="{C479FFF2-334C-49BE-8711-7232DC7617C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5793</t>
        </r>
      </text>
    </comment>
    <comment ref="G3482" authorId="1" shapeId="0" xr:uid="{2DBC5BFF-B557-4F1E-9741-7813867B573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S3483" authorId="1" shapeId="0" xr:uid="{6F1C5BB2-FB04-4526-BEDF-A0D09FCAC35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別注糸代</t>
        </r>
      </text>
    </comment>
    <comment ref="E3487" authorId="1" shapeId="0" xr:uid="{427306D8-AB8E-4772-9988-4531B9B43E7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5794</t>
        </r>
      </text>
    </comment>
    <comment ref="G3487" authorId="1" shapeId="0" xr:uid="{9BA3B6DA-C0D2-46FC-9F96-A09E3837552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K3488" authorId="1" shapeId="0" xr:uid="{4BB7FEAE-6089-4505-A875-45CCDC1D637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PO-03250 と同時進行なので、小口代など不要</t>
        </r>
      </text>
    </comment>
    <comment ref="S3488" authorId="1" shapeId="0" xr:uid="{D1401928-9EB1-4FFB-A7F2-9A9F1DF5869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PO-03250 と同時進行なので、小口代など不要</t>
        </r>
      </text>
    </comment>
    <comment ref="V3504" authorId="1" shapeId="0" xr:uid="{6B97E6BD-A42A-4DB9-9587-87E568A9285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3505" authorId="0" shapeId="0" xr:uid="{C04711AB-2F4E-43C4-BC27-970AC9564A9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KKF2224</t>
        </r>
      </text>
    </comment>
    <comment ref="E3514" authorId="1" shapeId="0" xr:uid="{B42A165D-7BA4-4B7D-A033-B6B0E66B66C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PI#5861</t>
        </r>
      </text>
    </comment>
    <comment ref="E3515" authorId="1" shapeId="0" xr:uid="{6D0BD784-2CAF-4891-9B1D-E4BF70C5370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PI#5861</t>
        </r>
      </text>
    </comment>
    <comment ref="E3519" authorId="1" shapeId="0" xr:uid="{852208B3-8318-4C89-A879-EB4268E7B9C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5886</t>
        </r>
      </text>
    </comment>
    <comment ref="E3524" authorId="1" shapeId="0" xr:uid="{630F4C75-864F-4F14-A69E-C5F329D1621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5887</t>
        </r>
      </text>
    </comment>
    <comment ref="E3529" authorId="1" shapeId="0" xr:uid="{ADB87FCF-B033-4AE4-97A9-2C2FCCCC77D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PI#5890 </t>
        </r>
      </text>
    </comment>
    <comment ref="V3538" authorId="1" shapeId="0" xr:uid="{6B255BB8-50C7-4530-A6E7-912500ED4A5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3570" authorId="0" shapeId="0" xr:uid="{071EB74A-C5FD-4599-B4F2-B5DB91AC2B4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PI#5885</t>
        </r>
      </text>
    </comment>
    <comment ref="E3590" authorId="1" shapeId="0" xr:uid="{7CA58FF3-190A-4F96-BCC9-89476D9402F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PI#5932</t>
        </r>
      </text>
    </comment>
    <comment ref="V3594" authorId="1" shapeId="0" xr:uid="{292A3D39-2593-43FB-B6AA-3C27750D541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3595" authorId="1" shapeId="0" xr:uid="{7117733B-8C26-4CAD-92E2-8332FCD52B4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KKF8867 D#2</t>
        </r>
      </text>
    </comment>
    <comment ref="V3610" authorId="1" shapeId="0" xr:uid="{E585DD4A-48BC-452F-AB23-3ABADC8EFFD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3611" authorId="0" shapeId="0" xr:uid="{494CC90D-8098-476B-B6E1-366A445F1AE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E3612" authorId="0" shapeId="0" xr:uid="{D7181FFD-8EE4-4A11-8F27-18F926F3B38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S3617" authorId="1" shapeId="0" xr:uid="{088AF48D-4FE6-4335-B1D2-F07C6AE648F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　※サンプル代（30m／色）　￥10,000</t>
        </r>
      </text>
    </comment>
    <comment ref="S3618" authorId="1" shapeId="0" xr:uid="{C46E173D-98CB-43A6-9A8A-6872A1DDE85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　※サンプル代（30m／色）　￥10,000</t>
        </r>
      </text>
    </comment>
    <comment ref="V3625" authorId="1" shapeId="0" xr:uid="{8D737FA1-A6E1-4199-831E-2878D49B15A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3626" authorId="1" shapeId="0" xr:uid="{D2A1C01C-E8E3-4C30-81AC-C3D01547213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KKF2425E2X-W</t>
        </r>
      </text>
    </comment>
    <comment ref="V3627" authorId="1" shapeId="0" xr:uid="{92B07844-97B4-4633-8E3D-9ED4C70F713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3628" authorId="0" shapeId="0" xr:uid="{3F44D3E0-5093-4040-88B1-8BDE9B75434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KKF4004</t>
        </r>
      </text>
    </comment>
    <comment ref="E3629" authorId="0" shapeId="0" xr:uid="{D98C8AF9-87BF-4CBF-972C-3C9A25EA720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KKF4004</t>
        </r>
      </text>
    </comment>
    <comment ref="E3643" authorId="0" shapeId="0" xr:uid="{547CA3E5-98A9-4B22-9CDB-CB358A0A444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下げ札が「3370　C-31」</t>
        </r>
      </text>
    </comment>
    <comment ref="E3684" authorId="0" shapeId="0" xr:uid="{F9716C58-8859-45E5-B565-BDF96078E83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F3431
</t>
        </r>
      </text>
    </comment>
    <comment ref="E3686" authorId="0" shapeId="0" xr:uid="{8042E7FD-DEFB-4AFC-A745-BF135563D43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D/#F-3407
</t>
        </r>
      </text>
    </comment>
    <comment ref="E3691" authorId="1" shapeId="0" xr:uid="{A94D22C3-8E54-4224-AA60-7656C928397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6047</t>
        </r>
      </text>
    </comment>
    <comment ref="E3697" authorId="1" shapeId="0" xr:uid="{5FAA8464-3799-4198-8D72-9F3DD5DAAB1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6048</t>
        </r>
      </text>
    </comment>
    <comment ref="E3706" authorId="1" shapeId="0" xr:uid="{111B0E30-8A77-423B-A093-A9516528A2F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6049</t>
        </r>
      </text>
    </comment>
    <comment ref="E3714" authorId="1" shapeId="0" xr:uid="{CFCE4349-FDF4-407D-ADE8-DAF3D0E0B24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6050</t>
        </r>
      </text>
    </comment>
    <comment ref="E3725" authorId="1" shapeId="0" xr:uid="{0900AC7E-71CE-46E8-880F-B2DF714CE84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6064</t>
        </r>
      </text>
    </comment>
    <comment ref="Q3730" authorId="1" shapeId="0" xr:uid="{A31A63F6-35A6-4288-8552-FE0EEB287FA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新単価に合わせて計算</t>
        </r>
      </text>
    </comment>
    <comment ref="V3733" authorId="1" shapeId="0" xr:uid="{FAB4D5E5-EF82-4B33-BB95-9602457038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3734" authorId="0" shapeId="0" xr:uid="{E3C23419-73CA-433A-9D99-90581D07F7A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E3736" authorId="0" shapeId="0" xr:uid="{85AFC382-417C-47F4-B76D-791156E52D8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E3740" authorId="1" shapeId="0" xr:uid="{E9599CE4-A1D6-4B68-9473-A0C744F7F56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6080</t>
        </r>
      </text>
    </comment>
    <comment ref="K3746" authorId="1" shapeId="0" xr:uid="{4FEE6DFD-757E-4A38-A16E-B20D52B9F46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顧客希望でHandling Fee USD 12を含んで計算
通常USD 1.07</t>
        </r>
      </text>
    </comment>
    <comment ref="Q3746" authorId="1" shapeId="0" xr:uid="{C0EBA112-14F4-46D2-A8C3-56150CBB457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今回は通常仕入単価に合わせて計算</t>
        </r>
      </text>
    </comment>
    <comment ref="E3761" authorId="1" shapeId="0" xr:uid="{3428B902-34A0-42A9-BC62-8A250B195BD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6084</t>
        </r>
      </text>
    </comment>
    <comment ref="E3762" authorId="1" shapeId="0" xr:uid="{22BC5036-D0CF-41CE-AB16-CC54127DABD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6084</t>
        </r>
      </text>
    </comment>
    <comment ref="E3766" authorId="1" shapeId="0" xr:uid="{A0349503-96B6-49C7-9F4D-CDA047A14B0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6082</t>
        </r>
      </text>
    </comment>
    <comment ref="Q3773" authorId="1" shapeId="0" xr:uid="{021206AC-E4FB-4E93-B4DB-BF62144AA94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バルク単価5521 #SO 1,000m (18反)\460/m
</t>
        </r>
      </text>
    </comment>
    <comment ref="Q3774" authorId="1" shapeId="0" xr:uid="{B340D812-7E67-4DC9-805F-1C5597C93F6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バルク単価5521 #SO 1,000m (18反)\460/m
</t>
        </r>
      </text>
    </comment>
    <comment ref="Q3775" authorId="1" shapeId="0" xr:uid="{FE368CF6-FE6D-424E-BCC1-6DE969D9D2D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バルク単価5521 #SO 1,000m (18反)\460/m
</t>
        </r>
      </text>
    </comment>
    <comment ref="Q3776" authorId="1" shapeId="0" xr:uid="{E859F15B-2CA3-4A58-8A25-59A4C5645B1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バルク単価5521 #SO 1,000m (18反)\460/m
</t>
        </r>
      </text>
    </comment>
    <comment ref="Q3777" authorId="1" shapeId="0" xr:uid="{498CB42C-8543-4FDA-9685-23818237F39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バルク単価5521 #SO 1,000m (18反)\460/m
</t>
        </r>
      </text>
    </comment>
    <comment ref="E3799" authorId="1" shapeId="0" xr:uid="{A35BDB0D-0567-4056-A601-3671CA86942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(KKF1140-W)</t>
        </r>
      </text>
    </comment>
    <comment ref="E3807" authorId="1" shapeId="0" xr:uid="{0C8C3A9C-A965-4B54-A9DB-65B8B454A63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PI#6162</t>
        </r>
      </text>
    </comment>
    <comment ref="K3812" authorId="1" shapeId="0" xr:uid="{55E27000-50BF-4C95-98BF-A932B35DD21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顧客への請求なし・SF NY にのみ請求</t>
        </r>
      </text>
    </comment>
    <comment ref="S3812" authorId="1" shapeId="0" xr:uid="{2D3C5683-F2D1-4AA1-A67F-1B888404EC9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無償扱いサンプルの一括請求</t>
        </r>
      </text>
    </comment>
    <comment ref="E3815" authorId="0" shapeId="0" xr:uid="{DB9D90F4-95F3-4883-A1BF-0A13D8E0707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D#F3407 Lily
</t>
        </r>
      </text>
    </comment>
    <comment ref="V3823" authorId="1" shapeId="0" xr:uid="{144A8441-6D40-4433-B80B-E4516FE52CD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3824" authorId="1" shapeId="0" xr:uid="{1F88A774-5BE2-42C4-B5D5-BE9D30BDD04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KKF2425E2X-W</t>
        </r>
      </text>
    </comment>
    <comment ref="S3824" authorId="2" shapeId="0" xr:uid="{36EE96CA-4EC3-4838-B1AE-983306F68999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次回より@740/ｍに値上げ</t>
        </r>
      </text>
    </comment>
    <comment ref="E3843" authorId="1" shapeId="0" xr:uid="{A42DE8B1-AAC0-418C-B8F3-F409DD4E09E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6177
</t>
        </r>
      </text>
    </comment>
    <comment ref="V3866" authorId="1" shapeId="0" xr:uid="{F88E41D3-AD93-4D0A-BA30-E4A020409E1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3867" authorId="0" shapeId="0" xr:uid="{82B647F8-97DF-4D46-9F1F-B0A80B925DC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KKF2224</t>
        </r>
      </text>
    </comment>
    <comment ref="E3885" authorId="1" shapeId="0" xr:uid="{48989FD0-F5C5-4E00-A731-755B229A6CD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PI/INV# 6255 </t>
        </r>
      </text>
    </comment>
    <comment ref="E3889" authorId="1" shapeId="0" xr:uid="{0D787B5E-8E51-46CE-8783-6EA3F5CD48A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PI/INV# 6256</t>
        </r>
      </text>
    </comment>
    <comment ref="E3912" authorId="1" shapeId="0" xr:uid="{D7C07D78-E3CE-44C5-A31C-C0A30A53252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PI#6293 </t>
        </r>
      </text>
    </comment>
    <comment ref="E3947" authorId="0" shapeId="0" xr:uid="{48BA544C-0012-4B3C-B078-145A7343C2D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F3431
</t>
        </r>
      </text>
    </comment>
    <comment ref="G3974" authorId="1" shapeId="0" xr:uid="{575BEA38-0D46-414A-8B26-76FCF587A69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エンゼルキング糸帳</t>
        </r>
      </text>
    </comment>
    <comment ref="G3975" authorId="1" shapeId="0" xr:uid="{FD30EBAC-D80E-4526-A84F-F65B42CE717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エンゼルキング糸帳</t>
        </r>
      </text>
    </comment>
    <comment ref="G3976" authorId="1" shapeId="0" xr:uid="{2F9778D9-7513-4B83-B645-CF0DAE77CA3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エンゼルキング糸帳</t>
        </r>
      </text>
    </comment>
    <comment ref="G3977" authorId="1" shapeId="0" xr:uid="{5C47BABA-0CC5-47DB-BD4F-FFB21E90D8F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エンゼルキング糸帳</t>
        </r>
      </text>
    </comment>
    <comment ref="G3978" authorId="1" shapeId="0" xr:uid="{A609FC24-DCE3-4A14-9DAC-693C87CC618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エンゼルキング糸帳</t>
        </r>
      </text>
    </comment>
    <comment ref="G3979" authorId="1" shapeId="0" xr:uid="{5FC65F68-A1B3-4DDC-AB8D-21D22E688B8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エンゼルキング糸帳</t>
        </r>
      </text>
    </comment>
    <comment ref="E3994" authorId="1" shapeId="0" xr:uid="{C505680F-9153-4023-8D8E-E58A500E9CB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PI#6386   </t>
        </r>
      </text>
    </comment>
    <comment ref="E4010" authorId="0" shapeId="0" xr:uid="{62A991F7-AC66-48B0-BB8B-9D12E83459F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下げ札が「3370　C-31」</t>
        </r>
      </text>
    </comment>
    <comment ref="E4011" authorId="0" shapeId="0" xr:uid="{AA6E82D0-76A5-4A31-B3A2-06D9C06FF66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下げ札が「3370　C-31」</t>
        </r>
      </text>
    </comment>
    <comment ref="E4012" authorId="0" shapeId="0" xr:uid="{7CFACEA9-9C44-487A-BE17-E00E9805225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下げ札が「3370　C-31」</t>
        </r>
      </text>
    </comment>
    <comment ref="V4031" authorId="1" shapeId="0" xr:uid="{BE4213F6-C215-462B-8FB0-C8E1A66E241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4032" authorId="1" shapeId="0" xr:uid="{68E9CF1D-C5DC-48F7-93DC-1C4FDC42A0D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KKF2425E2X-W</t>
        </r>
      </text>
    </comment>
    <comment ref="E4033" authorId="1" shapeId="0" xr:uid="{D8A97B3C-79A2-4F2A-8F88-A330D263E84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KKF2425E2X-W</t>
        </r>
      </text>
    </comment>
    <comment ref="E4037" authorId="1" shapeId="0" xr:uid="{8AF74D74-5C35-4167-A66C-5E9A60F8616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PI#6443</t>
        </r>
      </text>
    </comment>
    <comment ref="E4045" authorId="1" shapeId="0" xr:uid="{8CB23CF4-8605-440C-B90F-C8ACE488830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front yarn を綿からレーヨンに変更</t>
        </r>
      </text>
    </comment>
    <comment ref="E4046" authorId="1" shapeId="0" xr:uid="{E3C25A71-5352-4801-B7C9-438A544CE44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front yarn を綿からレーヨンに変更</t>
        </r>
      </text>
    </comment>
    <comment ref="S4065" authorId="1" shapeId="0" xr:uid="{8E87D3DD-333A-440D-8CF9-F12C7EF5362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バルク単価：5521 #SO – 1,500m (26反) \470/m</t>
        </r>
      </text>
    </comment>
    <comment ref="S4066" authorId="1" shapeId="0" xr:uid="{10AA7DD7-92A3-4C20-8C2C-94CC016988D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バルク単価：5521 #SO – 1,500m (26反) \470/m</t>
        </r>
      </text>
    </comment>
    <comment ref="S4067" authorId="1" shapeId="0" xr:uid="{93E89C27-BAB9-45A0-97C6-72AB694F9FD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バルク単価：5521 #SO – 1,500m (26反) \470/m</t>
        </r>
      </text>
    </comment>
    <comment ref="S4068" authorId="1" shapeId="0" xr:uid="{1EBDA1F8-F45F-4C0A-8E16-B2086971E0E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バルク単価：5521 #SO – 1,500m (26反) \470/m</t>
        </r>
      </text>
    </comment>
    <comment ref="S4069" authorId="1" shapeId="0" xr:uid="{49965F55-DCBE-4C39-BB04-2DD0610474E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バルク単価：5521 #SO – 1,500m (26反) \470/m</t>
        </r>
      </text>
    </comment>
    <comment ref="S4070" authorId="1" shapeId="0" xr:uid="{8E19A0CF-4032-4FBE-9120-5CF9F6A3BEB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バルク単価：5521 #SO – 1,500m (26反) \470/m</t>
        </r>
      </text>
    </comment>
    <comment ref="G4091" authorId="1" shapeId="0" xr:uid="{17051528-06EA-4F06-A561-2210A42A765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エンゼルキング糸帳</t>
        </r>
      </text>
    </comment>
    <comment ref="G4092" authorId="1" shapeId="0" xr:uid="{B4938AC7-E272-4EFC-B264-165D4AA1B8E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エンゼルキング糸帳</t>
        </r>
      </text>
    </comment>
    <comment ref="G4093" authorId="1" shapeId="0" xr:uid="{140020F9-D727-48BA-B2C4-83F8A24BBAF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エンゼルキング糸帳</t>
        </r>
      </text>
    </comment>
    <comment ref="G4094" authorId="1" shapeId="0" xr:uid="{BA95B1EE-5240-4913-AD2C-2906A40FBAE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エンゼルキング糸帳</t>
        </r>
      </text>
    </comment>
    <comment ref="G4095" authorId="1" shapeId="0" xr:uid="{06105F17-B1E9-4612-AE0E-EE66CC12C9C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エンゼルキング糸帳</t>
        </r>
      </text>
    </comment>
    <comment ref="G4096" authorId="1" shapeId="0" xr:uid="{6807599A-9E37-4910-9086-66750F9A23A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エンゼルキング糸帳</t>
        </r>
      </text>
    </comment>
    <comment ref="G4097" authorId="1" shapeId="0" xr:uid="{A4E1A12A-6118-4537-A9C8-64F6E36C0B0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ミニマム 400m/art&amp;col
</t>
        </r>
      </text>
    </comment>
    <comment ref="G4099" authorId="1" shapeId="0" xr:uid="{3E70EEA5-CE13-4A7C-9253-CC54F188989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エンゼルキング糸帳</t>
        </r>
      </text>
    </comment>
    <comment ref="G4100" authorId="1" shapeId="0" xr:uid="{51AAFA83-52B2-4970-B515-C81FE66EC93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エンゼルキング糸帳</t>
        </r>
      </text>
    </comment>
    <comment ref="G4101" authorId="1" shapeId="0" xr:uid="{286B13C4-D5F1-4CD3-9FC0-09E8C2385B7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エンゼルキング糸帳</t>
        </r>
      </text>
    </comment>
    <comment ref="G4102" authorId="1" shapeId="0" xr:uid="{1615E258-9284-40BD-8E06-179CA7E2EF1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エンゼルキング糸帳</t>
        </r>
      </text>
    </comment>
    <comment ref="G4103" authorId="1" shapeId="0" xr:uid="{DD679007-FEC6-4BA1-A96F-CD8A59BE8E1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エンゼルキング糸帳</t>
        </r>
      </text>
    </comment>
    <comment ref="G4104" authorId="1" shapeId="0" xr:uid="{0A73041A-80A4-4289-9B9E-EB756CE77CD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エンゼルキング糸帳</t>
        </r>
      </text>
    </comment>
    <comment ref="G4105" authorId="1" shapeId="0" xr:uid="{D2F4C0C1-26DE-482A-9CB3-810A96E4E6E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ミニマム 400m/art&amp;col
</t>
        </r>
      </text>
    </comment>
    <comment ref="V4164" authorId="1" shapeId="0" xr:uid="{2ABC7B05-809D-4E79-9922-D4A7E323488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4165" authorId="0" shapeId="0" xr:uid="{870C3793-430B-4812-9850-68BDB373888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E4169" authorId="1" shapeId="0" xr:uid="{E38686C6-EDAB-4C1C-B4F2-942DFCD7F27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PI#6593</t>
        </r>
      </text>
    </comment>
    <comment ref="E4180" authorId="1" shapeId="0" xr:uid="{73042D86-56D0-43D0-8EE0-450863C3755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社内在庫より
</t>
        </r>
      </text>
    </comment>
    <comment ref="E4181" authorId="1" shapeId="0" xr:uid="{E6507865-BF6F-4262-8274-6167AFB903D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社内在庫より
</t>
        </r>
      </text>
    </comment>
    <comment ref="E4199" authorId="0" shapeId="0" xr:uid="{01D56993-04A0-4B23-AE16-DDC6C5C5165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199" authorId="1" shapeId="0" xr:uid="{B481F188-98BE-4CB7-95C6-095C29246EB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出し値は輸出梱包費用30円込みの単価に合わせている</t>
        </r>
      </text>
    </comment>
    <comment ref="E4200" authorId="0" shapeId="0" xr:uid="{8C2B1307-EE2A-4E7E-9636-AD7A574962F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200" authorId="1" shapeId="0" xr:uid="{CC4A91D2-EE2A-40F8-8207-4BC01B4AC2A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出し値は輸出梱包費用30円込みの単価に合わせている</t>
        </r>
      </text>
    </comment>
    <comment ref="E4204" authorId="1" shapeId="0" xr:uid="{661E0901-ADA6-4F71-A1DD-25263F0A71D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PI#6691</t>
        </r>
      </text>
    </comment>
    <comment ref="S4204" authorId="1" shapeId="0" xr:uid="{06678921-3955-4C99-8D2F-2344A108FAA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Black 単価</t>
        </r>
      </text>
    </comment>
    <comment ref="V4212" authorId="1" shapeId="0" xr:uid="{725A3363-AA73-454E-BDFF-5809CE510BB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4213" authorId="0" shapeId="0" xr:uid="{0B5363C3-9EE1-4B6B-A3AE-FF33B65B1A0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KKF8715-58</t>
        </r>
      </text>
    </comment>
    <comment ref="Q4220" authorId="1" shapeId="0" xr:uid="{C2028B5D-7E24-465B-8788-DE1E746B054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S4240" authorId="1" shapeId="0" xr:uid="{39D2A92F-207A-41F4-8640-7BCC745B917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2025年2/1～7/31出荷分は2180円/m </t>
        </r>
      </text>
    </comment>
    <comment ref="V4243" authorId="1" shapeId="0" xr:uid="{A78FC725-2934-4043-93B1-00DD38D5F08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4244" authorId="0" shapeId="0" xr:uid="{3FCD984E-E1F5-4469-BF3A-AFB12BED44C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E4245" authorId="0" shapeId="0" xr:uid="{CDBCDF3E-3993-4FE1-839D-D08C643CAF5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E4246" authorId="0" shapeId="0" xr:uid="{E6241950-8BC8-4F6E-B5EA-3A9D1960CB9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E4247" authorId="0" shapeId="0" xr:uid="{56A52F62-0E5A-4F6B-85AF-4E5BCAEA9FD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V4248" authorId="1" shapeId="0" xr:uid="{A981DDCA-A7D3-43AB-B362-B57B83841AE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4249" authorId="0" shapeId="0" xr:uid="{1F6B373B-34CB-45E8-AB07-547229A0C9B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E4250" authorId="0" shapeId="0" xr:uid="{511A9D58-B979-4283-BB0E-3CE6D8E2AFB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E4251" authorId="0" shapeId="0" xr:uid="{AF2D417E-904C-480B-BABC-88D4D7696AB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E4252" authorId="0" shapeId="0" xr:uid="{FE3E1357-9650-41E7-9560-91612BBF40D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E4253" authorId="0" shapeId="0" xr:uid="{6975A4A5-9985-408A-9D45-037A0EC52E2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E4265" authorId="1" shapeId="0" xr:uid="{8489281E-CED3-4EB9-BA33-814C22AB218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6761</t>
        </r>
      </text>
    </comment>
    <comment ref="E4270" authorId="2" shapeId="0" xr:uid="{2768C592-2EBF-4123-847C-17C37545DE26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PI# 6753</t>
        </r>
      </text>
    </comment>
    <comment ref="E4274" authorId="1" shapeId="0" xr:uid="{AF8CE530-464D-4823-B072-FBCF0AEFBCA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6756</t>
        </r>
      </text>
    </comment>
    <comment ref="E4292" authorId="1" shapeId="0" xr:uid="{B41355E6-74A5-499F-AD40-17845B2170C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KKF8250-58/#1</t>
        </r>
      </text>
    </comment>
    <comment ref="V4301" authorId="1" shapeId="0" xr:uid="{077AFBD1-13F0-4978-ACD4-9E64C429E80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4302" authorId="1" shapeId="0" xr:uid="{41ED8A1F-3572-42FE-B147-4F7D3A4E34E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KKF2425E2X-W</t>
        </r>
      </text>
    </comment>
    <comment ref="E4307" authorId="1" shapeId="0" xr:uid="{64FDB9A2-A2C4-4900-A763-930FDA9BF7B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E4308" authorId="1" shapeId="0" xr:uid="{33E908E6-E538-4D90-A88C-8B917814FA2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E4309" authorId="1" shapeId="0" xr:uid="{577A065F-D850-4815-9A63-9891DA3FB6C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E4310" authorId="1" shapeId="0" xr:uid="{98011CCB-CC90-489C-999D-75F6E9ED220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E4311" authorId="1" shapeId="0" xr:uid="{910E29AE-7324-4660-8CDC-9A1FE768AD8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E4312" authorId="1" shapeId="0" xr:uid="{1F494A68-9CCB-4391-AA05-61252434C7F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Q4317" authorId="1" shapeId="0" xr:uid="{167CA158-26D6-42A3-8442-CB092289E8E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当初の輸出梱包費用込みバルク単価605円で計算</t>
        </r>
      </text>
    </comment>
    <comment ref="S4317" authorId="2" shapeId="0" xr:uid="{3DA5D842-DB36-4C44-A6FD-30EA4102B1E3}">
      <text>
        <r>
          <rPr>
            <sz val="9"/>
            <color indexed="81"/>
            <rFont val="MS P ゴシック"/>
            <family val="3"/>
            <charset val="128"/>
          </rPr>
          <t>Bulk単価(輸出梱包代込み)</t>
        </r>
      </text>
    </comment>
    <comment ref="Q4318" authorId="1" shapeId="0" xr:uid="{5674EB2B-03BA-46BF-85F0-4F2891CD41E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当初の輸出梱包費用込みバルク単価605円で計算</t>
        </r>
      </text>
    </comment>
    <comment ref="S4318" authorId="2" shapeId="0" xr:uid="{48D4E0CD-C5D6-4B7A-AA7A-9AAE7AE99F49}">
      <text>
        <r>
          <rPr>
            <sz val="9"/>
            <color indexed="81"/>
            <rFont val="MS P ゴシック"/>
            <family val="3"/>
            <charset val="128"/>
          </rPr>
          <t>Bulk単価(輸出梱包代込み)</t>
        </r>
      </text>
    </comment>
    <comment ref="Q4319" authorId="1" shapeId="0" xr:uid="{C4819351-7963-4C5A-8682-549828236D4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当初の輸出梱包費用込みバルク単価605円で計算</t>
        </r>
      </text>
    </comment>
    <comment ref="S4319" authorId="2" shapeId="0" xr:uid="{F6997555-A376-4A64-A10D-5507E77F3F0B}">
      <text>
        <r>
          <rPr>
            <sz val="9"/>
            <color indexed="81"/>
            <rFont val="MS P ゴシック"/>
            <family val="3"/>
            <charset val="128"/>
          </rPr>
          <t>Bulk単価(輸出梱包代込み)</t>
        </r>
      </text>
    </comment>
    <comment ref="Q4320" authorId="1" shapeId="0" xr:uid="{8AD0A6F7-BE25-498E-A7A1-306813C0303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当初の輸出梱包費用込みバルク単価605円で計算</t>
        </r>
      </text>
    </comment>
    <comment ref="S4320" authorId="2" shapeId="0" xr:uid="{3248C500-88F3-44BC-A5C3-BE41035165F3}">
      <text>
        <r>
          <rPr>
            <sz val="9"/>
            <color indexed="81"/>
            <rFont val="MS P ゴシック"/>
            <family val="3"/>
            <charset val="128"/>
          </rPr>
          <t>Bulk単価(輸出梱包代込み)</t>
        </r>
      </text>
    </comment>
    <comment ref="Q4321" authorId="1" shapeId="0" xr:uid="{D5554F7B-9361-4F61-A4F0-FC764C141A8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当初の輸出梱包費用込みバルク単価605円で計算</t>
        </r>
      </text>
    </comment>
    <comment ref="S4321" authorId="2" shapeId="0" xr:uid="{FDB366EA-96D9-4AC4-B414-0A7E26E777FA}">
      <text>
        <r>
          <rPr>
            <sz val="9"/>
            <color indexed="81"/>
            <rFont val="MS P ゴシック"/>
            <family val="3"/>
            <charset val="128"/>
          </rPr>
          <t>Bulk単価(輸出梱包代込み)</t>
        </r>
      </text>
    </comment>
    <comment ref="Q4322" authorId="1" shapeId="0" xr:uid="{4757B0E4-0E3A-4E23-8025-6164B3023FB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当初の輸出梱包費用込みバルク単価605円で計算</t>
        </r>
      </text>
    </comment>
    <comment ref="S4322" authorId="2" shapeId="0" xr:uid="{50025252-B816-4CDC-9B27-B9527878BAE6}">
      <text>
        <r>
          <rPr>
            <sz val="9"/>
            <color indexed="81"/>
            <rFont val="MS P ゴシック"/>
            <family val="3"/>
            <charset val="128"/>
          </rPr>
          <t>Bulk単価(輸出梱包代込み)</t>
        </r>
      </text>
    </comment>
    <comment ref="E4326" authorId="1" shapeId="0" xr:uid="{224CDC0B-CCEA-42E5-9306-89C2E2F5F7B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KKF8250-58/#1</t>
        </r>
      </text>
    </comment>
    <comment ref="E4327" authorId="1" shapeId="0" xr:uid="{CE21007A-FEAF-4114-8301-84C2267553D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KKF8250-58/#1</t>
        </r>
      </text>
    </comment>
    <comment ref="E4332" authorId="2" shapeId="0" xr:uid="{D7F93740-C867-4926-ADFC-CC6013B5338D}">
      <text>
        <r>
          <rPr>
            <b/>
            <sz val="16"/>
            <color indexed="81"/>
            <rFont val="MS P ゴシック"/>
            <family val="3"/>
            <charset val="128"/>
          </rPr>
          <t>PI#6844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E4342" authorId="0" shapeId="0" xr:uid="{8BDAD65B-842B-4F1A-81A4-BD88D96C232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下げ札が「3370　C-31」</t>
        </r>
      </text>
    </comment>
    <comment ref="E4343" authorId="0" shapeId="0" xr:uid="{C3E3D36D-B971-4EB3-8DA8-30562F9029F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下げ札が「3370　C-31」</t>
        </r>
      </text>
    </comment>
    <comment ref="E4344" authorId="0" shapeId="0" xr:uid="{C0F04A6D-8DD4-4BB0-9779-19DBBE52C10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下げ札が「3370　C-31」</t>
        </r>
      </text>
    </comment>
    <comment ref="E4385" authorId="2" shapeId="0" xr:uid="{4462F0FD-7EF0-4002-8D11-BD5ABCC7E6A3}">
      <text>
        <r>
          <rPr>
            <b/>
            <sz val="14"/>
            <color indexed="81"/>
            <rFont val="MS P ゴシック"/>
            <family val="3"/>
            <charset val="128"/>
          </rPr>
          <t>PI# 6899</t>
        </r>
      </text>
    </comment>
    <comment ref="V4391" authorId="1" shapeId="0" xr:uid="{AD2DC119-CEDF-4687-BCD9-45FBD16F71F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4392" authorId="0" shapeId="0" xr:uid="{8E4C8DE1-2DCE-4A4C-BC3A-F57687BB203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S4392" authorId="1" shapeId="0" xr:uid="{E3116068-6DF0-4317-8249-3052C747C90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</t>
        </r>
      </text>
    </comment>
    <comment ref="E4393" authorId="0" shapeId="0" xr:uid="{01DBDE1F-027A-4E89-9B8B-184AF28AADC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S4393" authorId="1" shapeId="0" xr:uid="{C6CE9829-0CB4-4E12-91D1-43D22436365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</t>
        </r>
      </text>
    </comment>
    <comment ref="E4394" authorId="0" shapeId="0" xr:uid="{776FC583-F263-406E-8F94-731F46E9CF3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S4394" authorId="1" shapeId="0" xr:uid="{F40C3F39-CD4B-48B9-AB1D-039537DBFA5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</t>
        </r>
      </text>
    </comment>
    <comment ref="E4395" authorId="0" shapeId="0" xr:uid="{EA2ADD5D-FBAA-44BD-8CCC-94BF64665A4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S4395" authorId="1" shapeId="0" xr:uid="{4D7C1667-A98F-45FA-A425-784769167F1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</t>
        </r>
      </text>
    </comment>
    <comment ref="E4397" authorId="0" shapeId="0" xr:uid="{DA0B86C6-841C-41D2-933D-F50A9A3C182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S4397" authorId="1" shapeId="0" xr:uid="{E85AE574-8E8A-48F3-B3B5-951B2E8D030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</t>
        </r>
      </text>
    </comment>
    <comment ref="E4398" authorId="0" shapeId="0" xr:uid="{BE22E5EC-97C4-4128-9A1A-164DEBB2578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S4398" authorId="1" shapeId="0" xr:uid="{0EB8F66D-76F1-4094-9FCE-E6842A28663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</t>
        </r>
      </text>
    </comment>
    <comment ref="E4399" authorId="0" shapeId="0" xr:uid="{50F19C59-7706-45FC-843D-0EA2B74DCB3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S4399" authorId="1" shapeId="0" xr:uid="{C937B835-4DBA-4D10-AE8C-892B72DFAC9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</t>
        </r>
      </text>
    </comment>
    <comment ref="E4400" authorId="0" shapeId="0" xr:uid="{B6805F82-1199-4331-9C64-349967E2975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S4400" authorId="1" shapeId="0" xr:uid="{8D18F8DE-0528-4130-973D-01064B955F8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</t>
        </r>
      </text>
    </comment>
    <comment ref="E4401" authorId="0" shapeId="0" xr:uid="{67C97F54-3B33-4051-8AE5-80B6125E53F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S4401" authorId="1" shapeId="0" xr:uid="{3B1A14E6-D02F-4421-A33F-382215CC285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</t>
        </r>
      </text>
    </comment>
    <comment ref="G4405" authorId="1" shapeId="0" xr:uid="{6B6077D1-0F37-402B-A3F9-FCA1040F233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エンゼルキング糸帳</t>
        </r>
      </text>
    </comment>
    <comment ref="K4405" authorId="1" shapeId="0" xr:uid="{0450F84A-C216-41C6-8558-C1C4D95DE9F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バルクオファー単価</t>
        </r>
      </text>
    </comment>
    <comment ref="G4406" authorId="1" shapeId="0" xr:uid="{C9818A82-371A-4F23-894E-691440C7B22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エンゼルキング糸帳</t>
        </r>
      </text>
    </comment>
    <comment ref="K4406" authorId="1" shapeId="0" xr:uid="{74F0AB18-93C4-4961-8ABA-BD55084A328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バルクオファー単価</t>
        </r>
      </text>
    </comment>
    <comment ref="S4410" authorId="1" shapeId="0" xr:uid="{5F3B2030-BD15-485D-B468-AB956D6B9C9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2025年2/1～7/31出荷分適用 </t>
        </r>
      </text>
    </comment>
    <comment ref="S4411" authorId="1" shapeId="0" xr:uid="{7797BB99-C142-4436-BA2A-49AF57D7367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2025年2/1～7/31出荷分適用 </t>
        </r>
      </text>
    </comment>
    <comment ref="S4412" authorId="1" shapeId="0" xr:uid="{A40769CF-6602-4936-93D3-2308DA4E0F1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2025年2/1～7/31出荷分適用 </t>
        </r>
      </text>
    </comment>
    <comment ref="S4413" authorId="1" shapeId="0" xr:uid="{B66B51F4-4A33-4D3D-9772-889024F24FD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2025年2/1～7/31出荷分適用 </t>
        </r>
      </text>
    </comment>
    <comment ref="S4414" authorId="1" shapeId="0" xr:uid="{1AE78B90-6610-4DBB-A31D-25829C028AB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2025年2/1～7/31出荷分適用 </t>
        </r>
      </text>
    </comment>
    <comment ref="S4415" authorId="1" shapeId="0" xr:uid="{08D9A55B-BEC8-4EE3-B2BA-82B1194C3CC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2025年2/1～7/31出荷分適用 </t>
        </r>
      </text>
    </comment>
    <comment ref="S4416" authorId="1" shapeId="0" xr:uid="{35CCD367-2A08-4F3B-A758-F7E9BCDC3BF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2025年2/1～7/31出荷分適用 </t>
        </r>
      </text>
    </comment>
    <comment ref="S4417" authorId="1" shapeId="0" xr:uid="{D24A5AAC-8F22-4DE5-9268-7AC353D7115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2025年2/1～7/31出荷分適用 </t>
        </r>
      </text>
    </comment>
    <comment ref="S4418" authorId="1" shapeId="0" xr:uid="{6E136E49-AA5A-4106-8CEF-C2408B05DA4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2025年2/1～7/31出荷分適用 </t>
        </r>
      </text>
    </comment>
    <comment ref="S4419" authorId="1" shapeId="0" xr:uid="{DD377605-C496-49D8-98BB-97272887EC9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2025年2/1～7/31出荷分適用 </t>
        </r>
      </text>
    </comment>
    <comment ref="S4420" authorId="1" shapeId="0" xr:uid="{95B7060D-ED18-4C64-BCAC-CE797028E54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2025年2/1～7/31出荷分適用 </t>
        </r>
      </text>
    </comment>
    <comment ref="S4421" authorId="1" shapeId="0" xr:uid="{03FC9990-ABBC-42DE-9B97-CFEC008FAA2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2025年2/1～7/31出荷分適用 </t>
        </r>
      </text>
    </comment>
    <comment ref="S4422" authorId="1" shapeId="0" xr:uid="{B8C709B5-6B4F-4FEC-B428-9FE24263C03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2025年2/1～7/31出荷分適用 </t>
        </r>
      </text>
    </comment>
    <comment ref="S4423" authorId="1" shapeId="0" xr:uid="{93A8A788-2463-4492-AE9F-323CA24776C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2025年2/1～7/31出荷分適用 </t>
        </r>
      </text>
    </comment>
    <comment ref="S4424" authorId="1" shapeId="0" xr:uid="{100962EB-307C-49C5-BBD6-AA1996C9D98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2025年2/1～7/31出荷分適用 </t>
        </r>
      </text>
    </comment>
    <comment ref="S4425" authorId="1" shapeId="0" xr:uid="{2EC7A5B5-D6F5-4418-9486-D9130E55F2D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2025年2/1～7/31出荷分適用 </t>
        </r>
      </text>
    </comment>
    <comment ref="S4426" authorId="1" shapeId="0" xr:uid="{D6129F91-A492-4EA0-8B83-15B7F151094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2025年2/1～7/31出荷分適用 </t>
        </r>
      </text>
    </comment>
    <comment ref="S4427" authorId="1" shapeId="0" xr:uid="{35B8B484-7759-4725-A45D-B73D5E73550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2025年2/1～7/31出荷分適用 </t>
        </r>
      </text>
    </comment>
    <comment ref="S4428" authorId="1" shapeId="0" xr:uid="{B8A3AA12-9A88-433C-A613-7C0585431BA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2025年2/1～7/31出荷分適用 </t>
        </r>
      </text>
    </comment>
    <comment ref="E4439" authorId="1" shapeId="0" xr:uid="{E1C1ECF4-5350-4A3B-8FC9-63F1D858187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社内在庫より
</t>
        </r>
      </text>
    </comment>
    <comment ref="E4440" authorId="1" shapeId="0" xr:uid="{EC158555-EFEC-4E90-BC43-634C5C04054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社内在庫より
</t>
        </r>
      </text>
    </comment>
    <comment ref="E4441" authorId="1" shapeId="0" xr:uid="{CF04261B-26AA-43B3-BEDC-978624E9936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社内在庫より
</t>
        </r>
      </text>
    </comment>
    <comment ref="E4444" authorId="1" shapeId="0" xr:uid="{38407717-450F-44A8-93D2-E6E13A23E1D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INV#：6934</t>
        </r>
      </text>
    </comment>
    <comment ref="E4449" authorId="2" shapeId="0" xr:uid="{E7DB61EF-DC5C-4AB3-B372-D59661F86CE0}">
      <text>
        <r>
          <rPr>
            <b/>
            <sz val="16"/>
            <color indexed="81"/>
            <rFont val="MS P ゴシック"/>
            <family val="3"/>
            <charset val="128"/>
          </rPr>
          <t>PI# 6938</t>
        </r>
      </text>
    </comment>
    <comment ref="E4457" authorId="0" shapeId="0" xr:uid="{B3517900-CC78-4E59-8411-AB5EBBDE5DD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57" authorId="1" shapeId="0" xr:uid="{4A8899AF-0576-4772-9E5E-852F40B6366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58" authorId="0" shapeId="0" xr:uid="{486B010B-E4CC-4EC2-BD53-6502CA133DA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58" authorId="1" shapeId="0" xr:uid="{3AFF8733-EF84-4783-88C9-6303D2A0D22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59" authorId="0" shapeId="0" xr:uid="{9264AB20-0C6E-44F7-9150-0FC04A6554A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59" authorId="1" shapeId="0" xr:uid="{78D85494-4AE0-48F6-9795-AD4946591BA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60" authorId="0" shapeId="0" xr:uid="{43709A71-EB19-49EA-AA84-39A1042A0B7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60" authorId="1" shapeId="0" xr:uid="{BE705983-D89C-439D-ABEE-70E13CFD1D5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61" authorId="0" shapeId="0" xr:uid="{146DE145-DCBC-47FD-9968-E14942A92DF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61" authorId="1" shapeId="0" xr:uid="{F794300D-FAEA-4B11-BB9A-EC094DA06F5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62" authorId="0" shapeId="0" xr:uid="{BEDA5028-B8E1-4FA1-AA50-7464C798BBE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62" authorId="1" shapeId="0" xr:uid="{D7585447-00BD-4ABE-917E-90A8319B8E2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63" authorId="0" shapeId="0" xr:uid="{974CED8C-C6B1-48A2-A4CB-392D1C5BDD4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63" authorId="1" shapeId="0" xr:uid="{6E59F265-FBC8-4610-8E2C-4B529C9FC9A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64" authorId="0" shapeId="0" xr:uid="{8476CCAB-BA15-4EB3-A869-059049DB553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64" authorId="1" shapeId="0" xr:uid="{83D7E2B3-2976-48C1-B560-B9CDDC10F63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65" authorId="0" shapeId="0" xr:uid="{882132F9-234A-49AF-B898-BAC53E39CD0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65" authorId="1" shapeId="0" xr:uid="{C05AA40E-3424-440C-8263-3D5032BCD56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66" authorId="0" shapeId="0" xr:uid="{5108487C-CAC1-4AA3-8193-6A8470EDEF7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66" authorId="1" shapeId="0" xr:uid="{64AA11F2-93DF-44ED-83F7-823B76A47DF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67" authorId="0" shapeId="0" xr:uid="{8CD7F8C1-9580-44A4-B328-79AB8977B5E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67" authorId="1" shapeId="0" xr:uid="{1C600619-9A54-4E1A-A4BA-781CAE5D51E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68" authorId="0" shapeId="0" xr:uid="{1BC5D529-0504-49B5-B230-111DA724447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68" authorId="1" shapeId="0" xr:uid="{4DACF9B0-CDE4-4759-8659-6677E71FF8F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69" authorId="0" shapeId="0" xr:uid="{33969799-3597-4D21-9472-1D44A79EDE0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69" authorId="1" shapeId="0" xr:uid="{30C14D78-2534-45FE-B860-FE8B3E0C4E3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70" authorId="0" shapeId="0" xr:uid="{97F7E1C8-849D-4909-941A-B8B8F6E85DD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70" authorId="1" shapeId="0" xr:uid="{0D8CF430-0D90-4B8D-8A28-FDE4474241E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71" authorId="0" shapeId="0" xr:uid="{48D6D09B-9639-4154-B60D-2ADAAF86339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71" authorId="1" shapeId="0" xr:uid="{78CC4CA7-2E33-44B5-848E-E06614A986D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72" authorId="0" shapeId="0" xr:uid="{CDEE6057-1D8A-428B-BC41-EFE018136A9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72" authorId="1" shapeId="0" xr:uid="{B768A547-F5D7-4CAC-BCFD-1B46D227F98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73" authorId="0" shapeId="0" xr:uid="{98AFBB21-CB62-4CC0-A6C4-F1273C0EFFB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73" authorId="1" shapeId="0" xr:uid="{E1782E41-54CF-4B23-BE77-D64AFC78105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74" authorId="0" shapeId="0" xr:uid="{515023D1-66D1-4701-945B-2B88D5B9F02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74" authorId="1" shapeId="0" xr:uid="{7074D091-B837-4BD4-8EC9-676FDBCC198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75" authorId="0" shapeId="0" xr:uid="{010341F7-67F8-4EC7-845A-FA2BE9FD09E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75" authorId="1" shapeId="0" xr:uid="{D3C9F37D-4DD5-4EF9-B001-C34DC876871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76" authorId="0" shapeId="0" xr:uid="{AD576E8A-6A09-4555-B891-D5B8D3C32D5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76" authorId="1" shapeId="0" xr:uid="{5CE6FBB0-9869-4385-A5DB-0555CEC8E06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77" authorId="0" shapeId="0" xr:uid="{01EE544D-C7B0-4E32-B1D5-3E52970473A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77" authorId="1" shapeId="0" xr:uid="{68F1D947-6C11-4E7D-AB15-0D2D0DD8F14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78" authorId="0" shapeId="0" xr:uid="{44ADD2CD-A1D5-410B-A497-C53D7FF227A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78" authorId="1" shapeId="0" xr:uid="{0A75087A-FD9B-47A8-BEEE-AEC82074F35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79" authorId="0" shapeId="0" xr:uid="{121B6E0C-325C-41E5-A5D8-7F00E7144DD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79" authorId="1" shapeId="0" xr:uid="{6C2439C2-8ADE-454A-904E-CE652EDE3A2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80" authorId="0" shapeId="0" xr:uid="{075B9792-1217-45E4-933D-F1D88076156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80" authorId="1" shapeId="0" xr:uid="{9BAF3DF5-9DFA-4B8C-BBC7-63B7A9C3C97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81" authorId="0" shapeId="0" xr:uid="{2CE5797E-A1D8-4E9A-BAAE-F88FAAB1FAD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81" authorId="1" shapeId="0" xr:uid="{5DBA9F6C-951D-4861-B63C-DED60433FE9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82" authorId="0" shapeId="0" xr:uid="{5E3EBDAF-FE0F-4F0F-BB1E-9B1B7CCADF6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82" authorId="1" shapeId="0" xr:uid="{8AE4A4BE-784B-4747-B6D0-A9A6DBF485C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83" authorId="0" shapeId="0" xr:uid="{81D7DFE6-FA0A-4722-A793-CD9E44F81F2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83" authorId="1" shapeId="0" xr:uid="{94CFB23F-2BF1-4FBF-B103-E4095E2004B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84" authorId="0" shapeId="0" xr:uid="{D0734FF5-4812-47B2-9E80-DF8AC7FE94E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84" authorId="1" shapeId="0" xr:uid="{2EE60B84-4010-457B-A415-A2B04E17756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85" authorId="0" shapeId="0" xr:uid="{0BC2888A-ACCB-438B-A000-DB90E8C4CFE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85" authorId="1" shapeId="0" xr:uid="{424B2CF0-1A34-43F7-B7BD-DF2EBE30695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86" authorId="0" shapeId="0" xr:uid="{A569839C-739E-4ABC-824C-C1DB26CF5A9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86" authorId="1" shapeId="0" xr:uid="{75E88A5F-E27B-4695-B24F-4A182F0EDB8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87" authorId="0" shapeId="0" xr:uid="{25B4BF55-453E-4654-94EB-D041CDEF354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87" authorId="1" shapeId="0" xr:uid="{84E308C6-980D-4ED6-92A5-08FA70B592E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88" authorId="0" shapeId="0" xr:uid="{7670E758-03BE-4566-BCF0-3A122194DB7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88" authorId="1" shapeId="0" xr:uid="{A71606BC-6E41-4B38-B391-F9084DE7E28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89" authorId="0" shapeId="0" xr:uid="{8A629BC3-58C8-4C41-9875-1E4B668A8AC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89" authorId="1" shapeId="0" xr:uid="{C7CA66AA-631F-4380-9063-5A6707DD8A5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90" authorId="0" shapeId="0" xr:uid="{B44F245B-36F1-4A20-A167-E443F65ACB3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90" authorId="1" shapeId="0" xr:uid="{C60B0776-A211-48E2-AF94-33104F7CC95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91" authorId="0" shapeId="0" xr:uid="{CBCBC68E-E3DC-4B2E-9141-12E25E3150B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91" authorId="1" shapeId="0" xr:uid="{1AED44FB-F52D-4203-BFB4-06A452F1E90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92" authorId="0" shapeId="0" xr:uid="{406D92C8-0C3A-4DCA-BBDE-848C1C7695C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92" authorId="1" shapeId="0" xr:uid="{5EB27116-A51E-4806-A33F-B2B46E92FC0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93" authorId="0" shapeId="0" xr:uid="{D003B982-3C0E-4DBE-99E1-64510C3F8B3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S4493" authorId="1" shapeId="0" xr:uid="{A4D92CCE-0568-4E8F-B9C0-D5CF525DCF1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</t>
        </r>
      </text>
    </comment>
    <comment ref="E4496" authorId="0" shapeId="0" xr:uid="{BC1DC5C5-5237-42AF-BB27-4CABAD4F5EA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KKF2317 D/# 1
</t>
        </r>
      </text>
    </comment>
    <comment ref="K4496" authorId="1" shapeId="0" xr:uid="{C71910B4-CCE9-4392-9E4D-7996B2A5A79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新単価に合わせて計算</t>
        </r>
      </text>
    </comment>
    <comment ref="Q4496" authorId="1" shapeId="0" xr:uid="{1386A615-46C2-437C-B1EE-63EE1255629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新単価に合わせて計算</t>
        </r>
      </text>
    </comment>
    <comment ref="S4496" authorId="1" shapeId="0" xr:uid="{01CE56D8-1295-4AB4-BE1B-DF8195494EE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2025/4/1より810円+400</t>
        </r>
      </text>
    </comment>
    <comment ref="K4498" authorId="1" shapeId="0" xr:uid="{E44B2BAA-D2BD-4896-9CA7-7DD7AE53138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キバタ生産アップチャージ +100円
こみ580+100+100に合わせて計算</t>
        </r>
      </text>
    </comment>
    <comment ref="Q4498" authorId="1" shapeId="0" xr:uid="{3FC74D18-92EB-4107-819F-1FDDDC19F57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キバタ生産アップチャージ +100円
こみ580+100+100に合わせて計算</t>
        </r>
      </text>
    </comment>
    <comment ref="S4502" authorId="1" shapeId="0" xr:uid="{59605389-EF89-41B6-A612-705186D2263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オフ白 55 + 染色代 80円/m
</t>
        </r>
      </text>
    </comment>
    <comment ref="Q4506" authorId="1" shapeId="0" xr:uid="{8CC22130-DD5F-4911-B3FC-1C785848483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G4508" authorId="2" shapeId="0" xr:uid="{932D4EEB-04C8-4DB7-9389-84C679AB0660}">
      <text>
        <r>
          <rPr>
            <b/>
            <sz val="14"/>
            <color indexed="81"/>
            <rFont val="MS P ゴシック"/>
            <family val="3"/>
            <charset val="128"/>
          </rPr>
          <t>a.hamada:</t>
        </r>
        <r>
          <rPr>
            <sz val="14"/>
            <color indexed="81"/>
            <rFont val="MS P ゴシック"/>
            <family val="3"/>
            <charset val="128"/>
          </rPr>
          <t xml:space="preserve">
#9 生成</t>
        </r>
      </text>
    </comment>
    <comment ref="Q4508" authorId="1" shapeId="0" xr:uid="{36FDDC85-F243-4930-8141-F9752C5876C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カラー単価に合わせての値段</t>
        </r>
      </text>
    </comment>
    <comment ref="Q4510" authorId="1" shapeId="0" xr:uid="{019580D8-1D1C-4D68-99CF-67268341798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E4516" authorId="0" shapeId="0" xr:uid="{9493E466-A5A1-42D0-9B22-72433AB03EE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Q4536" authorId="1" shapeId="0" xr:uid="{C84CD09C-4251-405E-9AC3-4A4C24C6BA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E4538" authorId="1" shapeId="0" xr:uid="{C887A865-DF1D-416A-ABA4-A79BD98A588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KKF9225  D/# 1</t>
        </r>
      </text>
    </comment>
    <comment ref="E4539" authorId="1" shapeId="0" xr:uid="{E48CDCD2-810A-4C79-A6DA-002EE361BBA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KKF2317 D#1</t>
        </r>
      </text>
    </comment>
    <comment ref="E4542" authorId="0" shapeId="0" xr:uid="{DD06A5AD-35E5-4066-B5CC-A034AFFF580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F-3407
</t>
        </r>
      </text>
    </comment>
    <comment ref="K4552" authorId="1" shapeId="0" xr:uid="{79EDAEDF-CEAC-404A-9D46-1757AF592F1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4553" authorId="1" shapeId="0" xr:uid="{D1CDD7C2-CC9C-47C7-B0D1-A4869900EFC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4554" authorId="1" shapeId="0" xr:uid="{D8494D25-7F3C-4B15-A9AA-C330B56BB96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4555" authorId="1" shapeId="0" xr:uid="{263DAA5B-5E28-4B26-8194-602387B83E0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S4559" authorId="1" shapeId="0" xr:uid="{E9D2D27A-55A0-44DC-B8B1-2325C04CE05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2025年2/1～7/31出荷分適用 </t>
        </r>
      </text>
    </comment>
    <comment ref="S4560" authorId="1" shapeId="0" xr:uid="{24839BC4-7D6C-4B0A-965F-9DA1F34D2A2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2025年2/1～7/31出荷分適用 </t>
        </r>
      </text>
    </comment>
    <comment ref="E4567" authorId="1" shapeId="0" xr:uid="{BCAD1199-91C3-4A67-8D5B-DB3AC0CDC81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FWL-81472のリング部分 + ハシゴ。素材はFWL-81472のリング部分に使用されている黒ラメ</t>
        </r>
      </text>
    </comment>
    <comment ref="E4575" authorId="2" shapeId="0" xr:uid="{5E1421C4-88B4-48D3-9C2E-FA672FE2453F}">
      <text>
        <r>
          <rPr>
            <b/>
            <sz val="14"/>
            <color indexed="81"/>
            <rFont val="MS P ゴシック"/>
            <family val="3"/>
            <charset val="128"/>
          </rPr>
          <t>PI# 7113</t>
        </r>
      </text>
    </comment>
    <comment ref="Q4586" authorId="1" shapeId="0" xr:uid="{EC8C8488-2419-489C-9430-03D0F5A98F0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E4592" authorId="1" shapeId="0" xr:uid="{046053C9-BFCF-46E1-9CF6-3FD13CC8435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7145</t>
        </r>
      </text>
    </comment>
    <comment ref="S4592" authorId="1" shapeId="0" xr:uid="{9E784D79-3339-44CE-928A-39BD264D6A8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@1,910×1.5（小ロットチャージアップ）</t>
        </r>
      </text>
    </comment>
    <comment ref="E4593" authorId="1" shapeId="0" xr:uid="{984FC200-7CEE-4A47-A061-152FF60F351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7145</t>
        </r>
      </text>
    </comment>
    <comment ref="S4593" authorId="1" shapeId="0" xr:uid="{77234BAC-1AEE-466B-9421-B6972553BA3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@1,910×1.5（小ロットチャージアップ）</t>
        </r>
      </text>
    </comment>
    <comment ref="V4596" authorId="1" shapeId="0" xr:uid="{CE2C381F-2382-4E7E-BBFA-60CFD0BFDE8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4597" authorId="0" shapeId="0" xr:uid="{57B9E1D9-554E-4708-9C8E-D0C03FAADDE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E4598" authorId="0" shapeId="0" xr:uid="{1A897170-C507-4B09-B993-1CA43B691FD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E4599" authorId="0" shapeId="0" xr:uid="{59F1ADD1-5D8F-4174-8004-F5127E8302D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E4603" authorId="2" shapeId="0" xr:uid="{6101903E-119B-4A57-A9FD-8607F2A656E4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PI#7192</t>
        </r>
      </text>
    </comment>
    <comment ref="J4606" authorId="1" shapeId="0" xr:uid="{07809357-F532-4FDD-9AF0-18A942106B6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テスト用にSF 保管</t>
        </r>
      </text>
    </comment>
    <comment ref="Q4607" authorId="1" shapeId="0" xr:uid="{CAF3502D-738A-43EF-BDEC-0649530049F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E4609" authorId="2" shapeId="0" xr:uid="{30457EDA-B6A4-4894-A598-8086793EAA57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PI#7192</t>
        </r>
      </text>
    </comment>
    <comment ref="Q4611" authorId="1" shapeId="0" xr:uid="{C4A18323-1816-4F5B-8193-E558C915689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にはUSD 12
で請求</t>
        </r>
      </text>
    </comment>
    <comment ref="S4613" authorId="1" shapeId="0" xr:uid="{766F13DB-0256-48B2-912E-36F87D4A536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2025年2/1～7/31出荷分適用 </t>
        </r>
      </text>
    </comment>
    <comment ref="S4614" authorId="1" shapeId="0" xr:uid="{105CAD80-8706-4C96-A092-B48694CFFD8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2025年2/1～7/31出荷分適用 </t>
        </r>
      </text>
    </comment>
    <comment ref="S4615" authorId="1" shapeId="0" xr:uid="{14C769C7-0E6D-48C5-A4BC-7A3DF76F17E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2025年2/1～7/31出荷分適用 </t>
        </r>
      </text>
    </comment>
    <comment ref="E4618" authorId="1" shapeId="0" xr:uid="{3F0FCBDC-71DC-412A-B678-A586E557323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PI#7153</t>
        </r>
      </text>
    </comment>
    <comment ref="E4622" authorId="1" shapeId="0" xr:uid="{BE6AEC5E-DBC2-42D4-B82B-AA5126FACC7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7168</t>
        </r>
      </text>
    </comment>
    <comment ref="E4645" authorId="2" shapeId="0" xr:uid="{D88443B2-DEFB-46B3-A07A-6E76293CDDE1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PI#7182</t>
        </r>
      </text>
    </comment>
    <comment ref="E4646" authorId="2" shapeId="0" xr:uid="{CC095DB1-AD88-4AFF-994E-8A5104898E7D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PI#7182</t>
        </r>
      </text>
    </comment>
    <comment ref="E4647" authorId="2" shapeId="0" xr:uid="{C5D81B16-B85D-47E4-94CA-FBC135324164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PI#7182</t>
        </r>
      </text>
    </comment>
    <comment ref="E4648" authorId="2" shapeId="0" xr:uid="{9CFA53F2-4BD8-49F3-8B9C-6615B4AA8C20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PI#7182</t>
        </r>
      </text>
    </comment>
    <comment ref="E4649" authorId="2" shapeId="0" xr:uid="{EEC0F4B3-2645-41C4-AA6A-6454E5C2BBCD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PI#7182</t>
        </r>
      </text>
    </comment>
    <comment ref="E4650" authorId="2" shapeId="0" xr:uid="{01677BCE-1F37-4446-A337-B39F6E016AF7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PI#7182</t>
        </r>
      </text>
    </comment>
    <comment ref="E4657" authorId="2" shapeId="0" xr:uid="{BA3D11B7-CDAF-49CD-A13F-CA2B7BB1AD38}">
      <text>
        <r>
          <rPr>
            <b/>
            <sz val="9"/>
            <color indexed="81"/>
            <rFont val="MS P ゴシック"/>
            <family val="3"/>
            <charset val="128"/>
          </rPr>
          <t>a.hamada:
PI#7192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V4663" authorId="1" shapeId="0" xr:uid="{E2FDE6DE-9D99-48FD-8B61-E02880D587F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4664" authorId="0" shapeId="0" xr:uid="{5DAE2B6E-02C8-44C5-AB37-96E344AFF1F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E4665" authorId="0" shapeId="0" xr:uid="{9E2FE7A9-673B-4BDC-BA5D-BD8B4BC1959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E4669" authorId="2" shapeId="0" xr:uid="{452F3725-CFB1-47D4-95F0-69192AEA3549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PI#7195</t>
        </r>
      </text>
    </comment>
    <comment ref="V4678" authorId="1" shapeId="0" xr:uid="{5CB3C789-0C24-4F33-AFE5-7092D76CD3A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4679" authorId="0" shapeId="0" xr:uid="{ACBFB064-D2C3-40D6-B0C9-03FDD0A85B0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KKC884-W</t>
        </r>
      </text>
    </comment>
    <comment ref="E4680" authorId="0" shapeId="0" xr:uid="{D7E0CA60-BA7E-4F0C-87C3-0BB1EC28F01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KKC884-W</t>
        </r>
      </text>
    </comment>
    <comment ref="V4682" authorId="1" shapeId="0" xr:uid="{956BCE11-CE15-479F-A205-0E6BF43DAC5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4683" authorId="0" shapeId="0" xr:uid="{8892973C-6365-4CA3-91A5-8B118DCDAC5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KKF2425E2X-W
</t>
        </r>
      </text>
    </comment>
    <comment ref="E4684" authorId="0" shapeId="0" xr:uid="{007C571A-E2BC-4C19-8027-657D1044B15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KKF2425E2X-W
</t>
        </r>
      </text>
    </comment>
    <comment ref="V4689" authorId="1" shapeId="0" xr:uid="{CE337CCE-7CA7-4E65-8035-EE3210CB127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4690" authorId="0" shapeId="0" xr:uid="{AB5F0E0A-9623-4670-A2DF-1EF95C03A69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S4694" authorId="1" shapeId="0" xr:uid="{3987AE77-DEC3-48F5-99B1-45A528F6B2A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2025年7月より160円/m</t>
        </r>
      </text>
    </comment>
    <comment ref="S4695" authorId="1" shapeId="0" xr:uid="{EDB2E1F9-1E2C-462E-9272-E8CDF6B1C1B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2025年7月より130円/m</t>
        </r>
      </text>
    </comment>
    <comment ref="E4762" authorId="0" shapeId="0" xr:uid="{01BFEEBE-5655-4EA1-9AE2-46938B323CD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F3431
</t>
        </r>
      </text>
    </comment>
    <comment ref="V4777" authorId="1" shapeId="0" xr:uid="{1F0684F5-3820-42E3-927D-5BC7A58CFA5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4778" authorId="1" shapeId="0" xr:uid="{AA16FDAF-2F10-4A56-B892-9DB7B663A49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KKC108-W (C6撥水）</t>
        </r>
      </text>
    </comment>
    <comment ref="E4779" authorId="1" shapeId="0" xr:uid="{7C0E284A-E4B8-4F56-AEAC-FF8F72B0308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KKC108-W (C6撥水）</t>
        </r>
      </text>
    </comment>
    <comment ref="E4791" authorId="1" shapeId="0" xr:uid="{5C0EAE37-E915-48DA-ABD3-E0FE6BCBC24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PI#7354</t>
        </r>
      </text>
    </comment>
    <comment ref="Q4867" authorId="1" shapeId="0" xr:uid="{0E209387-3CB9-4AEA-8FEB-B7038804B3A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当初の輸出梱包費用込みバルク単価605円で計算</t>
        </r>
      </text>
    </comment>
    <comment ref="S4867" authorId="2" shapeId="0" xr:uid="{70CCD465-AFB0-4A9A-9E62-24BCFED2A1B6}">
      <text>
        <r>
          <rPr>
            <sz val="9"/>
            <color indexed="81"/>
            <rFont val="MS P ゴシック"/>
            <family val="3"/>
            <charset val="128"/>
          </rPr>
          <t xml:space="preserve">Bulk単価(輸出梱包代込み)
バルクプライス　\590/m (1,000m/color) </t>
        </r>
      </text>
    </comment>
    <comment ref="Q4868" authorId="1" shapeId="0" xr:uid="{2D2F7182-51F1-4C28-90AD-37AEC8A32C8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当初の輸出梱包費用込みバルク単価605円で計算</t>
        </r>
      </text>
    </comment>
    <comment ref="S4868" authorId="2" shapeId="0" xr:uid="{0940D1B9-80D4-49CF-B913-9A7C063572D2}">
      <text>
        <r>
          <rPr>
            <sz val="9"/>
            <color indexed="81"/>
            <rFont val="MS P ゴシック"/>
            <family val="3"/>
            <charset val="128"/>
          </rPr>
          <t xml:space="preserve">Bulk単価(輸出梱包代込み)
バルクプライス　\590/m (1,000m/color) </t>
        </r>
      </text>
    </comment>
    <comment ref="Q4869" authorId="1" shapeId="0" xr:uid="{A6C2107D-6C4D-4E53-B9A6-E62746C8CF7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当初の輸出梱包費用込みバルク単価605円で計算</t>
        </r>
      </text>
    </comment>
    <comment ref="S4869" authorId="2" shapeId="0" xr:uid="{53102A28-72AA-4B99-B92A-1DD239293A70}">
      <text>
        <r>
          <rPr>
            <sz val="9"/>
            <color indexed="81"/>
            <rFont val="MS P ゴシック"/>
            <family val="3"/>
            <charset val="128"/>
          </rPr>
          <t xml:space="preserve">Bulk単価(輸出梱包代込み)
バルクプライス　\590/m (1,000m/color) </t>
        </r>
      </text>
    </comment>
    <comment ref="Q4870" authorId="1" shapeId="0" xr:uid="{8E8F353D-AC36-40D2-B511-A681F487A8C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当初の輸出梱包費用込みバルク単価605円で計算</t>
        </r>
      </text>
    </comment>
    <comment ref="S4870" authorId="2" shapeId="0" xr:uid="{F66AC70E-DA66-4EB3-BDF5-1F7EF58B0F81}">
      <text>
        <r>
          <rPr>
            <sz val="9"/>
            <color indexed="81"/>
            <rFont val="MS P ゴシック"/>
            <family val="3"/>
            <charset val="128"/>
          </rPr>
          <t xml:space="preserve">Bulk単価(輸出梱包代込み)
バルクプライス　\590/m (1,000m/color) </t>
        </r>
      </text>
    </comment>
    <comment ref="Q4871" authorId="1" shapeId="0" xr:uid="{3DDD76EB-75E1-4BB8-AB1A-B6BFB827826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当初の輸出梱包費用込みバルク単価605円で計算</t>
        </r>
      </text>
    </comment>
    <comment ref="S4871" authorId="2" shapeId="0" xr:uid="{9B612A66-E081-42D8-AEE3-81A6320DA96B}">
      <text>
        <r>
          <rPr>
            <sz val="9"/>
            <color indexed="81"/>
            <rFont val="MS P ゴシック"/>
            <family val="3"/>
            <charset val="128"/>
          </rPr>
          <t xml:space="preserve">Bulk単価(輸出梱包代込み)
バルクプライス　\590/m (1,000m/color) </t>
        </r>
      </text>
    </comment>
    <comment ref="Q4872" authorId="1" shapeId="0" xr:uid="{714ED2E9-AEC2-41B5-9D88-38EEB8D2581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当初の輸出梱包費用込みバルク単価605円で計算</t>
        </r>
      </text>
    </comment>
    <comment ref="S4872" authorId="2" shapeId="0" xr:uid="{3E33BBE4-F1D1-4846-BBFC-84021FC0735A}">
      <text>
        <r>
          <rPr>
            <sz val="9"/>
            <color indexed="81"/>
            <rFont val="MS P ゴシック"/>
            <family val="3"/>
            <charset val="128"/>
          </rPr>
          <t xml:space="preserve">Bulk単価(輸出梱包代込み)
バルクプライス　\590/m (1,000m/color) </t>
        </r>
      </text>
    </comment>
    <comment ref="Q4873" authorId="1" shapeId="0" xr:uid="{7E86759F-A33B-4267-B879-04AAE63FA9F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当初の輸出梱包費用込みバルク単価605円で計算</t>
        </r>
      </text>
    </comment>
    <comment ref="S4873" authorId="2" shapeId="0" xr:uid="{8482244A-6043-47F2-AA6C-5224970577F3}">
      <text>
        <r>
          <rPr>
            <sz val="9"/>
            <color indexed="81"/>
            <rFont val="MS P ゴシック"/>
            <family val="3"/>
            <charset val="128"/>
          </rPr>
          <t xml:space="preserve">Bulk単価(輸出梱包代込み)
バルクプライス　\590/m (1,000m/color) </t>
        </r>
      </text>
    </comment>
    <comment ref="E4892" authorId="1" shapeId="0" xr:uid="{DD61A82B-9AE5-4083-B44C-78E993DADFC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KKT4006E2X-W D#DW</t>
        </r>
      </text>
    </comment>
    <comment ref="V4894" authorId="1" shapeId="0" xr:uid="{F03E2264-0932-44F3-9B77-25309A34C2E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4895" authorId="1" shapeId="0" xr:uid="{BC11F6DA-3FCD-4F0D-A629-BD6DEEACDA9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KKF2210E2X-W</t>
        </r>
      </text>
    </comment>
    <comment ref="E4916" authorId="1" shapeId="0" xr:uid="{801708E3-0BC2-480B-9C34-391D8AE4280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hand-cut (machine cut は品質不安定）</t>
        </r>
      </text>
    </comment>
    <comment ref="E4923" authorId="1" shapeId="0" xr:uid="{95E241F7-278F-480A-B5EF-73F513E37C9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hand-cut (machine cut は品質不安定）</t>
        </r>
      </text>
    </comment>
    <comment ref="E4924" authorId="1" shapeId="0" xr:uid="{33ECC8B4-4741-4F5A-A729-41255DD5522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hand-cut (machine cut は品質不安定）</t>
        </r>
      </text>
    </comment>
    <comment ref="E4925" authorId="1" shapeId="0" xr:uid="{E47FB742-4273-46B3-805C-4DF7F56680D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hand-cut (machine cut は品質不安定）</t>
        </r>
      </text>
    </comment>
    <comment ref="E4926" authorId="1" shapeId="0" xr:uid="{29D24A08-E826-4216-AB7B-2AD447190E3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hand-cut (machine cut は品質不安定）</t>
        </r>
      </text>
    </comment>
    <comment ref="K4936" authorId="1" shapeId="0" xr:uid="{584C722F-A08F-42E5-A4CD-669FE046ADE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大阪負担</t>
        </r>
      </text>
    </comment>
    <comment ref="E4937" authorId="1" shapeId="0" xr:uid="{1E5AD5AE-C008-465A-8F09-E1263BD7767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hand-cut (machine cut は品質不安定）</t>
        </r>
      </text>
    </comment>
    <comment ref="E4938" authorId="1" shapeId="0" xr:uid="{1499DF37-03C8-4347-A8DD-D9E0594E91C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hand-cut (machine cut は品質不安定）</t>
        </r>
      </text>
    </comment>
    <comment ref="V4945" authorId="1" shapeId="0" xr:uid="{FEB2BB11-F849-4992-90C2-D898989B184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4946" authorId="0" shapeId="0" xr:uid="{A7A7437E-73C8-4014-80F7-153A56CF7FE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E4947" authorId="0" shapeId="0" xr:uid="{EC657AD0-A191-42AD-AFF0-799A194DAE8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E4948" authorId="0" shapeId="0" xr:uid="{2C05C656-A71A-4B52-8260-655E9152EF9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E4960" authorId="1" shapeId="0" xr:uid="{00FDE553-1D28-45FC-B007-E936C883B16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hand-cut (machine cut は品質不安定）</t>
        </r>
      </text>
    </comment>
    <comment ref="E4961" authorId="1" shapeId="0" xr:uid="{1531EB94-30D5-4E9F-8055-E5E9BBAE405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hand-cut (machine cut は品質不安定）</t>
        </r>
      </text>
    </comment>
    <comment ref="E4989" authorId="1" shapeId="0" xr:uid="{1046E4A2-A0BE-4AA7-B45C-221F80DD5C5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7618</t>
        </r>
      </text>
    </comment>
    <comment ref="K4989" authorId="1" shapeId="0" xr:uid="{A03D57F9-E69D-4495-B3F5-629378B2E81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2025年11-12月期間限定discount 10% for $ 1,000/order based on regular price  </t>
        </r>
      </text>
    </comment>
    <comment ref="K4990" authorId="1" shapeId="0" xr:uid="{B112E6AF-6AD9-4551-A75D-5BD1E110382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2025年11-12月期間限定discount 10% for $ 1,000/order based on regular price  </t>
        </r>
      </text>
    </comment>
    <comment ref="K4991" authorId="1" shapeId="0" xr:uid="{75732C9C-F979-4B81-8C87-044A4B47116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2025年11-12月期間限定discount 10% for $ 1,000/order based on regular price  </t>
        </r>
      </text>
    </comment>
    <comment ref="K4992" authorId="1" shapeId="0" xr:uid="{179298BF-E79E-4AAC-AF61-A4B3FFE5835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2025年11-12月期間限定discount 10% for $ 1,000/order based on regular price  </t>
        </r>
      </text>
    </comment>
    <comment ref="E5001" authorId="0" shapeId="0" xr:uid="{F0EF3B32-E612-48EF-B392-56CFA288A7F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下げ札が「3370　C-31」</t>
        </r>
      </text>
    </comment>
    <comment ref="E5002" authorId="0" shapeId="0" xr:uid="{473F8393-C9A8-4D27-9886-D6533532C5B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下げ札が「3370　C-31」</t>
        </r>
      </text>
    </comment>
    <comment ref="E5003" authorId="0" shapeId="0" xr:uid="{A8AAAE61-F192-43A5-93D9-B8EDF0B3F46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下げ札が「3370　C-31」</t>
        </r>
      </text>
    </comment>
    <comment ref="E5007" authorId="0" shapeId="0" xr:uid="{A9F874E6-31D7-48D0-A573-62EB4CA59CD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F3431
</t>
        </r>
      </text>
    </comment>
    <comment ref="E5008" authorId="0" shapeId="0" xr:uid="{FA523430-97EA-4C9D-8921-12CED573680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F3431
</t>
        </r>
      </text>
    </comment>
    <comment ref="V5023" authorId="1" shapeId="0" xr:uid="{FE22C9F3-81F8-42B5-A3BA-F20FDBD0FD7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5024" authorId="0" shapeId="0" xr:uid="{F1E9F274-0702-4842-8CDB-97734423277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KKF2425E2X-W
</t>
        </r>
      </text>
    </comment>
    <comment ref="E5058" authorId="1" shapeId="0" xr:uid="{7CA371CF-2BFA-445D-B406-BDD22B1FF00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KKF8682ASY
</t>
        </r>
      </text>
    </comment>
    <comment ref="S5058" authorId="1" shapeId="0" xr:uid="{54AAF9C6-0471-4636-8697-5C88A1DE25D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カット代400円込み</t>
        </r>
      </text>
    </comment>
    <comment ref="E5059" authorId="1" shapeId="0" xr:uid="{C5F889E4-177D-4F25-BBDE-1DC83B90BE1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KKF1070-W
</t>
        </r>
      </text>
    </comment>
    <comment ref="E5060" authorId="1" shapeId="0" xr:uid="{EF8E10DC-F2E5-4AAC-AF48-C94EAFACC27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KKF4004</t>
        </r>
      </text>
    </comment>
    <comment ref="E5090" authorId="0" shapeId="0" xr:uid="{774833C5-6D01-4437-AB1B-86D26EE22BB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D#F-3407
</t>
        </r>
      </text>
    </comment>
    <comment ref="E5091" authorId="0" shapeId="0" xr:uid="{A30AC704-C0A6-4142-9C40-94FCA96302F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D#F-3407
</t>
        </r>
      </text>
    </comment>
    <comment ref="V5093" authorId="1" shapeId="0" xr:uid="{9CCD79E1-0FF2-4225-9C92-258E332938D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5094" authorId="0" shapeId="0" xr:uid="{54898949-8216-43F3-B3EC-66C3882DB2B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E5095" authorId="0" shapeId="0" xr:uid="{23DE697A-E7DF-4583-85E1-4B73CAAD41A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E5096" authorId="0" shapeId="0" xr:uid="{CC7CBE33-7E23-413D-BA6E-028D789E42D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E5097" authorId="0" shapeId="0" xr:uid="{D1E8ED7B-D02D-437A-BA7D-21107DFB3E9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Q5110" authorId="1" shapeId="0" xr:uid="{D2F3A4B1-7C0E-4448-AB1E-CB3E319C030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当初の輸出梱包費用込みバルク単価605円で計算</t>
        </r>
      </text>
    </comment>
    <comment ref="S5110" authorId="2" shapeId="0" xr:uid="{49B0635D-609F-4F0A-A504-AC162BF63921}">
      <text>
        <r>
          <rPr>
            <sz val="9"/>
            <color indexed="81"/>
            <rFont val="MS P ゴシック"/>
            <family val="3"/>
            <charset val="128"/>
          </rPr>
          <t xml:space="preserve">Bulk単価(輸出梱包代込み)
バルクプライス　\590/m (1,000m/color) </t>
        </r>
      </text>
    </comment>
    <comment ref="Q5111" authorId="1" shapeId="0" xr:uid="{8C8D81EC-90B9-48FC-89A2-071ED62FD4F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当初の輸出梱包費用込みバルク単価605円で計算</t>
        </r>
      </text>
    </comment>
    <comment ref="S5111" authorId="2" shapeId="0" xr:uid="{3553F1CD-C2D7-4CA8-AE8A-EF3A97F23CD3}">
      <text>
        <r>
          <rPr>
            <sz val="9"/>
            <color indexed="81"/>
            <rFont val="MS P ゴシック"/>
            <family val="3"/>
            <charset val="128"/>
          </rPr>
          <t xml:space="preserve">Bulk単価(輸出梱包代込み)
バルクプライス　\590/m (1,000m/color) </t>
        </r>
      </text>
    </comment>
    <comment ref="Q5112" authorId="1" shapeId="0" xr:uid="{EEDB510C-81F2-4CF6-BC93-26743F1422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当初の輸出梱包費用込みバルク単価605円で計算</t>
        </r>
      </text>
    </comment>
    <comment ref="S5112" authorId="2" shapeId="0" xr:uid="{D0E8C8CE-FE98-4C08-A94E-87EB1E31733F}">
      <text>
        <r>
          <rPr>
            <sz val="9"/>
            <color indexed="81"/>
            <rFont val="MS P ゴシック"/>
            <family val="3"/>
            <charset val="128"/>
          </rPr>
          <t xml:space="preserve">Bulk単価(輸出梱包代込み)
バルクプライス　\590/m (1,000m/color) </t>
        </r>
      </text>
    </comment>
    <comment ref="Q5113" authorId="1" shapeId="0" xr:uid="{D5B74D6B-7ADB-4459-B9FD-A2C7CC037B8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当初の輸出梱包費用込みバルク単価605円で計算</t>
        </r>
      </text>
    </comment>
    <comment ref="S5113" authorId="2" shapeId="0" xr:uid="{ADC6A5C0-A200-4E98-B295-263B4BFDB550}">
      <text>
        <r>
          <rPr>
            <sz val="9"/>
            <color indexed="81"/>
            <rFont val="MS P ゴシック"/>
            <family val="3"/>
            <charset val="128"/>
          </rPr>
          <t xml:space="preserve">Bulk単価(輸出梱包代込み)
バルクプライス　\590/m (1,000m/color) </t>
        </r>
      </text>
    </comment>
    <comment ref="Q5114" authorId="1" shapeId="0" xr:uid="{4CC0383E-7471-4835-8BE3-0573FF537C3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当初の輸出梱包費用込みバルク単価605円で計算</t>
        </r>
      </text>
    </comment>
    <comment ref="S5114" authorId="2" shapeId="0" xr:uid="{743DCA16-E779-4D69-8E2B-E6796FD5C9C3}">
      <text>
        <r>
          <rPr>
            <sz val="9"/>
            <color indexed="81"/>
            <rFont val="MS P ゴシック"/>
            <family val="3"/>
            <charset val="128"/>
          </rPr>
          <t xml:space="preserve">Bulk単価(輸出梱包代込み)
バルクプライス　\590/m (1,000m/color) </t>
        </r>
      </text>
    </comment>
    <comment ref="Q5115" authorId="1" shapeId="0" xr:uid="{96F04AAC-CEDD-432A-A731-F37FD4B05BE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当初の輸出梱包費用込みバルク単価605円で計算</t>
        </r>
      </text>
    </comment>
    <comment ref="S5115" authorId="2" shapeId="0" xr:uid="{9BB5A934-D43F-4372-B2FB-B5227CBAD9C6}">
      <text>
        <r>
          <rPr>
            <sz val="9"/>
            <color indexed="81"/>
            <rFont val="MS P ゴシック"/>
            <family val="3"/>
            <charset val="128"/>
          </rPr>
          <t xml:space="preserve">Bulk単価(輸出梱包代込み)
バルクプライス　\590/m (1,000m/color) </t>
        </r>
      </text>
    </comment>
    <comment ref="S5126" authorId="1" shapeId="0" xr:uid="{07AF4145-8612-4C50-8C87-4D739BE0432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改定価格：232円 (3/1発注~)</t>
        </r>
      </text>
    </comment>
    <comment ref="S5133" authorId="1" shapeId="0" xr:uid="{0573B013-D2A2-4337-A1CD-85B02E38F2A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 3月1日～m/@282</t>
        </r>
      </text>
    </comment>
    <comment ref="E5146" authorId="1" shapeId="0" xr:uid="{049F1423-C049-439B-A479-950EBB76D70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7836</t>
        </r>
      </text>
    </comment>
    <comment ref="K5147" authorId="1" shapeId="0" xr:uid="{8FAE01CC-6CB4-408E-B50B-C5986AFA0FB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通常単価50% : $0.85で提示
先方バルク数量ベースで$ 0.71/m でオファー</t>
        </r>
      </text>
    </comment>
    <comment ref="E5150" authorId="1" shapeId="0" xr:uid="{153C3A87-EC95-4E5B-9DE6-43DA321221C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7846</t>
        </r>
      </text>
    </comment>
    <comment ref="K5150" authorId="1" shapeId="0" xr:uid="{D59B7D42-71C3-4C4A-82E2-272005E4285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通常単価50% : $0.69で提示
先方バルク数量8250mベースで$ 0.49/m でオファー</t>
        </r>
      </text>
    </comment>
    <comment ref="Q5150" authorId="1" shapeId="0" xr:uid="{6E4186D7-5B17-41D5-A3DB-CADEE4DB2AD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SF USA とOsaka の利益折半
</t>
        </r>
      </text>
    </comment>
    <comment ref="K5152" authorId="1" shapeId="0" xr:uid="{BCD4A858-E624-4851-B93A-462156A88F1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通常単価50% : $0.69で提示
先方バルク数量8250mベースで$ 0.49/m でオファー</t>
        </r>
      </text>
    </comment>
    <comment ref="Q5152" authorId="1" shapeId="0" xr:uid="{B788C6E3-42FF-4F12-95F4-74A37311DD4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SF USA とOsaka の利益折半
</t>
        </r>
      </text>
    </comment>
    <comment ref="S5155" authorId="1" shapeId="0" xr:uid="{0F3087DD-5B7C-4A18-A537-E36441DBDE1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3/1- 196円</t>
        </r>
      </text>
    </comment>
    <comment ref="J5249" authorId="1" shapeId="0" xr:uid="{413F2655-51F5-4FD3-9D4B-48A52D322E9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54.68 YD</t>
        </r>
      </text>
    </comment>
    <comment ref="K5249" authorId="1" shapeId="0" xr:uid="{77B6B365-CAAC-45D4-AA07-BE209B0F940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US$ 4.83/yd
</t>
        </r>
      </text>
    </comment>
    <comment ref="V5268" authorId="1" shapeId="0" xr:uid="{FE8C4E32-8965-43E6-AF85-8A672A877FE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E5269" authorId="0" shapeId="0" xr:uid="{C40267CF-4944-4420-A8D9-ADE378B307A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KKF174-W</t>
        </r>
      </text>
    </comment>
    <comment ref="Q5269" authorId="1" shapeId="0" xr:uid="{30812294-61AF-47E0-8085-5F6C19F2717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カット代400円/m として処理・実際は1500円</t>
        </r>
      </text>
    </comment>
    <comment ref="K5273" authorId="1" shapeId="0" xr:uid="{A81579BE-E3B0-4092-8220-E002317B45B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abt $1.08/yd</t>
        </r>
      </text>
    </comment>
    <comment ref="K5274" authorId="1" shapeId="0" xr:uid="{457ED7BC-0137-46FC-A2AE-C2FE8BB2296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abt $1.08/yd</t>
        </r>
      </text>
    </comment>
    <comment ref="J5278" authorId="1" shapeId="0" xr:uid="{511F993C-1CA7-4D4A-A4F9-92BB6ABD545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10 yds</t>
        </r>
      </text>
    </comment>
    <comment ref="K5278" authorId="1" shapeId="0" xr:uid="{51B62DF0-AD3C-4664-9E1F-96E84CD95FB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US$ 4.83/yd
</t>
        </r>
      </text>
    </comment>
    <comment ref="J5279" authorId="1" shapeId="0" xr:uid="{564AE7F6-C78E-4376-8782-F2DC0EA38A0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18 yds</t>
        </r>
      </text>
    </comment>
    <comment ref="K5279" authorId="1" shapeId="0" xr:uid="{8A7A182A-347D-4AF3-84D7-B87B75E32EC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US$ 4.83/yd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chiba</author>
    <author>sunfashion</author>
    <author>a.hamada</author>
  </authors>
  <commentList>
    <comment ref="E183" authorId="0" shapeId="0" xr:uid="{6D2F63DD-0E4A-4636-8DCA-D795D381DF2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84" authorId="0" shapeId="0" xr:uid="{72811966-15D9-4162-8037-E049AC21BAA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B186" authorId="0" shapeId="0" xr:uid="{06B1A990-9897-4CE3-A012-378C9E777E9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FWL-69085 Cotton version
</t>
        </r>
      </text>
    </comment>
    <comment ref="E186" authorId="0" shapeId="0" xr:uid="{3D62F72B-6B38-4D1F-846C-A6F7D3FE03E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B187" authorId="0" shapeId="0" xr:uid="{135A3133-C60D-4C1E-9979-CD8C238E4EC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FWL-69085 Cotton version
</t>
        </r>
      </text>
    </comment>
    <comment ref="E187" authorId="0" shapeId="0" xr:uid="{94F4E7FF-70F1-440A-8BE2-BC158936154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89" authorId="0" shapeId="0" xr:uid="{675A189A-728B-400B-AFEF-BD95431BEF0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90" authorId="0" shapeId="0" xr:uid="{729BA752-8B02-4745-A88C-14099216046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91" authorId="0" shapeId="0" xr:uid="{29AA24B8-CE83-4D2E-8067-EEE65AA25EA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92" authorId="0" shapeId="0" xr:uid="{F6B09C99-BA1E-4FFE-893C-538F35CA318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94" authorId="0" shapeId="0" xr:uid="{AF6580CE-60FB-48E7-B734-00AAD1A31D0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95" authorId="0" shapeId="0" xr:uid="{C8B81E96-FC1D-45D2-BAE4-1812D01B4CC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97" authorId="0" shapeId="0" xr:uid="{642EE125-B7C3-40F1-8CAB-384DE1BCC36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98" authorId="0" shapeId="0" xr:uid="{EFD6EE54-14EA-4E11-9C1B-704A649AD3D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200" authorId="0" shapeId="0" xr:uid="{D8A9AB16-6594-43B4-A38A-9F88A747B67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201" authorId="0" shapeId="0" xr:uid="{47322E7F-5583-4B28-92FE-AE3ABDCB87A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D215" authorId="0" shapeId="0" xr:uid="{C354AB81-EE92-4FA5-AD77-836C1653C63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16" authorId="0" shapeId="0" xr:uid="{E931F033-02E5-4047-9E5F-6931443F98E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17" authorId="0" shapeId="0" xr:uid="{9410E5C3-7517-4716-89FB-B97CD64C2EE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B228" authorId="0" shapeId="0" xr:uid="{C402FFFB-8348-4A66-9908-061344E382C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B229" authorId="0" shapeId="0" xr:uid="{4A8BA970-7694-428E-B2F6-838AAB837C9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B230" authorId="0" shapeId="0" xr:uid="{4C28756F-1648-41CB-9E2B-E996A50F4AD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B231" authorId="0" shapeId="0" xr:uid="{F39F8989-21D8-4C72-8E6E-0C105E6F772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B232" authorId="0" shapeId="0" xr:uid="{A49E4515-389A-404A-B886-052710E103E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D248" authorId="0" shapeId="0" xr:uid="{48CA8F15-7575-473F-BD92-4E6C2894AFD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49" authorId="0" shapeId="0" xr:uid="{DF6EACD9-810B-4F36-AC89-A2C93366922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50" authorId="0" shapeId="0" xr:uid="{31D3E9EB-2E85-4D0D-B823-A236525164B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51" authorId="0" shapeId="0" xr:uid="{D79ED38A-F588-4DB6-BDC8-973DFF78197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52" authorId="0" shapeId="0" xr:uid="{ADA64E52-4EA6-488F-A909-B4FF541F1C1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53" authorId="0" shapeId="0" xr:uid="{6B4CC6BF-7156-4A03-A02D-550565089F5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A255" authorId="0" shapeId="0" xr:uid="{A3B86A86-926F-46DA-A53B-1E9ECE26055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D255" authorId="0" shapeId="0" xr:uid="{ECF13A02-59DA-4D1D-AA61-EE4E2DD0BAA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A256" authorId="0" shapeId="0" xr:uid="{028B1ABF-9C4D-46E3-8927-84672906855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D256" authorId="0" shapeId="0" xr:uid="{A04B94DF-E424-4BFB-B5D1-2BD0C8260DA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A257" authorId="0" shapeId="0" xr:uid="{F44AC103-8E22-418E-97FC-376C90FFFCC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D257" authorId="0" shapeId="0" xr:uid="{64D3705A-A13A-4598-8F4D-923E579A780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A258" authorId="0" shapeId="0" xr:uid="{77B85BD3-731E-487D-95A5-6640BE5F0BF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D258" authorId="0" shapeId="0" xr:uid="{6BD9B29A-0DEE-4A50-8B8A-E9C6CDDF05C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A259" authorId="0" shapeId="0" xr:uid="{B87B7A5B-2372-4E2E-A9B3-FA8FEAD1C2F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D259" authorId="0" shapeId="0" xr:uid="{DC5C7B76-2F9A-482D-AEB1-94C479C1DE6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1" authorId="0" shapeId="0" xr:uid="{4E17FC88-17E6-4582-90DA-7665FF4A8A3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2" authorId="0" shapeId="0" xr:uid="{23878459-8734-4F00-8433-9340CE8DB3D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3" authorId="0" shapeId="0" xr:uid="{71AB660D-BFC4-4368-86F0-F3ADC28D363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4" authorId="0" shapeId="0" xr:uid="{2FF7E0E4-7773-4B50-A23B-383D7454237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5" authorId="0" shapeId="0" xr:uid="{18B1D105-AE1C-49EB-8089-03C591438AF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7" authorId="0" shapeId="0" xr:uid="{C478E806-AC08-43EE-96FD-20D2A01FB39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8" authorId="0" shapeId="0" xr:uid="{F0CEBC9B-D912-4AE1-A24D-48254480430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9" authorId="0" shapeId="0" xr:uid="{E65F6E8A-47A7-492A-BA70-0C25CAEA27A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70" authorId="0" shapeId="0" xr:uid="{895C1A85-37EB-46ED-83A7-32D4B9515C9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71" authorId="0" shapeId="0" xr:uid="{24C65EB1-B69A-40BC-B348-3E9411FFD7F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276" authorId="0" shapeId="0" xr:uid="{19AE5185-3A7E-4DDD-958F-3138BF27E99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277" authorId="0" shapeId="0" xr:uid="{E1C0607A-05B8-4401-BDD7-245BD5D87F5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B317" authorId="0" shapeId="0" xr:uid="{07131F95-1CA4-41E2-ACB4-18FA70804E8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FWL-21777 Double sided version</t>
        </r>
      </text>
    </comment>
    <comment ref="B318" authorId="0" shapeId="0" xr:uid="{6498160D-76C0-4B75-A272-77EFBBDB3CB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FWL-21777 Double sided version</t>
        </r>
      </text>
    </comment>
    <comment ref="B319" authorId="0" shapeId="0" xr:uid="{DB89A98E-5AAF-457D-87B6-AAC89DDFAF3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FWL-21777 Double sided version</t>
        </r>
      </text>
    </comment>
    <comment ref="B320" authorId="0" shapeId="0" xr:uid="{8982467F-478E-4820-A925-3EA66E6C473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FWL-21777 Double sided version</t>
        </r>
      </text>
    </comment>
    <comment ref="B321" authorId="0" shapeId="0" xr:uid="{DD5E1B07-45D7-49EE-9A17-27C8722B7D4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FWL-21777 Double sided version</t>
        </r>
      </text>
    </comment>
    <comment ref="B322" authorId="0" shapeId="0" xr:uid="{72765529-8234-4C70-BC59-1DDBC554AD4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FWL-21777 Double sided version</t>
        </r>
      </text>
    </comment>
    <comment ref="D357" authorId="0" shapeId="0" xr:uid="{13492F73-351B-4637-AC3C-44B310046FF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カット代不要</t>
        </r>
      </text>
    </comment>
    <comment ref="D367" authorId="0" shapeId="0" xr:uid="{F6BCB5BB-ABF6-47F4-879E-F14E5F7552A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カット代不要</t>
        </r>
      </text>
    </comment>
    <comment ref="G401" authorId="0" shapeId="0" xr:uid="{F5DFF9C8-352B-44B2-9449-69374FA873E4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 C&amp;F HK=USD1.03/m </t>
        </r>
        <r>
          <rPr>
            <sz val="9"/>
            <color indexed="81"/>
            <rFont val="ＭＳ Ｐゴシック"/>
            <family val="3"/>
            <charset val="128"/>
          </rPr>
          <t xml:space="preserve">
FOB JAPAN $ 0.80 + メンコ $ 0.01 /m + C&amp;F $ 0.22/m 　</t>
        </r>
      </text>
    </comment>
    <comment ref="G402" authorId="0" shapeId="0" xr:uid="{B7028CFF-28BD-47D0-BB93-BB3662B3AE8B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 C&amp;F HK=USD1.03/m </t>
        </r>
        <r>
          <rPr>
            <sz val="9"/>
            <color indexed="81"/>
            <rFont val="ＭＳ Ｐゴシック"/>
            <family val="3"/>
            <charset val="128"/>
          </rPr>
          <t xml:space="preserve">
FOB JAPAN $ 0.80 + メンコ $ 0.01 /m + C&amp;F $ 0.22/m 　</t>
        </r>
      </text>
    </comment>
    <comment ref="G403" authorId="0" shapeId="0" xr:uid="{1BE0C613-DEAD-4658-864A-AD7A513A53AE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 C&amp;F HK=USD 0.68/m </t>
        </r>
        <r>
          <rPr>
            <sz val="9"/>
            <color indexed="81"/>
            <rFont val="ＭＳ Ｐゴシック"/>
            <family val="3"/>
            <charset val="128"/>
          </rPr>
          <t xml:space="preserve">
FOB JAPAN $ 0.45 + メンコ $ 0.01 /m + C&amp;F $ 0.22/m 　</t>
        </r>
      </text>
    </comment>
    <comment ref="G404" authorId="0" shapeId="0" xr:uid="{B0F9751C-5ACB-4638-B6E8-8DE4071B71D6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 C&amp;F HK=USD 0.68/m </t>
        </r>
        <r>
          <rPr>
            <sz val="9"/>
            <color indexed="81"/>
            <rFont val="ＭＳ Ｐゴシック"/>
            <family val="3"/>
            <charset val="128"/>
          </rPr>
          <t xml:space="preserve">
FOB JAPAN $ 0.45 + メンコ $ 0.01 /m + C&amp;F $ 0.22/m 　</t>
        </r>
      </text>
    </comment>
    <comment ref="G405" authorId="0" shapeId="0" xr:uid="{D57BB6B3-D5F3-4635-A779-6F675808E80F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 C&amp;F HK=USD 1.91/m </t>
        </r>
        <r>
          <rPr>
            <sz val="9"/>
            <color indexed="81"/>
            <rFont val="ＭＳ Ｐゴシック"/>
            <family val="3"/>
            <charset val="128"/>
          </rPr>
          <t xml:space="preserve">
FOB JAPAN $ 1.68 + メンコ $ 0.01 /m + C&amp;F $ 0.22/m 　</t>
        </r>
      </text>
    </comment>
    <comment ref="G406" authorId="0" shapeId="0" xr:uid="{9D667757-906F-47C9-A985-D1A897DE3CEA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 C&amp;F HK=USD0.74/m
↓前回はCIF  </t>
        </r>
        <r>
          <rPr>
            <sz val="9"/>
            <color indexed="81"/>
            <rFont val="ＭＳ Ｐゴシック"/>
            <family val="3"/>
            <charset val="128"/>
          </rPr>
          <t xml:space="preserve">
FOB JAPAN $ 0.47 + メンコ $ 0.01 /m + C&amp;F $ 0.23/m + insurance $ 0.03 /m　</t>
        </r>
      </text>
    </comment>
    <comment ref="G407" authorId="0" shapeId="0" xr:uid="{DB4B7D38-F8A7-47ED-A7F3-8701119B685E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 C&amp;F HK
↓前回はCIF </t>
        </r>
        <r>
          <rPr>
            <sz val="9"/>
            <color indexed="81"/>
            <rFont val="ＭＳ Ｐゴシック"/>
            <family val="3"/>
            <charset val="128"/>
          </rPr>
          <t xml:space="preserve">
FOB JAPAN $ 0.47 + メンコ $ 0.01 /m + C&amp;F $ 0.23/m + insurance $ 0.03 /m　</t>
        </r>
      </text>
    </comment>
    <comment ref="G408" authorId="0" shapeId="0" xr:uid="{4C57968B-58A7-4733-A0F9-DC530D977B47}">
      <text>
        <r>
          <rPr>
            <b/>
            <sz val="9"/>
            <color indexed="81"/>
            <rFont val="ＭＳ Ｐゴシック"/>
            <family val="3"/>
            <charset val="128"/>
          </rPr>
          <t>chiba:FOB USD 0.26 + 0.20= USD 0.46
C&amp;F HK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409" authorId="0" shapeId="0" xr:uid="{56B48092-287C-4B82-8A76-216FDAED16B6}">
      <text>
        <r>
          <rPr>
            <b/>
            <sz val="9"/>
            <color indexed="81"/>
            <rFont val="ＭＳ Ｐゴシック"/>
            <family val="3"/>
            <charset val="128"/>
          </rPr>
          <t>chiba:FOB USD 0.26 + 0.20= USD 0.46
C&amp;F HK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D412" authorId="0" shapeId="0" xr:uid="{C873E1A0-75D3-4416-B2A9-83DC34A1215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413" authorId="0" shapeId="0" xr:uid="{85EF860F-0486-4B76-93F4-65C1D67BA92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414" authorId="0" shapeId="0" xr:uid="{46BDC1EA-0E7F-4D93-8C13-9939E3255B9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I427" authorId="0" shapeId="0" xr:uid="{7E544E1B-7ECF-4737-8935-C7092195F38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H436" authorId="0" shapeId="0" xr:uid="{3592DCC2-12FF-4407-8CBA-441CD07347D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I436" authorId="0" shapeId="0" xr:uid="{3CA0494B-45BA-4AA4-A037-B9215D4026E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H437" authorId="0" shapeId="0" xr:uid="{97AA3D74-65DD-4889-874B-8B1E948BCB9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I437" authorId="0" shapeId="0" xr:uid="{11A8AA79-8C8B-4BEE-B40D-E6572B26055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H438" authorId="0" shapeId="0" xr:uid="{A703A122-3EF1-4AAF-8AA5-82AD1E9E98C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I438" authorId="0" shapeId="0" xr:uid="{BCA1C1EE-E812-4C02-86D9-120C3593ADF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H439" authorId="0" shapeId="0" xr:uid="{930F74F6-F128-48A1-8003-CC2ADB6A70C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I439" authorId="0" shapeId="0" xr:uid="{FB966D2D-5EE2-4CCD-B9F3-61613A9EC83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H440" authorId="0" shapeId="0" xr:uid="{73074E62-D9C6-4E27-90F1-934556F944D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I440" authorId="0" shapeId="0" xr:uid="{E8F9F96B-EF48-4C45-9B7C-F29D980A3EB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I442" authorId="0" shapeId="0" xr:uid="{EE0A9D84-5FDA-4D05-9BA2-A28F205CD63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D509" authorId="0" shapeId="0" xr:uid="{ED771326-820B-4E1C-BDB5-7733B83DCD1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510" authorId="0" shapeId="0" xr:uid="{7E4880BD-5A97-4093-AB33-E1EAE2FF7FF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1" authorId="0" shapeId="0" xr:uid="{9A391007-FF60-4B4D-B1E2-A33B7786104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2" authorId="0" shapeId="0" xr:uid="{A934C34F-1B35-4251-9E68-6E0C98EE909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3" authorId="0" shapeId="0" xr:uid="{4AC66210-E7A7-4B59-9F97-2A7D8954855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4" authorId="0" shapeId="0" xr:uid="{DBD95CC1-BAD1-4C55-8C1D-1235434B90F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5" authorId="0" shapeId="0" xr:uid="{9DBFC633-EFAB-4C3A-A3C7-F7207CDF885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6" authorId="0" shapeId="0" xr:uid="{C87A35DD-8B05-421D-B5D6-D377C13E3AE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7" authorId="0" shapeId="0" xr:uid="{4BC5391D-3117-463B-BA41-06A3CE4DB38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8" authorId="0" shapeId="0" xr:uid="{A3D0582F-3033-480D-B4AD-0A1E28BDFED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9" authorId="0" shapeId="0" xr:uid="{5909EE2B-C52A-482F-8F68-C50A2359F28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522" authorId="0" shapeId="0" xr:uid="{63507383-317A-4A1E-A19A-8C4E6086735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23" authorId="0" shapeId="0" xr:uid="{065A0E54-5599-45E3-A286-3081363138B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24" authorId="0" shapeId="0" xr:uid="{A90265AC-C869-4918-81F6-0EE45CE3242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25" authorId="0" shapeId="0" xr:uid="{D5B2649E-E0D7-4813-8797-3230655251A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26" authorId="0" shapeId="0" xr:uid="{3CCB2506-038C-4F12-A35B-2B15117F7DD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27" authorId="0" shapeId="0" xr:uid="{9DA58D3C-7B15-40D6-8B8D-1EE885F1123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28" authorId="0" shapeId="0" xr:uid="{465ACA9E-871E-4655-9AEB-D0808709331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29" authorId="0" shapeId="0" xr:uid="{06A569FE-256A-48ED-8746-BD7FB5240A6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0" authorId="0" shapeId="0" xr:uid="{196792C7-FFC5-4ECD-8CBD-4118149D821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1" authorId="0" shapeId="0" xr:uid="{AE3A31E1-BE42-45DF-9AE1-4E8DEAD2D50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2" authorId="0" shapeId="0" xr:uid="{FEEA625E-76E7-43D1-96D3-7591E9B0508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3" authorId="0" shapeId="0" xr:uid="{A89469D2-851F-4162-9441-0B6CB0A8108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4" authorId="0" shapeId="0" xr:uid="{D99B9483-C7F8-4795-95CB-80195CD7C9C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5" authorId="0" shapeId="0" xr:uid="{C4D650C4-9891-4127-B663-E69FE9F4908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6" authorId="0" shapeId="0" xr:uid="{D1A2EB7B-F8F4-426D-B42F-482966468C6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7" authorId="0" shapeId="0" xr:uid="{DC048E43-2464-4B3E-BBF8-DAD119B9748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8" authorId="0" shapeId="0" xr:uid="{421C2EB0-593E-4033-95D1-466966965B0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9" authorId="0" shapeId="0" xr:uid="{593552DF-C1E1-4211-B684-C6C4079A44F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40" authorId="0" shapeId="0" xr:uid="{26637AB1-832B-4C44-AF7F-436A6662889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41" authorId="0" shapeId="0" xr:uid="{5101040A-4768-4C50-82E3-16B1EAF5C29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42" authorId="0" shapeId="0" xr:uid="{A7BAA371-60CE-48BC-86BE-52FE42E2A22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47" authorId="0" shapeId="0" xr:uid="{E11C0E7F-706D-45D9-9776-43188DD85D1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48" authorId="0" shapeId="0" xr:uid="{1778D110-35BE-46A5-8AB2-876BDB564A8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49" authorId="0" shapeId="0" xr:uid="{EFE60195-A4D9-4F39-BD0A-AF30C61F36E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0" authorId="0" shapeId="0" xr:uid="{05BD9FCB-2919-414D-A3C9-E54B9A66DAC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1" authorId="0" shapeId="0" xr:uid="{0DB7CEFB-6A02-4EC6-B563-2BBE998FBEB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2" authorId="0" shapeId="0" xr:uid="{7FEF24EE-7192-4C1E-A740-52A053F1687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3" authorId="0" shapeId="0" xr:uid="{6C795629-B344-4A4E-AF0F-0278D9DEC69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4" authorId="0" shapeId="0" xr:uid="{08E83473-E597-4CB5-A717-7B26D39D9AC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5" authorId="0" shapeId="0" xr:uid="{A094C13E-325F-4A10-9601-FFF1FE2F802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6" authorId="0" shapeId="0" xr:uid="{D3262AB1-D685-4ACA-9059-63D50078F38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7" authorId="0" shapeId="0" xr:uid="{A3F4E50E-7FCB-4D4E-91DC-A9D40F75868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8" authorId="0" shapeId="0" xr:uid="{739EF8B9-E039-4894-B946-963E17652EC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9" authorId="0" shapeId="0" xr:uid="{CF25A3A6-93E2-4150-8036-A27F19A4458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60" authorId="0" shapeId="0" xr:uid="{850C7BA6-F819-46B2-B896-743B88F7A14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G571" authorId="0" shapeId="0" xr:uid="{F163F9A4-286D-47F5-B583-5E81A01A48C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カラー単価で計算
</t>
        </r>
      </text>
    </comment>
    <comment ref="G572" authorId="0" shapeId="0" xr:uid="{41B99DA5-5150-4782-80B8-D6AB0175BD8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カラー単価で計算
</t>
        </r>
      </text>
    </comment>
    <comment ref="C577" authorId="0" shapeId="0" xr:uid="{4EE222AC-94A9-4266-957E-9D477A0B532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Coach Reserve 1430m</t>
        </r>
      </text>
    </comment>
    <comment ref="F577" authorId="0" shapeId="0" xr:uid="{60FDAA2A-F16E-4FF7-93D7-A9DF19EC16B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G577" authorId="0" shapeId="0" xr:uid="{38ED5A7D-8F01-47D4-A94A-5F4BA1606BF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578" authorId="0" shapeId="0" xr:uid="{C2A14C50-743F-469D-B9D9-84F545D93C9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G578" authorId="0" shapeId="0" xr:uid="{5FFC107F-ED37-45A5-8BD0-50D778FF5DB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579" authorId="0" shapeId="0" xr:uid="{300D1A3D-649F-480D-A4F1-E52E95C7988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G579" authorId="0" shapeId="0" xr:uid="{5D95F231-5016-4350-B79A-2F65204A255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580" authorId="0" shapeId="0" xr:uid="{5AB3ECB1-EC96-42AA-A716-D474ADBFEEA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G580" authorId="0" shapeId="0" xr:uid="{B0C7F7DC-0BC6-40B8-A637-03A6E44DE05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C581" authorId="0" shapeId="0" xr:uid="{1DF0D0CD-9908-4B14-A1EC-3241271653A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Coach Reserve 1345m</t>
        </r>
      </text>
    </comment>
    <comment ref="F581" authorId="0" shapeId="0" xr:uid="{002EC4E4-9DF5-480F-A70F-CBEF20018DC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G581" authorId="0" shapeId="0" xr:uid="{5D572D48-A8AE-4200-A85B-FC8336BBE90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582" authorId="0" shapeId="0" xr:uid="{35468EA1-40BC-40F7-9D73-6C99A4F2425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G582" authorId="0" shapeId="0" xr:uid="{A4C66B28-DCD4-42BE-AD6B-C67C79B984E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583" authorId="0" shapeId="0" xr:uid="{3C847830-1E05-44F2-92BE-083ED8383D9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G583" authorId="0" shapeId="0" xr:uid="{2ABFBC0C-160C-4F29-828D-682FC6BDD91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593" authorId="0" shapeId="0" xr:uid="{A05F2B79-EDA4-4409-8496-30CEF80BD34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Derek Lam 特別単価
レート￥90 くらい</t>
        </r>
      </text>
    </comment>
    <comment ref="F596" authorId="0" shapeId="0" xr:uid="{333524F3-CAF8-403D-9EE8-79A4D8D44FF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Derek Lam 特別単価
レート￥90 くらい</t>
        </r>
      </text>
    </comment>
    <comment ref="E622" authorId="0" shapeId="0" xr:uid="{639B7F59-1AD2-47DF-A5CE-26241EFDC4F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カラー単価で計算</t>
        </r>
      </text>
    </comment>
    <comment ref="G656" authorId="0" shapeId="0" xr:uid="{60AC512F-9240-4736-9805-123547562DA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通常 USD 375 /col</t>
        </r>
      </text>
    </comment>
    <comment ref="F702" authorId="0" shapeId="0" xr:uid="{C5F32F25-D46B-4D0A-A386-806CEFA5B65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703" authorId="0" shapeId="0" xr:uid="{97E3BC83-317D-46A4-8631-70CE35D9991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A715" authorId="0" shapeId="0" xr:uid="{AA9CEC61-F7A2-4DD1-8377-9EDFF3BBB00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716" authorId="0" shapeId="0" xr:uid="{DE3DE70D-35D1-4C4D-BAE7-296EE7939B7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717" authorId="0" shapeId="0" xr:uid="{259CDDE4-27E5-4BA1-AE8A-46C1D92E86F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718" authorId="0" shapeId="0" xr:uid="{39F8A2E6-09C4-45B3-BA53-3C0C00BF54A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730" authorId="0" shapeId="0" xr:uid="{CCF7B71D-8853-48E2-B2B4-756B48F264D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731" authorId="0" shapeId="0" xr:uid="{9F908D95-2112-46A5-8B3B-2387B68BC7B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732" authorId="0" shapeId="0" xr:uid="{8E148AEF-9D9B-4697-BF0B-EFE54682CAB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733" authorId="0" shapeId="0" xr:uid="{E6F3270C-3A9C-4880-8D84-E0E354ECE2B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808" authorId="0" shapeId="0" xr:uid="{6D1645FF-E5D0-48C1-929F-685304A22A6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809" authorId="0" shapeId="0" xr:uid="{576888CB-CEFD-4BAE-BD22-127BE84F6EF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I812" authorId="0" shapeId="0" xr:uid="{9BD6F4F5-A30A-4E8C-8622-CB64F321E29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色物単価に合わせて計算</t>
        </r>
      </text>
    </comment>
    <comment ref="N812" authorId="0" shapeId="0" xr:uid="{C9F6ECE2-D259-4EF0-9BD8-CF35D7BCA28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色物単価に合わせて計算</t>
        </r>
      </text>
    </comment>
    <comment ref="I825" authorId="0" shapeId="0" xr:uid="{0C19762B-CC90-487E-9B1D-34751B0B78A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色物単価に合わせて計算
通常 USD 0.22/m
Handling Fee 分0.01 /m プラスで USD 0.23/m</t>
        </r>
      </text>
    </comment>
    <comment ref="N825" authorId="0" shapeId="0" xr:uid="{27900844-3C51-4ABF-8718-A2959AEE9C4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色物単価に合わせて計算
通常 USD 0.17/m
Handling Fee 分0.01 /m プラスで USD 0.18/m</t>
        </r>
      </text>
    </comment>
    <comment ref="I826" authorId="0" shapeId="0" xr:uid="{D3BB134C-D50F-4C1E-9945-51BA03430F5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通常 USD 0.22/m
Handling Fee 分0.01 /m プラスで USD 0.23/m
</t>
        </r>
      </text>
    </comment>
    <comment ref="N826" authorId="0" shapeId="0" xr:uid="{47937A39-111D-44CC-B6C5-D5FD1F213F8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通常 USD 0.17/m
Handling Fee 分0.01 /m プラスで USD 0.18/m</t>
        </r>
      </text>
    </comment>
    <comment ref="I827" authorId="0" shapeId="0" xr:uid="{77550232-B79A-4EE0-9A4B-6A7B4145D37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通常 USD 0.22/m
Handling Fee 分0.01 /m プラスで USD 0.23/m
</t>
        </r>
      </text>
    </comment>
    <comment ref="N827" authorId="0" shapeId="0" xr:uid="{7749184F-C5C9-4EAF-89E0-3BC003EACC4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通常 USD 0.17/m
Handling Fee 分0.01 /m プラスで USD 0.18/m</t>
        </r>
      </text>
    </comment>
    <comment ref="I828" authorId="0" shapeId="0" xr:uid="{437694DA-40EE-4A6A-B68E-431AEAE75C1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色物単価に合わせて計算
通常 USD 0.22/m
Handling Fee 分0.01 /m プラスで USD 0.23/m</t>
        </r>
      </text>
    </comment>
    <comment ref="N828" authorId="0" shapeId="0" xr:uid="{2F13D6CA-3050-4687-BEC1-D6480F24ADC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色物単価に合わせて計算
通常 USD 0.17/m
Handling Fee 分0.01 /m プラスで USD 0.18/m</t>
        </r>
      </text>
    </comment>
    <comment ref="H939" authorId="0" shapeId="0" xr:uid="{7B07E075-2F0F-4832-B590-865BF2079D8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A946" authorId="0" shapeId="0" xr:uid="{ED806370-5D83-496C-953C-BBEDD28FC59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G958" authorId="1" shapeId="0" xr:uid="{D0DCC0C7-286A-4FE0-8F30-BD84C56F247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レート98
</t>
        </r>
      </text>
    </comment>
    <comment ref="F991" authorId="0" shapeId="0" xr:uid="{624843C7-1BE0-40CB-A069-71BB902C29CB}">
      <text>
        <r>
          <rPr>
            <b/>
            <sz val="9"/>
            <color indexed="81"/>
            <rFont val="MS P ゴシック"/>
            <family val="3"/>
            <charset val="128"/>
          </rPr>
          <t>chiba:
染色込み の単価で計算</t>
        </r>
      </text>
    </comment>
    <comment ref="F992" authorId="0" shapeId="0" xr:uid="{20F5678F-0DA0-4461-8E78-8FE5C98EBDEB}">
      <text>
        <r>
          <rPr>
            <b/>
            <sz val="9"/>
            <color indexed="81"/>
            <rFont val="MS P ゴシック"/>
            <family val="3"/>
            <charset val="128"/>
          </rPr>
          <t>chiba:
染色込み の単価で計算</t>
        </r>
      </text>
    </comment>
    <comment ref="F993" authorId="0" shapeId="0" xr:uid="{0CA3F648-6447-4E7E-8D9E-578561AA8105}">
      <text>
        <r>
          <rPr>
            <b/>
            <sz val="9"/>
            <color indexed="81"/>
            <rFont val="MS P ゴシック"/>
            <family val="3"/>
            <charset val="128"/>
          </rPr>
          <t>chiba:
染色込み の単価で計算
500m 以上特価</t>
        </r>
      </text>
    </comment>
    <comment ref="D1019" authorId="0" shapeId="0" xr:uid="{07BC35AE-CB4B-4618-AD7E-999A095DC7AF}">
      <text>
        <r>
          <rPr>
            <b/>
            <sz val="9"/>
            <color indexed="81"/>
            <rFont val="MS P ゴシック"/>
            <family val="3"/>
            <charset val="128"/>
          </rPr>
          <t>chiba:
染色込み の単価で計算</t>
        </r>
      </text>
    </comment>
    <comment ref="D1020" authorId="0" shapeId="0" xr:uid="{71ED8CC7-796A-433E-87CF-438DDF89BB5E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1" authorId="0" shapeId="0" xr:uid="{83386B23-A0C5-448E-AC76-84E21498B4EC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2" authorId="0" shapeId="0" xr:uid="{5B94A711-31AD-4C24-B6D6-B791CDA02928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3" authorId="0" shapeId="0" xr:uid="{3FDEEAAA-CD61-42C9-87A2-1C339324D732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4" authorId="0" shapeId="0" xr:uid="{C21F4BF9-9956-4178-8BB3-BE21E15B7497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5" authorId="0" shapeId="0" xr:uid="{386CA144-97BE-4BE7-BFA5-764699E8236A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6" authorId="0" shapeId="0" xr:uid="{82B7F25E-3AAD-49FB-8861-E0418038D3B2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7" authorId="0" shapeId="0" xr:uid="{13C23F74-A8A9-49F3-B25F-59678A6634E5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8" authorId="0" shapeId="0" xr:uid="{B8BA2653-73BD-4CED-8F9F-867CAC83C1FF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135" authorId="0" shapeId="0" xr:uid="{E3CA6EF5-0D0B-40A2-B332-533B627A8E3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 
レート 95
</t>
        </r>
      </text>
    </comment>
    <comment ref="D1136" authorId="0" shapeId="0" xr:uid="{383DD3FC-3A69-4023-9641-F622427C990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 
レート 95
</t>
        </r>
      </text>
    </comment>
    <comment ref="E1151" authorId="0" shapeId="0" xr:uid="{D49E4D60-049D-4FF4-A65D-C384A8E1F66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100m にdecreas ?? </t>
        </r>
      </text>
    </comment>
    <comment ref="E1210" authorId="0" shapeId="0" xr:uid="{D7B2211E-0E61-4CE7-BCE3-87024651F8E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 
レート 100
</t>
        </r>
      </text>
    </comment>
    <comment ref="E1211" authorId="0" shapeId="0" xr:uid="{E48B01FC-F63F-43C6-888E-5175947893D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
レート 85
</t>
        </r>
      </text>
    </comment>
    <comment ref="E1213" authorId="0" shapeId="0" xr:uid="{EB7C5035-F05D-4ECD-9339-03D11289580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 
レート 100
</t>
        </r>
      </text>
    </comment>
    <comment ref="D1277" authorId="0" shapeId="0" xr:uid="{3946D247-59C6-4C4F-BCE8-4C2D1AE7A8A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278" authorId="0" shapeId="0" xr:uid="{266B5604-F724-46D0-874D-ED480CA9BAD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279" authorId="0" shapeId="0" xr:uid="{E9C96450-2660-4762-9A2B-597033F069D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280" authorId="0" shapeId="0" xr:uid="{86393CDD-8041-4901-8555-6C4BCC35E88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281" authorId="0" shapeId="0" xr:uid="{0F5A88BA-4A34-4C05-9AC1-E9797E78B1D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352" authorId="0" shapeId="0" xr:uid="{55D996FE-DD2E-42E1-832F-FC67593AC17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白チップの単価に合わせて計算</t>
        </r>
      </text>
    </comment>
    <comment ref="E1353" authorId="0" shapeId="0" xr:uid="{8B5B2E06-0766-43C7-83FA-FD43F2A8701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白チップの単価に合わせて計算</t>
        </r>
      </text>
    </comment>
    <comment ref="E1356" authorId="0" shapeId="0" xr:uid="{904F173E-6043-4984-9FB0-78A498F64B4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白チップの単価に合わせて計算</t>
        </r>
      </text>
    </comment>
    <comment ref="A1375" authorId="1" shapeId="0" xr:uid="{FE58A0CA-C004-45EA-90BA-F0FD224B4B1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 2801
</t>
        </r>
      </text>
    </comment>
    <comment ref="A1381" authorId="1" shapeId="0" xr:uid="{658AADC5-5C00-405D-8618-F755852BAA5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2880</t>
        </r>
      </text>
    </comment>
    <comment ref="D1407" authorId="1" shapeId="0" xr:uid="{D02DE6D6-807E-4E44-BD9A-00FAF0ED808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D1408" authorId="1" shapeId="0" xr:uid="{E612B9DB-101C-4490-A98C-DCCC47A6E19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D1409" authorId="1" shapeId="0" xr:uid="{66A02D5F-D81A-44A1-BAEF-1020D050FBC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D1410" authorId="1" shapeId="0" xr:uid="{CB8E0BD8-4AF3-4B3D-8B21-AF2B6DF63E4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G1424" authorId="1" shapeId="0" xr:uid="{B28DB9B8-B44C-42BB-9E30-DD07DF516FE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G1425" authorId="1" shapeId="0" xr:uid="{F84203A2-A2FD-4CBE-96A8-C93807BFBD7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G1427" authorId="1" shapeId="0" xr:uid="{487FB3B0-08BC-434B-9552-2B21FC2543E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G1428" authorId="1" shapeId="0" xr:uid="{4E9D34C3-388E-4100-82DB-5C0913A558B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C1432" authorId="1" shapeId="0" xr:uid="{DA67EF99-970B-4B05-8067-C45CB76C3335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B1463" authorId="1" shapeId="0" xr:uid="{F5E02693-4F4E-49B7-9775-E20E7972BCEB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B1465" authorId="1" shapeId="0" xr:uid="{9AC6F86E-F3BC-4254-80F1-8B4016282A5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E1469" authorId="1" shapeId="0" xr:uid="{6C6BE50F-9969-41BC-8D7A-AED8C20A3C6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E1470" authorId="1" shapeId="0" xr:uid="{8EDCF1CE-556C-4440-B29D-35CE60A10CE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E1475" authorId="1" shapeId="0" xr:uid="{7E77ED0A-AAAE-4328-8A7D-CF83EB5A946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HK</t>
        </r>
      </text>
    </comment>
    <comment ref="E1476" authorId="1" shapeId="0" xr:uid="{9E5C461C-F60E-4516-9BA2-AC5BA5F6AAE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HK</t>
        </r>
      </text>
    </comment>
    <comment ref="C1479" authorId="1" shapeId="0" xr:uid="{FE5FFD69-F14A-4E3A-A702-D498CF98BA8E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B1489" authorId="1" shapeId="0" xr:uid="{F50CC946-EE51-4C0D-A29A-0C50C59982E5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B1491" authorId="1" shapeId="0" xr:uid="{C6D038A0-A3FF-44D8-BE3B-4F0C30C0A34D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C1491" authorId="1" shapeId="0" xr:uid="{410D0984-8924-4963-ACAA-1E441BE6196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5m test
1m shipping sample 
4m 控え
</t>
        </r>
      </text>
    </comment>
    <comment ref="C1492" authorId="1" shapeId="0" xr:uid="{C1BCD7AA-5AC9-4BB0-AAA5-A98EA83A0B3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5m test
1m shipping sample 
4m 控え
</t>
        </r>
      </text>
    </comment>
    <comment ref="B1493" authorId="1" shapeId="0" xr:uid="{B97F94DD-B177-4902-870D-0AEDDC2745F9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A1512" authorId="1" shapeId="0" xr:uid="{2E9043BC-67EA-4626-9BEC-9D5D5666884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 # 3263</t>
        </r>
      </text>
    </comment>
    <comment ref="F1534" authorId="1" shapeId="0" xr:uid="{2BB20A8E-8F3F-45ED-AE58-A2893FFA762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USD 180 に含んでいる</t>
        </r>
      </text>
    </comment>
    <comment ref="F1545" authorId="1" shapeId="0" xr:uid="{21CD5A4E-ED35-4A1A-A47F-BD9DFD814EE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USD 180 に含んでいる</t>
        </r>
      </text>
    </comment>
    <comment ref="A1552" authorId="0" shapeId="0" xr:uid="{C6DA2636-408E-48F2-8E32-089D1937A57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 : 3340</t>
        </r>
      </text>
    </comment>
    <comment ref="B1559" authorId="1" shapeId="0" xr:uid="{8270857D-77DA-4685-BF2C-A65552FA084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3369 </t>
        </r>
      </text>
    </comment>
    <comment ref="F1564" authorId="1" shapeId="0" xr:uid="{E1879714-6A30-4C5A-A3DE-3A6CD4B4441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USD 180 に含んでいる</t>
        </r>
      </text>
    </comment>
    <comment ref="B1568" authorId="1" shapeId="0" xr:uid="{437168DB-0184-49E5-988E-C22C564BD1A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3370</t>
        </r>
      </text>
    </comment>
    <comment ref="F1575" authorId="1" shapeId="0" xr:uid="{448E6192-CCCA-4DAB-8B2A-9C975ECDB9B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USD 180 に含んでいる</t>
        </r>
      </text>
    </comment>
    <comment ref="A1638" authorId="0" shapeId="0" xr:uid="{073EAF08-480D-4FBB-867C-734F9B1CEF7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PI＃3603</t>
        </r>
      </text>
    </comment>
    <comment ref="D1653" authorId="0" shapeId="0" xr:uid="{D6561108-08D4-4608-BF7E-BD70DA34DB3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50%</t>
        </r>
      </text>
    </comment>
    <comment ref="D1654" authorId="0" shapeId="0" xr:uid="{AFD9ED23-2B72-4B5E-9387-4A14E5D9571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50%</t>
        </r>
      </text>
    </comment>
    <comment ref="D1655" authorId="0" shapeId="0" xr:uid="{B315B0D3-4F85-49D0-A43E-7E92E812700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50%</t>
        </r>
      </text>
    </comment>
    <comment ref="B1662" authorId="0" shapeId="0" xr:uid="{0648155A-E1EF-4D0B-A771-AFF3FDAF2EF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PI＃3838</t>
        </r>
      </text>
    </comment>
    <comment ref="A1667" authorId="0" shapeId="0" xr:uid="{7CC0A7C8-EF29-4A9D-BDF8-0050921A9ED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PI＃3836</t>
        </r>
      </text>
    </comment>
    <comment ref="A1710" authorId="1" shapeId="0" xr:uid="{9DE3E5E7-BFE8-4F30-A074-68AC41E295D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3844 for Col.13 Coral </t>
        </r>
      </text>
    </comment>
    <comment ref="D1710" authorId="1" shapeId="0" xr:uid="{B7750AE1-4EB7-4B7B-B622-8798923051A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D1711" authorId="1" shapeId="0" xr:uid="{4CA51E52-CDA1-4A55-9062-12381BBBBF9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E1711" authorId="0" shapeId="0" xr:uid="{00E90938-B018-4E11-9BA3-91FD9144885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顧客にはtest fee 一括でUSD 210.99で請求</t>
        </r>
      </text>
    </comment>
    <comment ref="D1712" authorId="1" shapeId="0" xr:uid="{17092221-F4CD-4DC2-9DDC-EBD199E2457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D1713" authorId="1" shapeId="0" xr:uid="{0EB39858-3CD4-4D90-912F-233E3A625CF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D1714" authorId="1" shapeId="0" xr:uid="{F40FCC0F-50A7-48CF-AA8D-0BB83DBD86E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6.53/m
GB test= USD 150 ( NYが支払うので、NY には請求無し） </t>
        </r>
      </text>
    </comment>
    <comment ref="D1715" authorId="1" shapeId="0" xr:uid="{F5AEBEAF-A318-4769-8EA8-9878121A37D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通常EXW USD 6.53/m
バルク単価で対応</t>
        </r>
      </text>
    </comment>
    <comment ref="D1716" authorId="1" shapeId="0" xr:uid="{BD62DFAA-7A46-4561-85D1-6668E96D8AD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D1717" authorId="1" shapeId="0" xr:uid="{43C4CC52-0FE5-41E1-8344-633A48EDF33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通常EXW USD 6.53/m
バルク単価で対応
</t>
        </r>
      </text>
    </comment>
    <comment ref="E1717" authorId="0" shapeId="0" xr:uid="{F5BA4DFF-A0D6-4E81-AC7A-2AC3D611AEA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顧客にはtest fee USD 200で請求</t>
        </r>
      </text>
    </comment>
    <comment ref="D1718" authorId="1" shapeId="0" xr:uid="{517CA2FB-6673-469C-A451-4B8B34973DB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D1719" authorId="1" shapeId="0" xr:uid="{37F1D038-FD9F-44F2-A2B1-5BE36D0E7A8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D1750" authorId="0" shapeId="0" xr:uid="{ACDC4FDE-88B2-499C-B152-4D1DC94FE1B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D1751" authorId="0" shapeId="0" xr:uid="{3CA57C33-9454-424E-AAD3-9BADF3F7FC0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H1752" authorId="0" shapeId="0" xr:uid="{2F3101CE-9211-4FD3-ACB7-0F3B97F6BB0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I1752" authorId="0" shapeId="0" xr:uid="{7C11C962-1571-4DBB-85DF-CF177B9C3E3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R1752" authorId="0" shapeId="0" xr:uid="{60431B1B-B170-49D0-A660-32684AAE7E0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S1752" authorId="0" shapeId="0" xr:uid="{9B2A59C1-EA22-4709-8136-E4990F7DD5D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D1754" authorId="0" shapeId="0" xr:uid="{CFCB36C5-5792-42B6-85F7-CBDC18654F8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H1755" authorId="0" shapeId="0" xr:uid="{FDF62481-DB6D-4637-B530-637935C3938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別注糸代はCCR-02(SS)と合わせて1件のみ。
小口製作代のみ</t>
        </r>
      </text>
    </comment>
    <comment ref="I1755" authorId="0" shapeId="0" xr:uid="{557B9CF9-6D77-485A-B954-AA5DF349CDE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別注糸代はCCR-02(SS)と合わせて1件のみ。
小口製作代のみ</t>
        </r>
      </text>
    </comment>
    <comment ref="R1755" authorId="0" shapeId="0" xr:uid="{D57F1C28-FD69-4BF8-A43A-CB425E2B9E0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別注糸代はCCR-02(SS)と合わせて1件のみ。
小口製作代のみ</t>
        </r>
      </text>
    </comment>
    <comment ref="S1755" authorId="0" shapeId="0" xr:uid="{074472FB-6A54-4427-86A9-0C0DBFDC5EA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別注糸代はCCR-02(SS)と合わせて1件のみ。
小口製作代のみ</t>
        </r>
      </text>
    </comment>
    <comment ref="D1759" authorId="0" shapeId="0" xr:uid="{78B568B0-7E85-4A39-B2A6-5BE5365B2F7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D1760" authorId="0" shapeId="0" xr:uid="{995DF0E3-8096-4389-8108-ADDED9EBDD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D1761" authorId="0" shapeId="0" xr:uid="{8887CBE7-CF1E-4A41-82AE-E31050BA3B0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H1762" authorId="0" shapeId="0" xr:uid="{A5705EA0-3EC3-45CF-9F73-334562DA441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I1762" authorId="0" shapeId="0" xr:uid="{F68FA911-5E9A-4C0C-8849-623DA0D61F0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R1762" authorId="0" shapeId="0" xr:uid="{6F6F5052-8115-4F1F-B1FE-C47F0B39211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S1762" authorId="0" shapeId="0" xr:uid="{86590D64-11B2-4AA7-B675-71CB012F948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H1763" authorId="0" shapeId="0" xr:uid="{85D67428-1330-414A-9D04-DB11C26F561A}">
      <text>
        <r>
          <rPr>
            <b/>
            <sz val="9"/>
            <color indexed="81"/>
            <rFont val="MS P ゴシック"/>
            <family val="3"/>
            <charset val="128"/>
          </rPr>
          <t>chiba:
PO-02723と一緒に手配なので、無し</t>
        </r>
      </text>
    </comment>
    <comment ref="I1763" authorId="0" shapeId="0" xr:uid="{519175C7-E025-4297-94A4-D926E2FEF397}">
      <text>
        <r>
          <rPr>
            <b/>
            <sz val="9"/>
            <color indexed="81"/>
            <rFont val="MS P ゴシック"/>
            <family val="3"/>
            <charset val="128"/>
          </rPr>
          <t>chiba:
PO-02723と一緒に手配なので、無し</t>
        </r>
      </text>
    </comment>
    <comment ref="J1763" authorId="0" shapeId="0" xr:uid="{F0242C28-84B1-4037-86D7-4309E62CF93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PO-02723と一緒に手配なので、無し</t>
        </r>
      </text>
    </comment>
    <comment ref="R1763" authorId="0" shapeId="0" xr:uid="{C84DAF92-466C-4659-B786-573E531BA7A9}">
      <text>
        <r>
          <rPr>
            <b/>
            <sz val="9"/>
            <color indexed="81"/>
            <rFont val="MS P ゴシック"/>
            <family val="3"/>
            <charset val="128"/>
          </rPr>
          <t>chiba:
PO-02723と一緒に手配なので、無し</t>
        </r>
      </text>
    </comment>
    <comment ref="S1763" authorId="0" shapeId="0" xr:uid="{F4E08B39-A2FD-418A-A847-D8FCA3B60AF7}">
      <text>
        <r>
          <rPr>
            <b/>
            <sz val="9"/>
            <color indexed="81"/>
            <rFont val="MS P ゴシック"/>
            <family val="3"/>
            <charset val="128"/>
          </rPr>
          <t>chiba:
PO-02723と一緒に手配なので、無し</t>
        </r>
      </text>
    </comment>
    <comment ref="F1811" authorId="0" shapeId="0" xr:uid="{3A88898B-EDA1-49BA-9354-C7D3CB67A46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181円/m(メタリックカラー 197円/m)</t>
        </r>
      </text>
    </comment>
    <comment ref="F1817" authorId="0" shapeId="0" xr:uid="{FAF49513-853A-4284-A90D-DF878C1165F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181円/m(メタリックカラー 197円/m)</t>
        </r>
      </text>
    </comment>
    <comment ref="A1926" authorId="0" shapeId="0" xr:uid="{F483FA8E-FF61-461C-9898-345B83D4E43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D#F3445</t>
        </r>
      </text>
    </comment>
    <comment ref="A1927" authorId="0" shapeId="0" xr:uid="{4702D319-10AA-49EB-990D-2A74A141608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D#F3445</t>
        </r>
      </text>
    </comment>
    <comment ref="A1928" authorId="0" shapeId="0" xr:uid="{98C55DB2-304D-4CBF-B068-E2C5C1A70C0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D#F3445</t>
        </r>
      </text>
    </comment>
    <comment ref="A1929" authorId="0" shapeId="0" xr:uid="{DA0948E0-4667-4B58-8BFE-6BA5B82C1EB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D#F3445</t>
        </r>
      </text>
    </comment>
    <comment ref="A1930" authorId="0" shapeId="0" xr:uid="{EC98A70D-A908-4ACD-B91F-513CF661FA6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D#F3445</t>
        </r>
      </text>
    </comment>
    <comment ref="A1931" authorId="0" shapeId="0" xr:uid="{CCA4C086-12C4-44AA-AE18-68635A1887F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D#F3445</t>
        </r>
      </text>
    </comment>
    <comment ref="C1931" authorId="0" shapeId="0" xr:uid="{50D8BAF0-A0A8-4DAD-B463-491E8CF283F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
</t>
        </r>
      </text>
    </comment>
    <comment ref="A1981" authorId="0" shapeId="0" xr:uid="{2009B624-FE18-49B8-B487-51111518FF9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(KKF8825 D#3)</t>
        </r>
      </text>
    </comment>
    <comment ref="A1982" authorId="0" shapeId="0" xr:uid="{2A0FC056-5693-42B8-975F-55A9C465E3A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(KKF8825 D#3)</t>
        </r>
      </text>
    </comment>
    <comment ref="A1989" authorId="0" shapeId="0" xr:uid="{1E5C9573-D23E-41C0-9B5D-2CC07588BAE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
*D#F3444 &amp; D#F3407 &amp; D#F3431</t>
        </r>
      </text>
    </comment>
    <comment ref="A1990" authorId="0" shapeId="0" xr:uid="{69804DD3-9FE0-4EE8-89B0-592A3BCA8EE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
*D#F3444 &amp; D#F3407 &amp; D#F3431</t>
        </r>
      </text>
    </comment>
    <comment ref="A1995" authorId="0" shapeId="0" xr:uid="{C536307E-A105-4B4B-9EFA-5563C50CB76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6756</t>
        </r>
      </text>
    </comment>
    <comment ref="A2001" authorId="0" shapeId="0" xr:uid="{2456D15A-FED9-4B55-AE3D-5527B42B9BA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KKF2425E2X-W</t>
        </r>
      </text>
    </comment>
    <comment ref="A2002" authorId="0" shapeId="0" xr:uid="{D82A298C-8676-4483-91AC-DCDC5519537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KKF2425E2X-W</t>
        </r>
      </text>
    </comment>
    <comment ref="A2010" authorId="0" shapeId="0" xr:uid="{5E8DA581-C62D-4117-BE72-4C0F12ECAB3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KKF2230 D#2</t>
        </r>
      </text>
    </comment>
    <comment ref="A2011" authorId="0" shapeId="0" xr:uid="{311D55CD-047E-4FA8-B905-8B1C78D9ADE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KKF2230 D#2</t>
        </r>
      </text>
    </comment>
    <comment ref="A2083" authorId="0" shapeId="0" xr:uid="{9C8D3C39-34A2-486C-AE56-429245A46E4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
*D#F3444 &amp; D#F3407 &amp; D#F3431</t>
        </r>
      </text>
    </comment>
    <comment ref="A2084" authorId="0" shapeId="0" xr:uid="{3AEBE203-FCB6-418E-A653-C3DF661282E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
*D#F3444 &amp; D#F3407 &amp; D#F3431</t>
        </r>
      </text>
    </comment>
    <comment ref="A2121" authorId="1" shapeId="0" xr:uid="{FDB255E2-9A43-41AA-A3FC-60A0219A4B6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A2122" authorId="1" shapeId="0" xr:uid="{0EC14667-A12F-4DE0-AB9C-B47E40BFF53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A2132" authorId="0" shapeId="0" xr:uid="{280E0276-9090-4A45-9241-C72A040282D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KKF2317 D/#1</t>
        </r>
      </text>
    </comment>
    <comment ref="A2133" authorId="0" shapeId="0" xr:uid="{995A4221-9AF3-407F-9591-6223B789345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KKF2317 D/#1</t>
        </r>
      </text>
    </comment>
    <comment ref="D2135" authorId="0" shapeId="0" xr:uid="{17523316-ECF2-4A98-A852-61BDDA9DFE6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商品代580円 + カット代 100円/m +念のためキバタ生産アップチャージ 100円/m</t>
        </r>
      </text>
    </comment>
    <comment ref="D2136" authorId="0" shapeId="0" xr:uid="{E9E912BA-A7E7-4C01-9FA6-A359FEA6C99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商品代580円 +念のためキバタ生産1反〜9反 100円/mアップ+輸出梱包 30円/m </t>
        </r>
      </text>
    </comment>
    <comment ref="A2157" authorId="1" shapeId="0" xr:uid="{246AD061-E277-45D2-9556-08C2B2ACBEE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A2162" authorId="0" shapeId="0" xr:uid="{E1026A98-2F6F-4086-9558-34791B669B5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D#F3407
</t>
        </r>
      </text>
    </comment>
    <comment ref="A2163" authorId="0" shapeId="0" xr:uid="{274CF0D2-3FD2-4A1E-BB5C-29432C7C23C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D#F3407</t>
        </r>
      </text>
    </comment>
    <comment ref="A2164" authorId="0" shapeId="0" xr:uid="{F5C3149C-D840-4D31-A476-55DAB39B5B1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D#F3407</t>
        </r>
      </text>
    </comment>
    <comment ref="A2165" authorId="0" shapeId="0" xr:uid="{2BC0A0FA-A049-4299-AA95-4B578E1226D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D#F3407</t>
        </r>
      </text>
    </comment>
    <comment ref="A2166" authorId="0" shapeId="0" xr:uid="{29379F2B-90CF-41A3-BC9C-0E01DBF1B2B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D#F3407
</t>
        </r>
      </text>
    </comment>
    <comment ref="A2194" authorId="0" shapeId="0" xr:uid="{76C759AE-E853-4CF6-A7C3-F9AD243287A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KKF9225 D#1</t>
        </r>
      </text>
    </comment>
    <comment ref="A2195" authorId="0" shapeId="0" xr:uid="{81B3EA83-FC9B-40F7-A0D1-991C230A7E2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KKF9225 D#1</t>
        </r>
      </text>
    </comment>
    <comment ref="A2196" authorId="0" shapeId="0" xr:uid="{0D749A12-755A-488C-BEA7-8017E03A4B9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KKF2317 D#1</t>
        </r>
      </text>
    </comment>
    <comment ref="A2197" authorId="0" shapeId="0" xr:uid="{B39E97F4-2912-4928-9BA7-184DC412D40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KKF2317 D#1</t>
        </r>
      </text>
    </comment>
    <comment ref="G2223" authorId="0" shapeId="0" xr:uid="{926CA3C6-F04A-4FBC-B1D4-4A442D85A30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G2224" authorId="0" shapeId="0" xr:uid="{6E8B542F-0005-4D61-92AA-EF93000B9AD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G2225" authorId="0" shapeId="0" xr:uid="{C741BD10-7583-4381-BF30-DC7452C28EB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G2226" authorId="0" shapeId="0" xr:uid="{C917CA38-1FE1-49F8-A93C-CCE8F293C62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A2328" authorId="0" shapeId="0" xr:uid="{A9361A88-4078-4AE1-994E-F8F198F4FA0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KKC884-W</t>
        </r>
      </text>
    </comment>
    <comment ref="A2329" authorId="0" shapeId="0" xr:uid="{6E486EF8-C219-4182-AB78-BCBF0C9EC39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KKC884-W</t>
        </r>
      </text>
    </comment>
    <comment ref="A2340" authorId="1" shapeId="0" xr:uid="{3B8B845F-7C0C-4D22-9765-D1CD842925A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KKC884-W</t>
        </r>
      </text>
    </comment>
    <comment ref="A2341" authorId="1" shapeId="0" xr:uid="{D7F587BC-11D7-4362-BBEB-A20A1343914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KKC884-W</t>
        </r>
      </text>
    </comment>
    <comment ref="D2347" authorId="0" shapeId="0" xr:uid="{7EFFF23C-4BB4-4F1A-8502-170ECB31378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商品代580円 + カット代 100円/m +念のためキバタ生産アップチャージ 100円/m</t>
        </r>
      </text>
    </comment>
    <comment ref="D2348" authorId="0" shapeId="0" xr:uid="{CA19B7E2-CCA1-4BDD-A736-1F7F380A733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商品代580円 +念のためキバタ生産1反〜9反 100円/mアップ+輸出梱包 30円/m </t>
        </r>
      </text>
    </comment>
    <comment ref="D2350" authorId="0" shapeId="0" xr:uid="{0B127816-E125-4591-A073-07E99D9253B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商品代650円 + カット代 100円/m +念のためキバタ生産アップチャージ 100円/m</t>
        </r>
      </text>
    </comment>
    <comment ref="D2351" authorId="0" shapeId="0" xr:uid="{302F7833-23EE-428B-ABFB-959ABF0873F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商品代650円 +念のためキバタ生産1反〜9反 100円/mアップ+輸出梱包 30円/m </t>
        </r>
      </text>
    </comment>
    <comment ref="F2398" authorId="0" shapeId="0" xr:uid="{DA1F03A8-0F55-4E76-977A-FD1C6556EF2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2025年7月より160円/m</t>
        </r>
      </text>
    </comment>
    <comment ref="F2399" authorId="0" shapeId="0" xr:uid="{8DD73711-9127-45EE-9B11-75DBB162C69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2025年7月より160円/m</t>
        </r>
      </text>
    </comment>
    <comment ref="F2400" authorId="0" shapeId="0" xr:uid="{269C6854-BA2E-4463-93B9-9C412BC81D1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2025年7月より130円/m</t>
        </r>
      </text>
    </comment>
    <comment ref="F2401" authorId="0" shapeId="0" xr:uid="{8CF736C0-D64F-4A0C-A755-8AD42F40E9E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2025年7月より130円/m</t>
        </r>
      </text>
    </comment>
    <comment ref="A2591" authorId="2" shapeId="0" xr:uid="{448EFB70-1CF7-4DDC-888C-43C4893BBD8E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PI#7182</t>
        </r>
      </text>
    </comment>
    <comment ref="A2592" authorId="2" shapeId="0" xr:uid="{67EC25A2-71D0-40A1-A8B8-7D6A77FCE08E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PI#7182</t>
        </r>
      </text>
    </comment>
    <comment ref="A2593" authorId="2" shapeId="0" xr:uid="{FEFFA617-8E84-4127-A4F4-D91BBA4032A9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PI#7182</t>
        </r>
      </text>
    </comment>
    <comment ref="A2594" authorId="2" shapeId="0" xr:uid="{D0E4997F-D99E-44AA-9948-61AF60E0AC55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PI#7182</t>
        </r>
      </text>
    </comment>
    <comment ref="A2595" authorId="2" shapeId="0" xr:uid="{95C3923D-D8FC-4531-A042-CBF72BCDD20A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PI#7182</t>
        </r>
      </text>
    </comment>
    <comment ref="A2596" authorId="2" shapeId="0" xr:uid="{FE317439-8979-4796-B7E1-C05130701D8F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PI#7182</t>
        </r>
      </text>
    </comment>
    <comment ref="A2611" authorId="0" shapeId="0" xr:uid="{3F704114-B8FA-46DF-8A29-E85A220770C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KKF9385-W</t>
        </r>
      </text>
    </comment>
    <comment ref="A2612" authorId="0" shapeId="0" xr:uid="{382200F2-93CA-4134-9412-2BCD1D70643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KKF9385-W</t>
        </r>
      </text>
    </comment>
    <comment ref="A2617" authorId="0" shapeId="0" xr:uid="{3120203B-4C4C-407F-84B5-66CFC82CAF5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KKF9385-W</t>
        </r>
      </text>
    </comment>
    <comment ref="A2622" authorId="0" shapeId="0" xr:uid="{B850C8D5-CE92-4082-A5E5-B24C8EDF960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KKC108-W</t>
        </r>
      </text>
    </comment>
    <comment ref="A2623" authorId="0" shapeId="0" xr:uid="{80406C8B-25AE-4A7A-8F33-2916EEEEFB4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KKC108-W</t>
        </r>
      </text>
    </comment>
    <comment ref="A2625" authorId="0" shapeId="0" xr:uid="{71B4F38E-527C-4A6D-9A06-3A2C9270048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KKC108-W</t>
        </r>
      </text>
    </comment>
    <comment ref="A2626" authorId="0" shapeId="0" xr:uid="{92C266E9-33C6-4B04-B416-D1D8D1A348F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KKC108-W</t>
        </r>
      </text>
    </comment>
    <comment ref="A2627" authorId="0" shapeId="0" xr:uid="{8765C52D-654B-40F1-BDD4-BD926BB033F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KKC108-W</t>
        </r>
      </text>
    </comment>
    <comment ref="D2627" authorId="0" shapeId="0" xr:uid="{1954D696-EBCC-4CB0-8725-1C0317A474D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＊C0撥水時、バルク@50/mアップ+バルク梱包費用 +30 
1680+30=1710</t>
        </r>
      </text>
    </comment>
    <comment ref="A2648" authorId="0" shapeId="0" xr:uid="{C80372D9-C4B4-40EB-9F79-AA7658DE2FD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KKF7711-58 </t>
        </r>
      </text>
    </comment>
    <comment ref="A2649" authorId="0" shapeId="0" xr:uid="{D601D4D6-5734-4369-8C57-FCD5E9BD554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KKF7711-58 </t>
        </r>
      </text>
    </comment>
    <comment ref="A2651" authorId="0" shapeId="0" xr:uid="{A58D0061-9AF9-4CAD-A93A-A2B59A64581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KKC108-W</t>
        </r>
      </text>
    </comment>
    <comment ref="A2652" authorId="0" shapeId="0" xr:uid="{98292CBC-85C2-474B-A279-0B42750A734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KKC108-W</t>
        </r>
      </text>
    </comment>
    <comment ref="A2653" authorId="0" shapeId="0" xr:uid="{B4DD8D37-15B2-447B-898B-52732DC9590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KKC108-W</t>
        </r>
      </text>
    </comment>
    <comment ref="D2653" authorId="0" shapeId="0" xr:uid="{CEC60C70-6B4D-45C8-A659-8AB68446D0E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＊C0撥水時、バルク@50/mアップ+バルク梱包費用 +30 
1680+30=1710</t>
        </r>
      </text>
    </comment>
    <comment ref="A2680" authorId="0" shapeId="0" xr:uid="{EC829E14-0DD0-4A66-B372-59F92D255392}">
      <text>
        <r>
          <rPr>
            <b/>
            <sz val="9"/>
            <color indexed="81"/>
            <rFont val="MS P ゴシック"/>
            <family val="3"/>
            <charset val="128"/>
          </rPr>
          <t>chiba:
KKS2786J</t>
        </r>
        <r>
          <rPr>
            <sz val="9"/>
            <color indexed="81"/>
            <rFont val="MS P ゴシック"/>
            <family val="3"/>
            <charset val="128"/>
          </rPr>
          <t xml:space="preserve"> </t>
        </r>
      </text>
    </comment>
    <comment ref="A2681" authorId="0" shapeId="0" xr:uid="{E5DE34AA-ED65-40A5-A1E8-1D67C0C50B9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KKS2786J </t>
        </r>
      </text>
    </comment>
    <comment ref="A2683" authorId="0" shapeId="0" xr:uid="{50D82396-3C0A-4EB2-800D-3E408EA1AC3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KKF7711-58 </t>
        </r>
      </text>
    </comment>
    <comment ref="A2684" authorId="0" shapeId="0" xr:uid="{6C7A2C75-E3E2-44AB-A92E-69FE1486E0E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KKF7711-58 </t>
        </r>
      </text>
    </comment>
    <comment ref="A2686" authorId="0" shapeId="0" xr:uid="{9991DC33-8F6E-4CCF-B713-2FF3E75E66A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KKF6111-58 </t>
        </r>
      </text>
    </comment>
    <comment ref="A2687" authorId="0" shapeId="0" xr:uid="{DE1FF180-B171-49A8-B69C-F0395C246D7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KKF6111-58 </t>
        </r>
      </text>
    </comment>
    <comment ref="A2939" authorId="0" shapeId="0" xr:uid="{D52E5E85-A9E2-4FCF-8741-D070ED07EBD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hand-cut (machine cut は品質不安定）</t>
        </r>
      </text>
    </comment>
    <comment ref="A2943" authorId="0" shapeId="0" xr:uid="{383309B9-DE97-4C01-9D3E-D2E2DBF96A0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hand-cut (machine cut は品質不安定）</t>
        </r>
      </text>
    </comment>
    <comment ref="F2958" authorId="0" shapeId="0" xr:uid="{F7FD178C-F1A6-47FB-A5C1-EC1C9B064CC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2026年2月1日以降出荷分（6か月間有効）は2280円/m (現行2230円/m)</t>
        </r>
      </text>
    </comment>
    <comment ref="F2959" authorId="0" shapeId="0" xr:uid="{6499CB90-C513-42B0-A00C-925DC2CB9E2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2026年2月1日以降出荷分（6か月間有効）は2280円/m (現行2230円/m)</t>
        </r>
      </text>
    </comment>
    <comment ref="A2964" authorId="0" shapeId="0" xr:uid="{3D88FC3E-980D-4107-94C1-0C8B649513FC}">
      <text>
        <r>
          <rPr>
            <b/>
            <sz val="9"/>
            <color indexed="81"/>
            <rFont val="MS P ゴシック"/>
            <family val="3"/>
            <charset val="128"/>
          </rPr>
          <t>chiba:
KKC626-W</t>
        </r>
      </text>
    </comment>
    <comment ref="A2965" authorId="0" shapeId="0" xr:uid="{453761BE-B097-4EFA-ACE8-CEBD993371F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KKC626-W</t>
        </r>
      </text>
    </comment>
    <comment ref="A3012" authorId="0" shapeId="0" xr:uid="{E330D54E-FD06-45F5-BA42-2A5A967150AE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 KKF4009-W </t>
        </r>
      </text>
    </comment>
    <comment ref="A3013" authorId="0" shapeId="0" xr:uid="{52625B30-BA4F-4AC6-B6E8-79D37454D26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 KKF4009-W </t>
        </r>
      </text>
    </comment>
    <comment ref="A3080" authorId="0" shapeId="0" xr:uid="{5E87B149-7DE4-4730-912A-DEA2F69B3AA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D#F3407
</t>
        </r>
      </text>
    </comment>
    <comment ref="A3081" authorId="0" shapeId="0" xr:uid="{24257EAC-8949-49C9-AE59-31A6AB6FDAE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D#F3407</t>
        </r>
      </text>
    </comment>
    <comment ref="A3091" authorId="0" shapeId="0" xr:uid="{F269A1E7-65A0-4B4C-8309-F97959FD5AF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KKF4037-58
</t>
        </r>
      </text>
    </comment>
    <comment ref="A3092" authorId="0" shapeId="0" xr:uid="{71828990-6938-4F3B-B584-556446A6747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KKF4004</t>
        </r>
      </text>
    </comment>
    <comment ref="A3093" authorId="0" shapeId="0" xr:uid="{8AC5E16C-0B10-46FB-B8F8-4C4A285DE4F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KKF4009-W
</t>
        </r>
      </text>
    </comment>
    <comment ref="A3094" authorId="0" shapeId="0" xr:uid="{EC544482-595F-4A31-8C10-E835C32EF4C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KKF1070-W
</t>
        </r>
      </text>
    </comment>
    <comment ref="A3095" authorId="0" shapeId="0" xr:uid="{620B1B87-8090-475A-9F77-EB36E4465A3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KKF8682ASY
</t>
        </r>
      </text>
    </comment>
    <comment ref="A3102" authorId="0" shapeId="0" xr:uid="{14C1107D-DB36-4DF8-8161-4B29B7991B2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KKF8682ASY
</t>
        </r>
      </text>
    </comment>
    <comment ref="A3103" authorId="0" shapeId="0" xr:uid="{C31F9ADE-47CB-4AE3-A69F-E00E805BE83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KKF1070-W
</t>
        </r>
      </text>
    </comment>
    <comment ref="A3104" authorId="0" shapeId="0" xr:uid="{C126F45E-3D68-4395-866B-76E6B63005C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KKF4004</t>
        </r>
      </text>
    </comment>
    <comment ref="B3151" authorId="1" shapeId="0" xr:uid="{36AC774C-4C49-4DD5-824F-9DFC0EED64B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D#F-3407
</t>
        </r>
      </text>
    </comment>
    <comment ref="B3152" authorId="1" shapeId="0" xr:uid="{87AFB13A-9A48-413F-9BC0-F5A85679008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D#F-3407
</t>
        </r>
      </text>
    </comment>
    <comment ref="B3155" authorId="1" shapeId="0" xr:uid="{1B59254F-695D-4061-9562-2FB11EEE631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KKF1192</t>
        </r>
      </text>
    </comment>
    <comment ref="G3171" authorId="2" shapeId="0" xr:uid="{10CFB896-DBB5-4F4D-A9BD-F4C0C3A8ADF6}">
      <text>
        <r>
          <rPr>
            <sz val="9"/>
            <color indexed="81"/>
            <rFont val="MS P ゴシック"/>
            <family val="3"/>
            <charset val="128"/>
          </rPr>
          <t xml:space="preserve">Bulk単価(輸出梱包代込み)
バルクプライス　\590/m (1,000m/color) </t>
        </r>
      </text>
    </comment>
    <comment ref="A3197" authorId="0" shapeId="0" xr:uid="{953649BA-B832-4CD7-9DEA-6194DF93146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KKF2660
</t>
        </r>
      </text>
    </comment>
    <comment ref="G3210" authorId="0" shapeId="0" xr:uid="{8B278DC1-72D4-447E-B060-6B70D240A19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通常単価50% : $0.85で提示
先方バルク数量ベースで$ 0.71/m でオファー</t>
        </r>
      </text>
    </comment>
    <comment ref="E3293" authorId="0" shapeId="0" xr:uid="{6D0D3187-90E5-4124-83C3-D44CF556F0B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2026年2月1日以降出荷分（6か月間有効）は2280円/m (現行2230円/m)</t>
        </r>
      </text>
    </comment>
    <comment ref="E3294" authorId="0" shapeId="0" xr:uid="{504B26DD-0D3D-404B-952E-C309581FDD0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2026年2月1日以降出荷分（6か月間有効）は2280円/m (現行2230円/m)</t>
        </r>
      </text>
    </comment>
    <comment ref="A3443" authorId="0" shapeId="0" xr:uid="{1C816B46-3507-48A3-A04B-0B1955F9744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KKF174-W
</t>
        </r>
      </text>
    </comment>
    <comment ref="A3444" authorId="0" shapeId="0" xr:uid="{DF2EFFC7-570E-4014-A907-80C78AF2753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KKF174-W</t>
        </r>
      </text>
    </comment>
    <comment ref="A3445" authorId="0" shapeId="0" xr:uid="{9E39427D-8729-475F-8464-DE0FDAB8B3B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KKF174-W</t>
        </r>
      </text>
    </comment>
    <comment ref="A3463" authorId="1" shapeId="0" xr:uid="{00609C27-E0DA-4CD4-8C56-30A46946F37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KKF174-W</t>
        </r>
      </text>
    </comment>
    <comment ref="D3468" authorId="0" shapeId="0" xr:uid="{CF430951-1357-4236-AA47-BEA0F0BBFB4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10 yds</t>
        </r>
      </text>
    </comment>
    <comment ref="E3468" authorId="0" shapeId="0" xr:uid="{A7C8B6D3-018C-43BA-BE8C-A601E497B16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US$ 4.83/yd
</t>
        </r>
      </text>
    </comment>
    <comment ref="D3469" authorId="0" shapeId="0" xr:uid="{B207A3F7-C508-4C60-B3E1-B7F99737855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18 yds</t>
        </r>
      </text>
    </comment>
    <comment ref="E3469" authorId="0" shapeId="0" xr:uid="{819BF455-8F5F-4880-AD24-C68BD35DEB1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US$ 4.83/yd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chiba</author>
  </authors>
  <commentList>
    <comment ref="H88" authorId="0" shapeId="0" xr:uid="{6D3EE1CB-C2A1-4312-8383-FA70FC315A8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 ￥ に合わせて計算</t>
        </r>
      </text>
    </comment>
    <comment ref="H89" authorId="0" shapeId="0" xr:uid="{28AD14D5-638E-4B49-AF04-DE6F538132C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 ￥ に合わせて計算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<sst xmlns="http://schemas.openxmlformats.org/spreadsheetml/2006/main" count="34289" uniqueCount="6607">
  <si>
    <t>ART. NO.</t>
    <phoneticPr fontId="3"/>
  </si>
  <si>
    <t>QTY</t>
    <phoneticPr fontId="3"/>
  </si>
  <si>
    <t>Put-up</t>
    <phoneticPr fontId="3"/>
  </si>
  <si>
    <t>SF-USA</t>
    <phoneticPr fontId="3"/>
  </si>
  <si>
    <t>(per roll)</t>
    <phoneticPr fontId="3"/>
  </si>
  <si>
    <t>(per meter)</t>
    <phoneticPr fontId="3"/>
  </si>
  <si>
    <t>T3500</t>
    <phoneticPr fontId="3"/>
  </si>
  <si>
    <t>2020A-WS</t>
    <phoneticPr fontId="3"/>
  </si>
  <si>
    <t>SF-USA</t>
  </si>
  <si>
    <t>M</t>
    <phoneticPr fontId="3"/>
  </si>
  <si>
    <t>100% Nylon Tulle</t>
    <phoneticPr fontId="3"/>
  </si>
  <si>
    <t xml:space="preserve">Trina Turk </t>
    <phoneticPr fontId="3"/>
  </si>
  <si>
    <t># 1 White</t>
    <phoneticPr fontId="3"/>
  </si>
  <si>
    <t># 9 Black</t>
    <phoneticPr fontId="3"/>
  </si>
  <si>
    <t>Handling Fee</t>
    <phoneticPr fontId="3"/>
  </si>
  <si>
    <t>TI-3500</t>
    <phoneticPr fontId="3"/>
  </si>
  <si>
    <t>12 x 12mm</t>
    <phoneticPr fontId="3"/>
  </si>
  <si>
    <t># 500 Black</t>
    <phoneticPr fontId="3"/>
  </si>
  <si>
    <t># 511 Burgundy</t>
    <phoneticPr fontId="3"/>
  </si>
  <si>
    <t>Stretch Binder Tape Polyester 90%, Polyurethane 10%</t>
    <phoneticPr fontId="3"/>
  </si>
  <si>
    <t>15 x 15mm</t>
    <phoneticPr fontId="3"/>
  </si>
  <si>
    <t>ES-FB002</t>
    <phoneticPr fontId="3"/>
  </si>
  <si>
    <t># 50 Black</t>
    <phoneticPr fontId="3"/>
  </si>
  <si>
    <t># 47 Indigo</t>
    <phoneticPr fontId="3"/>
  </si>
  <si>
    <t>20 x 20mm</t>
    <phoneticPr fontId="3"/>
  </si>
  <si>
    <t>Soft Suede Tape  Polyester-100%</t>
    <phoneticPr fontId="3"/>
  </si>
  <si>
    <t>Knit Binding Tape  Polyester-100%</t>
    <phoneticPr fontId="3"/>
  </si>
  <si>
    <t># 26</t>
    <phoneticPr fontId="3"/>
  </si>
  <si>
    <t># 31</t>
    <phoneticPr fontId="3"/>
  </si>
  <si>
    <t># 20</t>
    <phoneticPr fontId="3"/>
  </si>
  <si>
    <t>Binding Tape Wool 100%</t>
    <phoneticPr fontId="3"/>
  </si>
  <si>
    <t># 24 Black</t>
    <phoneticPr fontId="3"/>
  </si>
  <si>
    <t>Kint Binding Tape Wool 100%</t>
    <phoneticPr fontId="3"/>
  </si>
  <si>
    <t>KS9625</t>
    <phoneticPr fontId="3"/>
  </si>
  <si>
    <t># 43 Black</t>
    <phoneticPr fontId="3"/>
  </si>
  <si>
    <t>Size</t>
    <phoneticPr fontId="3"/>
  </si>
  <si>
    <t>Color</t>
    <phoneticPr fontId="3"/>
  </si>
  <si>
    <t>Qty</t>
    <phoneticPr fontId="3"/>
  </si>
  <si>
    <t>Trim Lace 100% Cotton</t>
    <phoneticPr fontId="3"/>
  </si>
  <si>
    <t>Mill's Black</t>
    <phoneticPr fontId="3"/>
  </si>
  <si>
    <t>KYL-24376</t>
    <phoneticPr fontId="3"/>
  </si>
  <si>
    <t>DTM Taupe</t>
    <phoneticPr fontId="3"/>
  </si>
  <si>
    <t>DTM Forest</t>
    <phoneticPr fontId="3"/>
  </si>
  <si>
    <t>KYL-24198</t>
    <phoneticPr fontId="3"/>
  </si>
  <si>
    <t>Dyeing fee</t>
    <phoneticPr fontId="3"/>
  </si>
  <si>
    <t>Price/M</t>
    <phoneticPr fontId="3"/>
  </si>
  <si>
    <t>品番</t>
    <rPh sb="0" eb="2">
      <t>ヒンバン</t>
    </rPh>
    <phoneticPr fontId="3"/>
  </si>
  <si>
    <t>ｻｲｽﾞ</t>
    <phoneticPr fontId="3"/>
  </si>
  <si>
    <t>色番</t>
    <rPh sb="0" eb="1">
      <t>イロ</t>
    </rPh>
    <rPh sb="1" eb="2">
      <t>バン</t>
    </rPh>
    <phoneticPr fontId="3"/>
  </si>
  <si>
    <t>仕立</t>
    <rPh sb="0" eb="2">
      <t>シタ</t>
    </rPh>
    <phoneticPr fontId="3"/>
  </si>
  <si>
    <t>数量</t>
    <rPh sb="0" eb="2">
      <t>スウリョウ</t>
    </rPh>
    <phoneticPr fontId="3"/>
  </si>
  <si>
    <t>貴社品番</t>
    <rPh sb="0" eb="2">
      <t>キシャ</t>
    </rPh>
    <rPh sb="2" eb="4">
      <t>ヒンバン</t>
    </rPh>
    <phoneticPr fontId="3"/>
  </si>
  <si>
    <t>単価/M</t>
    <rPh sb="0" eb="2">
      <t>タンカ</t>
    </rPh>
    <phoneticPr fontId="3"/>
  </si>
  <si>
    <t>金額</t>
    <rPh sb="0" eb="2">
      <t>キンガク</t>
    </rPh>
    <phoneticPr fontId="3"/>
  </si>
  <si>
    <t>在庫有無</t>
    <rPh sb="0" eb="2">
      <t>ザイコ</t>
    </rPh>
    <rPh sb="2" eb="4">
      <t>ウム</t>
    </rPh>
    <phoneticPr fontId="3"/>
  </si>
  <si>
    <t>納期</t>
    <rPh sb="0" eb="2">
      <t>ノウキ</t>
    </rPh>
    <phoneticPr fontId="3"/>
  </si>
  <si>
    <t>2 sets (USD100/col)</t>
    <phoneticPr fontId="3"/>
  </si>
  <si>
    <t>Cutting Fee</t>
    <phoneticPr fontId="3"/>
  </si>
  <si>
    <t>Mill's Off White</t>
    <phoneticPr fontId="3"/>
  </si>
  <si>
    <t>100% Polyester Fabric</t>
    <phoneticPr fontId="3"/>
  </si>
  <si>
    <t>T5000</t>
    <phoneticPr fontId="3"/>
  </si>
  <si>
    <t>Striped Grosgrain Ribbon 100% Nylon</t>
    <phoneticPr fontId="3"/>
  </si>
  <si>
    <t>KYL-T25340-19</t>
    <phoneticPr fontId="3"/>
  </si>
  <si>
    <t>Lace Trim</t>
    <phoneticPr fontId="3"/>
  </si>
  <si>
    <t>1 set</t>
    <phoneticPr fontId="3"/>
  </si>
  <si>
    <t>KYL-T25340-12</t>
    <phoneticPr fontId="3"/>
  </si>
  <si>
    <t xml:space="preserve">BCBG </t>
    <phoneticPr fontId="3"/>
  </si>
  <si>
    <t>Col.19</t>
    <phoneticPr fontId="3"/>
  </si>
  <si>
    <t>KYL-T8237-19</t>
    <phoneticPr fontId="3"/>
  </si>
  <si>
    <t>KYL-T25340</t>
    <phoneticPr fontId="3"/>
  </si>
  <si>
    <t>KYL-T23336-1</t>
    <phoneticPr fontId="3"/>
  </si>
  <si>
    <t>Dye 80</t>
    <phoneticPr fontId="3"/>
  </si>
  <si>
    <t>キャンセル</t>
    <phoneticPr fontId="3"/>
  </si>
  <si>
    <t>55348</t>
    <phoneticPr fontId="3"/>
  </si>
  <si>
    <t>55339</t>
    <phoneticPr fontId="3"/>
  </si>
  <si>
    <t xml:space="preserve"># 1 </t>
    <phoneticPr fontId="3"/>
  </si>
  <si>
    <t># 4</t>
    <phoneticPr fontId="3"/>
  </si>
  <si>
    <t># 6</t>
    <phoneticPr fontId="3"/>
  </si>
  <si>
    <t># 8</t>
    <phoneticPr fontId="3"/>
  </si>
  <si>
    <t># 1</t>
    <phoneticPr fontId="3"/>
  </si>
  <si>
    <t># 2</t>
    <phoneticPr fontId="3"/>
  </si>
  <si>
    <t xml:space="preserve">PO# </t>
    <phoneticPr fontId="3"/>
  </si>
  <si>
    <t>Art. #</t>
    <phoneticPr fontId="3"/>
  </si>
  <si>
    <t xml:space="preserve">Width </t>
    <phoneticPr fontId="3"/>
  </si>
  <si>
    <t xml:space="preserve">C/# </t>
    <phoneticPr fontId="3"/>
  </si>
  <si>
    <t>Price/m</t>
    <phoneticPr fontId="3"/>
  </si>
  <si>
    <t>137m</t>
    <phoneticPr fontId="3"/>
  </si>
  <si>
    <t>C/#</t>
    <phoneticPr fontId="3"/>
  </si>
  <si>
    <t>FOB JAPAN Price /m</t>
    <phoneticPr fontId="3"/>
  </si>
  <si>
    <t>535829</t>
    <phoneticPr fontId="3"/>
  </si>
  <si>
    <t xml:space="preserve"># 9 Black </t>
    <phoneticPr fontId="3"/>
  </si>
  <si>
    <t># 500</t>
    <phoneticPr fontId="3"/>
  </si>
  <si>
    <t># 118</t>
    <phoneticPr fontId="3"/>
  </si>
  <si>
    <t># 60</t>
    <phoneticPr fontId="3"/>
  </si>
  <si>
    <t># 429</t>
    <phoneticPr fontId="3"/>
  </si>
  <si>
    <t>Client</t>
    <phoneticPr fontId="3"/>
  </si>
  <si>
    <r>
      <t>5 sets</t>
    </r>
    <r>
      <rPr>
        <sz val="11"/>
        <rFont val="ＭＳ Ｐゴシック"/>
        <family val="3"/>
        <charset val="128"/>
      </rPr>
      <t>　</t>
    </r>
    <r>
      <rPr>
        <sz val="11"/>
        <rFont val="Arial"/>
        <family val="2"/>
      </rPr>
      <t xml:space="preserve">(US$12/cut ) </t>
    </r>
    <phoneticPr fontId="3"/>
  </si>
  <si>
    <t>KYL-T25282</t>
    <phoneticPr fontId="3"/>
  </si>
  <si>
    <t>Dye 30</t>
    <phoneticPr fontId="3"/>
  </si>
  <si>
    <t xml:space="preserve">Color </t>
    <phoneticPr fontId="3"/>
  </si>
  <si>
    <t xml:space="preserve">Mill's Off White </t>
    <phoneticPr fontId="3"/>
  </si>
  <si>
    <t>(per meter)</t>
  </si>
  <si>
    <t>(per set)</t>
    <phoneticPr fontId="3"/>
  </si>
  <si>
    <t xml:space="preserve">Trim Lace ( Fron Yarn : 100% Rayon / Back Yarn : 100% Cotton ) </t>
    <phoneticPr fontId="3"/>
  </si>
  <si>
    <t xml:space="preserve">KYL - 25372 </t>
    <phoneticPr fontId="3"/>
  </si>
  <si>
    <t xml:space="preserve">DTM Firecracker </t>
    <phoneticPr fontId="3"/>
  </si>
  <si>
    <t>DTM Indigo</t>
    <phoneticPr fontId="3"/>
  </si>
  <si>
    <t>Dyeing Fee</t>
    <phoneticPr fontId="3"/>
  </si>
  <si>
    <t xml:space="preserve">2 sets </t>
    <phoneticPr fontId="3"/>
  </si>
  <si>
    <t xml:space="preserve">Col.19 Mill's Black </t>
    <phoneticPr fontId="3"/>
  </si>
  <si>
    <t xml:space="preserve">Ready Date </t>
    <phoneticPr fontId="3"/>
  </si>
  <si>
    <t xml:space="preserve">in stock </t>
    <phoneticPr fontId="3"/>
  </si>
  <si>
    <t>サイズ</t>
    <phoneticPr fontId="3"/>
  </si>
  <si>
    <t>仕立て</t>
    <rPh sb="0" eb="2">
      <t>シタ</t>
    </rPh>
    <phoneticPr fontId="3"/>
  </si>
  <si>
    <t xml:space="preserve">KYL - T25340 </t>
    <phoneticPr fontId="3"/>
  </si>
  <si>
    <t>109.6m ( 8 rolls )</t>
    <phoneticPr fontId="3"/>
  </si>
  <si>
    <t>Total Qty</t>
    <phoneticPr fontId="3"/>
  </si>
  <si>
    <t>Roll Qty</t>
    <phoneticPr fontId="3"/>
  </si>
  <si>
    <t xml:space="preserve"># 5 Black </t>
    <phoneticPr fontId="3"/>
  </si>
  <si>
    <t xml:space="preserve">Insurance </t>
    <phoneticPr fontId="3"/>
  </si>
  <si>
    <t xml:space="preserve">Mill's Black </t>
    <phoneticPr fontId="3"/>
  </si>
  <si>
    <t xml:space="preserve">Customer </t>
    <phoneticPr fontId="3"/>
  </si>
  <si>
    <t># 62</t>
    <phoneticPr fontId="3"/>
  </si>
  <si>
    <t># 34</t>
    <phoneticPr fontId="3"/>
  </si>
  <si>
    <t># 5</t>
    <phoneticPr fontId="3"/>
  </si>
  <si>
    <t xml:space="preserve">3 sets </t>
    <phoneticPr fontId="3"/>
  </si>
  <si>
    <t xml:space="preserve">Gold </t>
    <phoneticPr fontId="3"/>
  </si>
  <si>
    <t>DTM Poppy</t>
    <phoneticPr fontId="3"/>
  </si>
  <si>
    <t xml:space="preserve">Black </t>
    <phoneticPr fontId="3"/>
  </si>
  <si>
    <t>単価</t>
    <rPh sb="0" eb="2">
      <t>タンカ</t>
    </rPh>
    <phoneticPr fontId="3"/>
  </si>
  <si>
    <t>Dye Fee</t>
    <phoneticPr fontId="3"/>
  </si>
  <si>
    <r>
      <rPr>
        <sz val="9"/>
        <rFont val="ＭＳ Ｐゴシック"/>
        <family val="3"/>
        <charset val="128"/>
      </rPr>
      <t>品番</t>
    </r>
    <r>
      <rPr>
        <sz val="9"/>
        <rFont val="Arial  "/>
        <family val="2"/>
      </rPr>
      <t>/Art.No.</t>
    </r>
    <rPh sb="0" eb="2">
      <t>ヒンバン</t>
    </rPh>
    <phoneticPr fontId="3"/>
  </si>
  <si>
    <r>
      <rPr>
        <sz val="9"/>
        <rFont val="ＭＳ Ｐゴシック"/>
        <family val="3"/>
        <charset val="128"/>
      </rPr>
      <t>巾</t>
    </r>
    <r>
      <rPr>
        <sz val="9"/>
        <rFont val="Arial  "/>
        <family val="2"/>
      </rPr>
      <t>/WIDTH</t>
    </r>
    <rPh sb="0" eb="1">
      <t>ハバ</t>
    </rPh>
    <phoneticPr fontId="3"/>
  </si>
  <si>
    <r>
      <rPr>
        <sz val="9"/>
        <rFont val="ＭＳ Ｐゴシック"/>
        <family val="3"/>
        <charset val="128"/>
      </rPr>
      <t>仕立</t>
    </r>
    <r>
      <rPr>
        <sz val="9"/>
        <rFont val="Arial  "/>
        <family val="2"/>
      </rPr>
      <t>/PUT-UP</t>
    </r>
    <rPh sb="0" eb="2">
      <t>シタテ</t>
    </rPh>
    <phoneticPr fontId="3"/>
  </si>
  <si>
    <r>
      <rPr>
        <sz val="9"/>
        <rFont val="ＭＳ Ｐゴシック"/>
        <family val="3"/>
        <charset val="128"/>
      </rPr>
      <t>仕入単価</t>
    </r>
    <rPh sb="0" eb="2">
      <t>シイレ</t>
    </rPh>
    <rPh sb="2" eb="4">
      <t>タンカ</t>
    </rPh>
    <phoneticPr fontId="3"/>
  </si>
  <si>
    <t xml:space="preserve">SIC-100     </t>
  </si>
  <si>
    <t xml:space="preserve">5     </t>
  </si>
  <si>
    <t xml:space="preserve">レーヨンペタシャムリボン        </t>
  </si>
  <si>
    <t xml:space="preserve">7     </t>
  </si>
  <si>
    <t xml:space="preserve">10    </t>
  </si>
  <si>
    <t xml:space="preserve">12    </t>
  </si>
  <si>
    <t xml:space="preserve">15    </t>
  </si>
  <si>
    <t xml:space="preserve">18    </t>
  </si>
  <si>
    <t xml:space="preserve">25    </t>
  </si>
  <si>
    <t xml:space="preserve">30    </t>
  </si>
  <si>
    <t xml:space="preserve">38    </t>
  </si>
  <si>
    <t xml:space="preserve">50    </t>
  </si>
  <si>
    <t xml:space="preserve">75    </t>
  </si>
  <si>
    <t xml:space="preserve">Status </t>
    <phoneticPr fontId="3"/>
  </si>
  <si>
    <t>Double Faced Velveteen Ribbon</t>
    <phoneticPr fontId="3"/>
  </si>
  <si>
    <t>FWL-24139</t>
    <phoneticPr fontId="3"/>
  </si>
  <si>
    <t># 22</t>
    <phoneticPr fontId="3"/>
  </si>
  <si>
    <t>KYL-3225-1</t>
    <phoneticPr fontId="3"/>
  </si>
  <si>
    <t xml:space="preserve"># 2 </t>
    <phoneticPr fontId="3"/>
  </si>
  <si>
    <t># 5</t>
  </si>
  <si>
    <t># 10</t>
  </si>
  <si>
    <t>Linen Chambray Tapes   Linen-100%</t>
    <phoneticPr fontId="3"/>
  </si>
  <si>
    <t># 18</t>
    <phoneticPr fontId="3"/>
  </si>
  <si>
    <t># 25</t>
    <phoneticPr fontId="3"/>
  </si>
  <si>
    <t># 55</t>
    <phoneticPr fontId="3"/>
  </si>
  <si>
    <t>Petersham Ribbon  Rayon-100%</t>
    <phoneticPr fontId="3"/>
  </si>
  <si>
    <t># 30</t>
    <phoneticPr fontId="3"/>
  </si>
  <si>
    <t xml:space="preserve">Natural </t>
    <phoneticPr fontId="3"/>
  </si>
  <si>
    <t>L</t>
    <phoneticPr fontId="3"/>
  </si>
  <si>
    <t># 999</t>
    <phoneticPr fontId="3"/>
  </si>
  <si>
    <t># 69</t>
    <phoneticPr fontId="3"/>
  </si>
  <si>
    <t>Ready Date</t>
    <phoneticPr fontId="3"/>
  </si>
  <si>
    <t xml:space="preserve">Dye fee </t>
    <phoneticPr fontId="3"/>
  </si>
  <si>
    <t xml:space="preserve">Total Amount </t>
    <phoneticPr fontId="3"/>
  </si>
  <si>
    <t>Width</t>
    <phoneticPr fontId="3"/>
  </si>
  <si>
    <t>KYL-25345</t>
    <phoneticPr fontId="3"/>
  </si>
  <si>
    <t xml:space="preserve">Size </t>
    <phoneticPr fontId="3"/>
  </si>
  <si>
    <t># 72</t>
    <phoneticPr fontId="3"/>
  </si>
  <si>
    <t xml:space="preserve">TOTAL </t>
    <phoneticPr fontId="3"/>
  </si>
  <si>
    <t>単価 /m</t>
    <rPh sb="0" eb="2">
      <t>タンカ</t>
    </rPh>
    <phoneticPr fontId="3"/>
  </si>
  <si>
    <t>KYL-25521</t>
    <phoneticPr fontId="3"/>
  </si>
  <si>
    <t xml:space="preserve"># 30 Black </t>
    <phoneticPr fontId="3"/>
  </si>
  <si>
    <t># 121</t>
    <phoneticPr fontId="3"/>
  </si>
  <si>
    <t># 53</t>
    <phoneticPr fontId="3"/>
  </si>
  <si>
    <t>Art. #</t>
  </si>
  <si>
    <t>Handling Fee</t>
  </si>
  <si>
    <t>1 set</t>
  </si>
  <si>
    <t># 24 Black</t>
  </si>
  <si>
    <t>Mill's Off White</t>
  </si>
  <si>
    <t xml:space="preserve"># 1 White </t>
    <phoneticPr fontId="3"/>
  </si>
  <si>
    <t xml:space="preserve"># 31 Black </t>
    <phoneticPr fontId="3"/>
  </si>
  <si>
    <t xml:space="preserve"> Mill's Off White</t>
    <phoneticPr fontId="3"/>
  </si>
  <si>
    <t># 01</t>
    <phoneticPr fontId="3"/>
  </si>
  <si>
    <t># 56</t>
    <phoneticPr fontId="3"/>
  </si>
  <si>
    <t>Dye 70</t>
    <phoneticPr fontId="3"/>
  </si>
  <si>
    <t>T3500C</t>
    <phoneticPr fontId="3"/>
  </si>
  <si>
    <t xml:space="preserve">Surcharge </t>
    <phoneticPr fontId="3"/>
  </si>
  <si>
    <t xml:space="preserve">DTM Black </t>
    <phoneticPr fontId="3"/>
  </si>
  <si>
    <t xml:space="preserve">DTM Midnight </t>
    <phoneticPr fontId="3"/>
  </si>
  <si>
    <r>
      <rPr>
        <b/>
        <sz val="11"/>
        <rFont val="ＭＳ Ｐゴシック"/>
        <family val="3"/>
        <charset val="128"/>
      </rPr>
      <t>単価</t>
    </r>
    <r>
      <rPr>
        <b/>
        <sz val="11"/>
        <rFont val="Arial"/>
        <family val="2"/>
      </rPr>
      <t>/m</t>
    </r>
    <rPh sb="0" eb="2">
      <t>タンカ</t>
    </rPh>
    <phoneticPr fontId="3"/>
  </si>
  <si>
    <t xml:space="preserve">6 sets </t>
    <phoneticPr fontId="3"/>
  </si>
  <si>
    <t>FWL-71469</t>
    <phoneticPr fontId="3"/>
  </si>
  <si>
    <t>KYL-8238-1</t>
    <phoneticPr fontId="3"/>
  </si>
  <si>
    <t>KYL-T23217-1</t>
    <phoneticPr fontId="3"/>
  </si>
  <si>
    <t>FWL-71057</t>
    <phoneticPr fontId="3"/>
  </si>
  <si>
    <t>Acrylic Cords  Acrylic-100%</t>
    <phoneticPr fontId="3"/>
  </si>
  <si>
    <t>単価/m</t>
    <rPh sb="0" eb="2">
      <t>タンカ</t>
    </rPh>
    <phoneticPr fontId="3"/>
  </si>
  <si>
    <t>運賃</t>
    <rPh sb="0" eb="2">
      <t>ウンチン</t>
    </rPh>
    <phoneticPr fontId="3"/>
  </si>
  <si>
    <t>DTM Ecru</t>
    <phoneticPr fontId="3"/>
  </si>
  <si>
    <t xml:space="preserve">Dye Fee </t>
    <phoneticPr fontId="3"/>
  </si>
  <si>
    <t>5600-FT</t>
    <phoneticPr fontId="3"/>
  </si>
  <si>
    <t>T4100</t>
    <phoneticPr fontId="3"/>
  </si>
  <si>
    <t>T3000</t>
    <phoneticPr fontId="3"/>
  </si>
  <si>
    <t xml:space="preserve"># SO </t>
    <phoneticPr fontId="3"/>
  </si>
  <si>
    <t>在庫状況</t>
    <rPh sb="0" eb="2">
      <t>ザイコ</t>
    </rPh>
    <rPh sb="2" eb="4">
      <t>ジョウキョウ</t>
    </rPh>
    <phoneticPr fontId="3"/>
  </si>
  <si>
    <t xml:space="preserve">In stock </t>
    <phoneticPr fontId="3"/>
  </si>
  <si>
    <t>KYL-875006GL6</t>
    <phoneticPr fontId="3"/>
  </si>
  <si>
    <t># SO Ivory</t>
    <phoneticPr fontId="3"/>
  </si>
  <si>
    <t>FWL-2133</t>
    <phoneticPr fontId="3"/>
  </si>
  <si>
    <t>PO#</t>
    <phoneticPr fontId="3"/>
  </si>
  <si>
    <t xml:space="preserve">Sub total </t>
    <phoneticPr fontId="3"/>
  </si>
  <si>
    <t>??</t>
    <phoneticPr fontId="3"/>
  </si>
  <si>
    <t xml:space="preserve"># 329 Ivory </t>
    <phoneticPr fontId="3"/>
  </si>
  <si>
    <t xml:space="preserve"># OF </t>
    <phoneticPr fontId="3"/>
  </si>
  <si>
    <t># 108</t>
    <phoneticPr fontId="3"/>
  </si>
  <si>
    <t># 127</t>
    <phoneticPr fontId="3"/>
  </si>
  <si>
    <t xml:space="preserve"># OF Off White </t>
    <phoneticPr fontId="3"/>
  </si>
  <si>
    <t xml:space="preserve">In Stock </t>
    <phoneticPr fontId="3"/>
  </si>
  <si>
    <t>9 x 9 mm</t>
    <phoneticPr fontId="3"/>
  </si>
  <si>
    <t xml:space="preserve">White </t>
    <phoneticPr fontId="3"/>
  </si>
  <si>
    <t>KYL-T8333-19</t>
    <phoneticPr fontId="3"/>
  </si>
  <si>
    <t xml:space="preserve">FOB JAPAN </t>
    <phoneticPr fontId="3"/>
  </si>
  <si>
    <t>Full Dull Satin Ribbon (Double Face)   Polyester-100%</t>
    <phoneticPr fontId="3"/>
  </si>
  <si>
    <t xml:space="preserve">100% Cotton Lace Trim  </t>
    <phoneticPr fontId="3"/>
  </si>
  <si>
    <t>KYL-8265-1</t>
    <phoneticPr fontId="3"/>
  </si>
  <si>
    <t xml:space="preserve">M size </t>
    <phoneticPr fontId="3"/>
  </si>
  <si>
    <t>Acrylic Cord with Cel Tip</t>
    <phoneticPr fontId="3"/>
  </si>
  <si>
    <t>(per piece)</t>
    <phoneticPr fontId="3"/>
  </si>
  <si>
    <t>長さ</t>
    <rPh sb="0" eb="1">
      <t>ナガ</t>
    </rPh>
    <phoneticPr fontId="3"/>
  </si>
  <si>
    <t>カラー</t>
    <phoneticPr fontId="3"/>
  </si>
  <si>
    <t xml:space="preserve">Art. # </t>
    <phoneticPr fontId="3"/>
  </si>
  <si>
    <t xml:space="preserve">Cutting Fee </t>
    <phoneticPr fontId="3"/>
  </si>
  <si>
    <t># 13</t>
    <phoneticPr fontId="3"/>
  </si>
  <si>
    <t>100% Polyester Tulle</t>
    <phoneticPr fontId="3"/>
  </si>
  <si>
    <t>T2120</t>
    <phoneticPr fontId="3"/>
  </si>
  <si>
    <t xml:space="preserve">Cord Length </t>
    <phoneticPr fontId="3"/>
  </si>
  <si>
    <t xml:space="preserve"># 30 Midnight </t>
    <phoneticPr fontId="3"/>
  </si>
  <si>
    <t>OP398</t>
    <phoneticPr fontId="3"/>
  </si>
  <si>
    <t># 16</t>
    <phoneticPr fontId="3"/>
  </si>
  <si>
    <t>Composition</t>
    <phoneticPr fontId="3"/>
  </si>
  <si>
    <t>Put-up</t>
  </si>
  <si>
    <t>EXW JAPAN</t>
    <phoneticPr fontId="3"/>
  </si>
  <si>
    <t>CO-RC3233</t>
    <phoneticPr fontId="3"/>
  </si>
  <si>
    <t>仕入単価</t>
    <rPh sb="0" eb="2">
      <t>シイレ</t>
    </rPh>
    <rPh sb="2" eb="4">
      <t>タンカ</t>
    </rPh>
    <phoneticPr fontId="3"/>
  </si>
  <si>
    <t xml:space="preserve">subtotal </t>
    <phoneticPr fontId="3"/>
  </si>
  <si>
    <t xml:space="preserve">International Freight </t>
    <phoneticPr fontId="3"/>
  </si>
  <si>
    <t xml:space="preserve">Collect </t>
    <phoneticPr fontId="3"/>
  </si>
  <si>
    <t xml:space="preserve">Charge </t>
    <phoneticPr fontId="3"/>
  </si>
  <si>
    <t>?</t>
    <phoneticPr fontId="3"/>
  </si>
  <si>
    <t># 46</t>
    <phoneticPr fontId="3"/>
  </si>
  <si>
    <t># 60 Navy</t>
    <phoneticPr fontId="3"/>
  </si>
  <si>
    <t># 3 Red</t>
    <phoneticPr fontId="3"/>
  </si>
  <si>
    <t>5603 with Cel Tip</t>
    <phoneticPr fontId="3"/>
  </si>
  <si>
    <t xml:space="preserve">Cord x Tip </t>
    <phoneticPr fontId="3"/>
  </si>
  <si>
    <t>KYL-23419</t>
    <phoneticPr fontId="3"/>
  </si>
  <si>
    <t>Art. No.</t>
    <phoneticPr fontId="3"/>
  </si>
  <si>
    <t>Art No.</t>
    <phoneticPr fontId="3"/>
  </si>
  <si>
    <t>Note</t>
    <phoneticPr fontId="3"/>
  </si>
  <si>
    <t>無償サンプル</t>
    <rPh sb="0" eb="2">
      <t>ムショウ</t>
    </rPh>
    <phoneticPr fontId="3"/>
  </si>
  <si>
    <t xml:space="preserve">Prepaid 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</si>
  <si>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+ dye fee</t>
    </r>
    <phoneticPr fontId="3"/>
  </si>
  <si>
    <t xml:space="preserve">Art.# </t>
    <phoneticPr fontId="3"/>
  </si>
  <si>
    <t xml:space="preserve"># 27 </t>
    <phoneticPr fontId="3"/>
  </si>
  <si>
    <r>
      <t>2021 June 1st -</t>
    </r>
    <r>
      <rPr>
        <b/>
        <sz val="10"/>
        <color indexed="10"/>
        <rFont val="ＭＳ Ｐゴシック"/>
        <family val="3"/>
        <charset val="128"/>
      </rPr>
      <t>　レート</t>
    </r>
    <r>
      <rPr>
        <b/>
        <sz val="10"/>
        <color indexed="10"/>
        <rFont val="Arial"/>
        <family val="2"/>
      </rPr>
      <t>90</t>
    </r>
    <phoneticPr fontId="3"/>
  </si>
  <si>
    <t xml:space="preserve">100% Recycled Polyester Yarn used </t>
    <phoneticPr fontId="3"/>
  </si>
  <si>
    <t>Roll Qty</t>
  </si>
  <si>
    <t>Total Qty</t>
  </si>
  <si>
    <t xml:space="preserve">L/T </t>
    <phoneticPr fontId="3"/>
  </si>
  <si>
    <t>PFD</t>
    <phoneticPr fontId="3"/>
  </si>
  <si>
    <t xml:space="preserve"># 01 Ivory </t>
    <phoneticPr fontId="3"/>
  </si>
  <si>
    <t>白メンコ</t>
    <rPh sb="0" eb="1">
      <t>シロ</t>
    </rPh>
    <phoneticPr fontId="3"/>
  </si>
  <si>
    <t>大阪負担</t>
    <rPh sb="0" eb="2">
      <t>オオサカ</t>
    </rPh>
    <rPh sb="2" eb="4">
      <t>フタン</t>
    </rPh>
    <phoneticPr fontId="3"/>
  </si>
  <si>
    <t xml:space="preserve"># 0 Off White </t>
    <phoneticPr fontId="3"/>
  </si>
  <si>
    <t>10 mm</t>
  </si>
  <si>
    <t>Color</t>
  </si>
  <si>
    <t>KYL-8331-1</t>
    <phoneticPr fontId="3"/>
  </si>
  <si>
    <t>KYL-2529-1</t>
    <phoneticPr fontId="3"/>
  </si>
  <si>
    <t xml:space="preserve">MOQ / col for standard colors </t>
    <phoneticPr fontId="3"/>
  </si>
  <si>
    <t xml:space="preserve"># 84NT Black </t>
    <phoneticPr fontId="3"/>
  </si>
  <si>
    <t>Sample Cut</t>
    <phoneticPr fontId="3"/>
  </si>
  <si>
    <t># 12</t>
    <phoneticPr fontId="3"/>
  </si>
  <si>
    <t># 02</t>
    <phoneticPr fontId="3"/>
  </si>
  <si>
    <t>TI-1026SD</t>
    <phoneticPr fontId="3"/>
  </si>
  <si>
    <t>1 roll</t>
  </si>
  <si>
    <t>EXW (JAPAN) / m</t>
    <phoneticPr fontId="3"/>
  </si>
  <si>
    <t>カテ</t>
    <phoneticPr fontId="3"/>
  </si>
  <si>
    <t xml:space="preserve">INV# </t>
    <phoneticPr fontId="3"/>
  </si>
  <si>
    <t>仕入数量</t>
    <rPh sb="0" eb="2">
      <t>シイレ</t>
    </rPh>
    <rPh sb="2" eb="4">
      <t>スウリョウ</t>
    </rPh>
    <phoneticPr fontId="3"/>
  </si>
  <si>
    <r>
      <t xml:space="preserve">Osaka </t>
    </r>
    <r>
      <rPr>
        <b/>
        <sz val="12"/>
        <rFont val="ＭＳ Ｐゴシック"/>
        <family val="3"/>
        <charset val="128"/>
      </rPr>
      <t>→</t>
    </r>
    <r>
      <rPr>
        <b/>
        <sz val="12"/>
        <rFont val="Arial"/>
        <family val="2"/>
      </rPr>
      <t>NY</t>
    </r>
    <phoneticPr fontId="3"/>
  </si>
  <si>
    <t>備考欄</t>
    <rPh sb="0" eb="2">
      <t>ビコウ</t>
    </rPh>
    <rPh sb="2" eb="3">
      <t>ラン</t>
    </rPh>
    <phoneticPr fontId="3"/>
  </si>
  <si>
    <t>適用為替レート</t>
    <rPh sb="0" eb="2">
      <t>テキヨウ</t>
    </rPh>
    <rPh sb="2" eb="4">
      <t>カワセ</t>
    </rPh>
    <phoneticPr fontId="3"/>
  </si>
  <si>
    <t>カテゴリ</t>
    <phoneticPr fontId="3"/>
  </si>
  <si>
    <t>項目</t>
    <rPh sb="0" eb="2">
      <t>コウモク</t>
    </rPh>
    <phoneticPr fontId="3"/>
  </si>
  <si>
    <t>大阪→NY</t>
    <rPh sb="0" eb="2">
      <t>オオサカ</t>
    </rPh>
    <phoneticPr fontId="3"/>
  </si>
  <si>
    <t>NY→顧客</t>
    <rPh sb="3" eb="5">
      <t>コキャク</t>
    </rPh>
    <phoneticPr fontId="3"/>
  </si>
  <si>
    <t>a</t>
    <phoneticPr fontId="3"/>
  </si>
  <si>
    <t>Trim</t>
    <phoneticPr fontId="3"/>
  </si>
  <si>
    <t>b</t>
    <phoneticPr fontId="3"/>
  </si>
  <si>
    <t>Fabric</t>
    <phoneticPr fontId="3"/>
  </si>
  <si>
    <t>c</t>
    <phoneticPr fontId="3"/>
  </si>
  <si>
    <t>d</t>
    <phoneticPr fontId="3"/>
  </si>
  <si>
    <t>e</t>
    <phoneticPr fontId="3"/>
  </si>
  <si>
    <t>Other (Dye/set-up)</t>
    <phoneticPr fontId="3"/>
  </si>
  <si>
    <t>KYL-23551</t>
    <phoneticPr fontId="3"/>
  </si>
  <si>
    <t>Ready/Ship Date</t>
    <phoneticPr fontId="3"/>
  </si>
  <si>
    <t>　</t>
    <phoneticPr fontId="3"/>
  </si>
  <si>
    <t xml:space="preserve">S size </t>
    <phoneticPr fontId="3"/>
  </si>
  <si>
    <t xml:space="preserve">DTM Navy </t>
    <phoneticPr fontId="3"/>
  </si>
  <si>
    <t xml:space="preserve">Qty </t>
    <phoneticPr fontId="3"/>
  </si>
  <si>
    <t>6120-FT</t>
    <phoneticPr fontId="3"/>
  </si>
  <si>
    <t xml:space="preserve">Checking </t>
    <phoneticPr fontId="3"/>
  </si>
  <si>
    <t xml:space="preserve">Handling Fee (Inland Freight Charge in Japan) </t>
    <phoneticPr fontId="3"/>
  </si>
  <si>
    <t xml:space="preserve"># 9 </t>
    <phoneticPr fontId="3"/>
  </si>
  <si>
    <t xml:space="preserve"># 305 Sky Blue </t>
    <phoneticPr fontId="3"/>
  </si>
  <si>
    <t># 17</t>
    <phoneticPr fontId="3"/>
  </si>
  <si>
    <t xml:space="preserve">Shipping date </t>
    <phoneticPr fontId="3"/>
  </si>
  <si>
    <t>COO</t>
    <phoneticPr fontId="3"/>
  </si>
  <si>
    <t>CHINA</t>
    <phoneticPr fontId="3"/>
  </si>
  <si>
    <t>JAPAN</t>
    <phoneticPr fontId="3"/>
  </si>
  <si>
    <t>International Freight</t>
    <phoneticPr fontId="3"/>
  </si>
  <si>
    <r>
      <rPr>
        <b/>
        <sz val="12"/>
        <color indexed="14"/>
        <rFont val="Arial"/>
        <family val="2"/>
      </rPr>
      <t>UPS Insurance</t>
    </r>
    <r>
      <rPr>
        <b/>
        <sz val="12"/>
        <rFont val="Arial"/>
        <family val="2"/>
      </rPr>
      <t xml:space="preserve"> </t>
    </r>
    <phoneticPr fontId="3"/>
  </si>
  <si>
    <t xml:space="preserve">Herringbone Tape   Polyester-100%  </t>
    <phoneticPr fontId="3"/>
  </si>
  <si>
    <t>Article</t>
    <phoneticPr fontId="3"/>
  </si>
  <si>
    <t xml:space="preserve"># 24 Black </t>
    <phoneticPr fontId="3"/>
  </si>
  <si>
    <t>TI-3000N</t>
    <phoneticPr fontId="3"/>
  </si>
  <si>
    <t>貿易単価↓</t>
    <rPh sb="0" eb="2">
      <t>ボウエキ</t>
    </rPh>
    <rPh sb="2" eb="4">
      <t>タンカ</t>
    </rPh>
    <phoneticPr fontId="3"/>
  </si>
  <si>
    <t xml:space="preserve">Put-up / roll </t>
    <phoneticPr fontId="3"/>
  </si>
  <si>
    <t>KYL-T8333-1</t>
    <phoneticPr fontId="3"/>
  </si>
  <si>
    <t>12701</t>
    <phoneticPr fontId="3"/>
  </si>
  <si>
    <t>Velvet Ribbon</t>
    <phoneticPr fontId="3"/>
  </si>
  <si>
    <t>Rayon-70%/Nylon-30%</t>
    <phoneticPr fontId="3"/>
  </si>
  <si>
    <t>11700</t>
    <phoneticPr fontId="3"/>
  </si>
  <si>
    <t>Rayon-89%/Nylon-11%</t>
    <phoneticPr fontId="3"/>
  </si>
  <si>
    <t>CIF</t>
    <phoneticPr fontId="3"/>
  </si>
  <si>
    <t>600m</t>
  </si>
  <si>
    <t xml:space="preserve"># 329 </t>
    <phoneticPr fontId="3"/>
  </si>
  <si>
    <t>Bank Charge</t>
    <phoneticPr fontId="3"/>
  </si>
  <si>
    <t xml:space="preserve">EXW JAPAN /m
</t>
    <phoneticPr fontId="3"/>
  </si>
  <si>
    <t>155×50</t>
  </si>
  <si>
    <t>Up to 20m</t>
    <phoneticPr fontId="3"/>
  </si>
  <si>
    <t>2020A-WS</t>
  </si>
  <si>
    <t>NN007-CSP</t>
  </si>
  <si>
    <t>反数</t>
    <rPh sb="0" eb="2">
      <t>タンスウ</t>
    </rPh>
    <phoneticPr fontId="3"/>
  </si>
  <si>
    <t>合計数量</t>
    <rPh sb="0" eb="2">
      <t>ゴウケイ</t>
    </rPh>
    <rPh sb="2" eb="4">
      <t>スウリョウ</t>
    </rPh>
    <phoneticPr fontId="3"/>
  </si>
  <si>
    <t xml:space="preserve">JAPAN </t>
    <phoneticPr fontId="3"/>
  </si>
  <si>
    <t># 0</t>
    <phoneticPr fontId="3"/>
  </si>
  <si>
    <t>L size</t>
    <phoneticPr fontId="3"/>
  </si>
  <si>
    <t xml:space="preserve">100% Polyester Fabric </t>
    <phoneticPr fontId="3"/>
  </si>
  <si>
    <t># OF</t>
    <phoneticPr fontId="3"/>
  </si>
  <si>
    <t>Double Faced Velveteen Ribbon   Rayon-89%/Nylon-11%</t>
    <phoneticPr fontId="3"/>
  </si>
  <si>
    <t xml:space="preserve"> </t>
    <phoneticPr fontId="3"/>
  </si>
  <si>
    <r>
      <t xml:space="preserve">SIZE
</t>
    </r>
    <r>
      <rPr>
        <b/>
        <sz val="10"/>
        <rFont val="ＭＳ Ｐゴシック"/>
        <family val="3"/>
        <charset val="128"/>
      </rPr>
      <t>（</t>
    </r>
    <r>
      <rPr>
        <b/>
        <sz val="10"/>
        <rFont val="arial    "/>
        <family val="2"/>
      </rPr>
      <t>cm×m</t>
    </r>
    <r>
      <rPr>
        <b/>
        <sz val="10"/>
        <rFont val="ＭＳ Ｐゴシック"/>
        <family val="3"/>
        <charset val="128"/>
      </rPr>
      <t>）</t>
    </r>
    <phoneticPr fontId="3"/>
  </si>
  <si>
    <r>
      <t>POLYESTER 100</t>
    </r>
    <r>
      <rPr>
        <sz val="10"/>
        <color indexed="8"/>
        <rFont val="ＭＳ Ｐゴシック"/>
        <family val="3"/>
        <charset val="128"/>
      </rPr>
      <t>％</t>
    </r>
  </si>
  <si>
    <t xml:space="preserve">Lace Trim  100% Cotton </t>
    <phoneticPr fontId="3"/>
  </si>
  <si>
    <t>SS size</t>
    <phoneticPr fontId="3"/>
  </si>
  <si>
    <t xml:space="preserve">PI# </t>
    <phoneticPr fontId="3"/>
  </si>
  <si>
    <t>Velvet Ribbon  Cotton-62%/Nylon-38%</t>
    <phoneticPr fontId="3"/>
  </si>
  <si>
    <t>在庫</t>
    <rPh sb="0" eb="2">
      <t>ザイコ</t>
    </rPh>
    <phoneticPr fontId="3"/>
  </si>
  <si>
    <t xml:space="preserve">Handling Fee (Inland Freight Charge in Japan) </t>
  </si>
  <si>
    <t>Striped Grosgrain Ribbon</t>
    <phoneticPr fontId="3"/>
  </si>
  <si>
    <t>EXW JAPAN 
USD/m</t>
    <phoneticPr fontId="3"/>
  </si>
  <si>
    <t>T2023-CSP</t>
  </si>
  <si>
    <t>148×50</t>
  </si>
  <si>
    <t>NN007-SP</t>
  </si>
  <si>
    <t># 130</t>
    <phoneticPr fontId="3"/>
  </si>
  <si>
    <t>Dye fee</t>
    <phoneticPr fontId="3"/>
  </si>
  <si>
    <t>Width</t>
  </si>
  <si>
    <t>6mm</t>
    <phoneticPr fontId="3"/>
  </si>
  <si>
    <t>15mm</t>
    <phoneticPr fontId="3"/>
  </si>
  <si>
    <t>Charge</t>
    <phoneticPr fontId="3"/>
  </si>
  <si>
    <t>Composition</t>
  </si>
  <si>
    <t>Trim Lace 100% Nylon</t>
    <phoneticPr fontId="3"/>
  </si>
  <si>
    <t>China</t>
    <phoneticPr fontId="3"/>
  </si>
  <si>
    <t>112/115cm</t>
    <phoneticPr fontId="3"/>
  </si>
  <si>
    <t>Black</t>
  </si>
  <si>
    <t># 329</t>
    <phoneticPr fontId="3"/>
  </si>
  <si>
    <t>Commercial Invoice</t>
    <phoneticPr fontId="53"/>
  </si>
  <si>
    <t>No.</t>
    <phoneticPr fontId="53"/>
  </si>
  <si>
    <t>Issued Office</t>
    <phoneticPr fontId="53"/>
  </si>
  <si>
    <t>Invoice Date</t>
    <phoneticPr fontId="53"/>
  </si>
  <si>
    <t>Consignee:</t>
    <phoneticPr fontId="53"/>
  </si>
  <si>
    <t>L/C No.</t>
    <phoneticPr fontId="53"/>
  </si>
  <si>
    <t>Dated</t>
    <phoneticPr fontId="53"/>
  </si>
  <si>
    <t>Expiry Date</t>
    <phoneticPr fontId="53"/>
  </si>
  <si>
    <t>Issuing Bank</t>
    <phoneticPr fontId="53"/>
  </si>
  <si>
    <t>Bank Information</t>
    <phoneticPr fontId="53"/>
  </si>
  <si>
    <t>Name</t>
    <phoneticPr fontId="53"/>
  </si>
  <si>
    <t>Sold to:</t>
    <phoneticPr fontId="53"/>
  </si>
  <si>
    <t>Address</t>
    <phoneticPr fontId="53"/>
  </si>
  <si>
    <t>SWIFT Code</t>
    <phoneticPr fontId="53"/>
  </si>
  <si>
    <t>Account#</t>
    <phoneticPr fontId="53"/>
  </si>
  <si>
    <t>Terms/Method of Payment</t>
    <phoneticPr fontId="53"/>
  </si>
  <si>
    <t>Shipping Method/Vessel</t>
    <phoneticPr fontId="53"/>
  </si>
  <si>
    <t>Port of Loading</t>
    <phoneticPr fontId="53"/>
  </si>
  <si>
    <t>Sailing on or about</t>
    <phoneticPr fontId="53"/>
  </si>
  <si>
    <t>Port of Discharge</t>
    <phoneticPr fontId="53"/>
  </si>
  <si>
    <t>Place of Delivery</t>
    <phoneticPr fontId="53"/>
  </si>
  <si>
    <t>Final Destination</t>
    <phoneticPr fontId="53"/>
  </si>
  <si>
    <t>Inco-Terms</t>
    <phoneticPr fontId="53"/>
  </si>
  <si>
    <t>Quantity</t>
    <phoneticPr fontId="53"/>
  </si>
  <si>
    <t>Unit Price</t>
    <phoneticPr fontId="53"/>
  </si>
  <si>
    <t>Amount</t>
    <phoneticPr fontId="53"/>
  </si>
  <si>
    <t>Order No.</t>
    <phoneticPr fontId="53"/>
  </si>
  <si>
    <t>Put-Up</t>
    <phoneticPr fontId="53"/>
  </si>
  <si>
    <t>Roll</t>
    <phoneticPr fontId="53"/>
  </si>
  <si>
    <t>Total</t>
    <phoneticPr fontId="53"/>
  </si>
  <si>
    <t>Sub total</t>
    <phoneticPr fontId="53"/>
  </si>
  <si>
    <t>Grand total</t>
    <phoneticPr fontId="53"/>
  </si>
  <si>
    <r>
      <rPr>
        <b/>
        <sz val="12"/>
        <color indexed="8"/>
        <rFont val="Times New Roman"/>
        <family val="1"/>
      </rPr>
      <t>SUN FASHION AMERICA, INC.</t>
    </r>
    <r>
      <rPr>
        <sz val="10"/>
        <color indexed="8"/>
        <rFont val="Times New Roman"/>
        <family val="1"/>
      </rPr>
      <t xml:space="preserve">
265 West 37th Street 7th Floor
New York, NY 10018, U.S.A.
TEL: 1-845-633-2132
&lt;Shipper: Sun Fashion Corp. in Japan&gt;</t>
    </r>
    <phoneticPr fontId="3"/>
  </si>
  <si>
    <t>Osaka</t>
    <phoneticPr fontId="3"/>
  </si>
  <si>
    <t>New York</t>
    <phoneticPr fontId="3"/>
  </si>
  <si>
    <t>N/A</t>
  </si>
  <si>
    <t>N/A</t>
    <phoneticPr fontId="53"/>
  </si>
  <si>
    <t>401 West 42nd St. New York NY 10036</t>
    <phoneticPr fontId="53"/>
  </si>
  <si>
    <t>CITIUS33</t>
    <phoneticPr fontId="53"/>
  </si>
  <si>
    <t>6877846069              </t>
    <phoneticPr fontId="53"/>
  </si>
  <si>
    <t>Routing#</t>
    <phoneticPr fontId="3"/>
  </si>
  <si>
    <t>021000089  </t>
    <phoneticPr fontId="3"/>
  </si>
  <si>
    <t>Beneficiary</t>
    <phoneticPr fontId="3"/>
  </si>
  <si>
    <t>Sun Fashion America, Inc        </t>
    <phoneticPr fontId="53"/>
  </si>
  <si>
    <t>Citibank</t>
    <phoneticPr fontId="3"/>
  </si>
  <si>
    <t xml:space="preserve"> By T/T or Check</t>
    <phoneticPr fontId="3"/>
  </si>
  <si>
    <t>Invoice No.</t>
    <phoneticPr fontId="3"/>
  </si>
  <si>
    <t>Customer Name</t>
    <phoneticPr fontId="3"/>
  </si>
  <si>
    <t>　</t>
  </si>
  <si>
    <t>Item</t>
    <phoneticPr fontId="53"/>
  </si>
  <si>
    <t>Other charge</t>
    <phoneticPr fontId="53"/>
  </si>
  <si>
    <t>Customer Reference No.</t>
    <phoneticPr fontId="53"/>
  </si>
  <si>
    <t>(SELECT)</t>
  </si>
  <si>
    <t>Courier Ref. No.</t>
    <phoneticPr fontId="3"/>
  </si>
  <si>
    <t>Note:</t>
    <phoneticPr fontId="53"/>
  </si>
  <si>
    <t>#</t>
    <phoneticPr fontId="3"/>
  </si>
  <si>
    <t>[Shipper Information]</t>
    <phoneticPr fontId="3"/>
  </si>
  <si>
    <t>Sun Fashion Corp.</t>
    <phoneticPr fontId="3"/>
  </si>
  <si>
    <t>21-10 Fukushima 8 Chome, Fukushima-Ku,</t>
    <phoneticPr fontId="3"/>
  </si>
  <si>
    <t>OSAKA 553-0003, JAPAN</t>
    <phoneticPr fontId="3"/>
  </si>
  <si>
    <t>TEL: +81 6-6455-2850</t>
    <phoneticPr fontId="3"/>
  </si>
  <si>
    <t>[Packing Details]</t>
    <phoneticPr fontId="3"/>
  </si>
  <si>
    <t>Size:</t>
    <phoneticPr fontId="3"/>
  </si>
  <si>
    <t>Gross Weight:</t>
    <phoneticPr fontId="3"/>
  </si>
  <si>
    <t>SUN FASHION AMERICA, INC.</t>
    <phoneticPr fontId="53"/>
  </si>
  <si>
    <t>Mie Kobayashi</t>
    <phoneticPr fontId="3"/>
  </si>
  <si>
    <t>Order No.</t>
    <phoneticPr fontId="3"/>
  </si>
  <si>
    <t>Put-Up</t>
    <phoneticPr fontId="3"/>
  </si>
  <si>
    <t>Roll</t>
    <phoneticPr fontId="3"/>
  </si>
  <si>
    <t>Total</t>
    <phoneticPr fontId="3"/>
  </si>
  <si>
    <t>Unit Price</t>
    <phoneticPr fontId="3"/>
  </si>
  <si>
    <t>Amount</t>
    <phoneticPr fontId="3"/>
  </si>
  <si>
    <t>Port of Discharge</t>
    <phoneticPr fontId="3"/>
  </si>
  <si>
    <t>Shipping Method/Vessel#</t>
    <phoneticPr fontId="3"/>
  </si>
  <si>
    <t>Port of Loading</t>
    <phoneticPr fontId="3"/>
  </si>
  <si>
    <t>Place of Delivery</t>
    <phoneticPr fontId="3"/>
  </si>
  <si>
    <t>Sailing on or about</t>
    <phoneticPr fontId="3"/>
  </si>
  <si>
    <t>Final Destination</t>
    <phoneticPr fontId="3"/>
  </si>
  <si>
    <t>Customer Reference</t>
    <phoneticPr fontId="3"/>
  </si>
  <si>
    <t>Inco-Terms</t>
    <phoneticPr fontId="3"/>
  </si>
  <si>
    <t>Sold to:</t>
    <phoneticPr fontId="3"/>
  </si>
  <si>
    <t>Consignee</t>
    <phoneticPr fontId="3"/>
  </si>
  <si>
    <t>Terms/Method of Payment</t>
    <phoneticPr fontId="3"/>
  </si>
  <si>
    <t>Bank Information</t>
    <phoneticPr fontId="3"/>
  </si>
  <si>
    <t>Name</t>
    <phoneticPr fontId="3"/>
  </si>
  <si>
    <t>Address</t>
    <phoneticPr fontId="3"/>
  </si>
  <si>
    <t>SWIFT Code</t>
    <phoneticPr fontId="3"/>
  </si>
  <si>
    <t>LC No.</t>
    <phoneticPr fontId="3"/>
  </si>
  <si>
    <t>Expiry Date</t>
    <phoneticPr fontId="3"/>
  </si>
  <si>
    <t>Issuing Bank</t>
    <phoneticPr fontId="3"/>
  </si>
  <si>
    <t>Dated</t>
    <phoneticPr fontId="3"/>
  </si>
  <si>
    <t>Routing No.</t>
    <phoneticPr fontId="3"/>
  </si>
  <si>
    <t>Account No.</t>
    <phoneticPr fontId="3"/>
  </si>
  <si>
    <t>No.</t>
    <phoneticPr fontId="3"/>
  </si>
  <si>
    <t>Issued Office</t>
    <phoneticPr fontId="3"/>
  </si>
  <si>
    <t>Issued Date</t>
    <phoneticPr fontId="3"/>
  </si>
  <si>
    <t>Commercial Invoice</t>
    <phoneticPr fontId="3"/>
  </si>
  <si>
    <t>401 West 42nd St. New York NY 10036</t>
    <phoneticPr fontId="3"/>
  </si>
  <si>
    <t>CITIUS33</t>
    <phoneticPr fontId="3"/>
  </si>
  <si>
    <t>Courier Ref.</t>
    <phoneticPr fontId="3"/>
  </si>
  <si>
    <t>Description of Goods</t>
    <phoneticPr fontId="3"/>
  </si>
  <si>
    <t>Quantity</t>
    <phoneticPr fontId="3"/>
  </si>
  <si>
    <t>Grand Total</t>
    <phoneticPr fontId="3"/>
  </si>
  <si>
    <t>[Packing Details]</t>
  </si>
  <si>
    <t>Size:</t>
  </si>
  <si>
    <t xml:space="preserve">      OSAKA</t>
    <phoneticPr fontId="3"/>
  </si>
  <si>
    <t>Type:</t>
    <phoneticPr fontId="3"/>
  </si>
  <si>
    <t>3.1 PHILLIP LIM, LLC</t>
  </si>
  <si>
    <t>Rm 702 7/F, New Tech Plaza</t>
  </si>
  <si>
    <t>ALC &amp; CO LLC</t>
  </si>
  <si>
    <t>818 S Broadway Suite 400</t>
  </si>
  <si>
    <t>U.S.A.</t>
  </si>
  <si>
    <t>Jade</t>
  </si>
  <si>
    <t>ALEXANDER WANG</t>
  </si>
  <si>
    <t>386 Broadway 6th Floor</t>
  </si>
  <si>
    <t>Tel: 212-532-3103</t>
  </si>
  <si>
    <t>Alexandra Grecco</t>
  </si>
  <si>
    <t>265 West 37th St. 5FL</t>
  </si>
  <si>
    <t>LEIGH REILLY</t>
  </si>
  <si>
    <t>Alexis Monsanto Atelier</t>
  </si>
  <si>
    <t>8281 Melrose Ave. suite 206</t>
  </si>
  <si>
    <t>Alexis Monsanto</t>
  </si>
  <si>
    <t>ALIX NYC</t>
  </si>
  <si>
    <t>209 W38TH ST SUITE 312</t>
  </si>
  <si>
    <t>Tim and Grace</t>
  </si>
  <si>
    <t>AMANDA JAMES DESIGN GROUP LLC</t>
  </si>
  <si>
    <t>2050 N Stemmons FWY # 15149</t>
  </si>
  <si>
    <t>Tel: 424.501.5381</t>
  </si>
  <si>
    <t>Amsale Aberra, L.L.C.</t>
  </si>
  <si>
    <t>318 West 39th Street, 12th Flr</t>
  </si>
  <si>
    <t>Sylvia</t>
  </si>
  <si>
    <t>Anahit's Studio, LLC</t>
  </si>
  <si>
    <t>112 WWST 9th St. SuitE 909 ,</t>
  </si>
  <si>
    <t>Anahit Jackson</t>
  </si>
  <si>
    <t>ANKASA LTD / Sachin &amp; Babi</t>
  </si>
  <si>
    <t>132 West 36th Street, 9th Floor</t>
  </si>
  <si>
    <t>Tel: (212) 575-1994</t>
  </si>
  <si>
    <t>ARE YOU AM I</t>
  </si>
  <si>
    <t>1024 SANTEE ST. SUITE 300</t>
  </si>
  <si>
    <t>Tel: 213.689.5088</t>
  </si>
  <si>
    <t>Artsline Company</t>
  </si>
  <si>
    <t>A2, 11/F, Phase 2, Hang Fung Ind Bldg,</t>
  </si>
  <si>
    <t>Kowloon, Hong Kong</t>
  </si>
  <si>
    <t>Christin Au</t>
  </si>
  <si>
    <t>BAILEY 44</t>
  </si>
  <si>
    <t>4700 S. BOYLE AVENUE</t>
  </si>
  <si>
    <t>Lizette</t>
  </si>
  <si>
    <t>Beach Riot</t>
  </si>
  <si>
    <t>828 production place</t>
  </si>
  <si>
    <t>Kat Eyanson</t>
  </si>
  <si>
    <t>Belle Atelier</t>
  </si>
  <si>
    <t>1755 n Damen Ave #c2 REAR</t>
  </si>
  <si>
    <t>Giselle</t>
  </si>
  <si>
    <t>BIBHU MOHAPATRA</t>
  </si>
  <si>
    <t>39 North Moore Street, Store Entrance</t>
  </si>
  <si>
    <t>BURNING TORCH</t>
  </si>
  <si>
    <t>1738 CORDOVA ST</t>
  </si>
  <si>
    <t>Amy</t>
  </si>
  <si>
    <t>Carolina Herrera</t>
  </si>
  <si>
    <t>501 7th Avenue 16FL</t>
  </si>
  <si>
    <t>Tel:212 944 5757</t>
  </si>
  <si>
    <t>Alonso</t>
  </si>
  <si>
    <t>Centric West LLC</t>
  </si>
  <si>
    <t>620 South Elm Street</t>
  </si>
  <si>
    <t>RefJoe’s Jeans</t>
  </si>
  <si>
    <t>CHANGZHOU HUALIDA GARMENTS Group</t>
  </si>
  <si>
    <t>No. 958 Laodong East Rd</t>
  </si>
  <si>
    <t xml:space="preserve">CHINA  </t>
  </si>
  <si>
    <t>Jerrica/Roi Robinson Wang</t>
  </si>
  <si>
    <t>CHENFENG (JIANGSU) APPAREL CO.,LTD</t>
  </si>
  <si>
    <t>Bella</t>
  </si>
  <si>
    <t>China Ting Group Co., LTD</t>
  </si>
  <si>
    <t>4FL, No. 56 Beisha East Rd.</t>
  </si>
  <si>
    <t>Yukishu</t>
  </si>
  <si>
    <t>CHINAMINE TRADING LTD.</t>
  </si>
  <si>
    <t xml:space="preserve">RM 2802-2815, 28/F No. 1 Hung To Road </t>
  </si>
  <si>
    <t>Kwun Tong Kowloon, Hong Kong</t>
  </si>
  <si>
    <t>Kay Lee</t>
  </si>
  <si>
    <t>Christy Dawn</t>
  </si>
  <si>
    <t>2115 South San Pedro</t>
  </si>
  <si>
    <t>Classita (M) Sdn Bhd</t>
  </si>
  <si>
    <t>Lot 2661, 3rd Mile</t>
  </si>
  <si>
    <t>Tel: 605-621-8888</t>
  </si>
  <si>
    <t>Coach/Tapestry</t>
  </si>
  <si>
    <t>10 Hudson Yard 16FL</t>
  </si>
  <si>
    <t>Clay Smith</t>
  </si>
  <si>
    <t>CREATIVE DESIGN MANAGEMENT EDGARDO BONILLA BRIDAL</t>
  </si>
  <si>
    <t>One Executive Drive, Suite 3</t>
  </si>
  <si>
    <t>260 West 39th St. suite 1401</t>
  </si>
  <si>
    <t>Margo Lafontaine</t>
  </si>
  <si>
    <t>DANNIJO</t>
  </si>
  <si>
    <t>1407 Broadway, Suite #720</t>
  </si>
  <si>
    <t>Tel: 212-971-7070</t>
  </si>
  <si>
    <t>DDA HOLDINGS, INC</t>
  </si>
  <si>
    <t>Adeline Martinez</t>
  </si>
  <si>
    <t>Deutsche Bekleidungswerke Limited</t>
  </si>
  <si>
    <t>Plot P-1A, road no.6, Long Hau IP Expansion Area,</t>
  </si>
  <si>
    <t>Hana/Tigon</t>
  </si>
  <si>
    <t>Estee Couture</t>
  </si>
  <si>
    <t>16083 Sierra Pass Way</t>
  </si>
  <si>
    <t>EVERYBODY.WORLD</t>
  </si>
  <si>
    <t>5718 S. Santa Fe Ave.</t>
  </si>
  <si>
    <t>U.S.A</t>
  </si>
  <si>
    <t>Alice</t>
  </si>
  <si>
    <t>FOOK WAH KUN KEE KNITTING FTY., LTD.</t>
  </si>
  <si>
    <t>9/F., Block B, Po Yip Building,</t>
  </si>
  <si>
    <t>Sandy Feng</t>
  </si>
  <si>
    <t>FRANKIES BIKINIS</t>
  </si>
  <si>
    <t>Grace Fu</t>
  </si>
  <si>
    <t>231 Lexington Ave #1A</t>
  </si>
  <si>
    <t xml:space="preserve">Grace </t>
  </si>
  <si>
    <t>Grace Garment Factory</t>
  </si>
  <si>
    <t>HAPPY TIMES CAFE LLC</t>
  </si>
  <si>
    <t>349 SCHOLES STREET SUITE 307</t>
  </si>
  <si>
    <t>MIKE ECKHAUS</t>
  </si>
  <si>
    <t>Hat Salon</t>
  </si>
  <si>
    <t>5 Stropkov Ct. #101</t>
  </si>
  <si>
    <t>Malky</t>
  </si>
  <si>
    <t>Hellessy</t>
  </si>
  <si>
    <t>Allan</t>
  </si>
  <si>
    <t>Helmut Lang New York</t>
  </si>
  <si>
    <t>Marcel Pawlas</t>
  </si>
  <si>
    <t>Henet Pte. Ltd</t>
  </si>
  <si>
    <t>1 Maritime Square #09-19</t>
  </si>
  <si>
    <t>Harbourfront Centre</t>
  </si>
  <si>
    <t>Tel: 65 6258 6881</t>
  </si>
  <si>
    <t>HONOR</t>
  </si>
  <si>
    <t>270 Lafayette Street Suite 1209</t>
  </si>
  <si>
    <t>Madison Wu</t>
  </si>
  <si>
    <t>JANE WANG LLC</t>
  </si>
  <si>
    <t>33 Great Neck Rd., Suite #6</t>
  </si>
  <si>
    <t>Tel: 917-592-2966</t>
  </si>
  <si>
    <t>Jason Wu (Shanghai) Garment Co., Ltd.</t>
  </si>
  <si>
    <t>2700 Lianhualu Rd., Building 1, 5th FL</t>
  </si>
  <si>
    <t xml:space="preserve">Michelle </t>
  </si>
  <si>
    <t>Jenny Yoo Collection</t>
  </si>
  <si>
    <t>132 West 36th Street 9th Floor</t>
  </si>
  <si>
    <t>JOHNNY WAS</t>
  </si>
  <si>
    <t>JILLMARK, INC. dba H O N O R I N E</t>
  </si>
  <si>
    <t>10474 Santa Monica Blvd., Suite 308</t>
  </si>
  <si>
    <t>Samantha</t>
  </si>
  <si>
    <t xml:space="preserve">Katie May  </t>
  </si>
  <si>
    <t>2301 East 7th Street Suite A315-A319,</t>
  </si>
  <si>
    <t>Kevan Hall</t>
  </si>
  <si>
    <t>8313 Beverly Blvd.</t>
  </si>
  <si>
    <t>Tel: 323.658.7979</t>
  </si>
  <si>
    <t>KRP LCC/Houghton</t>
  </si>
  <si>
    <t>26500 Agoura Rd #531</t>
  </si>
  <si>
    <t>Katharine Polk</t>
  </si>
  <si>
    <t xml:space="preserve">Lauren Moshi </t>
  </si>
  <si>
    <t xml:space="preserve">Clelia Chavez </t>
  </si>
  <si>
    <t>LE SUPERBE</t>
  </si>
  <si>
    <t>719 S. Los Angeles St. Suite 419</t>
  </si>
  <si>
    <t>Rey Pascua</t>
  </si>
  <si>
    <t>LUCY BLAIR LLC (T/A CIAO LUCIA)</t>
  </si>
  <si>
    <t>Lynne Carter</t>
  </si>
  <si>
    <t>Tel: +1 949-922-9225</t>
  </si>
  <si>
    <t>Marchesa RM</t>
  </si>
  <si>
    <t>Marius Revere</t>
  </si>
  <si>
    <t>minnow</t>
  </si>
  <si>
    <t>219 MARINE AVE, STE A</t>
  </si>
  <si>
    <t>M I S A</t>
  </si>
  <si>
    <t>1530 E 25th St.</t>
  </si>
  <si>
    <t>AttenImelda</t>
  </si>
  <si>
    <t>MODERN TROUSSEAU</t>
  </si>
  <si>
    <t>125 Bradley Road</t>
  </si>
  <si>
    <t>MONIQUE LHUILLIER</t>
  </si>
  <si>
    <t>4533 Pacific Blvd.</t>
  </si>
  <si>
    <t>Tel: 213.747.8811</t>
  </si>
  <si>
    <t>MONSE c/o Max Lu</t>
  </si>
  <si>
    <t>611 Broadway Suite 308</t>
  </si>
  <si>
    <t>New York, NY 10012</t>
  </si>
  <si>
    <t>MONSE LLC</t>
  </si>
  <si>
    <t>Tel: 646-809-0100</t>
  </si>
  <si>
    <t>Navee Charoen Ltd., Part.</t>
  </si>
  <si>
    <t>Tel: (66)2 222 7099</t>
  </si>
  <si>
    <t>PACIFIC TRIMMING ENTERPRISE</t>
  </si>
  <si>
    <t>218 West 38th Street</t>
  </si>
  <si>
    <t>Tel:  212-279-9310</t>
  </si>
  <si>
    <t>PARC AND PEARL</t>
  </si>
  <si>
    <t>1506 W. 12TH ST.</t>
  </si>
  <si>
    <t>Qian</t>
  </si>
  <si>
    <t>Jacqueline Mego</t>
  </si>
  <si>
    <t>PRIVATE LABEL TEHUACAN, S. DE R.L. DE C.V.</t>
  </si>
  <si>
    <t>KM. 107 CARRETERA PUEBLA-TEHUACAN</t>
  </si>
  <si>
    <t>MEXICO</t>
  </si>
  <si>
    <t>Marisela Lerin</t>
  </si>
  <si>
    <t>Puppets and Puppets</t>
  </si>
  <si>
    <t>115 West 30th St. suite 203</t>
  </si>
  <si>
    <t>Carly Mark</t>
  </si>
  <si>
    <t>RAJ Manufacturing, LLC.</t>
  </si>
  <si>
    <t>REEM ACRA RTW</t>
  </si>
  <si>
    <t>David Farshadfar</t>
  </si>
  <si>
    <t>Rodarte</t>
  </si>
  <si>
    <t>715 South Oakland Ave</t>
  </si>
  <si>
    <t>Royal Spirit Limited</t>
  </si>
  <si>
    <t>11th Floor, 822, Lai Chi Kok Road,</t>
  </si>
  <si>
    <t>AGNES/AMY</t>
  </si>
  <si>
    <t>Salt and Pepper Gifts</t>
  </si>
  <si>
    <t>970 Knox St. Unit A</t>
  </si>
  <si>
    <t>AttenTara</t>
  </si>
  <si>
    <t>Sara Campbell LTD</t>
  </si>
  <si>
    <t>67 Kemble St / 4th Floor</t>
  </si>
  <si>
    <t>Geraldine</t>
  </si>
  <si>
    <t>Suteks Tekstil Sanayi ve Ticaret AS</t>
  </si>
  <si>
    <t>Kemerburgaz Cad. No:16</t>
  </si>
  <si>
    <t>TURKEY</t>
  </si>
  <si>
    <t>GONCA ATILCAN</t>
  </si>
  <si>
    <t>SVAC Collective, LLC</t>
  </si>
  <si>
    <t>LLC998 Casiano Rd</t>
  </si>
  <si>
    <t>Accounts Payable</t>
  </si>
  <si>
    <t>The Evans Group</t>
  </si>
  <si>
    <t>1926 E. 7th Street</t>
  </si>
  <si>
    <t>Theory</t>
  </si>
  <si>
    <t>2 Gansevoort st 2FL</t>
  </si>
  <si>
    <t>New York NY 10014</t>
  </si>
  <si>
    <t>Dave</t>
  </si>
  <si>
    <t>Tomomi Okubo</t>
  </si>
  <si>
    <t>53 Bridge street Unit 201</t>
  </si>
  <si>
    <t>Tory Burch</t>
  </si>
  <si>
    <t>11 West 19th St. 8FL</t>
  </si>
  <si>
    <t>Saman Chaudhry</t>
  </si>
  <si>
    <t>Trade Harvest Industrial Ltd.</t>
  </si>
  <si>
    <t>Workship No.7, 10/F, Permier Centre</t>
  </si>
  <si>
    <t>Tel: 852-2743-1083</t>
  </si>
  <si>
    <t>TRIBECA DESIGN STUDIO</t>
  </si>
  <si>
    <t>142 DUANE STREET NEW YORK,</t>
  </si>
  <si>
    <t>ULLA JOHNSON</t>
  </si>
  <si>
    <t>270 Lafayette Street, 1101</t>
  </si>
  <si>
    <t>Patricia Voto</t>
  </si>
  <si>
    <t>Urban Zen</t>
  </si>
  <si>
    <t>705 Greenwich St</t>
  </si>
  <si>
    <t>Larisa Marginean</t>
  </si>
  <si>
    <t>VERA WANG BRIDAL</t>
  </si>
  <si>
    <t>15 EAST 26TH STREET</t>
  </si>
  <si>
    <t>NEW YORK, NY 10010</t>
  </si>
  <si>
    <t>Vinnitsa Hong Kong Ltd.</t>
  </si>
  <si>
    <t>Unit B &amp; C, 9/F., Fuk Cheong Factory Building,</t>
  </si>
  <si>
    <t>Helly</t>
  </si>
  <si>
    <t xml:space="preserve">ALEXIS MABILLE </t>
  </si>
  <si>
    <t>4 BIS ALLEE VERTE</t>
  </si>
  <si>
    <t>Paris</t>
  </si>
  <si>
    <t>STEPHANIE</t>
  </si>
  <si>
    <t>ANHUI MINMETALS DEVELOPMENT I/E CO. LTD</t>
  </si>
  <si>
    <t>Shen gang park NO 1689 XIYOU road</t>
  </si>
  <si>
    <t>XING LI</t>
  </si>
  <si>
    <t>Atelier Marey</t>
  </si>
  <si>
    <t>42 Rue De Clery</t>
  </si>
  <si>
    <t>Linah</t>
  </si>
  <si>
    <t>BA&amp;SH</t>
  </si>
  <si>
    <t>67 AVENUE RAYMOND POINCARE,</t>
  </si>
  <si>
    <t>MANON</t>
  </si>
  <si>
    <t>BENDA BILI S.A.S / SEZANE</t>
  </si>
  <si>
    <t>12 RUE D'UZES 2EME ETAGE</t>
  </si>
  <si>
    <t>Clemence</t>
  </si>
  <si>
    <t>BONPOINT SAS</t>
  </si>
  <si>
    <t>62 AVENUE D’IENA</t>
  </si>
  <si>
    <t>Nadia</t>
  </si>
  <si>
    <t>BRILLIANT Invest Co.</t>
  </si>
  <si>
    <t>40, Tzar Boris III Obedinitel Blvd</t>
  </si>
  <si>
    <t>4004 Plovdiv</t>
  </si>
  <si>
    <t>Albena</t>
  </si>
  <si>
    <t>Casablanca</t>
  </si>
  <si>
    <t>E8 3RL</t>
  </si>
  <si>
    <t>Valbona / Yasmine</t>
  </si>
  <si>
    <t>Claudie Pierlot</t>
  </si>
  <si>
    <t>2 rue de Marengo</t>
  </si>
  <si>
    <t>Clotilde Le Marchand</t>
  </si>
  <si>
    <t>Courreges</t>
  </si>
  <si>
    <t xml:space="preserve">40 rue Fran?ois 1er, </t>
  </si>
  <si>
    <t>Olivia NOUET</t>
  </si>
  <si>
    <t>Cymbeline</t>
  </si>
  <si>
    <t>2 rue Gambetta</t>
  </si>
  <si>
    <t>Avon</t>
  </si>
  <si>
    <t>Lucrece &amp; Annie</t>
  </si>
  <si>
    <t>DE FURSAC</t>
  </si>
  <si>
    <t>112 rue de Richelieu</t>
  </si>
  <si>
    <t>Sarah</t>
  </si>
  <si>
    <t>DUNE BY MARIE LAPORTE SARL</t>
  </si>
  <si>
    <t>48 rue de L?vis</t>
  </si>
  <si>
    <t>Marie Voignier</t>
  </si>
  <si>
    <t>ETAM 1.2.3.</t>
  </si>
  <si>
    <t>57-59 RUE HENRI BARBUSSE</t>
  </si>
  <si>
    <t xml:space="preserve">MS. Isabelle &amp; Nathalie </t>
  </si>
  <si>
    <t>Fenix Fashion Ltd</t>
  </si>
  <si>
    <t>UG/F., Cobalt Building, 926 Cheung</t>
  </si>
  <si>
    <t>JOHANNA</t>
  </si>
  <si>
    <t>HANGZHOU HEQI IMPORT AND EXPORT TRADE CO.,LTD</t>
  </si>
  <si>
    <t>2-130,NO.158,HONGXING ROAD,ECONOMIC AND</t>
  </si>
  <si>
    <t>Faye chen</t>
  </si>
  <si>
    <t>Hongtex Hong Kong Ltd.</t>
  </si>
  <si>
    <t>RM2005 20/F NEW TREASURE CENTRE</t>
  </si>
  <si>
    <t>Joanne/Ginny</t>
  </si>
  <si>
    <t>IDEA 2000 LIMITED</t>
  </si>
  <si>
    <t xml:space="preserve">7/F, Yonglian Buliding, </t>
  </si>
  <si>
    <t>IKKS WOMEN-BATIMENT 5</t>
  </si>
  <si>
    <t>SERVICE COMPTABILITE FOURNISS EURS</t>
  </si>
  <si>
    <t>94,RUE CHOLETAISE 49455 SEVREMOINE</t>
  </si>
  <si>
    <t>JOYANCE CORPORATION LIMITED</t>
  </si>
  <si>
    <t>14F 188 BINKANG ROAD, BINJIANG</t>
  </si>
  <si>
    <t>HANGZHOU, ZHEJIANG</t>
  </si>
  <si>
    <t>Nancy</t>
  </si>
  <si>
    <t>LOGTEX/IKKS WOMEN</t>
  </si>
  <si>
    <t>FOURNITURES DE COLLECTION</t>
  </si>
  <si>
    <t>MAISON 123</t>
  </si>
  <si>
    <t>57-59 avenue Henri Barbusse</t>
  </si>
  <si>
    <t>92 614 Clichy Cedex</t>
  </si>
  <si>
    <t>Murielle Deny</t>
  </si>
  <si>
    <t>MAISON PERE</t>
  </si>
  <si>
    <t>36 RUE VIGNON</t>
  </si>
  <si>
    <t>Ms. Adele Grenot</t>
  </si>
  <si>
    <t>Maison Rabih Kayrouz</t>
  </si>
  <si>
    <t xml:space="preserve">38 Boulevard Raspail </t>
  </si>
  <si>
    <t>Mirjana Morozin</t>
  </si>
  <si>
    <t>Maje</t>
  </si>
  <si>
    <t xml:space="preserve">2 rue de Marengo </t>
  </si>
  <si>
    <t>Marion Blanchard</t>
  </si>
  <si>
    <t>MAREY SHANGHAI Office</t>
  </si>
  <si>
    <t xml:space="preserve">21st Floor, Harbour Ring Huangpu Center, </t>
  </si>
  <si>
    <t>DEBBIE YAN</t>
  </si>
  <si>
    <t>MARIE LAPORTE</t>
  </si>
  <si>
    <t>MELOYUN CO LTD</t>
  </si>
  <si>
    <t xml:space="preserve">101/63-65 Moo 3, Suetrong group, </t>
  </si>
  <si>
    <t>Li</t>
  </si>
  <si>
    <t>OFFICINE GENERALE</t>
  </si>
  <si>
    <t xml:space="preserve">11 RUE JULES CHAPLAIN </t>
  </si>
  <si>
    <t>PARIS</t>
  </si>
  <si>
    <t>Dan</t>
  </si>
  <si>
    <t>Paco Rabanne</t>
  </si>
  <si>
    <t>17, rue Fran?ois 1er</t>
  </si>
  <si>
    <t>PARMAMODA SRL</t>
  </si>
  <si>
    <t xml:space="preserve">VIA G. BOTTERI, 12 </t>
  </si>
  <si>
    <t>PARMA</t>
  </si>
  <si>
    <t>Emanuela</t>
  </si>
  <si>
    <t>Piret Kartus</t>
  </si>
  <si>
    <t>Parnu mnt 8</t>
  </si>
  <si>
    <t>Potencier</t>
  </si>
  <si>
    <t>106, rue L?on Gambetta</t>
  </si>
  <si>
    <t>Villers-Outreaux</t>
  </si>
  <si>
    <t xml:space="preserve">Eric Leroy </t>
  </si>
  <si>
    <t>PROLOG ( MRK PROD E20 )</t>
  </si>
  <si>
    <t>84 rue Choletaise</t>
  </si>
  <si>
    <t>Sylvie</t>
  </si>
  <si>
    <t>RDM / CELESTINA AGOSTINO</t>
  </si>
  <si>
    <t>15 RUE DE L'ABBE GREGOIRE</t>
  </si>
  <si>
    <t>CELESTINA AGOSTINO</t>
  </si>
  <si>
    <t>Richard Naigard</t>
  </si>
  <si>
    <t>232,rue St Denis</t>
  </si>
  <si>
    <t>SCRO - DESIGN SRL</t>
  </si>
  <si>
    <t>REPUBLICII6</t>
  </si>
  <si>
    <t>MARASESTI</t>
  </si>
  <si>
    <t>TFH</t>
  </si>
  <si>
    <t>RYM/FATMA</t>
  </si>
  <si>
    <t>The Kooples</t>
  </si>
  <si>
    <t>11 Rue de Prony,</t>
  </si>
  <si>
    <t>Laurie Poisvert</t>
  </si>
  <si>
    <t>Valerie Khalfon</t>
  </si>
  <si>
    <t xml:space="preserve">9 rue Saint Fiacre </t>
  </si>
  <si>
    <t>Valerie Israel</t>
  </si>
  <si>
    <t>Veronique Leroy</t>
  </si>
  <si>
    <t>50 rue du Faubourg ST Antoine</t>
  </si>
  <si>
    <t>Jean Fran?ois</t>
  </si>
  <si>
    <t>Y/PROJECT</t>
  </si>
  <si>
    <t xml:space="preserve">40 RUE DE PARADIS, </t>
  </si>
  <si>
    <t>Ran Roh</t>
  </si>
  <si>
    <t>Zapa</t>
  </si>
  <si>
    <t>8bis Rue Dieu</t>
  </si>
  <si>
    <t xml:space="preserve">Paris 10?me </t>
  </si>
  <si>
    <t>France Rocher</t>
  </si>
  <si>
    <t>ZIP CODE</t>
    <phoneticPr fontId="3"/>
  </si>
  <si>
    <t>ADDRESS 1</t>
    <phoneticPr fontId="3"/>
  </si>
  <si>
    <t>ADDRESS 2</t>
    <phoneticPr fontId="3"/>
  </si>
  <si>
    <t>COUNTRY</t>
    <phoneticPr fontId="3"/>
  </si>
  <si>
    <t>TEL</t>
    <phoneticPr fontId="3"/>
  </si>
  <si>
    <t>DANIELLE FRANKEL</t>
    <phoneticPr fontId="3"/>
  </si>
  <si>
    <t>USA</t>
    <phoneticPr fontId="3"/>
  </si>
  <si>
    <t xml:space="preserve">4030 DEL REY AVE </t>
    <phoneticPr fontId="3"/>
  </si>
  <si>
    <t>ATTENTION</t>
    <phoneticPr fontId="3"/>
  </si>
  <si>
    <t>NEW YORK, NY</t>
    <phoneticPr fontId="3"/>
  </si>
  <si>
    <t>34 Tai Yau Street,San Po Kong, Kowloon, Hong Kong</t>
    <phoneticPr fontId="3"/>
  </si>
  <si>
    <t>2G, Hok Yuen St., Hung Hom, Kowloon, Hong Kong</t>
    <phoneticPr fontId="3"/>
  </si>
  <si>
    <t>Los Angeles, CA</t>
    <phoneticPr fontId="3"/>
  </si>
  <si>
    <t>New York, NY</t>
  </si>
  <si>
    <t>New York, NY</t>
    <phoneticPr fontId="3"/>
  </si>
  <si>
    <t>Dallas, TX</t>
    <phoneticPr fontId="3"/>
  </si>
  <si>
    <t>Vernon, CA</t>
    <phoneticPr fontId="3"/>
  </si>
  <si>
    <t>Newport Beach, CA</t>
    <phoneticPr fontId="3"/>
  </si>
  <si>
    <t>chicago IL</t>
    <phoneticPr fontId="3"/>
  </si>
  <si>
    <t>Greensboro, NC</t>
    <phoneticPr fontId="3"/>
  </si>
  <si>
    <t>Changzhou, Jiangsu</t>
    <phoneticPr fontId="3"/>
  </si>
  <si>
    <t>NO.99JIN HU road, Jintan District</t>
    <phoneticPr fontId="3"/>
  </si>
  <si>
    <t xml:space="preserve">Yuhang Economic Development Zone, HangZhou </t>
    <phoneticPr fontId="3"/>
  </si>
  <si>
    <t xml:space="preserve">Jalan Maharajalela, 36000 Teluk Intan, Perak Darul Ridzuan, </t>
    <phoneticPr fontId="3"/>
  </si>
  <si>
    <t>MALAYSIA</t>
    <phoneticPr fontId="3"/>
  </si>
  <si>
    <t>Xirena Division, 834 S Broadway # 600</t>
    <phoneticPr fontId="3"/>
  </si>
  <si>
    <t>08057</t>
    <phoneticPr fontId="3"/>
  </si>
  <si>
    <t>Moorestown, NJ</t>
    <phoneticPr fontId="3"/>
  </si>
  <si>
    <t xml:space="preserve">Long Hau Commune, Can Giuoc Dist, Long An Province, </t>
    <phoneticPr fontId="3"/>
  </si>
  <si>
    <t>VIETNAM</t>
    <phoneticPr fontId="3"/>
  </si>
  <si>
    <t>62-70 Texaco Road, Tsuen Wan, Hong Kong</t>
    <phoneticPr fontId="3"/>
  </si>
  <si>
    <t>Hacienda Heights, CA</t>
    <phoneticPr fontId="3"/>
  </si>
  <si>
    <t>Venice, CA</t>
    <phoneticPr fontId="3"/>
  </si>
  <si>
    <t>Li Chuan, Dong Guan</t>
    <phoneticPr fontId="3"/>
  </si>
  <si>
    <t>2F 83 Li Chuan Road, Dong Cheng</t>
    <phoneticPr fontId="3"/>
  </si>
  <si>
    <t>Brooklyn, NY</t>
    <phoneticPr fontId="3"/>
  </si>
  <si>
    <t>Monroe, NY</t>
    <phoneticPr fontId="3"/>
  </si>
  <si>
    <t>270 Lafayette St, Suite 610</t>
    <phoneticPr fontId="3"/>
  </si>
  <si>
    <t>099253</t>
    <phoneticPr fontId="3"/>
  </si>
  <si>
    <t>SINGAPORE</t>
    <phoneticPr fontId="3"/>
  </si>
  <si>
    <t>07071</t>
    <phoneticPr fontId="3"/>
  </si>
  <si>
    <t xml:space="preserve">165 Polito Ave, </t>
    <phoneticPr fontId="3"/>
  </si>
  <si>
    <t>Lyndhurst, NJ</t>
    <phoneticPr fontId="3"/>
  </si>
  <si>
    <t>Great Neck, NY</t>
    <phoneticPr fontId="3"/>
  </si>
  <si>
    <t>Minhang District, Shanghai</t>
    <phoneticPr fontId="3"/>
  </si>
  <si>
    <t>Calabasas, CA</t>
    <phoneticPr fontId="3"/>
  </si>
  <si>
    <t>2515 Yates Ave,</t>
    <phoneticPr fontId="3"/>
  </si>
  <si>
    <t>Commerce, CA</t>
    <phoneticPr fontId="3"/>
  </si>
  <si>
    <t>2930 DENBY AVENUE, STUDIO B,</t>
    <phoneticPr fontId="3"/>
  </si>
  <si>
    <t>117 W 9th St., Mezzanine #111</t>
    <phoneticPr fontId="3"/>
  </si>
  <si>
    <t>FLOOR 4, 80 8th Avenue,</t>
    <phoneticPr fontId="3"/>
  </si>
  <si>
    <t>Marina Del Rey, CA</t>
    <phoneticPr fontId="3"/>
  </si>
  <si>
    <t>13969 Marquesas Way Apt 202b,</t>
    <phoneticPr fontId="3"/>
  </si>
  <si>
    <t>New Port Beach , CA</t>
    <phoneticPr fontId="3"/>
  </si>
  <si>
    <t>06525</t>
    <phoneticPr fontId="3"/>
  </si>
  <si>
    <t>Woodbridge, CT</t>
    <phoneticPr fontId="3"/>
  </si>
  <si>
    <t>Max Lu</t>
    <phoneticPr fontId="3"/>
  </si>
  <si>
    <t>611 Broadway, 308</t>
    <phoneticPr fontId="3"/>
  </si>
  <si>
    <t>THAILAND</t>
  </si>
  <si>
    <t>THAILAND</t>
    <phoneticPr fontId="3"/>
  </si>
  <si>
    <t>104/8 Krung Kasem Rd., Dheves,</t>
    <phoneticPr fontId="3"/>
  </si>
  <si>
    <t>Bangkok</t>
    <phoneticPr fontId="3"/>
  </si>
  <si>
    <t>Peru Fashions S.A.C.</t>
    <phoneticPr fontId="3"/>
  </si>
  <si>
    <t xml:space="preserve">Mz. E Lote 9, URB. Las Vegas </t>
    <phoneticPr fontId="3"/>
  </si>
  <si>
    <t>Puente Piedra,</t>
    <phoneticPr fontId="3"/>
  </si>
  <si>
    <t>No. 4 S.C. TEPANCO DE LOPEZ, PUEBLA</t>
    <phoneticPr fontId="3"/>
  </si>
  <si>
    <t>PERU</t>
    <phoneticPr fontId="3"/>
  </si>
  <si>
    <t xml:space="preserve">2692 Dow Ave, </t>
    <phoneticPr fontId="3"/>
  </si>
  <si>
    <t>Tustin, CA</t>
    <phoneticPr fontId="3"/>
  </si>
  <si>
    <t>Pasadena, CA</t>
    <phoneticPr fontId="3"/>
  </si>
  <si>
    <t>02119</t>
    <phoneticPr fontId="3"/>
  </si>
  <si>
    <t>Torrance, CA</t>
    <phoneticPr fontId="3"/>
  </si>
  <si>
    <t>Boston, MA</t>
    <phoneticPr fontId="3"/>
  </si>
  <si>
    <t>Ying Ren Shi, Bao'an District, ShenZhen,</t>
    <phoneticPr fontId="3"/>
  </si>
  <si>
    <t>6FL, Bldg C, Wentao Tech Zone,</t>
    <phoneticPr fontId="3"/>
  </si>
  <si>
    <t>ShenZhen Maohua Fashion Co., Ltd.</t>
    <phoneticPr fontId="3"/>
  </si>
  <si>
    <t>Kagithane, Istanbul,</t>
    <phoneticPr fontId="3"/>
  </si>
  <si>
    <t>No.20 Cheung Shun Street, Lai Chi Kok, Hong Kong</t>
    <phoneticPr fontId="3"/>
  </si>
  <si>
    <t>1 Walnut Street, Tai Kok Tsui, Kowloon, Hong Kong</t>
    <phoneticPr fontId="3"/>
  </si>
  <si>
    <t>FRANCE</t>
  </si>
  <si>
    <t>FRANCE</t>
    <phoneticPr fontId="3"/>
  </si>
  <si>
    <t>GAOXING district, Hefei Anhui,</t>
    <phoneticPr fontId="3"/>
  </si>
  <si>
    <t>BULGARIA</t>
    <phoneticPr fontId="3"/>
  </si>
  <si>
    <t>Clichy</t>
    <phoneticPr fontId="3"/>
  </si>
  <si>
    <t>TECHNOLOGICAL DEVELOPMENT ZONE,XIAOSHAN DISTRICT, HANGZHOU, ZHEJIANG,</t>
    <phoneticPr fontId="3"/>
  </si>
  <si>
    <t>10NG FONG STREET, SAN PO KONG,  KOWLOON, HONG KONG</t>
    <phoneticPr fontId="3"/>
  </si>
  <si>
    <t xml:space="preserve">No.188 He Ping Street, Xiuzhou District, Jiaxing, Zhejiang, </t>
    <phoneticPr fontId="3"/>
  </si>
  <si>
    <t>4 Passage de la Boule Blanche, Paris</t>
    <phoneticPr fontId="3"/>
  </si>
  <si>
    <t>ROMANIA</t>
    <phoneticPr fontId="3"/>
  </si>
  <si>
    <t>Saint Macaire en Mauges, Sevremoine,</t>
    <phoneticPr fontId="3"/>
  </si>
  <si>
    <t xml:space="preserve">Apartment 7a, Tallinn, </t>
    <phoneticPr fontId="3"/>
  </si>
  <si>
    <t xml:space="preserve">ESTONIA </t>
    <phoneticPr fontId="3"/>
  </si>
  <si>
    <t>ITALY</t>
    <phoneticPr fontId="3"/>
  </si>
  <si>
    <t xml:space="preserve">TAMBON SAIMA, AUMPHUR MUANG, NONTHABURI, </t>
    <phoneticPr fontId="3"/>
  </si>
  <si>
    <t>No. 98 Liu He Road, Shanghai</t>
    <phoneticPr fontId="3"/>
  </si>
  <si>
    <t>Z.I DE LA GARE RUE DU DR FAYAU, MONTAIGU,</t>
    <phoneticPr fontId="3"/>
  </si>
  <si>
    <t>Phoenix Brewery, 13 Bramley Road</t>
    <phoneticPr fontId="3"/>
  </si>
  <si>
    <t>London</t>
    <phoneticPr fontId="3"/>
  </si>
  <si>
    <t>NETIL HOUSE, SUITE 204, 1 WESTGATE STREET,</t>
    <phoneticPr fontId="3"/>
  </si>
  <si>
    <t>W10 6SZ</t>
    <phoneticPr fontId="3"/>
  </si>
  <si>
    <t>Marta</t>
    <phoneticPr fontId="3"/>
  </si>
  <si>
    <t xml:space="preserve">TUNISIA </t>
    <phoneticPr fontId="3"/>
  </si>
  <si>
    <t>RUE DU TISSAGE 29, ZI KSAR SAID,</t>
    <phoneticPr fontId="3"/>
  </si>
  <si>
    <t>MANOUBA</t>
    <phoneticPr fontId="3"/>
  </si>
  <si>
    <t>Temperley London</t>
    <phoneticPr fontId="3"/>
  </si>
  <si>
    <t>3066a</t>
  </si>
  <si>
    <t>P.H.Garment Manufacturing Company Limited</t>
  </si>
  <si>
    <t>UNIT 1412, 14/F., TOWER 2, EVER GAIN PLAZA,</t>
  </si>
  <si>
    <t>3432a</t>
  </si>
  <si>
    <t>RCD</t>
  </si>
  <si>
    <t>3436a</t>
  </si>
  <si>
    <t>101/63-65 Moo 3, Suetrong group,</t>
  </si>
  <si>
    <t>3239a</t>
  </si>
  <si>
    <t>LA ADA DE ACUNA, S DE RL DE CV</t>
  </si>
  <si>
    <t>CARRETERA PRESA DE LA AMISTAD KM 4.5</t>
  </si>
  <si>
    <t>CD. ACUNA, COAHUILA</t>
  </si>
  <si>
    <t>3241a</t>
  </si>
  <si>
    <t>Wacoal Dominicana Corp.</t>
  </si>
  <si>
    <t>Zona Franca Industrial</t>
  </si>
  <si>
    <t>6001a</t>
  </si>
  <si>
    <t>EAST CONCEPT FASHION LTD</t>
  </si>
  <si>
    <t>UNIT 1-5, 4/F, WELL TECH CENTER</t>
  </si>
  <si>
    <t>6002a</t>
  </si>
  <si>
    <t>CHINA FENG FASHION (SHENZHEN)LTD</t>
  </si>
  <si>
    <t>6005a</t>
  </si>
  <si>
    <t>MMAA</t>
  </si>
  <si>
    <t>BOLGATANGA BONGO ROAD</t>
  </si>
  <si>
    <t>6015a</t>
  </si>
  <si>
    <t>Aanchal Apparels Pvt Ltd.</t>
  </si>
  <si>
    <t>4-a 3rd floor, Industry Manor</t>
  </si>
  <si>
    <t>6015b</t>
  </si>
  <si>
    <t>Friendship Manufacturing Co., Ltd.</t>
  </si>
  <si>
    <t>17/6A Phan Huy ich Street, Ward 14</t>
  </si>
  <si>
    <t>6046a</t>
  </si>
  <si>
    <t>Textile Gloria Ltd</t>
  </si>
  <si>
    <t>8 Hashomer street</t>
  </si>
  <si>
    <t>6050a</t>
  </si>
  <si>
    <t>Bsquare holdings LTD</t>
  </si>
  <si>
    <t>39 North moore street, store entrance</t>
  </si>
  <si>
    <t>6085a</t>
  </si>
  <si>
    <t>Joe's Jeans</t>
  </si>
  <si>
    <t>1580 Jesse St.</t>
  </si>
  <si>
    <t>6102a</t>
  </si>
  <si>
    <t>Gold Flower Ltd.</t>
  </si>
  <si>
    <t>8/FL, 66-72, Lei Muk Road,</t>
  </si>
  <si>
    <t>Kwai Chung, N.T. Hong Kong</t>
  </si>
  <si>
    <t>6185a</t>
  </si>
  <si>
    <t>WEI YI FACTORY</t>
  </si>
  <si>
    <t>No. 8, Gouwei Road, Yongan Road</t>
  </si>
  <si>
    <t>Chaozhou, Guangdong</t>
  </si>
  <si>
    <t>6215a</t>
  </si>
  <si>
    <t>Frankies</t>
  </si>
  <si>
    <t>3349 La Cienega Place</t>
  </si>
  <si>
    <t>6256a</t>
  </si>
  <si>
    <t>F I H Co. Limited</t>
  </si>
  <si>
    <t xml:space="preserve">A5 17F Goodwill Ind. Bldg. </t>
  </si>
  <si>
    <t>6280a</t>
  </si>
  <si>
    <t>CAMPO LONGO INDUSTRIA E COMERCIO VESTUARIO LDA.,</t>
  </si>
  <si>
    <t>TRAVESSA DA ALEGRIA 77,</t>
  </si>
  <si>
    <t>6290a</t>
  </si>
  <si>
    <t>Greenhill Fashion Knitters</t>
  </si>
  <si>
    <t>6290b</t>
  </si>
  <si>
    <t>Hellessy C/O Magic Team &amp; Company Ltd.</t>
  </si>
  <si>
    <t>Room D, 4th Fl., Wing Cheung Industrial Bldg.</t>
  </si>
  <si>
    <t>6290c</t>
  </si>
  <si>
    <t>Hellessy c/o Shantou Huanlong Fashion Limited</t>
  </si>
  <si>
    <t>3-4/Floor, No. 8, West 1 Street, Longxin Indstrial Zone</t>
  </si>
  <si>
    <t>6291a</t>
  </si>
  <si>
    <t>Helmut Lang</t>
  </si>
  <si>
    <t>2 Gansevoort St. 4FL</t>
  </si>
  <si>
    <t>6292a</t>
  </si>
  <si>
    <t>Global Sourcenet Ltd</t>
  </si>
  <si>
    <t>Minh Khai, Nhu Quynh, Van Lam,</t>
  </si>
  <si>
    <t>6360a</t>
  </si>
  <si>
    <t>JANE WANG</t>
  </si>
  <si>
    <t>248-25 Northan Blvd, 1J-363</t>
  </si>
  <si>
    <t>Douglaston, NY 11362</t>
  </si>
  <si>
    <t>6365a</t>
  </si>
  <si>
    <t>CHAOZHOU YADA EMBROIDERY GARMENT INDUSTRIAL CO.,LTD.</t>
  </si>
  <si>
    <t>North 3rd Road, North Industrial Zone, ChaoZhou Avenue</t>
  </si>
  <si>
    <t>6401a</t>
  </si>
  <si>
    <t>KATIE MAY WAREHOUSE</t>
  </si>
  <si>
    <t>6425a</t>
  </si>
  <si>
    <t>Polytime</t>
  </si>
  <si>
    <t>704 S Spring St #301</t>
  </si>
  <si>
    <t>6445a</t>
  </si>
  <si>
    <t>Wenzhou Qihe import &amp; export Co., Ltd</t>
  </si>
  <si>
    <t xml:space="preserve">RM 2404, No.25 building, Gongchen bund, </t>
  </si>
  <si>
    <t>6470a</t>
  </si>
  <si>
    <t>CIAO LUCIA</t>
  </si>
  <si>
    <t>6481a</t>
  </si>
  <si>
    <t>SIA Apparel</t>
  </si>
  <si>
    <t>6481b</t>
  </si>
  <si>
    <t>SREEPRIYA EXPORTS PVT LTD</t>
  </si>
  <si>
    <t>31 TOPSIA ROAD SOUTH</t>
  </si>
  <si>
    <t>India</t>
  </si>
  <si>
    <t>6481c</t>
  </si>
  <si>
    <t>Ming Leurn Co., Ltd.</t>
  </si>
  <si>
    <t>ShinWen Industry Zone,Daojiao Town</t>
  </si>
  <si>
    <t>Dongguan City</t>
  </si>
  <si>
    <t>6489a</t>
  </si>
  <si>
    <t>Golden Stitching C/O Minnow Swim</t>
  </si>
  <si>
    <t>3348 W Harvard St</t>
  </si>
  <si>
    <t>6503a</t>
  </si>
  <si>
    <t>Shengzhou Fred Fashion Co., Ltd</t>
  </si>
  <si>
    <t>No.109 Jia Jia Road, Shengzhou</t>
  </si>
  <si>
    <t>6561a</t>
  </si>
  <si>
    <t>RAJ MFG.LLC (RM WHSE)</t>
  </si>
  <si>
    <t>6610a</t>
  </si>
  <si>
    <t>East Concept Fashion LTD.</t>
  </si>
  <si>
    <t>Unit 1-5, 4/F, Well Tech Centre</t>
  </si>
  <si>
    <t>6631a</t>
  </si>
  <si>
    <t>CQY</t>
  </si>
  <si>
    <t>410 N Paulina Ave.</t>
  </si>
  <si>
    <t>6652a</t>
  </si>
  <si>
    <t>CHINAMINE TRADING LIMITED</t>
  </si>
  <si>
    <t>Room 2805, 28/F</t>
  </si>
  <si>
    <t>6666a</t>
  </si>
  <si>
    <t>CAPITAL CUTTING</t>
  </si>
  <si>
    <t>318 WEST 39TH STREET 3RD FLOOR</t>
  </si>
  <si>
    <t>6705a</t>
  </si>
  <si>
    <t>CREATIONS BY SHANAGAR</t>
  </si>
  <si>
    <t>2-B, Grotto Villa</t>
  </si>
  <si>
    <t>6727a</t>
  </si>
  <si>
    <t>Vera Wang Bridal House, LLC</t>
  </si>
  <si>
    <t>11260 FORTUNE CIRCLE suite J4</t>
  </si>
  <si>
    <r>
      <t>5-7 FLOOR,BLGD B3</t>
    </r>
    <r>
      <rPr>
        <sz val="11"/>
        <rFont val="ＭＳ Ｐ明朝"/>
        <family val="1"/>
        <charset val="128"/>
      </rPr>
      <t>，</t>
    </r>
    <r>
      <rPr>
        <sz val="11"/>
        <rFont val="Times New Roman"/>
        <family val="1"/>
      </rPr>
      <t>SUNNY IND.PARK,</t>
    </r>
  </si>
  <si>
    <t>NOS. 88 CONTAINER PORT ROAD, KWAI CHUNG, N.T. Hong Kong</t>
    <phoneticPr fontId="3"/>
  </si>
  <si>
    <t>Z.I. DE BRIANGAUD</t>
    <phoneticPr fontId="3"/>
  </si>
  <si>
    <t>Rue JEAN-MONNET, CS 40275, REDON CEDEX</t>
    <phoneticPr fontId="3"/>
  </si>
  <si>
    <t>TAMBON SAIMA, AUMPHUR MUANG, NONTHABURI,</t>
    <phoneticPr fontId="3"/>
  </si>
  <si>
    <t>MEXICO</t>
    <phoneticPr fontId="3"/>
  </si>
  <si>
    <t xml:space="preserve">22 Autopista Las Americas, Santo Dominigo, </t>
    <phoneticPr fontId="3"/>
  </si>
  <si>
    <t>DOMINICA REPUBLIC</t>
    <phoneticPr fontId="3"/>
  </si>
  <si>
    <t>9 PAT TAT STREET,KOWLOON, HONG KONG</t>
    <phoneticPr fontId="3"/>
  </si>
  <si>
    <t xml:space="preserve">NO.2-3,HEZHOU SOUTHERN IND .ZONE,SHENZHEN, </t>
    <phoneticPr fontId="3"/>
  </si>
  <si>
    <t>GHANA</t>
    <phoneticPr fontId="3"/>
  </si>
  <si>
    <t>AKUNTAASI STREET HSE NO 15, BOLGATANGA,</t>
    <phoneticPr fontId="3"/>
  </si>
  <si>
    <t>INDIA</t>
    <phoneticPr fontId="3"/>
  </si>
  <si>
    <t>Appasaheb Marathe Marg, Prabhadevi, Mumbai</t>
    <phoneticPr fontId="3"/>
  </si>
  <si>
    <t>Go Vap District, HCMC,</t>
    <phoneticPr fontId="3"/>
  </si>
  <si>
    <t>Tel Aviv,</t>
    <phoneticPr fontId="3"/>
  </si>
  <si>
    <t>ISRAEL</t>
    <phoneticPr fontId="3"/>
  </si>
  <si>
    <t>U.K.</t>
    <phoneticPr fontId="3"/>
  </si>
  <si>
    <t>36-44 Pak Tin Par St., Tsuen Wan, Hong Kong</t>
    <phoneticPr fontId="3"/>
  </si>
  <si>
    <t xml:space="preserve">MILHEIROS, </t>
    <phoneticPr fontId="3"/>
  </si>
  <si>
    <t xml:space="preserve">PORTUGAL </t>
  </si>
  <si>
    <t xml:space="preserve">Flat 1, 15/F, Room A, Wing Shing Industrial Building, </t>
    <phoneticPr fontId="3"/>
  </si>
  <si>
    <t>26 Ng Fong Street, San Po Kong Kowloon, Hong Kong</t>
    <phoneticPr fontId="3"/>
  </si>
  <si>
    <t>109 How Ming St. Kwun Tong, Kowloon, Hong Kong</t>
    <phoneticPr fontId="3"/>
  </si>
  <si>
    <t>Longhu District, Shantou</t>
    <phoneticPr fontId="3"/>
  </si>
  <si>
    <t>Hung Yen,</t>
    <phoneticPr fontId="3"/>
  </si>
  <si>
    <t>CHAOZHOU CITY,GUANGDONG,</t>
    <phoneticPr fontId="3"/>
  </si>
  <si>
    <t>Chongxian street, Linping District, Hangzhou,</t>
    <phoneticPr fontId="3"/>
  </si>
  <si>
    <t xml:space="preserve">3rd Floor, 306 West 37th Street, </t>
    <phoneticPr fontId="3"/>
  </si>
  <si>
    <t xml:space="preserve">2301 EAST 7TH STREET, SUITE A315 </t>
    <phoneticPr fontId="3"/>
  </si>
  <si>
    <t>PICNIC GARDEN KOLKATA,WEST BENGAL,</t>
    <phoneticPr fontId="3"/>
  </si>
  <si>
    <t>Santa Ana, CA</t>
    <phoneticPr fontId="3"/>
  </si>
  <si>
    <t>Zhejiang</t>
    <phoneticPr fontId="3"/>
  </si>
  <si>
    <t xml:space="preserve">RAW MATERIAL WHSE, 2692 DOW AVENUE, </t>
    <phoneticPr fontId="3"/>
  </si>
  <si>
    <t>9 Pat Tat Street, San Po Kong, Kowloon, Hong Kong</t>
    <phoneticPr fontId="3"/>
  </si>
  <si>
    <t>No. 1 Hung To Road, Kwun Tong, Kowloon, Hong Kong</t>
    <phoneticPr fontId="3"/>
  </si>
  <si>
    <t>2nd hasnabad lane, MUMBAI, 27 Maharashtra</t>
    <phoneticPr fontId="3"/>
  </si>
  <si>
    <t>WELLINGTON, FL</t>
    <phoneticPr fontId="3"/>
  </si>
  <si>
    <t>Redondo Beach, CA</t>
    <phoneticPr fontId="3"/>
  </si>
  <si>
    <t>システムコード</t>
    <phoneticPr fontId="3"/>
  </si>
  <si>
    <t>名称</t>
    <rPh sb="0" eb="2">
      <t>メイショウ</t>
    </rPh>
    <phoneticPr fontId="3"/>
  </si>
  <si>
    <t>INVOICE No.</t>
    <phoneticPr fontId="3"/>
  </si>
  <si>
    <t>CONSIGNEE</t>
    <phoneticPr fontId="3"/>
  </si>
  <si>
    <t>SOLD TO</t>
    <phoneticPr fontId="3"/>
  </si>
  <si>
    <r>
      <rPr>
        <sz val="11"/>
        <rFont val="Yu Gothic"/>
        <family val="3"/>
        <charset val="128"/>
      </rPr>
      <t xml:space="preserve">(SELECT) - </t>
    </r>
    <r>
      <rPr>
        <sz val="11"/>
        <rFont val="ｔ"/>
        <family val="3"/>
        <charset val="128"/>
      </rPr>
      <t>顧客名</t>
    </r>
    <rPh sb="11" eb="14">
      <t>コキャクメイ</t>
    </rPh>
    <phoneticPr fontId="3"/>
  </si>
  <si>
    <t>G/Weight:</t>
    <phoneticPr fontId="3"/>
  </si>
  <si>
    <t>Note:</t>
    <phoneticPr fontId="3"/>
  </si>
  <si>
    <t>Tel: 852 2761 0390</t>
  </si>
  <si>
    <t>Tel: 646 588 8824</t>
  </si>
  <si>
    <t>Tel: 323 963 4351</t>
  </si>
  <si>
    <t>Tel: 305 609 3841</t>
  </si>
  <si>
    <t>Tel: (212) 971-0170</t>
  </si>
  <si>
    <t>Tel: 626 272 5240</t>
  </si>
  <si>
    <t>Tel: 852 2365 7052</t>
  </si>
  <si>
    <t>Tel: 213.228.1930</t>
  </si>
  <si>
    <t>Tel: 949.966.0108</t>
  </si>
  <si>
    <t>Tel: 773 365 1751</t>
  </si>
  <si>
    <t>Tel: 212.579.2095</t>
  </si>
  <si>
    <t>Tel: 323.733.7700</t>
  </si>
  <si>
    <t>Tel: 86 519 83870739</t>
  </si>
  <si>
    <t>Tel: 86 57186259028</t>
  </si>
  <si>
    <t>Tel: 29505305</t>
  </si>
  <si>
    <t>Tel: 323 481 1928</t>
  </si>
  <si>
    <t>Tel: 212 629 2215</t>
  </si>
  <si>
    <t>Tel: 503 724 4959</t>
  </si>
  <si>
    <t>Tel: 213 624 5200</t>
  </si>
  <si>
    <t>Tel: 917-868-1911</t>
  </si>
  <si>
    <t>Tel: 323-685-2029</t>
  </si>
  <si>
    <t>Tel: 323-888-8838</t>
  </si>
  <si>
    <t>Tel: (213) 627-7200</t>
  </si>
  <si>
    <t>Tel: 415 250 8391</t>
  </si>
  <si>
    <t>Tel: 323.225.9525</t>
  </si>
  <si>
    <t>Tel: 212-463-8135</t>
  </si>
  <si>
    <t>Tel: 206-552-4715?</t>
  </si>
  <si>
    <t>Tel:+1 646 809 0100 x.106</t>
  </si>
  <si>
    <t>Tel : 213 380 8071</t>
  </si>
  <si>
    <t>Tel: 511 613 9999</t>
  </si>
  <si>
    <t>Tel: 917 783 6577</t>
  </si>
  <si>
    <t>Tel: 852 2786 7667/529</t>
  </si>
  <si>
    <t>Tel: 323.493.9357</t>
  </si>
  <si>
    <t>Tel: 617.423.3134</t>
  </si>
  <si>
    <t>Tel: 755 2664 1991</t>
  </si>
  <si>
    <t>Tel: +90 (212) 294 09 09 - 271</t>
  </si>
  <si>
    <t>Tel: +44 20 7229 7957</t>
  </si>
  <si>
    <t>Tel: 213-309-4842</t>
  </si>
  <si>
    <t>Tel: 212 300 0899</t>
  </si>
  <si>
    <t>Tel: 646 765 5400</t>
  </si>
  <si>
    <t>Tel:212 683 2323</t>
  </si>
  <si>
    <t>Tel: 917-921-0697</t>
  </si>
  <si>
    <t>Tel: (852) 2392 7323</t>
  </si>
  <si>
    <t xml:space="preserve">Tel: 0519-82698844 </t>
  </si>
  <si>
    <t>Tel: 845-783-2069</t>
  </si>
  <si>
    <t>Tel: 646 882 2963</t>
  </si>
  <si>
    <t>Tel: 86 21 6728 8264</t>
  </si>
  <si>
    <t>Tel: 212.645.0823</t>
  </si>
  <si>
    <t>Tel: 212 206 3999</t>
  </si>
  <si>
    <t>Tel: 022-40278822</t>
  </si>
  <si>
    <t>Tel: 213-670-0214</t>
  </si>
  <si>
    <t>Tel: 09-5251-2719</t>
  </si>
  <si>
    <t>Tel: 0086-13955160073</t>
  </si>
  <si>
    <t>Tel: 33 1422 11203</t>
  </si>
  <si>
    <t>Tel: 33-1-4508-1415</t>
  </si>
  <si>
    <t>Tel: 01-77-38-81-95</t>
  </si>
  <si>
    <t>Tel: 33(0)1-40-62-76-20</t>
  </si>
  <si>
    <t>Tel: 0035 932 218 326</t>
  </si>
  <si>
    <t>Tel: 212 944 5757</t>
  </si>
  <si>
    <t>Tel: 917-592-2967</t>
  </si>
  <si>
    <t>Tel: 44 07784 682678</t>
  </si>
  <si>
    <t>Tel: (86) 755 29980940-818</t>
  </si>
  <si>
    <t>Tel: 385-856-6836</t>
  </si>
  <si>
    <t>Tel: 33 (0) 1 58 16 25 00</t>
  </si>
  <si>
    <t>Tel: 33 6 86 61 35 36</t>
  </si>
  <si>
    <t>Tel: 33 1 64 78 56 50</t>
  </si>
  <si>
    <t>Tel: 331 40 07 49 76</t>
  </si>
  <si>
    <t>Tel: Tel:  (+84) 36201420</t>
  </si>
  <si>
    <t>Tel: 06 21 56 12 65</t>
  </si>
  <si>
    <t>Tel: 852 29977828</t>
  </si>
  <si>
    <t>Tel: Tel: 626-922-7122</t>
  </si>
  <si>
    <t>Tel: 33-1-5590-7070</t>
  </si>
  <si>
    <t>Tel: Tel: 310-809-4025</t>
  </si>
  <si>
    <t>Tel: 84 221 3986 500</t>
  </si>
  <si>
    <t>Tel: 852 23107655</t>
  </si>
  <si>
    <t>Tel: Tel: 26127117558</t>
  </si>
  <si>
    <t>Tel: 86.754.836.9416</t>
  </si>
  <si>
    <t>Tel: +84 28 62873760</t>
  </si>
  <si>
    <t>Tel: (+84) 36201420</t>
  </si>
  <si>
    <t>Tel: 714-838-3110</t>
  </si>
  <si>
    <t>Tel: Tel: 646 318 8800</t>
  </si>
  <si>
    <t>Tel: Tel: 0769-22609802</t>
  </si>
  <si>
    <t>Tel: 818.522.4287</t>
  </si>
  <si>
    <t>Tel: 86 13735869749</t>
  </si>
  <si>
    <t>Tel: 917.689.8983</t>
  </si>
  <si>
    <t>Tel: 852 23545077</t>
  </si>
  <si>
    <t>Tel: 02-41-75-97-80</t>
  </si>
  <si>
    <t>Tel: 0086-571-87117581</t>
  </si>
  <si>
    <t>Tel: 01 55 90 71 20</t>
  </si>
  <si>
    <t>Tel: 33-9-7250-4076</t>
  </si>
  <si>
    <t>Tel: 33-145482828</t>
  </si>
  <si>
    <t>Tel: 33 (0) 1 42 96 77 24</t>
  </si>
  <si>
    <t>Tel: 86-21-61367255</t>
  </si>
  <si>
    <t>Tel: (+66)29261820</t>
  </si>
  <si>
    <t>Tel: 213 380 8071</t>
  </si>
  <si>
    <t>Tel: 233546700007, 0242855460</t>
  </si>
  <si>
    <t>Tel: 33-185096442</t>
  </si>
  <si>
    <t>Tel: 852-24226622 Ext.3331</t>
  </si>
  <si>
    <t>Tel: (0)1 83 97 72 51</t>
  </si>
  <si>
    <t>Tel: 0521 994068</t>
  </si>
  <si>
    <t>Tel: 37 256501126</t>
  </si>
  <si>
    <t>Tel: (714) 328-0282</t>
  </si>
  <si>
    <t>Tel: 33 (0)327 822 100</t>
  </si>
  <si>
    <t>Tel: 238 383 71 71</t>
  </si>
  <si>
    <t>Tel: 02.41.55.62.29</t>
  </si>
  <si>
    <t>Tel: 02 99 71 57 83</t>
  </si>
  <si>
    <t>Tel: 33(0)1-45 48 81 24</t>
  </si>
  <si>
    <t>Tel: 06 598868538</t>
  </si>
  <si>
    <t>Tel: 212-279-9310</t>
  </si>
  <si>
    <t xml:space="preserve">Tel: 216 71 651 100 </t>
  </si>
  <si>
    <t>Tel: 33 144779977</t>
  </si>
  <si>
    <t>Tel: 01 40 26 00 01</t>
  </si>
  <si>
    <t>Tel: 1 44 87 90 90</t>
  </si>
  <si>
    <t>Tel: 33-186640269</t>
  </si>
  <si>
    <t>Jonathan Simkhai</t>
  </si>
  <si>
    <t>653 N La Cienega Blvd</t>
    <phoneticPr fontId="3"/>
  </si>
  <si>
    <t>West Hollywood, CA</t>
    <phoneticPr fontId="3"/>
  </si>
  <si>
    <t>Tel: 646-590-0528</t>
    <phoneticPr fontId="3"/>
  </si>
  <si>
    <t>Hantex Garments Limited C/O PROTEX INDUSTRIAL (HK) LIMITED</t>
    <phoneticPr fontId="3"/>
  </si>
  <si>
    <t xml:space="preserve">FLAT A, 5/F, ON TAT INDUSTRIAL BUILDING, </t>
    <phoneticPr fontId="3"/>
  </si>
  <si>
    <t>3-5 PAT TAT STREET, SAN PO KONG, KOWLOON, HONG KONG</t>
    <phoneticPr fontId="3"/>
  </si>
  <si>
    <t>Tel: (+852) 35211421</t>
    <phoneticPr fontId="3"/>
  </si>
  <si>
    <t>Garry</t>
    <phoneticPr fontId="3"/>
  </si>
  <si>
    <t>File Name</t>
    <phoneticPr fontId="3"/>
  </si>
  <si>
    <t>Freight Charge</t>
    <phoneticPr fontId="3"/>
  </si>
  <si>
    <t>Invoice</t>
    <phoneticPr fontId="3"/>
  </si>
  <si>
    <t xml:space="preserve">      LA</t>
    <phoneticPr fontId="3"/>
  </si>
  <si>
    <t xml:space="preserve">      NY</t>
    <phoneticPr fontId="3"/>
  </si>
  <si>
    <t xml:space="preserve">     TOKYO</t>
    <phoneticPr fontId="3"/>
  </si>
  <si>
    <t>SUN FASHION CORP.</t>
    <phoneticPr fontId="53"/>
  </si>
  <si>
    <t>Made In</t>
    <phoneticPr fontId="3"/>
  </si>
  <si>
    <t>←標準は今日の日付</t>
    <rPh sb="1" eb="3">
      <t>ヒョウジュン</t>
    </rPh>
    <rPh sb="4" eb="6">
      <t>キョウ</t>
    </rPh>
    <rPh sb="7" eb="9">
      <t>ヒヅケ</t>
    </rPh>
    <phoneticPr fontId="3"/>
  </si>
  <si>
    <t>←クーリエ番号などはここに</t>
    <rPh sb="5" eb="7">
      <t>バンゴウ</t>
    </rPh>
    <phoneticPr fontId="3"/>
  </si>
  <si>
    <t>検索結果</t>
    <rPh sb="0" eb="2">
      <t>ケンサク</t>
    </rPh>
    <rPh sb="2" eb="4">
      <t>ケッカ</t>
    </rPh>
    <phoneticPr fontId="3"/>
  </si>
  <si>
    <t>SUN FASHION AMERICA, INC.</t>
  </si>
  <si>
    <t>SUN FASHION AMERICA, INC.</t>
    <phoneticPr fontId="3"/>
  </si>
  <si>
    <t>Kareen</t>
    <phoneticPr fontId="3"/>
  </si>
  <si>
    <t>固定</t>
    <rPh sb="0" eb="2">
      <t>コテイ</t>
    </rPh>
    <phoneticPr fontId="3"/>
  </si>
  <si>
    <t>MUFG BANK, LTD. OSAKA-NISHI BRANCH</t>
    <phoneticPr fontId="3"/>
  </si>
  <si>
    <t>1-7-17, AWAZA, NISHI-KU, OSAKA, JAPAN</t>
    <phoneticPr fontId="3"/>
  </si>
  <si>
    <t>SUN FASHION CORP.</t>
    <phoneticPr fontId="3"/>
  </si>
  <si>
    <t>BOTKJPJT</t>
    <phoneticPr fontId="3"/>
  </si>
  <si>
    <t>545-9019494</t>
    <phoneticPr fontId="3"/>
  </si>
  <si>
    <t>N/A</t>
    <phoneticPr fontId="3"/>
  </si>
  <si>
    <t>By T/T</t>
    <phoneticPr fontId="3"/>
  </si>
  <si>
    <t>EXW Japan</t>
    <phoneticPr fontId="3"/>
  </si>
  <si>
    <t>部署</t>
    <rPh sb="0" eb="2">
      <t>ブショ</t>
    </rPh>
    <phoneticPr fontId="3"/>
  </si>
  <si>
    <t>Fax: 06-6452-1641</t>
    <phoneticPr fontId="3"/>
  </si>
  <si>
    <t>担当者</t>
    <rPh sb="0" eb="3">
      <t>タントウシャ</t>
    </rPh>
    <phoneticPr fontId="3"/>
  </si>
  <si>
    <t>注文番号</t>
    <rPh sb="0" eb="4">
      <t>チュウモンバンゴウ</t>
    </rPh>
    <phoneticPr fontId="3"/>
  </si>
  <si>
    <t>AM</t>
    <phoneticPr fontId="3"/>
  </si>
  <si>
    <t>USER PO</t>
    <phoneticPr fontId="3"/>
  </si>
  <si>
    <t>491-0131</t>
  </si>
  <si>
    <t>0586-78-4640</t>
  </si>
  <si>
    <t>0586-51-0125</t>
  </si>
  <si>
    <t>541-0053</t>
  </si>
  <si>
    <t>06-6262-4431</t>
  </si>
  <si>
    <t>06-6262-4434</t>
  </si>
  <si>
    <t>542-0062</t>
  </si>
  <si>
    <t>06-6761-5772</t>
  </si>
  <si>
    <t>06-6761-5734</t>
  </si>
  <si>
    <t>252-0155</t>
  </si>
  <si>
    <t xml:space="preserve"> </t>
  </si>
  <si>
    <t>042-785-0136</t>
  </si>
  <si>
    <t>042-785-1279</t>
  </si>
  <si>
    <t>522-0027</t>
  </si>
  <si>
    <t>0749-27-6663</t>
  </si>
  <si>
    <t>0749-23-0711</t>
  </si>
  <si>
    <t>601-8162</t>
  </si>
  <si>
    <t>075-661-9227</t>
  </si>
  <si>
    <t>075-681-8304</t>
  </si>
  <si>
    <t>711-0904</t>
  </si>
  <si>
    <t>086-477-5111</t>
  </si>
  <si>
    <t>086-477-7707</t>
  </si>
  <si>
    <t>086-477-7531</t>
  </si>
  <si>
    <t>086-477-4156</t>
  </si>
  <si>
    <t>379-2312</t>
  </si>
  <si>
    <t>0277-77-1050</t>
  </si>
  <si>
    <t>0277-77-1055</t>
  </si>
  <si>
    <t>MURRAY</t>
  </si>
  <si>
    <t>619-0221</t>
  </si>
  <si>
    <t>0774-72-7834</t>
  </si>
  <si>
    <t>0774-73-3267</t>
  </si>
  <si>
    <t>915-0251</t>
  </si>
  <si>
    <t>0778-42-1875</t>
  </si>
  <si>
    <t>0778-42-1515</t>
  </si>
  <si>
    <t>915-0234</t>
  </si>
  <si>
    <t>0778-43-0810</t>
  </si>
  <si>
    <t>0778-43-0807</t>
  </si>
  <si>
    <t>919-2224</t>
  </si>
  <si>
    <t>0770-72-3100</t>
  </si>
  <si>
    <t>0770-72-3310</t>
  </si>
  <si>
    <t>541-0054</t>
  </si>
  <si>
    <t>06-6253-7311</t>
  </si>
  <si>
    <t>06-6253-7312</t>
  </si>
  <si>
    <t>915-0203</t>
  </si>
  <si>
    <t>0778-43-1233</t>
  </si>
  <si>
    <t>0778-43-1244</t>
  </si>
  <si>
    <t>603-8436</t>
  </si>
  <si>
    <t>075-493-5555</t>
  </si>
  <si>
    <t>075-493-0831</t>
  </si>
  <si>
    <t>920-0274</t>
  </si>
  <si>
    <t>076-286-3330</t>
  </si>
  <si>
    <t>076-286-2816</t>
  </si>
  <si>
    <t>564-0001</t>
  </si>
  <si>
    <t>06-6388-2115</t>
  </si>
  <si>
    <t>06-6384-2193</t>
  </si>
  <si>
    <t>532-0011</t>
  </si>
  <si>
    <t>06-6304-1147</t>
  </si>
  <si>
    <t>06-6304-1179</t>
  </si>
  <si>
    <t>929-1215</t>
  </si>
  <si>
    <t>076-281-1256</t>
  </si>
  <si>
    <t>076-281-2343</t>
  </si>
  <si>
    <t>591-8014</t>
  </si>
  <si>
    <t>072-259-8011</t>
  </si>
  <si>
    <t>072-257-2089</t>
  </si>
  <si>
    <t>910-0845</t>
  </si>
  <si>
    <t>0776-54-1119</t>
  </si>
  <si>
    <t>0776-54-1755</t>
  </si>
  <si>
    <t>507-0038</t>
  </si>
  <si>
    <t>0572-22-3345</t>
  </si>
  <si>
    <t>0572-23-8174</t>
  </si>
  <si>
    <t>543-0002</t>
  </si>
  <si>
    <t>06-6776-8920</t>
  </si>
  <si>
    <t>06-6772-1556</t>
  </si>
  <si>
    <t>076-285-2010</t>
  </si>
  <si>
    <t>076-285-2071</t>
  </si>
  <si>
    <t>929-1171</t>
  </si>
  <si>
    <t>076-285-2070</t>
  </si>
  <si>
    <t>915-0252</t>
  </si>
  <si>
    <t>0778-43-0323</t>
  </si>
  <si>
    <t>0778-43-0418</t>
  </si>
  <si>
    <t>612-8437</t>
  </si>
  <si>
    <t>075-643-5101</t>
  </si>
  <si>
    <t>075-642-3810</t>
  </si>
  <si>
    <t>03-5830-3913</t>
  </si>
  <si>
    <t>03-5830-3914</t>
  </si>
  <si>
    <t>524-0013</t>
  </si>
  <si>
    <t>077-514-2600</t>
  </si>
  <si>
    <t>077-514-2610</t>
  </si>
  <si>
    <t>529-1414</t>
  </si>
  <si>
    <t>0748-48-2289</t>
  </si>
  <si>
    <t>0748-48-5801</t>
  </si>
  <si>
    <t>076-281-0444</t>
  </si>
  <si>
    <t>076-282-5572</t>
  </si>
  <si>
    <t>601-8213</t>
  </si>
  <si>
    <t>075-921-1644</t>
  </si>
  <si>
    <t>075-935-2460</t>
  </si>
  <si>
    <t>602-0958</t>
  </si>
  <si>
    <t>075-451-0558</t>
  </si>
  <si>
    <t>075-414-0309</t>
  </si>
  <si>
    <t>417-0821</t>
  </si>
  <si>
    <t>0545-38-2311</t>
  </si>
  <si>
    <t>0545-38-0100</t>
  </si>
  <si>
    <t>665-0042</t>
  </si>
  <si>
    <t>0797-71-2121</t>
  </si>
  <si>
    <t>0797-71-2125</t>
  </si>
  <si>
    <t>06-6266-0623</t>
  </si>
  <si>
    <t>06-6266-0690</t>
  </si>
  <si>
    <t>916-0124</t>
  </si>
  <si>
    <t>0778-34-0373</t>
  </si>
  <si>
    <t>0778-34-2549</t>
  </si>
  <si>
    <t>915-0052</t>
  </si>
  <si>
    <t>0778-22-7142</t>
  </si>
  <si>
    <t>0778-23-5363</t>
  </si>
  <si>
    <t>918-8024</t>
  </si>
  <si>
    <t>0776-36-1333</t>
  </si>
  <si>
    <t>0776-36-1330</t>
  </si>
  <si>
    <t>929-1173</t>
  </si>
  <si>
    <t>076-285-3311</t>
  </si>
  <si>
    <t>076-285-3310</t>
  </si>
  <si>
    <t>925-0001</t>
  </si>
  <si>
    <t>0767-27-1011</t>
  </si>
  <si>
    <t>0767-27-1179</t>
  </si>
  <si>
    <t>919-0614</t>
  </si>
  <si>
    <t>0776-73-7111</t>
  </si>
  <si>
    <t>0776-73-7128</t>
  </si>
  <si>
    <t>581-0027</t>
  </si>
  <si>
    <t>072-922-0407</t>
  </si>
  <si>
    <t>072-992-7281</t>
  </si>
  <si>
    <t>541-0046</t>
  </si>
  <si>
    <t>06-6231-1521</t>
  </si>
  <si>
    <t>06-6231-3692</t>
  </si>
  <si>
    <t>916-0016</t>
  </si>
  <si>
    <t>0778-52-3800</t>
  </si>
  <si>
    <t>0778-52-7962</t>
  </si>
  <si>
    <t>553-0003</t>
  </si>
  <si>
    <t>06-6451-2735</t>
  </si>
  <si>
    <t>06-6458-1292</t>
  </si>
  <si>
    <t>915-0844</t>
  </si>
  <si>
    <t>0778-23-6348</t>
  </si>
  <si>
    <t>0778-23-6322</t>
  </si>
  <si>
    <t>602-8058</t>
  </si>
  <si>
    <t>075-441-8171</t>
  </si>
  <si>
    <t>075-441-0359</t>
  </si>
  <si>
    <t>326-0141</t>
  </si>
  <si>
    <t>0284-63-1405</t>
  </si>
  <si>
    <t>0284-62-6880</t>
  </si>
  <si>
    <t>567-0895</t>
  </si>
  <si>
    <t>0726-32-5489</t>
  </si>
  <si>
    <t>0726-32-5460</t>
  </si>
  <si>
    <t>06-4964-6810</t>
  </si>
  <si>
    <t>06-4964-1198</t>
  </si>
  <si>
    <t>616-8045</t>
  </si>
  <si>
    <t>075-464-0555</t>
  </si>
  <si>
    <t>075-464-0051</t>
  </si>
  <si>
    <t>616-8015</t>
  </si>
  <si>
    <t>075-462-5053</t>
  </si>
  <si>
    <t>075-461-6608</t>
  </si>
  <si>
    <t>915-0024</t>
  </si>
  <si>
    <t>0778-27-1576</t>
  </si>
  <si>
    <t>563-0023</t>
  </si>
  <si>
    <t>072-761-2223</t>
  </si>
  <si>
    <t>072-761-2218</t>
  </si>
  <si>
    <t>616-8182</t>
  </si>
  <si>
    <t>075-882-4103</t>
  </si>
  <si>
    <t>075-861-5018</t>
  </si>
  <si>
    <t>526-0103</t>
  </si>
  <si>
    <t>0749-72-2481</t>
  </si>
  <si>
    <t>0749-72-3220</t>
  </si>
  <si>
    <t>929-1127</t>
  </si>
  <si>
    <t>076-283-3535</t>
  </si>
  <si>
    <t>076-283-5117</t>
  </si>
  <si>
    <t>923-0824</t>
  </si>
  <si>
    <t>0761-47-2020</t>
  </si>
  <si>
    <t>0761-47-3479</t>
  </si>
  <si>
    <t>621-0814</t>
  </si>
  <si>
    <t>0728-70-8866</t>
  </si>
  <si>
    <t>0728-72-3331</t>
  </si>
  <si>
    <t>611-0043</t>
  </si>
  <si>
    <t>0774-24-8629</t>
  </si>
  <si>
    <t>0774-24-862.9</t>
  </si>
  <si>
    <t>711-0903</t>
  </si>
  <si>
    <t>086-477-7700</t>
  </si>
  <si>
    <t>086-477-7789</t>
  </si>
  <si>
    <t>602-8443</t>
  </si>
  <si>
    <t>075-441-0366</t>
  </si>
  <si>
    <t>075-6448-8010</t>
  </si>
  <si>
    <t>541-0057</t>
  </si>
  <si>
    <t>06-6267</t>
  </si>
  <si>
    <t>500-8384</t>
  </si>
  <si>
    <t>0588-255-3755</t>
  </si>
  <si>
    <t>058-255-3756</t>
  </si>
  <si>
    <t>135-0007</t>
  </si>
  <si>
    <t>03-3635-3386</t>
  </si>
  <si>
    <t>03-3635-3385</t>
  </si>
  <si>
    <t>916-0073</t>
  </si>
  <si>
    <t>0778-62-1230</t>
  </si>
  <si>
    <t>0778-62-1281</t>
  </si>
  <si>
    <t>918-8018</t>
  </si>
  <si>
    <t>0776-36-7743</t>
  </si>
  <si>
    <t>0776-34-4151</t>
  </si>
  <si>
    <t>430-0943</t>
  </si>
  <si>
    <t>053-452-1177</t>
  </si>
  <si>
    <t>053-453-5598</t>
  </si>
  <si>
    <t>910-0854</t>
  </si>
  <si>
    <t>0776-24-3111</t>
  </si>
  <si>
    <t>0776-22-1422</t>
  </si>
  <si>
    <t>581-0055</t>
  </si>
  <si>
    <t>072-990-3577</t>
  </si>
  <si>
    <t>072-990-3588</t>
  </si>
  <si>
    <t>925-0005</t>
  </si>
  <si>
    <t>0767-22-4764</t>
  </si>
  <si>
    <t>0767-22-5939</t>
  </si>
  <si>
    <t>721-0000</t>
  </si>
  <si>
    <t>084-962-2137</t>
  </si>
  <si>
    <t>086-962-3345</t>
  </si>
  <si>
    <t>0284-62-2129</t>
  </si>
  <si>
    <t>0284-62-6469</t>
  </si>
  <si>
    <t>076-281-0632</t>
  </si>
  <si>
    <t>076-282-5856</t>
  </si>
  <si>
    <t>076-283-2131</t>
  </si>
  <si>
    <t>076-283-2130</t>
  </si>
  <si>
    <t>103-0013</t>
  </si>
  <si>
    <t>03-5652-0071</t>
  </si>
  <si>
    <t>03-3639-0711</t>
  </si>
  <si>
    <t>929-1121</t>
  </si>
  <si>
    <t>076-283-5111</t>
  </si>
  <si>
    <t>076-283-5112</t>
  </si>
  <si>
    <t>617-0814</t>
  </si>
  <si>
    <t>075-952-5415</t>
  </si>
  <si>
    <t>075-952-9591</t>
  </si>
  <si>
    <t>602-8465</t>
  </si>
  <si>
    <t>075-432-2131</t>
  </si>
  <si>
    <t>075-432-2138</t>
  </si>
  <si>
    <t>929-1172</t>
  </si>
  <si>
    <t>076-285-0285</t>
  </si>
  <si>
    <t>076-285-1648</t>
  </si>
  <si>
    <t>923-0983</t>
  </si>
  <si>
    <t>0761-43-0050</t>
  </si>
  <si>
    <t>0761-43-0061</t>
  </si>
  <si>
    <t>603-8376</t>
  </si>
  <si>
    <t>075-463-5370</t>
  </si>
  <si>
    <t>075-464-5353</t>
  </si>
  <si>
    <t>910-0235</t>
  </si>
  <si>
    <t>0776-66-0788</t>
  </si>
  <si>
    <t>0776-67-1589</t>
  </si>
  <si>
    <t>541-0059</t>
  </si>
  <si>
    <t>06-6252-6971</t>
  </si>
  <si>
    <t>06-6252-6972</t>
  </si>
  <si>
    <t>661-0033</t>
  </si>
  <si>
    <t>06-6438-7021</t>
  </si>
  <si>
    <t>06-6438-4641</t>
  </si>
  <si>
    <t>925-0123</t>
  </si>
  <si>
    <t>0767-36-1124</t>
  </si>
  <si>
    <t>0767-36-1358</t>
  </si>
  <si>
    <t>111-0051</t>
  </si>
  <si>
    <t>03-3862-3394</t>
  </si>
  <si>
    <t>03-3864-1419</t>
  </si>
  <si>
    <t>537-0021</t>
  </si>
  <si>
    <t>06-6974-0033</t>
  </si>
  <si>
    <t>06-6971-7789</t>
  </si>
  <si>
    <t>910-8586</t>
  </si>
  <si>
    <t>919-0603</t>
  </si>
  <si>
    <t>0776-73-0475</t>
  </si>
  <si>
    <t>0776-73-4137</t>
  </si>
  <si>
    <t>537-0025</t>
  </si>
  <si>
    <t>06-6981-4127</t>
  </si>
  <si>
    <t>06-6974-7842</t>
  </si>
  <si>
    <t>915-0253</t>
  </si>
  <si>
    <t>0778-43-1333</t>
  </si>
  <si>
    <t>0778-42-0841</t>
  </si>
  <si>
    <t>923-0865</t>
  </si>
  <si>
    <t>0761-23-0441</t>
  </si>
  <si>
    <t>0761-21-2376</t>
  </si>
  <si>
    <t>929-0327</t>
  </si>
  <si>
    <t>076-289-6996</t>
  </si>
  <si>
    <t>076-289-6971</t>
  </si>
  <si>
    <t>600-8171</t>
  </si>
  <si>
    <t>075-351-5079</t>
  </si>
  <si>
    <t>075-361-7038</t>
  </si>
  <si>
    <t>079-556-2389</t>
  </si>
  <si>
    <t>376-0002</t>
  </si>
  <si>
    <t>0277-44-5026</t>
  </si>
  <si>
    <t>0277-46-2019</t>
  </si>
  <si>
    <t>0284-63-1406</t>
  </si>
  <si>
    <t>0284-62-6886</t>
  </si>
  <si>
    <t>711-0931</t>
  </si>
  <si>
    <t>086-472-3106</t>
  </si>
  <si>
    <t>086-474-5008</t>
  </si>
  <si>
    <t>916-1115</t>
  </si>
  <si>
    <t>0778-65-1151</t>
  </si>
  <si>
    <t>0778-65-1189</t>
  </si>
  <si>
    <t>610-1146</t>
  </si>
  <si>
    <t>075-874-6715</t>
  </si>
  <si>
    <t>075-874-6745</t>
  </si>
  <si>
    <r>
      <rPr>
        <sz val="11"/>
        <rFont val="MS UI Gothic"/>
        <family val="3"/>
        <charset val="128"/>
      </rPr>
      <t>アイメックス販売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</si>
  <si>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大阪市中央区南船場</t>
    </r>
    <r>
      <rPr>
        <sz val="11"/>
        <rFont val="Times New Roman"/>
        <family val="1"/>
      </rPr>
      <t>1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6-15</t>
    </r>
    <r>
      <rPr>
        <sz val="11"/>
        <rFont val="MS UI Gothic"/>
        <family val="3"/>
        <charset val="128"/>
      </rPr>
      <t>　</t>
    </r>
    <r>
      <rPr>
        <sz val="11"/>
        <rFont val="Times New Roman"/>
        <family val="1"/>
      </rPr>
      <t>1</t>
    </r>
    <r>
      <rPr>
        <sz val="11"/>
        <rFont val="MS UI Gothic"/>
        <family val="3"/>
        <charset val="128"/>
      </rPr>
      <t>･</t>
    </r>
    <r>
      <rPr>
        <sz val="11"/>
        <rFont val="Times New Roman"/>
        <family val="1"/>
      </rPr>
      <t>2</t>
    </r>
    <r>
      <rPr>
        <sz val="11"/>
        <rFont val="MS UI Gothic"/>
        <family val="3"/>
        <charset val="128"/>
      </rPr>
      <t>階</t>
    </r>
  </si>
  <si>
    <r>
      <rPr>
        <sz val="11"/>
        <rFont val="MS UI Gothic"/>
        <family val="3"/>
        <charset val="128"/>
      </rPr>
      <t>有限会社青山繊維加工</t>
    </r>
  </si>
  <si>
    <r>
      <rPr>
        <sz val="11"/>
        <rFont val="MS UI Gothic"/>
        <family val="3"/>
        <charset val="128"/>
      </rPr>
      <t>愛知県一宮市笹野</t>
    </r>
    <r>
      <rPr>
        <sz val="11"/>
        <rFont val="Times New Roman"/>
        <family val="1"/>
      </rPr>
      <t>24</t>
    </r>
    <r>
      <rPr>
        <sz val="11"/>
        <rFont val="MS UI Gothic"/>
        <family val="3"/>
        <charset val="128"/>
      </rPr>
      <t>番地</t>
    </r>
  </si>
  <si>
    <r>
      <rPr>
        <sz val="11"/>
        <rFont val="MS UI Gothic"/>
        <family val="3"/>
        <charset val="128"/>
      </rPr>
      <t>アゲハラベルベット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</si>
  <si>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大阪府大阪市中央区本町</t>
    </r>
    <r>
      <rPr>
        <sz val="11"/>
        <rFont val="Times New Roman"/>
        <family val="1"/>
      </rPr>
      <t>1-5-6</t>
    </r>
  </si>
  <si>
    <r>
      <rPr>
        <sz val="11"/>
        <rFont val="MS UI Gothic"/>
        <family val="3"/>
        <charset val="128"/>
      </rPr>
      <t>浅田株式会社</t>
    </r>
  </si>
  <si>
    <r>
      <rPr>
        <sz val="11"/>
        <rFont val="MS UI Gothic"/>
        <family val="3"/>
        <charset val="128"/>
      </rPr>
      <t>大阪府大阪市中央区上本町西</t>
    </r>
    <r>
      <rPr>
        <sz val="11"/>
        <rFont val="Times New Roman"/>
        <family val="1"/>
      </rPr>
      <t>5-2-29</t>
    </r>
  </si>
  <si>
    <r>
      <rPr>
        <sz val="11"/>
        <rFont val="MS UI Gothic"/>
        <family val="3"/>
        <charset val="128"/>
      </rPr>
      <t>株式会社イノウエ</t>
    </r>
  </si>
  <si>
    <r>
      <rPr>
        <sz val="11"/>
        <rFont val="MS UI Gothic"/>
        <family val="3"/>
        <charset val="128"/>
      </rPr>
      <t>神奈川県相模原市緑区鳥屋</t>
    </r>
    <r>
      <rPr>
        <sz val="11"/>
        <rFont val="Times New Roman"/>
        <family val="1"/>
      </rPr>
      <t>750</t>
    </r>
    <r>
      <rPr>
        <sz val="11"/>
        <rFont val="MS UI Gothic"/>
        <family val="3"/>
        <charset val="128"/>
      </rPr>
      <t>番</t>
    </r>
    <r>
      <rPr>
        <sz val="11"/>
        <rFont val="Times New Roman"/>
        <family val="1"/>
      </rPr>
      <t xml:space="preserve"> </t>
    </r>
  </si>
  <si>
    <r>
      <rPr>
        <sz val="11"/>
        <rFont val="MS UI Gothic"/>
        <family val="3"/>
        <charset val="128"/>
      </rPr>
      <t>株式会社イグチ</t>
    </r>
  </si>
  <si>
    <r>
      <rPr>
        <sz val="11"/>
        <rFont val="MS UI Gothic"/>
        <family val="3"/>
        <charset val="128"/>
      </rPr>
      <t>滋賀県彦根市東沼波町</t>
    </r>
    <r>
      <rPr>
        <sz val="11"/>
        <rFont val="Times New Roman"/>
        <family val="1"/>
      </rPr>
      <t>195-1</t>
    </r>
  </si>
  <si>
    <r>
      <rPr>
        <sz val="11"/>
        <rFont val="MS UI Gothic"/>
        <family val="3"/>
        <charset val="128"/>
      </rPr>
      <t>石川染工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</si>
  <si>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京都府京都市南区上鳥羽塔ノ森柴東町</t>
    </r>
    <r>
      <rPr>
        <sz val="11"/>
        <rFont val="Times New Roman"/>
        <family val="1"/>
      </rPr>
      <t xml:space="preserve"> 29-2</t>
    </r>
  </si>
  <si>
    <r>
      <rPr>
        <sz val="11"/>
        <rFont val="MS UI Gothic"/>
        <family val="3"/>
        <charset val="128"/>
      </rPr>
      <t>有限会社池田織物</t>
    </r>
  </si>
  <si>
    <r>
      <rPr>
        <sz val="11"/>
        <rFont val="MS UI Gothic"/>
        <family val="3"/>
        <charset val="128"/>
      </rPr>
      <t>岡山県倉敷市児島唐琴</t>
    </r>
    <r>
      <rPr>
        <sz val="11"/>
        <rFont val="Times New Roman"/>
        <family val="1"/>
      </rPr>
      <t>4-10-26</t>
    </r>
  </si>
  <si>
    <r>
      <rPr>
        <sz val="11"/>
        <rFont val="MS UI Gothic"/>
        <family val="3"/>
        <charset val="128"/>
      </rPr>
      <t>株式会社池田製紐所</t>
    </r>
  </si>
  <si>
    <r>
      <rPr>
        <sz val="11"/>
        <rFont val="MS UI Gothic"/>
        <family val="3"/>
        <charset val="128"/>
      </rPr>
      <t>岡山県倉敷市児島唐琴</t>
    </r>
    <r>
      <rPr>
        <sz val="11"/>
        <rFont val="Times New Roman"/>
        <family val="1"/>
      </rPr>
      <t>2-4-24</t>
    </r>
  </si>
  <si>
    <r>
      <rPr>
        <sz val="11"/>
        <rFont val="MS UI Gothic"/>
        <family val="3"/>
        <charset val="128"/>
      </rPr>
      <t>株式会社市川鉄工</t>
    </r>
  </si>
  <si>
    <r>
      <rPr>
        <sz val="11"/>
        <rFont val="MS UI Gothic"/>
        <family val="3"/>
        <charset val="128"/>
      </rPr>
      <t>群馬県みどり市笠懸町久宮</t>
    </r>
    <r>
      <rPr>
        <sz val="11"/>
        <rFont val="Times New Roman"/>
        <family val="1"/>
      </rPr>
      <t>364-1</t>
    </r>
  </si>
  <si>
    <r>
      <rPr>
        <sz val="11"/>
        <rFont val="MS UI Gothic"/>
        <family val="3"/>
        <charset val="128"/>
      </rPr>
      <t>京都府木津川市吐師郷和田</t>
    </r>
    <r>
      <rPr>
        <sz val="11"/>
        <rFont val="Times New Roman"/>
        <family val="1"/>
      </rPr>
      <t>10</t>
    </r>
    <r>
      <rPr>
        <sz val="11"/>
        <rFont val="MS UI Gothic"/>
        <family val="3"/>
        <charset val="128"/>
      </rPr>
      <t>番地</t>
    </r>
  </si>
  <si>
    <r>
      <rPr>
        <sz val="11"/>
        <rFont val="MS UI Gothic"/>
        <family val="3"/>
        <charset val="128"/>
      </rPr>
      <t>今立織物有限会社</t>
    </r>
  </si>
  <si>
    <r>
      <rPr>
        <sz val="11"/>
        <rFont val="MS UI Gothic"/>
        <family val="3"/>
        <charset val="128"/>
      </rPr>
      <t>福井県越前市東庄境町</t>
    </r>
    <r>
      <rPr>
        <sz val="11"/>
        <rFont val="Times New Roman"/>
        <family val="1"/>
      </rPr>
      <t>3-8</t>
    </r>
  </si>
  <si>
    <r>
      <rPr>
        <sz val="11"/>
        <rFont val="MS UI Gothic"/>
        <family val="3"/>
        <charset val="128"/>
      </rPr>
      <t>井上リボン工業株式会社</t>
    </r>
  </si>
  <si>
    <r>
      <rPr>
        <sz val="11"/>
        <rFont val="MS UI Gothic"/>
        <family val="3"/>
        <charset val="128"/>
      </rPr>
      <t>上田バイアス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</si>
  <si>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株式会社槍田繊維</t>
    </r>
  </si>
  <si>
    <r>
      <rPr>
        <sz val="11"/>
        <rFont val="MS UI Gothic"/>
        <family val="3"/>
        <charset val="128"/>
      </rPr>
      <t>福井県大飯郡高浜町薗部</t>
    </r>
    <r>
      <rPr>
        <sz val="11"/>
        <rFont val="Times New Roman"/>
        <family val="1"/>
      </rPr>
      <t>57-9</t>
    </r>
  </si>
  <si>
    <r>
      <rPr>
        <sz val="11"/>
        <rFont val="MS UI Gothic"/>
        <family val="3"/>
        <charset val="128"/>
      </rPr>
      <t>宇仁繊維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</si>
  <si>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大阪市中央区南本町</t>
    </r>
    <r>
      <rPr>
        <sz val="11"/>
        <rFont val="Times New Roman"/>
        <family val="1"/>
      </rPr>
      <t>2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6-12</t>
    </r>
  </si>
  <si>
    <r>
      <rPr>
        <sz val="11"/>
        <rFont val="MS UI Gothic"/>
        <family val="3"/>
        <charset val="128"/>
      </rPr>
      <t>マリオンタワー</t>
    </r>
    <r>
      <rPr>
        <sz val="11"/>
        <rFont val="Times New Roman"/>
        <family val="1"/>
      </rPr>
      <t>13F</t>
    </r>
  </si>
  <si>
    <r>
      <rPr>
        <sz val="11"/>
        <rFont val="MS UI Gothic"/>
        <family val="3"/>
        <charset val="128"/>
      </rPr>
      <t>宇野細巾株式会社</t>
    </r>
  </si>
  <si>
    <r>
      <rPr>
        <sz val="11"/>
        <rFont val="MS UI Gothic"/>
        <family val="3"/>
        <charset val="128"/>
      </rPr>
      <t>福井県越前市清根町</t>
    </r>
    <r>
      <rPr>
        <sz val="11"/>
        <rFont val="Times New Roman"/>
        <family val="1"/>
      </rPr>
      <t>25-6-1</t>
    </r>
  </si>
  <si>
    <r>
      <rPr>
        <sz val="11"/>
        <rFont val="MS UI Gothic"/>
        <family val="3"/>
        <charset val="128"/>
      </rPr>
      <t>株式会社浦瀬産業</t>
    </r>
  </si>
  <si>
    <r>
      <rPr>
        <sz val="11"/>
        <rFont val="MS UI Gothic"/>
        <family val="3"/>
        <charset val="128"/>
      </rPr>
      <t>京都府京都市北区紫竹西栗栖町</t>
    </r>
    <r>
      <rPr>
        <sz val="11"/>
        <rFont val="Times New Roman"/>
        <family val="1"/>
      </rPr>
      <t xml:space="preserve">5 </t>
    </r>
  </si>
  <si>
    <r>
      <rPr>
        <sz val="11"/>
        <rFont val="MS UI Gothic"/>
        <family val="3"/>
        <charset val="128"/>
      </rPr>
      <t>オージーテック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有限会社</t>
    </r>
  </si>
  <si>
    <r>
      <rPr>
        <sz val="11"/>
        <rFont val="MS UI Gothic"/>
        <family val="3"/>
        <charset val="128"/>
      </rPr>
      <t>エム繊維株式会社</t>
    </r>
  </si>
  <si>
    <r>
      <rPr>
        <sz val="11"/>
        <rFont val="MS UI Gothic"/>
        <family val="3"/>
        <charset val="128"/>
      </rPr>
      <t>石川県河北郡内灘町向粟崎</t>
    </r>
    <r>
      <rPr>
        <sz val="11"/>
        <rFont val="Times New Roman"/>
        <family val="1"/>
      </rPr>
      <t>5-243</t>
    </r>
  </si>
  <si>
    <r>
      <rPr>
        <sz val="11"/>
        <rFont val="MS UI Gothic"/>
        <family val="3"/>
        <charset val="128"/>
      </rPr>
      <t>太田製作所</t>
    </r>
  </si>
  <si>
    <r>
      <rPr>
        <sz val="11"/>
        <rFont val="MS UI Gothic"/>
        <family val="3"/>
        <charset val="128"/>
      </rPr>
      <t>大阪府吹田市岸部北</t>
    </r>
    <r>
      <rPr>
        <sz val="11"/>
        <rFont val="Times New Roman"/>
        <family val="1"/>
      </rPr>
      <t>3-6-22</t>
    </r>
  </si>
  <si>
    <r>
      <rPr>
        <sz val="11"/>
        <rFont val="MS UI Gothic"/>
        <family val="3"/>
        <charset val="128"/>
      </rPr>
      <t>落合レース株式会社</t>
    </r>
  </si>
  <si>
    <r>
      <rPr>
        <sz val="11"/>
        <rFont val="MS UI Gothic"/>
        <family val="3"/>
        <charset val="128"/>
      </rPr>
      <t>大阪府大阪市淀川区西中島</t>
    </r>
    <r>
      <rPr>
        <sz val="11"/>
        <rFont val="Times New Roman"/>
        <family val="1"/>
      </rPr>
      <t>2-6-21</t>
    </r>
  </si>
  <si>
    <r>
      <rPr>
        <sz val="11"/>
        <rFont val="MS UI Gothic"/>
        <family val="3"/>
        <charset val="128"/>
      </rPr>
      <t>有限会社沖野ファッション</t>
    </r>
  </si>
  <si>
    <r>
      <rPr>
        <sz val="11"/>
        <rFont val="MS UI Gothic"/>
        <family val="3"/>
        <charset val="128"/>
      </rPr>
      <t>石川県かほく市高松ナ</t>
    </r>
    <r>
      <rPr>
        <sz val="11"/>
        <rFont val="Times New Roman"/>
        <family val="1"/>
      </rPr>
      <t>116-1</t>
    </r>
  </si>
  <si>
    <r>
      <rPr>
        <sz val="11"/>
        <rFont val="MS UI Gothic"/>
        <family val="3"/>
        <charset val="128"/>
      </rPr>
      <t>有限会社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織元すみや</t>
    </r>
  </si>
  <si>
    <r>
      <rPr>
        <sz val="11"/>
        <rFont val="MS UI Gothic"/>
        <family val="3"/>
        <charset val="128"/>
      </rPr>
      <t>　　</t>
    </r>
  </si>
  <si>
    <r>
      <rPr>
        <sz val="11"/>
        <rFont val="MS UI Gothic"/>
        <family val="3"/>
        <charset val="128"/>
      </rPr>
      <t>カツミ産業株式会社</t>
    </r>
  </si>
  <si>
    <r>
      <rPr>
        <sz val="11"/>
        <rFont val="MS UI Gothic"/>
        <family val="3"/>
        <charset val="128"/>
      </rPr>
      <t>大阪府堺市北区八下北</t>
    </r>
    <r>
      <rPr>
        <sz val="11"/>
        <rFont val="Times New Roman"/>
        <family val="1"/>
      </rPr>
      <t>2-51</t>
    </r>
  </si>
  <si>
    <r>
      <rPr>
        <sz val="11"/>
        <rFont val="MS UI Gothic"/>
        <family val="3"/>
        <charset val="128"/>
      </rPr>
      <t>川崎リボン工業株式会社</t>
    </r>
  </si>
  <si>
    <r>
      <rPr>
        <sz val="11"/>
        <rFont val="MS UI Gothic"/>
        <family val="3"/>
        <charset val="128"/>
      </rPr>
      <t>福井県福井市志比口</t>
    </r>
    <r>
      <rPr>
        <sz val="11"/>
        <rFont val="Times New Roman"/>
        <family val="1"/>
      </rPr>
      <t>2-1-15</t>
    </r>
  </si>
  <si>
    <r>
      <rPr>
        <sz val="11"/>
        <rFont val="MS UI Gothic"/>
        <family val="3"/>
        <charset val="128"/>
      </rPr>
      <t>川村製紐工業株式会社</t>
    </r>
  </si>
  <si>
    <r>
      <rPr>
        <sz val="11"/>
        <rFont val="MS UI Gothic"/>
        <family val="3"/>
        <charset val="128"/>
      </rPr>
      <t>岐阜県多治見市白山町</t>
    </r>
    <r>
      <rPr>
        <sz val="11"/>
        <rFont val="Times New Roman"/>
        <family val="1"/>
      </rPr>
      <t>1-1</t>
    </r>
  </si>
  <si>
    <r>
      <rPr>
        <sz val="11"/>
        <rFont val="MS UI Gothic"/>
        <family val="3"/>
        <charset val="128"/>
      </rPr>
      <t>関西アサヒ株式会社</t>
    </r>
  </si>
  <si>
    <r>
      <rPr>
        <sz val="11"/>
        <rFont val="MS UI Gothic"/>
        <family val="3"/>
        <charset val="128"/>
      </rPr>
      <t>大阪府大阪市天王寺区上汐</t>
    </r>
    <r>
      <rPr>
        <sz val="11"/>
        <rFont val="Times New Roman"/>
        <family val="1"/>
      </rPr>
      <t>5-1-1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</si>
  <si>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カンダ</t>
    </r>
  </si>
  <si>
    <r>
      <rPr>
        <sz val="11"/>
        <rFont val="MS UI Gothic"/>
        <family val="3"/>
        <charset val="128"/>
      </rPr>
      <t>　</t>
    </r>
  </si>
  <si>
    <r>
      <rPr>
        <sz val="11"/>
        <rFont val="MS UI Gothic"/>
        <family val="3"/>
        <charset val="128"/>
      </rPr>
      <t>キンキテープ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</si>
  <si>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気谷</t>
    </r>
    <r>
      <rPr>
        <sz val="11"/>
        <rFont val="Times New Roman"/>
        <family val="1"/>
      </rPr>
      <t xml:space="preserve"> (3464)</t>
    </r>
  </si>
  <si>
    <r>
      <rPr>
        <sz val="11"/>
        <rFont val="MS UI Gothic"/>
        <family val="3"/>
        <charset val="128"/>
      </rPr>
      <t>石川県かほく市木津ハ</t>
    </r>
    <r>
      <rPr>
        <sz val="11"/>
        <rFont val="Times New Roman"/>
        <family val="1"/>
      </rPr>
      <t>41-2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</si>
  <si>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気谷</t>
    </r>
    <r>
      <rPr>
        <sz val="11"/>
        <rFont val="Times New Roman"/>
        <family val="1"/>
      </rPr>
      <t xml:space="preserve"> (3150</t>
    </r>
    <r>
      <rPr>
        <sz val="11"/>
        <rFont val="MS UI Gothic"/>
        <family val="3"/>
        <charset val="128"/>
      </rPr>
      <t>、</t>
    </r>
    <r>
      <rPr>
        <sz val="11"/>
        <rFont val="Times New Roman"/>
        <family val="1"/>
      </rPr>
      <t>3163)</t>
    </r>
  </si>
  <si>
    <r>
      <rPr>
        <sz val="11"/>
        <rFont val="MS UI Gothic"/>
        <family val="3"/>
        <charset val="128"/>
      </rPr>
      <t>木津織物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</si>
  <si>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福井県越前市西庄境町</t>
    </r>
    <r>
      <rPr>
        <sz val="11"/>
        <rFont val="Times New Roman"/>
        <family val="1"/>
      </rPr>
      <t>1-1</t>
    </r>
  </si>
  <si>
    <r>
      <rPr>
        <sz val="11"/>
        <rFont val="MS UI Gothic"/>
        <family val="3"/>
        <charset val="128"/>
      </rPr>
      <t>キョウトテックス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</si>
  <si>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京都府京都市伏見区深草小久保町</t>
    </r>
    <r>
      <rPr>
        <sz val="11"/>
        <rFont val="Times New Roman"/>
        <family val="1"/>
      </rPr>
      <t>367</t>
    </r>
  </si>
  <si>
    <r>
      <rPr>
        <sz val="11"/>
        <rFont val="MS UI Gothic"/>
        <family val="3"/>
        <charset val="128"/>
      </rPr>
      <t>協和レース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</si>
  <si>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クボリキレース</t>
    </r>
  </si>
  <si>
    <r>
      <rPr>
        <sz val="11"/>
        <rFont val="MS UI Gothic"/>
        <family val="3"/>
        <charset val="128"/>
      </rPr>
      <t>滋賀県守山市下之郷</t>
    </r>
    <r>
      <rPr>
        <sz val="11"/>
        <rFont val="Times New Roman"/>
        <family val="1"/>
      </rPr>
      <t>3-8-6</t>
    </r>
  </si>
  <si>
    <r>
      <rPr>
        <sz val="11"/>
        <rFont val="MS UI Gothic"/>
        <family val="3"/>
        <charset val="128"/>
      </rPr>
      <t>ホームアシスタントクローバ</t>
    </r>
  </si>
  <si>
    <r>
      <rPr>
        <sz val="11"/>
        <rFont val="MS UI Gothic"/>
        <family val="3"/>
        <charset val="128"/>
      </rPr>
      <t>滋賀県東近江市五個荘中町</t>
    </r>
    <r>
      <rPr>
        <sz val="11"/>
        <rFont val="Times New Roman"/>
        <family val="1"/>
      </rPr>
      <t>67</t>
    </r>
  </si>
  <si>
    <r>
      <rPr>
        <sz val="11"/>
        <rFont val="MS UI Gothic"/>
        <family val="3"/>
        <charset val="128"/>
      </rPr>
      <t>黒川ウェーブ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</si>
  <si>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石川県かほく市高松テ</t>
    </r>
    <r>
      <rPr>
        <sz val="11"/>
        <rFont val="Times New Roman"/>
        <family val="1"/>
      </rPr>
      <t>8-1</t>
    </r>
  </si>
  <si>
    <r>
      <rPr>
        <sz val="11"/>
        <rFont val="MS UI Gothic"/>
        <family val="3"/>
        <charset val="128"/>
      </rPr>
      <t>宏和産業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</si>
  <si>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国際文化ﾈｰﾑ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</si>
  <si>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東京都品川区東五反田</t>
    </r>
    <r>
      <rPr>
        <sz val="11"/>
        <rFont val="Times New Roman"/>
        <family val="1"/>
      </rPr>
      <t>5-27-10</t>
    </r>
  </si>
  <si>
    <r>
      <rPr>
        <sz val="11"/>
        <rFont val="MS UI Gothic"/>
        <family val="3"/>
        <charset val="128"/>
      </rPr>
      <t>野村ビル</t>
    </r>
    <r>
      <rPr>
        <sz val="11"/>
        <rFont val="Times New Roman"/>
        <family val="1"/>
      </rPr>
      <t>2F</t>
    </r>
  </si>
  <si>
    <r>
      <rPr>
        <sz val="11"/>
        <rFont val="MS UI Gothic"/>
        <family val="3"/>
        <charset val="128"/>
      </rPr>
      <t>小杉染色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</si>
  <si>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京都市南区久世中久世町</t>
    </r>
    <r>
      <rPr>
        <sz val="11"/>
        <rFont val="Times New Roman"/>
        <family val="1"/>
      </rPr>
      <t xml:space="preserve"> 5-69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</si>
  <si>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小西リボン</t>
    </r>
  </si>
  <si>
    <r>
      <rPr>
        <sz val="11"/>
        <rFont val="MS UI Gothic"/>
        <family val="3"/>
        <charset val="128"/>
      </rPr>
      <t>京都府京都市上京区仲之町（元誓</t>
    </r>
  </si>
  <si>
    <r>
      <rPr>
        <sz val="11"/>
        <rFont val="MS UI Gothic"/>
        <family val="3"/>
        <charset val="128"/>
      </rPr>
      <t>願寺通堀川東入）</t>
    </r>
    <r>
      <rPr>
        <sz val="11"/>
        <rFont val="Times New Roman"/>
        <family val="1"/>
      </rPr>
      <t>463</t>
    </r>
  </si>
  <si>
    <r>
      <rPr>
        <sz val="11"/>
        <rFont val="MS UI Gothic"/>
        <family val="3"/>
        <charset val="128"/>
      </rPr>
      <t>小堀リボン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</si>
  <si>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こるどん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</si>
  <si>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静岡県富士市神谷</t>
    </r>
    <r>
      <rPr>
        <sz val="11"/>
        <rFont val="Times New Roman"/>
        <family val="1"/>
      </rPr>
      <t>819</t>
    </r>
  </si>
  <si>
    <r>
      <rPr>
        <sz val="11"/>
        <rFont val="MS UI Gothic"/>
        <family val="3"/>
        <charset val="128"/>
      </rPr>
      <t>栄レース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</si>
  <si>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兵庫県宝塚市美幸町</t>
    </r>
    <r>
      <rPr>
        <sz val="11"/>
        <rFont val="Times New Roman"/>
        <family val="1"/>
      </rPr>
      <t>10-51</t>
    </r>
  </si>
  <si>
    <r>
      <rPr>
        <sz val="11"/>
        <rFont val="MS UI Gothic"/>
        <family val="3"/>
        <charset val="128"/>
      </rPr>
      <t>大阪府大阪市中央区本町</t>
    </r>
    <r>
      <rPr>
        <sz val="11"/>
        <rFont val="Times New Roman"/>
        <family val="1"/>
      </rPr>
      <t>2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1-6</t>
    </r>
  </si>
  <si>
    <r>
      <rPr>
        <sz val="11"/>
        <rFont val="MS UI Gothic"/>
        <family val="3"/>
        <charset val="128"/>
      </rPr>
      <t>堺筋本町センタービル</t>
    </r>
    <r>
      <rPr>
        <sz val="11"/>
        <rFont val="Times New Roman"/>
        <family val="1"/>
      </rPr>
      <t>4F</t>
    </r>
  </si>
  <si>
    <r>
      <rPr>
        <sz val="11"/>
        <rFont val="MS UI Gothic"/>
        <family val="3"/>
        <charset val="128"/>
      </rPr>
      <t>佐々木細幅織物株式会社</t>
    </r>
  </si>
  <si>
    <r>
      <rPr>
        <sz val="11"/>
        <rFont val="MS UI Gothic"/>
        <family val="3"/>
        <charset val="128"/>
      </rPr>
      <t>福井県丹生郡越前町宝泉寺</t>
    </r>
    <r>
      <rPr>
        <sz val="11"/>
        <rFont val="Times New Roman"/>
        <family val="1"/>
      </rPr>
      <t>22-8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</si>
  <si>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山英</t>
    </r>
  </si>
  <si>
    <r>
      <rPr>
        <sz val="11"/>
        <rFont val="MS UI Gothic"/>
        <family val="3"/>
        <charset val="128"/>
      </rPr>
      <t>福井県越前市矢放町</t>
    </r>
    <r>
      <rPr>
        <sz val="11"/>
        <rFont val="Times New Roman"/>
        <family val="1"/>
      </rPr>
      <t>10-15-1</t>
    </r>
  </si>
  <si>
    <r>
      <rPr>
        <sz val="11"/>
        <rFont val="MS UI Gothic"/>
        <family val="3"/>
        <charset val="128"/>
      </rPr>
      <t>三和繊維株式会社</t>
    </r>
  </si>
  <si>
    <r>
      <rPr>
        <sz val="11"/>
        <rFont val="MS UI Gothic"/>
        <family val="3"/>
        <charset val="128"/>
      </rPr>
      <t>福井県福井市舞屋町</t>
    </r>
    <r>
      <rPr>
        <sz val="11"/>
        <rFont val="Times New Roman"/>
        <family val="1"/>
      </rPr>
      <t>15-11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</si>
  <si>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シオモト製紐</t>
    </r>
  </si>
  <si>
    <r>
      <rPr>
        <sz val="11"/>
        <rFont val="MS UI Gothic"/>
        <family val="3"/>
        <charset val="128"/>
      </rPr>
      <t>石川県かほく市遠塚ロ</t>
    </r>
    <r>
      <rPr>
        <sz val="11"/>
        <rFont val="Times New Roman"/>
        <family val="1"/>
      </rPr>
      <t>36-17</t>
    </r>
  </si>
  <si>
    <r>
      <rPr>
        <sz val="11"/>
        <rFont val="MS UI Gothic"/>
        <family val="3"/>
        <charset val="128"/>
      </rPr>
      <t>柴垣織物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</si>
  <si>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羽咋市柴垣町砂山１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</si>
  <si>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>SHINDO</t>
    </r>
  </si>
  <si>
    <r>
      <rPr>
        <sz val="11"/>
        <rFont val="MS UI Gothic"/>
        <family val="3"/>
        <charset val="128"/>
      </rPr>
      <t>福井県あわら市伊井</t>
    </r>
    <r>
      <rPr>
        <sz val="11"/>
        <rFont val="Times New Roman"/>
        <family val="1"/>
      </rPr>
      <t>11-1-1</t>
    </r>
  </si>
  <si>
    <r>
      <rPr>
        <sz val="11"/>
        <rFont val="MS UI Gothic"/>
        <family val="3"/>
        <charset val="128"/>
      </rPr>
      <t>株式会社スギタ</t>
    </r>
  </si>
  <si>
    <r>
      <rPr>
        <sz val="11"/>
        <rFont val="MS UI Gothic"/>
        <family val="3"/>
        <charset val="128"/>
      </rPr>
      <t>大阪府八尾市八尾木</t>
    </r>
    <r>
      <rPr>
        <sz val="11"/>
        <rFont val="Times New Roman"/>
        <family val="1"/>
      </rPr>
      <t>1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230</t>
    </r>
    <r>
      <rPr>
        <sz val="11"/>
        <rFont val="MS UI Gothic"/>
        <family val="3"/>
        <charset val="128"/>
      </rPr>
      <t>番地</t>
    </r>
  </si>
  <si>
    <r>
      <rPr>
        <sz val="11"/>
        <rFont val="MS UI Gothic"/>
        <family val="3"/>
        <charset val="128"/>
      </rPr>
      <t>双日ファッション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</si>
  <si>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大阪市中央区平野町</t>
    </r>
    <r>
      <rPr>
        <sz val="11"/>
        <rFont val="Times New Roman"/>
        <family val="1"/>
      </rPr>
      <t xml:space="preserve"> 2-1-2</t>
    </r>
  </si>
  <si>
    <r>
      <rPr>
        <sz val="11"/>
        <rFont val="MS UI Gothic"/>
        <family val="3"/>
        <charset val="128"/>
      </rPr>
      <t>高島リボン株式会社</t>
    </r>
  </si>
  <si>
    <r>
      <rPr>
        <sz val="11"/>
        <rFont val="MS UI Gothic"/>
        <family val="3"/>
        <charset val="128"/>
      </rPr>
      <t>福井県鯖江市神中町</t>
    </r>
    <r>
      <rPr>
        <sz val="11"/>
        <rFont val="Times New Roman"/>
        <family val="1"/>
      </rPr>
      <t>2-6-36</t>
    </r>
  </si>
  <si>
    <r>
      <rPr>
        <sz val="11"/>
        <rFont val="MS UI Gothic"/>
        <family val="3"/>
        <charset val="128"/>
      </rPr>
      <t>高島ﾘﾎﾞﾝ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</si>
  <si>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武正株式会社</t>
    </r>
  </si>
  <si>
    <r>
      <rPr>
        <sz val="11"/>
        <rFont val="MS UI Gothic"/>
        <family val="3"/>
        <charset val="128"/>
      </rPr>
      <t>大阪府大阪市福島区福島</t>
    </r>
    <r>
      <rPr>
        <sz val="11"/>
        <rFont val="Times New Roman"/>
        <family val="1"/>
      </rPr>
      <t>1-3-1</t>
    </r>
  </si>
  <si>
    <r>
      <rPr>
        <sz val="11"/>
        <rFont val="MS UI Gothic"/>
        <family val="3"/>
        <charset val="128"/>
      </rPr>
      <t>ダイソセンイ株式会社</t>
    </r>
  </si>
  <si>
    <r>
      <rPr>
        <sz val="11"/>
        <rFont val="MS UI Gothic"/>
        <family val="3"/>
        <charset val="128"/>
      </rPr>
      <t>福井県越前市妙法寺町</t>
    </r>
    <r>
      <rPr>
        <sz val="11"/>
        <rFont val="Times New Roman"/>
        <family val="1"/>
      </rPr>
      <t>21-1-1</t>
    </r>
  </si>
  <si>
    <r>
      <rPr>
        <sz val="11"/>
        <rFont val="MS UI Gothic"/>
        <family val="3"/>
        <charset val="128"/>
      </rPr>
      <t>大一株式会社</t>
    </r>
  </si>
  <si>
    <r>
      <rPr>
        <sz val="11"/>
        <rFont val="MS UI Gothic"/>
        <family val="3"/>
        <charset val="128"/>
      </rPr>
      <t>京都府京都市上京区上長者町通東</t>
    </r>
  </si>
  <si>
    <r>
      <rPr>
        <sz val="11"/>
        <rFont val="MS UI Gothic"/>
        <family val="3"/>
        <charset val="128"/>
      </rPr>
      <t>株式会社大定</t>
    </r>
  </si>
  <si>
    <r>
      <rPr>
        <sz val="11"/>
        <rFont val="MS UI Gothic"/>
        <family val="3"/>
        <charset val="128"/>
      </rPr>
      <t>栃木県足利市小俣町</t>
    </r>
    <r>
      <rPr>
        <sz val="11"/>
        <rFont val="Times New Roman"/>
        <family val="1"/>
      </rPr>
      <t>859-1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</si>
  <si>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つむぎプラン</t>
    </r>
  </si>
  <si>
    <r>
      <rPr>
        <sz val="11"/>
        <rFont val="MS UI Gothic"/>
        <family val="3"/>
        <charset val="128"/>
      </rPr>
      <t>敦賀繊維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</si>
  <si>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中越ﾚｰｽ工業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</si>
  <si>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ティーワイ通商</t>
    </r>
  </si>
  <si>
    <r>
      <rPr>
        <sz val="11"/>
        <rFont val="MS UI Gothic"/>
        <family val="3"/>
        <charset val="128"/>
      </rPr>
      <t>大阪府茨木市玉櫛</t>
    </r>
    <r>
      <rPr>
        <sz val="11"/>
        <rFont val="Times New Roman"/>
        <family val="1"/>
      </rPr>
      <t>2-17-21</t>
    </r>
  </si>
  <si>
    <r>
      <rPr>
        <sz val="11"/>
        <rFont val="MS UI Gothic"/>
        <family val="3"/>
        <charset val="128"/>
      </rPr>
      <t>同興商事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</si>
  <si>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トーホー株式会社</t>
    </r>
  </si>
  <si>
    <r>
      <rPr>
        <sz val="11"/>
        <rFont val="MS UI Gothic"/>
        <family val="3"/>
        <charset val="128"/>
      </rPr>
      <t>大阪府大阪市中央区本町</t>
    </r>
    <r>
      <rPr>
        <sz val="11"/>
        <rFont val="Times New Roman"/>
        <family val="1"/>
      </rPr>
      <t>2-1-6</t>
    </r>
  </si>
  <si>
    <r>
      <rPr>
        <sz val="11"/>
        <rFont val="MS UI Gothic"/>
        <family val="3"/>
        <charset val="128"/>
      </rPr>
      <t>堺筋本町センタービル</t>
    </r>
    <r>
      <rPr>
        <sz val="11"/>
        <rFont val="Times New Roman"/>
        <family val="1"/>
      </rPr>
      <t>11F</t>
    </r>
  </si>
  <si>
    <r>
      <rPr>
        <sz val="11"/>
        <rFont val="MS UI Gothic"/>
        <family val="3"/>
        <charset val="128"/>
      </rPr>
      <t>株式会社堂本</t>
    </r>
  </si>
  <si>
    <r>
      <rPr>
        <sz val="11"/>
        <rFont val="MS UI Gothic"/>
        <family val="3"/>
        <charset val="128"/>
      </rPr>
      <t>京都府京都市右京区花園内畑町</t>
    </r>
    <r>
      <rPr>
        <sz val="11"/>
        <rFont val="Times New Roman"/>
        <family val="1"/>
      </rPr>
      <t>10</t>
    </r>
  </si>
  <si>
    <r>
      <rPr>
        <sz val="11"/>
        <rFont val="MS UI Gothic"/>
        <family val="3"/>
        <charset val="128"/>
      </rPr>
      <t>堂本製紐工業株式会社</t>
    </r>
  </si>
  <si>
    <r>
      <rPr>
        <sz val="11"/>
        <rFont val="MS UI Gothic"/>
        <family val="3"/>
        <charset val="128"/>
      </rPr>
      <t>京都府京都市右京区谷口園町</t>
    </r>
    <r>
      <rPr>
        <sz val="11"/>
        <rFont val="Times New Roman"/>
        <family val="1"/>
      </rPr>
      <t>24</t>
    </r>
  </si>
  <si>
    <r>
      <rPr>
        <sz val="11"/>
        <rFont val="MS UI Gothic"/>
        <family val="3"/>
        <charset val="128"/>
      </rPr>
      <t>株式会社土本トリミング</t>
    </r>
  </si>
  <si>
    <r>
      <rPr>
        <sz val="11"/>
        <rFont val="MS UI Gothic"/>
        <family val="3"/>
        <charset val="128"/>
      </rPr>
      <t>福井県越前市上大坪町</t>
    </r>
    <r>
      <rPr>
        <sz val="11"/>
        <rFont val="Times New Roman"/>
        <family val="1"/>
      </rPr>
      <t>18-43-1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</si>
  <si>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トリムコ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</si>
  <si>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トリムレース</t>
    </r>
  </si>
  <si>
    <r>
      <rPr>
        <sz val="11"/>
        <rFont val="MS UI Gothic"/>
        <family val="3"/>
        <charset val="128"/>
      </rPr>
      <t>池田市井口堂</t>
    </r>
    <r>
      <rPr>
        <sz val="11"/>
        <rFont val="Times New Roman"/>
        <family val="1"/>
      </rPr>
      <t xml:space="preserve"> 3-10-29</t>
    </r>
  </si>
  <si>
    <r>
      <rPr>
        <sz val="11"/>
        <rFont val="MS UI Gothic"/>
        <family val="3"/>
        <charset val="128"/>
      </rPr>
      <t>株式会社内藤レース</t>
    </r>
  </si>
  <si>
    <r>
      <rPr>
        <sz val="11"/>
        <rFont val="MS UI Gothic"/>
        <family val="3"/>
        <charset val="128"/>
      </rPr>
      <t>京都府京都市右京区太秦北路町</t>
    </r>
    <r>
      <rPr>
        <sz val="11"/>
        <rFont val="Times New Roman"/>
        <family val="1"/>
      </rPr>
      <t>11</t>
    </r>
  </si>
  <si>
    <r>
      <rPr>
        <sz val="11"/>
        <rFont val="MS UI Gothic"/>
        <family val="3"/>
        <charset val="128"/>
      </rPr>
      <t>中川リボン株式会社</t>
    </r>
  </si>
  <si>
    <r>
      <rPr>
        <sz val="11"/>
        <rFont val="MS UI Gothic"/>
        <family val="3"/>
        <charset val="128"/>
      </rPr>
      <t>滋賀県長浜市曽根町</t>
    </r>
    <r>
      <rPr>
        <sz val="11"/>
        <rFont val="Times New Roman"/>
        <family val="1"/>
      </rPr>
      <t>1102</t>
    </r>
  </si>
  <si>
    <r>
      <rPr>
        <sz val="11"/>
        <rFont val="MS UI Gothic"/>
        <family val="3"/>
        <charset val="128"/>
      </rPr>
      <t>有限会社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中辻製紐</t>
    </r>
  </si>
  <si>
    <r>
      <rPr>
        <sz val="11"/>
        <rFont val="MS UI Gothic"/>
        <family val="3"/>
        <charset val="128"/>
      </rPr>
      <t>株式会社中村編織工業</t>
    </r>
  </si>
  <si>
    <r>
      <rPr>
        <sz val="11"/>
        <rFont val="MS UI Gothic"/>
        <family val="3"/>
        <charset val="128"/>
      </rPr>
      <t>石川県かほく市大崎リ</t>
    </r>
    <r>
      <rPr>
        <sz val="11"/>
        <rFont val="Times New Roman"/>
        <family val="1"/>
      </rPr>
      <t>3</t>
    </r>
    <r>
      <rPr>
        <sz val="11"/>
        <rFont val="MS UI Gothic"/>
        <family val="3"/>
        <charset val="128"/>
      </rPr>
      <t>番地</t>
    </r>
  </si>
  <si>
    <r>
      <rPr>
        <sz val="11"/>
        <rFont val="MS UI Gothic"/>
        <family val="3"/>
        <charset val="128"/>
      </rPr>
      <t>中村商事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</si>
  <si>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中川産業株式会社</t>
    </r>
  </si>
  <si>
    <r>
      <rPr>
        <sz val="11"/>
        <rFont val="MS UI Gothic"/>
        <family val="3"/>
        <charset val="128"/>
      </rPr>
      <t>石川県小松市軽海町ラ</t>
    </r>
    <r>
      <rPr>
        <sz val="11"/>
        <rFont val="Times New Roman"/>
        <family val="1"/>
      </rPr>
      <t>19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</si>
  <si>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ナリカワ</t>
    </r>
  </si>
  <si>
    <r>
      <rPr>
        <sz val="11"/>
        <rFont val="MS UI Gothic"/>
        <family val="3"/>
        <charset val="128"/>
      </rPr>
      <t>株式会社西口製紐</t>
    </r>
  </si>
  <si>
    <r>
      <rPr>
        <sz val="11"/>
        <rFont val="MS UI Gothic"/>
        <family val="3"/>
        <charset val="128"/>
      </rPr>
      <t>京都府亀岡市三宅町</t>
    </r>
    <r>
      <rPr>
        <sz val="11"/>
        <rFont val="Times New Roman"/>
        <family val="1"/>
      </rPr>
      <t>28</t>
    </r>
  </si>
  <si>
    <r>
      <rPr>
        <sz val="11"/>
        <rFont val="MS UI Gothic"/>
        <family val="3"/>
        <charset val="128"/>
      </rPr>
      <t>西ジマ染工房</t>
    </r>
  </si>
  <si>
    <r>
      <rPr>
        <sz val="11"/>
        <rFont val="MS UI Gothic"/>
        <family val="3"/>
        <charset val="128"/>
      </rPr>
      <t>京都府宇治市伊勢田町</t>
    </r>
    <r>
      <rPr>
        <sz val="11"/>
        <rFont val="Times New Roman"/>
        <family val="1"/>
      </rPr>
      <t>37-38</t>
    </r>
  </si>
  <si>
    <r>
      <rPr>
        <sz val="11"/>
        <rFont val="MS UI Gothic"/>
        <family val="3"/>
        <charset val="128"/>
      </rPr>
      <t>西中製紐株式会社</t>
    </r>
  </si>
  <si>
    <r>
      <rPr>
        <sz val="11"/>
        <rFont val="MS UI Gothic"/>
        <family val="3"/>
        <charset val="128"/>
      </rPr>
      <t>岡山県倉敷市児島田の口</t>
    </r>
    <r>
      <rPr>
        <sz val="11"/>
        <rFont val="Times New Roman"/>
        <family val="1"/>
      </rPr>
      <t>4-9-36</t>
    </r>
  </si>
  <si>
    <r>
      <rPr>
        <sz val="11"/>
        <rFont val="MS UI Gothic"/>
        <family val="3"/>
        <charset val="128"/>
      </rPr>
      <t>ﾘﾘｰﾚｰｽ･ｲﾝﾀｰﾅｼｮﾅﾙ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</si>
  <si>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京都府京都市上京区元妙蓮寺町</t>
    </r>
  </si>
  <si>
    <r>
      <rPr>
        <sz val="11"/>
        <rFont val="MS UI Gothic"/>
        <family val="3"/>
        <charset val="128"/>
      </rPr>
      <t>ニッシントーア・岩尾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</si>
  <si>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日清紡テキスタイル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</si>
  <si>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大阪府大阪市中央区北久宝寺町</t>
    </r>
    <r>
      <rPr>
        <sz val="11"/>
        <rFont val="Times New Roman"/>
        <family val="1"/>
      </rPr>
      <t>2-4-2</t>
    </r>
  </si>
  <si>
    <r>
      <rPr>
        <sz val="11"/>
        <rFont val="MS UI Gothic"/>
        <family val="3"/>
        <charset val="128"/>
      </rPr>
      <t>西田マーク</t>
    </r>
  </si>
  <si>
    <r>
      <rPr>
        <sz val="11"/>
        <rFont val="MS UI Gothic"/>
        <family val="3"/>
        <charset val="128"/>
      </rPr>
      <t>岐阜県岐阜市薮田南</t>
    </r>
    <r>
      <rPr>
        <sz val="11"/>
        <rFont val="Times New Roman"/>
        <family val="1"/>
      </rPr>
      <t>7-6</t>
    </r>
  </si>
  <si>
    <r>
      <rPr>
        <sz val="11"/>
        <rFont val="MS UI Gothic"/>
        <family val="3"/>
        <charset val="128"/>
      </rPr>
      <t>株式会社ハシモト</t>
    </r>
  </si>
  <si>
    <r>
      <rPr>
        <sz val="11"/>
        <rFont val="MS UI Gothic"/>
        <family val="3"/>
        <charset val="128"/>
      </rPr>
      <t>東京都江東区新大橋</t>
    </r>
    <r>
      <rPr>
        <sz val="11"/>
        <rFont val="Times New Roman"/>
        <family val="1"/>
      </rPr>
      <t>2-19-9</t>
    </r>
  </si>
  <si>
    <r>
      <rPr>
        <sz val="11"/>
        <rFont val="MS UI Gothic"/>
        <family val="3"/>
        <charset val="128"/>
      </rPr>
      <t>橋本純織物工場</t>
    </r>
  </si>
  <si>
    <r>
      <rPr>
        <sz val="11"/>
        <rFont val="MS UI Gothic"/>
        <family val="3"/>
        <charset val="128"/>
      </rPr>
      <t>福井県鯖江市下野田町</t>
    </r>
    <r>
      <rPr>
        <sz val="11"/>
        <rFont val="Times New Roman"/>
        <family val="1"/>
      </rPr>
      <t>37-16-2</t>
    </r>
  </si>
  <si>
    <r>
      <rPr>
        <sz val="11"/>
        <rFont val="MS UI Gothic"/>
        <family val="3"/>
        <charset val="128"/>
      </rPr>
      <t>畑岡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</si>
  <si>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>HACHIYA</t>
    </r>
  </si>
  <si>
    <r>
      <rPr>
        <sz val="11"/>
        <rFont val="MS UI Gothic"/>
        <family val="3"/>
        <charset val="128"/>
      </rPr>
      <t>福井県福井市大島</t>
    </r>
    <r>
      <rPr>
        <sz val="11"/>
        <rFont val="Times New Roman"/>
        <family val="1"/>
      </rPr>
      <t>3-4</t>
    </r>
  </si>
  <si>
    <r>
      <rPr>
        <sz val="11"/>
        <rFont val="MS UI Gothic"/>
        <family val="3"/>
        <charset val="128"/>
      </rPr>
      <t>八田経編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</si>
  <si>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浜松テープ株式会社</t>
    </r>
  </si>
  <si>
    <r>
      <rPr>
        <sz val="11"/>
        <rFont val="MS UI Gothic"/>
        <family val="3"/>
        <charset val="128"/>
      </rPr>
      <t>静岡県浜松市中区北田町</t>
    </r>
    <r>
      <rPr>
        <sz val="11"/>
        <rFont val="Times New Roman"/>
        <family val="1"/>
      </rPr>
      <t>139-25</t>
    </r>
  </si>
  <si>
    <r>
      <rPr>
        <sz val="11"/>
        <rFont val="MS UI Gothic"/>
        <family val="3"/>
        <charset val="128"/>
      </rPr>
      <t>ひかり商事㈱</t>
    </r>
  </si>
  <si>
    <r>
      <rPr>
        <sz val="11"/>
        <rFont val="MS UI Gothic"/>
        <family val="3"/>
        <charset val="128"/>
      </rPr>
      <t>福井市御幸</t>
    </r>
    <r>
      <rPr>
        <sz val="11"/>
        <rFont val="Times New Roman"/>
        <family val="1"/>
      </rPr>
      <t xml:space="preserve"> 4-21-10</t>
    </r>
  </si>
  <si>
    <r>
      <rPr>
        <sz val="11"/>
        <rFont val="MS UI Gothic"/>
        <family val="3"/>
        <charset val="128"/>
      </rPr>
      <t>有限会社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ヒバリ</t>
    </r>
  </si>
  <si>
    <r>
      <rPr>
        <sz val="11"/>
        <rFont val="MS UI Gothic"/>
        <family val="3"/>
        <charset val="128"/>
      </rPr>
      <t>八尾市跡部南の町</t>
    </r>
    <r>
      <rPr>
        <sz val="11"/>
        <rFont val="Times New Roman"/>
        <family val="1"/>
      </rPr>
      <t xml:space="preserve"> 1-2-13</t>
    </r>
  </si>
  <si>
    <r>
      <rPr>
        <sz val="11"/>
        <rFont val="MS UI Gothic"/>
        <family val="3"/>
        <charset val="128"/>
      </rPr>
      <t>株式会社紐屋</t>
    </r>
  </si>
  <si>
    <r>
      <rPr>
        <sz val="11"/>
        <rFont val="MS UI Gothic"/>
        <family val="3"/>
        <charset val="128"/>
      </rPr>
      <t>石川県羽咋市滝町イ</t>
    </r>
    <r>
      <rPr>
        <sz val="11"/>
        <rFont val="Times New Roman"/>
        <family val="1"/>
      </rPr>
      <t>94-1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</si>
  <si>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ファニー</t>
    </r>
  </si>
  <si>
    <r>
      <rPr>
        <sz val="11"/>
        <rFont val="MS UI Gothic"/>
        <family val="3"/>
        <charset val="128"/>
      </rPr>
      <t>藤井細巾織物有限会社</t>
    </r>
  </si>
  <si>
    <r>
      <rPr>
        <sz val="11"/>
        <rFont val="MS UI Gothic"/>
        <family val="3"/>
        <charset val="128"/>
      </rPr>
      <t>広島県福山市神辺町大字川南</t>
    </r>
    <r>
      <rPr>
        <sz val="11"/>
        <rFont val="Times New Roman"/>
        <family val="1"/>
      </rPr>
      <t>2975</t>
    </r>
  </si>
  <si>
    <r>
      <rPr>
        <sz val="11"/>
        <rFont val="MS UI Gothic"/>
        <family val="3"/>
        <charset val="128"/>
      </rPr>
      <t>双葉ﾚｰｽ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</si>
  <si>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二渡レース株式会社</t>
    </r>
  </si>
  <si>
    <r>
      <rPr>
        <sz val="11"/>
        <rFont val="MS UI Gothic"/>
        <family val="3"/>
        <charset val="128"/>
      </rPr>
      <t>栃木県足利市小俣町</t>
    </r>
    <r>
      <rPr>
        <sz val="11"/>
        <rFont val="Times New Roman"/>
        <family val="1"/>
      </rPr>
      <t>1462-5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</si>
  <si>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二口製紐</t>
    </r>
  </si>
  <si>
    <r>
      <rPr>
        <sz val="11"/>
        <rFont val="MS UI Gothic"/>
        <family val="3"/>
        <charset val="128"/>
      </rPr>
      <t>石川県かほく市高松サ</t>
    </r>
    <r>
      <rPr>
        <sz val="11"/>
        <rFont val="Times New Roman"/>
        <family val="1"/>
      </rPr>
      <t>49-66</t>
    </r>
  </si>
  <si>
    <r>
      <rPr>
        <sz val="11"/>
        <rFont val="MS UI Gothic"/>
        <family val="3"/>
        <charset val="128"/>
      </rPr>
      <t>鮒田産業株式会社</t>
    </r>
  </si>
  <si>
    <r>
      <rPr>
        <sz val="11"/>
        <rFont val="MS UI Gothic"/>
        <family val="3"/>
        <charset val="128"/>
      </rPr>
      <t>石川県かほく市大崎ロ</t>
    </r>
    <r>
      <rPr>
        <sz val="11"/>
        <rFont val="Times New Roman"/>
        <family val="1"/>
      </rPr>
      <t>75-1</t>
    </r>
  </si>
  <si>
    <r>
      <rPr>
        <sz val="11"/>
        <rFont val="MS UI Gothic"/>
        <family val="3"/>
        <charset val="128"/>
      </rPr>
      <t>フロリア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</si>
  <si>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東京都中央区日本橋人形町</t>
    </r>
    <r>
      <rPr>
        <sz val="11"/>
        <rFont val="Times New Roman"/>
        <family val="1"/>
      </rPr>
      <t>1-2-6</t>
    </r>
  </si>
  <si>
    <r>
      <rPr>
        <sz val="11"/>
        <rFont val="MS UI Gothic"/>
        <family val="3"/>
        <charset val="128"/>
      </rPr>
      <t>サイボービル</t>
    </r>
    <r>
      <rPr>
        <sz val="11"/>
        <rFont val="Times New Roman"/>
        <family val="1"/>
      </rPr>
      <t>7F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</si>
  <si>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ポケット</t>
    </r>
  </si>
  <si>
    <r>
      <rPr>
        <sz val="11"/>
        <rFont val="MS UI Gothic"/>
        <family val="3"/>
        <charset val="128"/>
      </rPr>
      <t>北陸ウェブ株式会社</t>
    </r>
  </si>
  <si>
    <r>
      <rPr>
        <sz val="11"/>
        <rFont val="MS UI Gothic"/>
        <family val="3"/>
        <charset val="128"/>
      </rPr>
      <t>石川県かほく市宇気ソ</t>
    </r>
    <r>
      <rPr>
        <sz val="11"/>
        <rFont val="Times New Roman"/>
        <family val="1"/>
      </rPr>
      <t>-6-2</t>
    </r>
  </si>
  <si>
    <r>
      <rPr>
        <sz val="11"/>
        <rFont val="MS UI Gothic"/>
        <family val="3"/>
        <charset val="128"/>
      </rPr>
      <t>有限会社丸将</t>
    </r>
  </si>
  <si>
    <r>
      <rPr>
        <sz val="11"/>
        <rFont val="MS UI Gothic"/>
        <family val="3"/>
        <charset val="128"/>
      </rPr>
      <t>京都府長岡京市今里</t>
    </r>
    <r>
      <rPr>
        <sz val="11"/>
        <rFont val="Times New Roman"/>
        <family val="1"/>
      </rPr>
      <t>22-28</t>
    </r>
  </si>
  <si>
    <r>
      <rPr>
        <sz val="11"/>
        <rFont val="MS UI Gothic"/>
        <family val="3"/>
        <charset val="128"/>
      </rPr>
      <t>株式会社丸進</t>
    </r>
  </si>
  <si>
    <r>
      <rPr>
        <sz val="11"/>
        <rFont val="MS UI Gothic"/>
        <family val="3"/>
        <charset val="128"/>
      </rPr>
      <t>京都府京都市上京区松屋町</t>
    </r>
  </si>
  <si>
    <r>
      <rPr>
        <sz val="11"/>
        <rFont val="MS UI Gothic"/>
        <family val="3"/>
        <charset val="128"/>
      </rPr>
      <t>株式会社万喜</t>
    </r>
  </si>
  <si>
    <r>
      <rPr>
        <sz val="11"/>
        <rFont val="MS UI Gothic"/>
        <family val="3"/>
        <charset val="128"/>
      </rPr>
      <t>石川県かほく市松浜イ</t>
    </r>
    <r>
      <rPr>
        <sz val="11"/>
        <rFont val="Times New Roman"/>
        <family val="1"/>
      </rPr>
      <t xml:space="preserve"> 31-1</t>
    </r>
  </si>
  <si>
    <r>
      <rPr>
        <sz val="11"/>
        <rFont val="MS UI Gothic"/>
        <family val="3"/>
        <charset val="128"/>
      </rPr>
      <t>南出リボン工業</t>
    </r>
  </si>
  <si>
    <r>
      <rPr>
        <sz val="11"/>
        <rFont val="MS UI Gothic"/>
        <family val="3"/>
        <charset val="128"/>
      </rPr>
      <t>石川県小松市日末町と</t>
    </r>
    <r>
      <rPr>
        <sz val="11"/>
        <rFont val="Times New Roman"/>
        <family val="1"/>
      </rPr>
      <t>6-2</t>
    </r>
  </si>
  <si>
    <r>
      <rPr>
        <sz val="11"/>
        <rFont val="MS UI Gothic"/>
        <family val="3"/>
        <charset val="128"/>
      </rPr>
      <t>有限会社ミニ・ワールド　マミや</t>
    </r>
  </si>
  <si>
    <r>
      <rPr>
        <sz val="11"/>
        <rFont val="MS UI Gothic"/>
        <family val="3"/>
        <charset val="128"/>
      </rPr>
      <t>京都府京都市北区衣笠北天神森町</t>
    </r>
  </si>
  <si>
    <r>
      <rPr>
        <sz val="11"/>
        <rFont val="MS UI Gothic"/>
        <family val="3"/>
        <charset val="128"/>
      </rPr>
      <t>宮谷産業有限会社</t>
    </r>
  </si>
  <si>
    <r>
      <rPr>
        <sz val="11"/>
        <rFont val="MS UI Gothic"/>
        <family val="3"/>
        <charset val="128"/>
      </rPr>
      <t>福井県坂井市丸岡町巽町</t>
    </r>
    <r>
      <rPr>
        <sz val="11"/>
        <rFont val="Times New Roman"/>
        <family val="1"/>
      </rPr>
      <t>3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101</t>
    </r>
  </si>
  <si>
    <r>
      <rPr>
        <sz val="11"/>
        <rFont val="MS UI Gothic"/>
        <family val="3"/>
        <charset val="128"/>
      </rPr>
      <t>株式会社ＭＩＹＵＫＩ</t>
    </r>
  </si>
  <si>
    <r>
      <rPr>
        <sz val="11"/>
        <rFont val="MS UI Gothic"/>
        <family val="3"/>
        <charset val="128"/>
      </rPr>
      <t>大阪府大阪市中央区博労町</t>
    </r>
    <r>
      <rPr>
        <sz val="11"/>
        <rFont val="Times New Roman"/>
        <family val="1"/>
      </rPr>
      <t>4-5-9</t>
    </r>
  </si>
  <si>
    <r>
      <rPr>
        <sz val="11"/>
        <rFont val="MS UI Gothic"/>
        <family val="3"/>
        <charset val="128"/>
      </rPr>
      <t>モリクロス株式会社</t>
    </r>
  </si>
  <si>
    <r>
      <rPr>
        <sz val="11"/>
        <rFont val="MS UI Gothic"/>
        <family val="3"/>
        <charset val="128"/>
      </rPr>
      <t>兵庫県尼崎市南武庫之荘</t>
    </r>
    <r>
      <rPr>
        <sz val="11"/>
        <rFont val="Times New Roman"/>
        <family val="1"/>
      </rPr>
      <t>1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 xml:space="preserve">17 </t>
    </r>
  </si>
  <si>
    <r>
      <rPr>
        <sz val="11"/>
        <rFont val="MS UI Gothic"/>
        <family val="3"/>
        <charset val="128"/>
      </rPr>
      <t>株式会社モリ製紐</t>
    </r>
  </si>
  <si>
    <r>
      <rPr>
        <sz val="11"/>
        <rFont val="MS UI Gothic"/>
        <family val="3"/>
        <charset val="128"/>
      </rPr>
      <t>石川県羽咋郡志賀町矢駄タ</t>
    </r>
    <r>
      <rPr>
        <sz val="11"/>
        <rFont val="Times New Roman"/>
        <family val="1"/>
      </rPr>
      <t>-60</t>
    </r>
  </si>
  <si>
    <r>
      <rPr>
        <sz val="11"/>
        <rFont val="MS UI Gothic"/>
        <family val="3"/>
        <charset val="128"/>
      </rPr>
      <t>株式会社木馬</t>
    </r>
  </si>
  <si>
    <r>
      <rPr>
        <sz val="11"/>
        <rFont val="MS UI Gothic"/>
        <family val="3"/>
        <charset val="128"/>
      </rPr>
      <t>東京都台東区蔵前</t>
    </r>
    <r>
      <rPr>
        <sz val="11"/>
        <rFont val="Times New Roman"/>
        <family val="1"/>
      </rPr>
      <t>4-16-8</t>
    </r>
  </si>
  <si>
    <r>
      <rPr>
        <sz val="11"/>
        <rFont val="MS UI Gothic"/>
        <family val="3"/>
        <charset val="128"/>
      </rPr>
      <t>森製紐株式会社</t>
    </r>
  </si>
  <si>
    <r>
      <rPr>
        <sz val="11"/>
        <rFont val="MS UI Gothic"/>
        <family val="3"/>
        <charset val="128"/>
      </rPr>
      <t>大阪府大阪市東成区東中本</t>
    </r>
    <r>
      <rPr>
        <sz val="11"/>
        <rFont val="Times New Roman"/>
        <family val="1"/>
      </rPr>
      <t>2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1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</si>
  <si>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八木熊</t>
    </r>
  </si>
  <si>
    <r>
      <rPr>
        <sz val="11"/>
        <rFont val="MS UI Gothic"/>
        <family val="3"/>
        <charset val="128"/>
      </rPr>
      <t>福井県福井市照手</t>
    </r>
    <r>
      <rPr>
        <sz val="11"/>
        <rFont val="Times New Roman"/>
        <family val="1"/>
      </rPr>
      <t>2-6-16</t>
    </r>
  </si>
  <si>
    <r>
      <rPr>
        <sz val="11"/>
        <rFont val="MS UI Gothic"/>
        <family val="3"/>
        <charset val="128"/>
      </rPr>
      <t>矢地繊維工業株式会社</t>
    </r>
  </si>
  <si>
    <r>
      <rPr>
        <sz val="11"/>
        <rFont val="MS UI Gothic"/>
        <family val="3"/>
        <charset val="128"/>
      </rPr>
      <t>福井県あわら市矢地</t>
    </r>
    <r>
      <rPr>
        <sz val="11"/>
        <rFont val="Times New Roman"/>
        <family val="1"/>
      </rPr>
      <t>1-3-1</t>
    </r>
  </si>
  <si>
    <r>
      <rPr>
        <sz val="11"/>
        <rFont val="MS UI Gothic"/>
        <family val="3"/>
        <charset val="128"/>
      </rPr>
      <t>山上縫糸株式会社</t>
    </r>
  </si>
  <si>
    <r>
      <rPr>
        <sz val="11"/>
        <rFont val="MS UI Gothic"/>
        <family val="3"/>
        <charset val="128"/>
      </rPr>
      <t>大阪府大阪市東成区中道</t>
    </r>
    <r>
      <rPr>
        <sz val="11"/>
        <rFont val="Times New Roman"/>
        <family val="1"/>
      </rPr>
      <t>4-16-21</t>
    </r>
  </si>
  <si>
    <r>
      <rPr>
        <sz val="11"/>
        <rFont val="MS UI Gothic"/>
        <family val="3"/>
        <charset val="128"/>
      </rPr>
      <t>有限会社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山政テキスタイル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</si>
  <si>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山崎ビロード</t>
    </r>
  </si>
  <si>
    <r>
      <rPr>
        <sz val="11"/>
        <rFont val="MS UI Gothic"/>
        <family val="3"/>
        <charset val="128"/>
      </rPr>
      <t>福井県越前市中津山町</t>
    </r>
    <r>
      <rPr>
        <sz val="11"/>
        <rFont val="Times New Roman"/>
        <family val="1"/>
      </rPr>
      <t>9-29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</si>
  <si>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山田貿易</t>
    </r>
  </si>
  <si>
    <r>
      <rPr>
        <sz val="11"/>
        <rFont val="MS UI Gothic"/>
        <family val="3"/>
        <charset val="128"/>
      </rPr>
      <t>株式会社山博</t>
    </r>
  </si>
  <si>
    <r>
      <rPr>
        <sz val="11"/>
        <rFont val="MS UI Gothic"/>
        <family val="3"/>
        <charset val="128"/>
      </rPr>
      <t>石川県小松市福乃宮町</t>
    </r>
    <r>
      <rPr>
        <sz val="11"/>
        <rFont val="Times New Roman"/>
        <family val="1"/>
      </rPr>
      <t>1-87</t>
    </r>
  </si>
  <si>
    <r>
      <rPr>
        <sz val="11"/>
        <rFont val="MS UI Gothic"/>
        <family val="3"/>
        <charset val="128"/>
      </rPr>
      <t>山屋産業株式会社</t>
    </r>
  </si>
  <si>
    <r>
      <rPr>
        <sz val="11"/>
        <rFont val="MS UI Gothic"/>
        <family val="3"/>
        <charset val="128"/>
      </rPr>
      <t>石川県河北郡津幡町庄ホ</t>
    </r>
    <r>
      <rPr>
        <sz val="11"/>
        <rFont val="Times New Roman"/>
        <family val="1"/>
      </rPr>
      <t xml:space="preserve"> 63</t>
    </r>
    <r>
      <rPr>
        <sz val="11"/>
        <rFont val="MS UI Gothic"/>
        <family val="3"/>
        <charset val="128"/>
      </rPr>
      <t>番の</t>
    </r>
    <r>
      <rPr>
        <sz val="11"/>
        <rFont val="Times New Roman"/>
        <family val="1"/>
      </rPr>
      <t>1</t>
    </r>
  </si>
  <si>
    <r>
      <rPr>
        <sz val="11"/>
        <rFont val="MS UI Gothic"/>
        <family val="3"/>
        <charset val="128"/>
      </rPr>
      <t>山元リボン株式会社</t>
    </r>
  </si>
  <si>
    <r>
      <rPr>
        <sz val="11"/>
        <rFont val="MS UI Gothic"/>
        <family val="3"/>
        <charset val="128"/>
      </rPr>
      <t>京都府京都市下京区上平野町</t>
    </r>
  </si>
  <si>
    <r>
      <rPr>
        <sz val="11"/>
        <rFont val="MS UI Gothic"/>
        <family val="3"/>
        <charset val="128"/>
      </rPr>
      <t>ユニーク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プランナー</t>
    </r>
  </si>
  <si>
    <r>
      <rPr>
        <sz val="11"/>
        <rFont val="MS UI Gothic"/>
        <family val="3"/>
        <charset val="128"/>
      </rPr>
      <t>有限会社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横倉繊維</t>
    </r>
  </si>
  <si>
    <r>
      <rPr>
        <sz val="11"/>
        <rFont val="MS UI Gothic"/>
        <family val="3"/>
        <charset val="128"/>
      </rPr>
      <t>群馬県桐生市境野町</t>
    </r>
    <r>
      <rPr>
        <sz val="11"/>
        <rFont val="Times New Roman"/>
        <family val="1"/>
      </rPr>
      <t>1-1147</t>
    </r>
  </si>
  <si>
    <r>
      <rPr>
        <sz val="11"/>
        <rFont val="MS UI Gothic"/>
        <family val="3"/>
        <charset val="128"/>
      </rPr>
      <t>有限会社吉田トーション</t>
    </r>
  </si>
  <si>
    <r>
      <rPr>
        <sz val="11"/>
        <rFont val="MS UI Gothic"/>
        <family val="3"/>
        <charset val="128"/>
      </rPr>
      <t>栃木県足利市小俣町</t>
    </r>
    <r>
      <rPr>
        <sz val="11"/>
        <rFont val="Times New Roman"/>
        <family val="1"/>
      </rPr>
      <t>876-3</t>
    </r>
  </si>
  <si>
    <r>
      <rPr>
        <sz val="11"/>
        <rFont val="MS UI Gothic"/>
        <family val="3"/>
        <charset val="128"/>
      </rPr>
      <t>株式会社ラインワールド</t>
    </r>
  </si>
  <si>
    <r>
      <rPr>
        <sz val="11"/>
        <rFont val="MS UI Gothic"/>
        <family val="3"/>
        <charset val="128"/>
      </rPr>
      <t>岡山県倉敷市児島赤崎</t>
    </r>
    <r>
      <rPr>
        <sz val="11"/>
        <rFont val="Times New Roman"/>
        <family val="1"/>
      </rPr>
      <t>2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7</t>
    </r>
    <r>
      <rPr>
        <sz val="11"/>
        <rFont val="MS UI Gothic"/>
        <family val="3"/>
        <charset val="128"/>
      </rPr>
      <t>番</t>
    </r>
    <r>
      <rPr>
        <sz val="11"/>
        <rFont val="Times New Roman"/>
        <family val="1"/>
      </rPr>
      <t>57</t>
    </r>
  </si>
  <si>
    <r>
      <rPr>
        <sz val="11"/>
        <rFont val="MS UI Gothic"/>
        <family val="3"/>
        <charset val="128"/>
      </rPr>
      <t>渡辺リボン株式会社</t>
    </r>
  </si>
  <si>
    <r>
      <rPr>
        <sz val="11"/>
        <rFont val="MS UI Gothic"/>
        <family val="3"/>
        <charset val="128"/>
      </rPr>
      <t>福井県鯖江市落井町</t>
    </r>
    <r>
      <rPr>
        <sz val="11"/>
        <rFont val="Times New Roman"/>
        <family val="1"/>
      </rPr>
      <t>49-5</t>
    </r>
  </si>
  <si>
    <r>
      <rPr>
        <sz val="11"/>
        <rFont val="MS UI Gothic"/>
        <family val="3"/>
        <charset val="128"/>
      </rPr>
      <t>輪の花</t>
    </r>
  </si>
  <si>
    <r>
      <rPr>
        <sz val="11"/>
        <rFont val="MS UI Gothic"/>
        <family val="3"/>
        <charset val="128"/>
      </rPr>
      <t>京都市西京区大原野西境谷町</t>
    </r>
    <r>
      <rPr>
        <sz val="11"/>
        <rFont val="Times New Roman"/>
        <family val="1"/>
      </rPr>
      <t>2-10-2</t>
    </r>
  </si>
  <si>
    <r>
      <rPr>
        <sz val="11"/>
        <rFont val="MS UI Gothic"/>
        <family val="3"/>
        <charset val="128"/>
      </rPr>
      <t>諸口（輸入）</t>
    </r>
  </si>
  <si>
    <r>
      <rPr>
        <sz val="11"/>
        <rFont val="MS UI Gothic"/>
        <family val="3"/>
        <charset val="128"/>
      </rPr>
      <t>諸口（国内）</t>
    </r>
  </si>
  <si>
    <r>
      <rPr>
        <sz val="11"/>
        <rFont val="MS UI Gothic"/>
        <family val="3"/>
        <charset val="128"/>
      </rPr>
      <t>諸口（国内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非課税）</t>
    </r>
  </si>
  <si>
    <r>
      <rPr>
        <sz val="11"/>
        <rFont val="MS UI Gothic"/>
        <family val="3"/>
        <charset val="128"/>
      </rPr>
      <t>振替口座</t>
    </r>
  </si>
  <si>
    <r>
      <t xml:space="preserve">(SELECT) - </t>
    </r>
    <r>
      <rPr>
        <sz val="11"/>
        <rFont val="Yu Gothic"/>
        <family val="1"/>
        <charset val="128"/>
      </rPr>
      <t>仕入先名</t>
    </r>
    <rPh sb="11" eb="15">
      <t>シイレサキメイ</t>
    </rPh>
    <phoneticPr fontId="3"/>
  </si>
  <si>
    <t>Tel:</t>
    <phoneticPr fontId="3"/>
  </si>
  <si>
    <t>Fax:</t>
    <phoneticPr fontId="3"/>
  </si>
  <si>
    <r>
      <rPr>
        <sz val="11"/>
        <rFont val="ＭＳ Ｐ明朝"/>
        <family val="1"/>
        <charset val="128"/>
      </rPr>
      <t>システムコード</t>
    </r>
  </si>
  <si>
    <r>
      <rPr>
        <sz val="11"/>
        <rFont val="ＭＳ Ｐ明朝"/>
        <family val="1"/>
        <charset val="128"/>
      </rPr>
      <t>郵便番号</t>
    </r>
    <rPh sb="0" eb="4">
      <t>ユウビンバンゴウ</t>
    </rPh>
    <phoneticPr fontId="3"/>
  </si>
  <si>
    <r>
      <rPr>
        <sz val="11"/>
        <rFont val="ＭＳ Ｐ明朝"/>
        <family val="1"/>
        <charset val="128"/>
      </rPr>
      <t>住所</t>
    </r>
    <r>
      <rPr>
        <sz val="11"/>
        <rFont val="Times New Roman"/>
        <family val="1"/>
      </rPr>
      <t>1</t>
    </r>
    <rPh sb="0" eb="2">
      <t>ジュウショ</t>
    </rPh>
    <phoneticPr fontId="3"/>
  </si>
  <si>
    <r>
      <rPr>
        <sz val="11"/>
        <rFont val="ＭＳ Ｐ明朝"/>
        <family val="1"/>
        <charset val="128"/>
      </rPr>
      <t>住所</t>
    </r>
    <r>
      <rPr>
        <sz val="11"/>
        <rFont val="Times New Roman"/>
        <family val="1"/>
      </rPr>
      <t>2</t>
    </r>
    <rPh sb="0" eb="2">
      <t>ジュウショ</t>
    </rPh>
    <phoneticPr fontId="3"/>
  </si>
  <si>
    <t>合計金額</t>
    <rPh sb="0" eb="4">
      <t>ゴウケイキンガク</t>
    </rPh>
    <phoneticPr fontId="3"/>
  </si>
  <si>
    <t>ファイル名</t>
    <rPh sb="4" eb="5">
      <t>メイ</t>
    </rPh>
    <phoneticPr fontId="3"/>
  </si>
  <si>
    <t>仕入先</t>
    <rPh sb="0" eb="3">
      <t>シイレサキ</t>
    </rPh>
    <phoneticPr fontId="3"/>
  </si>
  <si>
    <t>検索結果</t>
    <rPh sb="0" eb="4">
      <t>ケンサクケッカ</t>
    </rPh>
    <phoneticPr fontId="3"/>
  </si>
  <si>
    <t>データ開始行</t>
    <rPh sb="3" eb="5">
      <t>カイシ</t>
    </rPh>
    <rPh sb="5" eb="6">
      <t>ギョウ</t>
    </rPh>
    <phoneticPr fontId="3"/>
  </si>
  <si>
    <t>データ終了行</t>
    <rPh sb="3" eb="5">
      <t>シュウリョウ</t>
    </rPh>
    <rPh sb="5" eb="6">
      <t>ギョウ</t>
    </rPh>
    <phoneticPr fontId="3"/>
  </si>
  <si>
    <t>貼付け終了行</t>
    <rPh sb="0" eb="2">
      <t>ハリツ</t>
    </rPh>
    <rPh sb="3" eb="6">
      <t>シュウリョウギョウ</t>
    </rPh>
    <phoneticPr fontId="3"/>
  </si>
  <si>
    <t>注記項目名</t>
    <rPh sb="0" eb="2">
      <t>チュウキ</t>
    </rPh>
    <rPh sb="2" eb="5">
      <t>コウモクメイ</t>
    </rPh>
    <phoneticPr fontId="3"/>
  </si>
  <si>
    <t>注記内容</t>
    <rPh sb="0" eb="2">
      <t>チュウキ</t>
    </rPh>
    <rPh sb="2" eb="4">
      <t>ナイヨウ</t>
    </rPh>
    <phoneticPr fontId="3"/>
  </si>
  <si>
    <t>同一ロット指定</t>
    <rPh sb="0" eb="2">
      <t>ドウイツ</t>
    </rPh>
    <rPh sb="5" eb="7">
      <t>シテイ</t>
    </rPh>
    <phoneticPr fontId="3"/>
  </si>
  <si>
    <t>上記商品、同一ロットでお手配お願い致します。</t>
    <rPh sb="0" eb="2">
      <t>ジョウキ</t>
    </rPh>
    <rPh sb="2" eb="4">
      <t>ショウヒン</t>
    </rPh>
    <rPh sb="5" eb="7">
      <t>ドウイツ</t>
    </rPh>
    <rPh sb="12" eb="14">
      <t>テハイ</t>
    </rPh>
    <rPh sb="15" eb="16">
      <t>ネガ</t>
    </rPh>
    <rPh sb="17" eb="18">
      <t>イタ</t>
    </rPh>
    <phoneticPr fontId="3"/>
  </si>
  <si>
    <t>出荷/到着日指定</t>
    <rPh sb="0" eb="2">
      <t>シュッカ</t>
    </rPh>
    <rPh sb="3" eb="6">
      <t>トウチャクビ</t>
    </rPh>
    <rPh sb="6" eb="8">
      <t>シテイ</t>
    </rPh>
    <phoneticPr fontId="3"/>
  </si>
  <si>
    <t>出荷日：</t>
    <rPh sb="0" eb="3">
      <t>シュッカビ</t>
    </rPh>
    <phoneticPr fontId="3"/>
  </si>
  <si>
    <t>到着日：</t>
    <rPh sb="0" eb="3">
      <t>トウチャクビ</t>
    </rPh>
    <phoneticPr fontId="3"/>
  </si>
  <si>
    <t>到着時間：</t>
    <rPh sb="0" eb="4">
      <t>トウチャクジカン</t>
    </rPh>
    <phoneticPr fontId="3"/>
  </si>
  <si>
    <t>最短納期指定</t>
    <rPh sb="0" eb="4">
      <t>サイタンノウキ</t>
    </rPh>
    <rPh sb="4" eb="6">
      <t>シテイ</t>
    </rPh>
    <phoneticPr fontId="3"/>
  </si>
  <si>
    <t>納期：</t>
    <rPh sb="0" eb="2">
      <t>ノウキ</t>
    </rPh>
    <phoneticPr fontId="3"/>
  </si>
  <si>
    <t>発送方法指定</t>
    <rPh sb="0" eb="6">
      <t>ハッソウホウホウシテイ</t>
    </rPh>
    <phoneticPr fontId="3"/>
  </si>
  <si>
    <t>配送業者：</t>
    <rPh sb="0" eb="4">
      <t>ハイソウギョウシャ</t>
    </rPh>
    <phoneticPr fontId="3"/>
  </si>
  <si>
    <t>ヤマト便</t>
    <rPh sb="3" eb="4">
      <t>ビン</t>
    </rPh>
    <phoneticPr fontId="3"/>
  </si>
  <si>
    <t>納期回答指定</t>
    <rPh sb="0" eb="4">
      <t>ノウキカイトウ</t>
    </rPh>
    <rPh sb="4" eb="6">
      <t>シテイ</t>
    </rPh>
    <phoneticPr fontId="3"/>
  </si>
  <si>
    <t>在庫有無、納期のご回答をお願い致します。</t>
    <rPh sb="0" eb="4">
      <t>ザイコウム</t>
    </rPh>
    <rPh sb="5" eb="7">
      <t>ノウキ</t>
    </rPh>
    <rPh sb="9" eb="11">
      <t>カイトウ</t>
    </rPh>
    <rPh sb="13" eb="14">
      <t>ネガ</t>
    </rPh>
    <rPh sb="15" eb="16">
      <t>イタ</t>
    </rPh>
    <phoneticPr fontId="3"/>
  </si>
  <si>
    <t>キープ分指定</t>
    <rPh sb="3" eb="4">
      <t>ブン</t>
    </rPh>
    <rPh sb="4" eb="6">
      <t>シテイ</t>
    </rPh>
    <phoneticPr fontId="3"/>
  </si>
  <si>
    <t>上記商品、キープ分より出荷お願い致します。</t>
    <rPh sb="0" eb="4">
      <t>ジョウキショウヒン</t>
    </rPh>
    <rPh sb="8" eb="9">
      <t>ブン</t>
    </rPh>
    <rPh sb="11" eb="13">
      <t>シュッカ</t>
    </rPh>
    <rPh sb="14" eb="15">
      <t>ネガ</t>
    </rPh>
    <rPh sb="16" eb="17">
      <t>イタ</t>
    </rPh>
    <phoneticPr fontId="3"/>
  </si>
  <si>
    <t>欠品連絡</t>
    <rPh sb="0" eb="4">
      <t>ケッピンレンラク</t>
    </rPh>
    <phoneticPr fontId="3"/>
  </si>
  <si>
    <t>欠品がある場合は出荷前に納期等のご連絡を御願い致します｡</t>
    <phoneticPr fontId="3"/>
  </si>
  <si>
    <t>キャンセル可能性</t>
    <rPh sb="5" eb="8">
      <t>カノウセイ</t>
    </rPh>
    <phoneticPr fontId="3"/>
  </si>
  <si>
    <t>欠品の場合は全商品キャンセルになる可能性あり､ご連絡後の出荷指示に従って下さい｡</t>
    <phoneticPr fontId="3"/>
  </si>
  <si>
    <t>その他</t>
    <rPh sb="2" eb="3">
      <t>ホカ</t>
    </rPh>
    <phoneticPr fontId="3"/>
  </si>
  <si>
    <t>自由記述：</t>
    <rPh sb="0" eb="4">
      <t>ジユウキジュツ</t>
    </rPh>
    <phoneticPr fontId="3"/>
  </si>
  <si>
    <t>あいうえお</t>
    <phoneticPr fontId="3"/>
  </si>
  <si>
    <t>発注書 (SELECTION)</t>
    <rPh sb="0" eb="3">
      <t>ハッチュウショ</t>
    </rPh>
    <phoneticPr fontId="3"/>
  </si>
  <si>
    <t>注文日</t>
    <rPh sb="0" eb="3">
      <t>チュウモンビ</t>
    </rPh>
    <phoneticPr fontId="3"/>
  </si>
  <si>
    <t xml:space="preserve">御会社名: </t>
    <rPh sb="0" eb="4">
      <t>オカイシャメイ</t>
    </rPh>
    <phoneticPr fontId="3"/>
  </si>
  <si>
    <t>株式会社サンファッション</t>
    <rPh sb="0" eb="4">
      <t>カブシキガイシャ</t>
    </rPh>
    <phoneticPr fontId="3"/>
  </si>
  <si>
    <t xml:space="preserve">御住所: </t>
    <rPh sb="0" eb="3">
      <t>ゴジュウショ</t>
    </rPh>
    <phoneticPr fontId="3"/>
  </si>
  <si>
    <t>〒553-0003　大阪府大阪市福島区福島8丁目21番10号</t>
    <rPh sb="10" eb="13">
      <t>オオサカフ</t>
    </rPh>
    <rPh sb="13" eb="16">
      <t>オオサカシ</t>
    </rPh>
    <rPh sb="16" eb="19">
      <t>フクシマク</t>
    </rPh>
    <rPh sb="19" eb="21">
      <t>フクシマ</t>
    </rPh>
    <rPh sb="22" eb="24">
      <t>チョウメ</t>
    </rPh>
    <rPh sb="26" eb="27">
      <t>バン</t>
    </rPh>
    <rPh sb="29" eb="30">
      <t>ゴウ</t>
    </rPh>
    <phoneticPr fontId="3"/>
  </si>
  <si>
    <t>Tel: 06-6455-2850 (代)</t>
    <rPh sb="19" eb="20">
      <t>ダイ</t>
    </rPh>
    <phoneticPr fontId="3"/>
  </si>
  <si>
    <t xml:space="preserve">部署: </t>
    <rPh sb="0" eb="2">
      <t>ブショ</t>
    </rPh>
    <phoneticPr fontId="3"/>
  </si>
  <si>
    <t>貿易部</t>
    <rPh sb="0" eb="3">
      <t>ボウエキブ</t>
    </rPh>
    <phoneticPr fontId="3"/>
  </si>
  <si>
    <t xml:space="preserve">ご担当様: </t>
    <rPh sb="1" eb="4">
      <t>タントウサマ</t>
    </rPh>
    <phoneticPr fontId="3"/>
  </si>
  <si>
    <t>メモ</t>
    <phoneticPr fontId="3"/>
  </si>
  <si>
    <t xml:space="preserve">Tel: </t>
    <phoneticPr fontId="3"/>
  </si>
  <si>
    <t>貼付け開始行</t>
    <rPh sb="0" eb="2">
      <t>ハリツ</t>
    </rPh>
    <rPh sb="3" eb="5">
      <t>カイシ</t>
    </rPh>
    <rPh sb="5" eb="6">
      <t>ギョウ</t>
    </rPh>
    <phoneticPr fontId="3"/>
  </si>
  <si>
    <t>明細開始行</t>
    <rPh sb="0" eb="2">
      <t>メイサイ</t>
    </rPh>
    <rPh sb="2" eb="5">
      <t>カイシギョウ</t>
    </rPh>
    <phoneticPr fontId="3"/>
  </si>
  <si>
    <t>明細終了行</t>
    <rPh sb="0" eb="2">
      <t>メイサイ</t>
    </rPh>
    <rPh sb="2" eb="5">
      <t>シュウリョウギョウ</t>
    </rPh>
    <phoneticPr fontId="3"/>
  </si>
  <si>
    <t>貼付け開始行</t>
    <rPh sb="0" eb="2">
      <t>ハリツ</t>
    </rPh>
    <rPh sb="3" eb="6">
      <t>カイシギョウ</t>
    </rPh>
    <phoneticPr fontId="3"/>
  </si>
  <si>
    <t>注記開始行</t>
    <rPh sb="0" eb="2">
      <t>チュウキ</t>
    </rPh>
    <rPh sb="2" eb="5">
      <t>カイシギョウ</t>
    </rPh>
    <phoneticPr fontId="3"/>
  </si>
  <si>
    <t>注記終了行</t>
    <rPh sb="0" eb="2">
      <t>チュウキ</t>
    </rPh>
    <rPh sb="2" eb="5">
      <t>シュウリョウギョウ</t>
    </rPh>
    <phoneticPr fontId="3"/>
  </si>
  <si>
    <t>メモ開始行</t>
    <rPh sb="2" eb="5">
      <t>カイシギョウ</t>
    </rPh>
    <phoneticPr fontId="3"/>
  </si>
  <si>
    <t>メモ終了行</t>
    <rPh sb="2" eb="5">
      <t>シュウリョウギョウ</t>
    </rPh>
    <phoneticPr fontId="3"/>
  </si>
  <si>
    <t>当社注文番号</t>
    <rPh sb="0" eb="2">
      <t>トウシャ</t>
    </rPh>
    <rPh sb="2" eb="6">
      <t>チュウモンバンゴウ</t>
    </rPh>
    <phoneticPr fontId="3"/>
  </si>
  <si>
    <t>SF米国と連動</t>
    <rPh sb="2" eb="4">
      <t>ベイコク</t>
    </rPh>
    <rPh sb="5" eb="7">
      <t>レンドウ</t>
    </rPh>
    <phoneticPr fontId="3"/>
  </si>
  <si>
    <t>No.</t>
  </si>
  <si>
    <r>
      <rPr>
        <b/>
        <sz val="11"/>
        <rFont val="MS UI Gothic"/>
        <family val="3"/>
        <charset val="128"/>
      </rPr>
      <t>品番</t>
    </r>
    <rPh sb="0" eb="2">
      <t>ヒンバン</t>
    </rPh>
    <phoneticPr fontId="3"/>
  </si>
  <si>
    <t>サイズ</t>
  </si>
  <si>
    <r>
      <rPr>
        <b/>
        <sz val="11"/>
        <rFont val="MS UI Gothic"/>
        <family val="3"/>
        <charset val="128"/>
      </rPr>
      <t>色番</t>
    </r>
    <rPh sb="0" eb="1">
      <t>イロ</t>
    </rPh>
    <rPh sb="1" eb="2">
      <t>バン</t>
    </rPh>
    <phoneticPr fontId="3"/>
  </si>
  <si>
    <r>
      <rPr>
        <b/>
        <sz val="11"/>
        <rFont val="MS UI Gothic"/>
        <family val="3"/>
        <charset val="128"/>
      </rPr>
      <t>仕立</t>
    </r>
    <rPh sb="0" eb="2">
      <t>シタテ</t>
    </rPh>
    <phoneticPr fontId="3"/>
  </si>
  <si>
    <r>
      <rPr>
        <b/>
        <sz val="11"/>
        <rFont val="MS UI Gothic"/>
        <family val="3"/>
        <charset val="128"/>
      </rPr>
      <t>反数</t>
    </r>
    <rPh sb="0" eb="1">
      <t>ハン</t>
    </rPh>
    <rPh sb="1" eb="2">
      <t>スウ</t>
    </rPh>
    <phoneticPr fontId="3"/>
  </si>
  <si>
    <r>
      <rPr>
        <b/>
        <sz val="11"/>
        <rFont val="MS UI Gothic"/>
        <family val="3"/>
        <charset val="128"/>
      </rPr>
      <t>数量</t>
    </r>
    <rPh sb="0" eb="2">
      <t>スウリョウ</t>
    </rPh>
    <phoneticPr fontId="3"/>
  </si>
  <si>
    <r>
      <rPr>
        <b/>
        <sz val="11"/>
        <rFont val="MS UI Gothic"/>
        <family val="3"/>
        <charset val="128"/>
      </rPr>
      <t>単価</t>
    </r>
    <rPh sb="0" eb="2">
      <t>タンカ</t>
    </rPh>
    <phoneticPr fontId="3"/>
  </si>
  <si>
    <r>
      <rPr>
        <b/>
        <sz val="11"/>
        <rFont val="MS UI Gothic"/>
        <family val="3"/>
        <charset val="128"/>
      </rPr>
      <t>金額</t>
    </r>
    <rPh sb="0" eb="2">
      <t>キンガク</t>
    </rPh>
    <phoneticPr fontId="3"/>
  </si>
  <si>
    <r>
      <rPr>
        <b/>
        <sz val="11"/>
        <rFont val="MS UI Gothic"/>
        <family val="3"/>
        <charset val="128"/>
      </rPr>
      <t>備考</t>
    </r>
    <r>
      <rPr>
        <b/>
        <sz val="11"/>
        <rFont val="Times New Roman"/>
        <family val="1"/>
      </rPr>
      <t>/</t>
    </r>
    <r>
      <rPr>
        <b/>
        <sz val="11"/>
        <rFont val="MS UI Gothic"/>
        <family val="3"/>
        <charset val="128"/>
      </rPr>
      <t>御社品番</t>
    </r>
    <rPh sb="0" eb="2">
      <t>ビコウ</t>
    </rPh>
    <rPh sb="3" eb="5">
      <t>オンシャ</t>
    </rPh>
    <rPh sb="5" eb="7">
      <t>ヒンバン</t>
    </rPh>
    <phoneticPr fontId="3"/>
  </si>
  <si>
    <r>
      <rPr>
        <b/>
        <sz val="11"/>
        <rFont val="MS UI Gothic"/>
        <family val="3"/>
        <charset val="128"/>
      </rPr>
      <t>在庫有無</t>
    </r>
    <rPh sb="0" eb="4">
      <t>ザイコウム</t>
    </rPh>
    <phoneticPr fontId="3"/>
  </si>
  <si>
    <r>
      <rPr>
        <b/>
        <sz val="11"/>
        <rFont val="MS UI Gothic"/>
        <family val="3"/>
        <charset val="128"/>
      </rPr>
      <t>納期</t>
    </r>
    <rPh sb="0" eb="2">
      <t>ノウキ</t>
    </rPh>
    <phoneticPr fontId="3"/>
  </si>
  <si>
    <t>S size</t>
    <phoneticPr fontId="3"/>
  </si>
  <si>
    <t xml:space="preserve">L size </t>
    <phoneticPr fontId="3"/>
  </si>
  <si>
    <t>150m</t>
    <phoneticPr fontId="3"/>
  </si>
  <si>
    <t>シート名1</t>
    <rPh sb="3" eb="4">
      <t>メイ</t>
    </rPh>
    <phoneticPr fontId="3"/>
  </si>
  <si>
    <t>シート名2</t>
    <rPh sb="3" eb="4">
      <t>メイ</t>
    </rPh>
    <phoneticPr fontId="3"/>
  </si>
  <si>
    <t>BackOrder</t>
    <phoneticPr fontId="3"/>
  </si>
  <si>
    <t>シート名</t>
    <rPh sb="3" eb="4">
      <t>メイ</t>
    </rPh>
    <phoneticPr fontId="3"/>
  </si>
  <si>
    <t>Osaka, Japan</t>
    <phoneticPr fontId="3"/>
  </si>
  <si>
    <t>Payment Due</t>
    <phoneticPr fontId="3"/>
  </si>
  <si>
    <t>Courier Account#</t>
    <phoneticPr fontId="3"/>
  </si>
  <si>
    <t>100% Polyester Fabric</t>
  </si>
  <si>
    <t>U.S.A.</t>
    <phoneticPr fontId="3"/>
  </si>
  <si>
    <t>-</t>
    <phoneticPr fontId="3"/>
  </si>
  <si>
    <t>RD-230119</t>
  </si>
  <si>
    <t>687 985 2585</t>
    <phoneticPr fontId="3"/>
  </si>
  <si>
    <t>①入力してください</t>
    <rPh sb="1" eb="3">
      <t>ニュウリョク</t>
    </rPh>
    <phoneticPr fontId="3"/>
  </si>
  <si>
    <t>↓⑦指定したデータ範囲をBackOrderから明細にコピー</t>
    <rPh sb="2" eb="4">
      <t>シテイ</t>
    </rPh>
    <rPh sb="9" eb="11">
      <t>ハンイ</t>
    </rPh>
    <rPh sb="23" eb="25">
      <t>メイサイ</t>
    </rPh>
    <phoneticPr fontId="3"/>
  </si>
  <si>
    <t>↓⑧データ入力が完了したら、下のボタンからファイルを保存して下さい：</t>
    <rPh sb="5" eb="7">
      <t>ニュウリョク</t>
    </rPh>
    <rPh sb="8" eb="10">
      <t>カンリョウ</t>
    </rPh>
    <rPh sb="14" eb="15">
      <t>シタ</t>
    </rPh>
    <rPh sb="26" eb="28">
      <t>ホゾン</t>
    </rPh>
    <rPh sb="30" eb="31">
      <t>クダ</t>
    </rPh>
    <phoneticPr fontId="3"/>
  </si>
  <si>
    <t>②選択してください</t>
    <rPh sb="1" eb="3">
      <t>センタク</t>
    </rPh>
    <phoneticPr fontId="3"/>
  </si>
  <si>
    <t>↓データ開始/終了行の参考用です</t>
    <rPh sb="4" eb="6">
      <t>カイシ</t>
    </rPh>
    <rPh sb="7" eb="10">
      <t>シュウリョウギョウ</t>
    </rPh>
    <rPh sb="11" eb="14">
      <t>サンコウヨウ</t>
    </rPh>
    <phoneticPr fontId="3"/>
  </si>
  <si>
    <t>③選択してください</t>
    <rPh sb="1" eb="3">
      <t>センタク</t>
    </rPh>
    <phoneticPr fontId="3"/>
  </si>
  <si>
    <t>④入力してください</t>
    <rPh sb="1" eb="3">
      <t>ニュウリョク</t>
    </rPh>
    <phoneticPr fontId="3"/>
  </si>
  <si>
    <t>⑤入力してください</t>
    <rPh sb="1" eb="3">
      <t>ニュウリョク</t>
    </rPh>
    <phoneticPr fontId="3"/>
  </si>
  <si>
    <t>：水色のセルは全て入力して下さい</t>
    <rPh sb="1" eb="3">
      <t>ミズイロ</t>
    </rPh>
    <rPh sb="7" eb="8">
      <t>スベ</t>
    </rPh>
    <rPh sb="9" eb="11">
      <t>ニュウリョク</t>
    </rPh>
    <rPh sb="13" eb="14">
      <t>クダ</t>
    </rPh>
    <phoneticPr fontId="3"/>
  </si>
  <si>
    <t>⑥入力してください</t>
    <rPh sb="1" eb="3">
      <t>ニュウリョク</t>
    </rPh>
    <phoneticPr fontId="3"/>
  </si>
  <si>
    <t>マクロ設定用
(変更しないで)</t>
    <rPh sb="3" eb="6">
      <t>セッテイヨウ</t>
    </rPh>
    <rPh sb="8" eb="10">
      <t>ヘンコウ</t>
    </rPh>
    <phoneticPr fontId="3"/>
  </si>
  <si>
    <t>改行位置検出</t>
    <rPh sb="0" eb="2">
      <t>カイギョウ</t>
    </rPh>
    <rPh sb="2" eb="4">
      <t>イチ</t>
    </rPh>
    <rPh sb="4" eb="6">
      <t>ケンシュツ</t>
    </rPh>
    <phoneticPr fontId="3"/>
  </si>
  <si>
    <t>作業中ユーザー</t>
    <rPh sb="0" eb="3">
      <t>サギョウチュウ</t>
    </rPh>
    <phoneticPr fontId="3"/>
  </si>
  <si>
    <t>保存フォルダ</t>
    <rPh sb="0" eb="2">
      <t>ホゾン</t>
    </rPh>
    <phoneticPr fontId="3"/>
  </si>
  <si>
    <t>←取引先マスタのAccount#を呼び出し</t>
    <rPh sb="1" eb="4">
      <t>トリヒキサキ</t>
    </rPh>
    <rPh sb="17" eb="18">
      <t>ヨ</t>
    </rPh>
    <rPh sb="19" eb="20">
      <t>ダ</t>
    </rPh>
    <phoneticPr fontId="3"/>
  </si>
  <si>
    <t>改行位置判定(69行目）</t>
    <rPh sb="0" eb="6">
      <t>カイギョウイチハンテイ</t>
    </rPh>
    <rPh sb="9" eb="11">
      <t>ギョウメ</t>
    </rPh>
    <phoneticPr fontId="3"/>
  </si>
  <si>
    <t>改行位置検出</t>
    <rPh sb="0" eb="4">
      <t>カイギョウイチ</t>
    </rPh>
    <rPh sb="4" eb="6">
      <t>ケンシュツ</t>
    </rPh>
    <phoneticPr fontId="3"/>
  </si>
  <si>
    <t>予備項目(1)</t>
    <rPh sb="0" eb="4">
      <t>ヨビコウモク</t>
    </rPh>
    <phoneticPr fontId="3"/>
  </si>
  <si>
    <t>予備項目(2)</t>
    <rPh sb="0" eb="4">
      <t>ヨビコウモク</t>
    </rPh>
    <phoneticPr fontId="3"/>
  </si>
  <si>
    <t>③入力してください</t>
    <rPh sb="1" eb="3">
      <t>ニュウリョク</t>
    </rPh>
    <phoneticPr fontId="3"/>
  </si>
  <si>
    <t>↓⑥指定したデータ範囲をBackOrderから明細にコピー</t>
    <rPh sb="2" eb="4">
      <t>シテイ</t>
    </rPh>
    <rPh sb="9" eb="11">
      <t>ハンイ</t>
    </rPh>
    <rPh sb="23" eb="25">
      <t>メイサイ</t>
    </rPh>
    <phoneticPr fontId="3"/>
  </si>
  <si>
    <t>↓⑦データ入力が完了したら、下のボタンからファイルを保存して下さい：</t>
    <rPh sb="5" eb="7">
      <t>ニュウリョク</t>
    </rPh>
    <rPh sb="8" eb="10">
      <t>カンリョウ</t>
    </rPh>
    <rPh sb="14" eb="15">
      <t>シタ</t>
    </rPh>
    <rPh sb="26" eb="28">
      <t>ホゾン</t>
    </rPh>
    <rPh sb="30" eb="31">
      <t>クダ</t>
    </rPh>
    <phoneticPr fontId="3"/>
  </si>
  <si>
    <t>改行位置判定</t>
    <rPh sb="0" eb="4">
      <t>カイギョウイチ</t>
    </rPh>
    <rPh sb="4" eb="6">
      <t>ハンテイ</t>
    </rPh>
    <phoneticPr fontId="3"/>
  </si>
  <si>
    <t>②入力してください</t>
    <rPh sb="1" eb="3">
      <t>ニュウリョク</t>
    </rPh>
    <phoneticPr fontId="3"/>
  </si>
  <si>
    <r>
      <t>SF America Invoice</t>
    </r>
    <r>
      <rPr>
        <sz val="11"/>
        <rFont val="Yu Gothic"/>
        <family val="1"/>
        <charset val="128"/>
      </rPr>
      <t>を出力</t>
    </r>
    <rPh sb="19" eb="21">
      <t>シュツリョク</t>
    </rPh>
    <phoneticPr fontId="3"/>
  </si>
  <si>
    <r>
      <t>SF Osaka Invoice</t>
    </r>
    <r>
      <rPr>
        <sz val="11"/>
        <rFont val="Yu Gothic"/>
        <family val="1"/>
        <charset val="128"/>
      </rPr>
      <t>を出力</t>
    </r>
    <rPh sb="17" eb="19">
      <t>シュツリョク</t>
    </rPh>
    <phoneticPr fontId="3"/>
  </si>
  <si>
    <r>
      <rPr>
        <sz val="11"/>
        <rFont val="ＭＳ Ｐゴシック"/>
        <family val="3"/>
        <charset val="128"/>
      </rPr>
      <t>両方の</t>
    </r>
    <r>
      <rPr>
        <sz val="11"/>
        <rFont val="Times New Roman"/>
        <family val="1"/>
      </rPr>
      <t>Invoice</t>
    </r>
    <r>
      <rPr>
        <sz val="11"/>
        <rFont val="Yu Gothic"/>
        <family val="1"/>
        <charset val="128"/>
      </rPr>
      <t>を出力</t>
    </r>
    <rPh sb="0" eb="2">
      <t>リョウホウ</t>
    </rPh>
    <rPh sb="11" eb="13">
      <t>シュツリョク</t>
    </rPh>
    <phoneticPr fontId="3"/>
  </si>
  <si>
    <t>FedEx 726188874</t>
  </si>
  <si>
    <t xml:space="preserve">FedEx A/C: 535860300 </t>
    <phoneticPr fontId="3"/>
  </si>
  <si>
    <t>UPS A/C: 6471TT</t>
    <phoneticPr fontId="3"/>
  </si>
  <si>
    <t xml:space="preserve">JWU LLC </t>
    <phoneticPr fontId="3"/>
  </si>
  <si>
    <t>240 West 35th St. 11FL</t>
    <phoneticPr fontId="3"/>
  </si>
  <si>
    <t>Tel: 401 529 9925</t>
    <phoneticPr fontId="3"/>
  </si>
  <si>
    <t>2423 E. 23rd Street</t>
  </si>
  <si>
    <t>Tel: 323-582-1005</t>
  </si>
  <si>
    <t>Tel: 01 53 38 48 20</t>
  </si>
  <si>
    <t>サンコロナ小田株式会社</t>
    <rPh sb="5" eb="7">
      <t>オダ</t>
    </rPh>
    <rPh sb="7" eb="11">
      <t>カブシキガイシャ</t>
    </rPh>
    <phoneticPr fontId="3"/>
  </si>
  <si>
    <t>8782</t>
    <phoneticPr fontId="3"/>
  </si>
  <si>
    <t>Lace (699円/m以下)</t>
    <rPh sb="9" eb="10">
      <t>エン</t>
    </rPh>
    <rPh sb="12" eb="14">
      <t>イカ</t>
    </rPh>
    <phoneticPr fontId="3"/>
  </si>
  <si>
    <t>Lace (700円/m以上)</t>
    <rPh sb="9" eb="10">
      <t>エン</t>
    </rPh>
    <rPh sb="12" eb="14">
      <t>イジョウ</t>
    </rPh>
    <phoneticPr fontId="3"/>
  </si>
  <si>
    <r>
      <t xml:space="preserve">Osaka </t>
    </r>
    <r>
      <rPr>
        <b/>
        <sz val="10"/>
        <rFont val="ＭＳ Ｐゴシック"/>
        <family val="3"/>
        <charset val="128"/>
      </rPr>
      <t>→</t>
    </r>
    <r>
      <rPr>
        <b/>
        <sz val="10"/>
        <rFont val="Arial"/>
        <family val="2"/>
      </rPr>
      <t>NY Sub ttl</t>
    </r>
    <phoneticPr fontId="3"/>
  </si>
  <si>
    <r>
      <t>2022 June 21st -</t>
    </r>
    <r>
      <rPr>
        <b/>
        <sz val="10"/>
        <color indexed="10"/>
        <rFont val="ＭＳ Ｐゴシック"/>
        <family val="3"/>
        <charset val="128"/>
      </rPr>
      <t>　レート</t>
    </r>
    <r>
      <rPr>
        <b/>
        <sz val="10"/>
        <color indexed="10"/>
        <rFont val="Arial"/>
        <family val="2"/>
      </rPr>
      <t>120</t>
    </r>
    <r>
      <rPr>
        <b/>
        <sz val="10"/>
        <color indexed="10"/>
        <rFont val="Arial"/>
        <family val="2"/>
      </rPr>
      <t xml:space="preserve"> (</t>
    </r>
    <r>
      <rPr>
        <b/>
        <sz val="10"/>
        <color indexed="10"/>
        <rFont val="ＭＳ Ｐゴシック"/>
        <family val="3"/>
        <charset val="128"/>
      </rPr>
      <t>トリム</t>
    </r>
    <r>
      <rPr>
        <b/>
        <sz val="10"/>
        <color indexed="10"/>
        <rFont val="Arial"/>
        <family val="2"/>
      </rPr>
      <t xml:space="preserve">max border 55% ÷0.45) </t>
    </r>
    <phoneticPr fontId="3"/>
  </si>
  <si>
    <r>
      <t xml:space="preserve">Trim 40% ( 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30%,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10% 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Osaka - NY ( </t>
    </r>
    <r>
      <rPr>
        <b/>
        <sz val="10"/>
        <color indexed="10"/>
        <rFont val="ＭＳ Ｐゴシック"/>
        <family val="3"/>
        <charset val="128"/>
      </rPr>
      <t>仕入単価÷</t>
    </r>
    <r>
      <rPr>
        <b/>
        <sz val="10"/>
        <color indexed="10"/>
        <rFont val="Arial"/>
        <family val="2"/>
      </rPr>
      <t>0.7</t>
    </r>
    <r>
      <rPr>
        <b/>
        <sz val="10"/>
        <color indexed="10"/>
        <rFont val="ＭＳ Ｐゴシック"/>
        <family val="3"/>
        <charset val="128"/>
      </rPr>
      <t>÷</t>
    </r>
    <r>
      <rPr>
        <b/>
        <sz val="10"/>
        <color indexed="10"/>
        <rFont val="Arial"/>
        <family val="2"/>
      </rPr>
      <t xml:space="preserve">120 ) </t>
    </r>
    <rPh sb="52" eb="54">
      <t>ケイサン</t>
    </rPh>
    <rPh sb="55" eb="57">
      <t>コキャク</t>
    </rPh>
    <rPh sb="57" eb="59">
      <t>タンカ</t>
    </rPh>
    <rPh sb="60" eb="61">
      <t>モト</t>
    </rPh>
    <rPh sb="66" eb="68">
      <t>シイレ</t>
    </rPh>
    <rPh sb="68" eb="70">
      <t>タンカ</t>
    </rPh>
    <rPh sb="82" eb="84">
      <t>タンカ</t>
    </rPh>
    <rPh sb="86" eb="88">
      <t>テキヨウ</t>
    </rPh>
    <phoneticPr fontId="3"/>
  </si>
  <si>
    <r>
      <t xml:space="preserve">Fabric 20% ( 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12%,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8% 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Osaka - NY ( </t>
    </r>
    <r>
      <rPr>
        <b/>
        <sz val="10"/>
        <color indexed="10"/>
        <rFont val="ＭＳ Ｐゴシック"/>
        <family val="3"/>
        <charset val="128"/>
      </rPr>
      <t>仕入単価÷</t>
    </r>
    <r>
      <rPr>
        <b/>
        <sz val="10"/>
        <color indexed="10"/>
        <rFont val="Arial"/>
        <family val="2"/>
      </rPr>
      <t>0.88</t>
    </r>
    <r>
      <rPr>
        <b/>
        <sz val="10"/>
        <color indexed="10"/>
        <rFont val="ＭＳ Ｐゴシック"/>
        <family val="3"/>
        <charset val="128"/>
      </rPr>
      <t>÷</t>
    </r>
    <r>
      <rPr>
        <b/>
        <sz val="10"/>
        <color indexed="10"/>
        <rFont val="Arial"/>
        <family val="2"/>
      </rPr>
      <t xml:space="preserve">120 ) </t>
    </r>
    <rPh sb="53" eb="55">
      <t>ケイサン</t>
    </rPh>
    <rPh sb="56" eb="58">
      <t>コキャク</t>
    </rPh>
    <rPh sb="58" eb="60">
      <t>タンカ</t>
    </rPh>
    <rPh sb="61" eb="62">
      <t>モト</t>
    </rPh>
    <rPh sb="67" eb="69">
      <t>シイレ</t>
    </rPh>
    <rPh sb="69" eb="71">
      <t>タンカ</t>
    </rPh>
    <rPh sb="83" eb="85">
      <t>タンカ</t>
    </rPh>
    <rPh sb="87" eb="89">
      <t>テキヨウ</t>
    </rPh>
    <rPh sb="103" eb="105">
      <t>シイレ</t>
    </rPh>
    <rPh sb="105" eb="107">
      <t>タンカ</t>
    </rPh>
    <phoneticPr fontId="3"/>
  </si>
  <si>
    <r>
      <rPr>
        <b/>
        <sz val="10"/>
        <color indexed="10"/>
        <rFont val="ＭＳ Ｐゴシック"/>
        <family val="3"/>
        <charset val="128"/>
      </rPr>
      <t>レース</t>
    </r>
    <r>
      <rPr>
        <b/>
        <sz val="10"/>
        <color indexed="10"/>
        <rFont val="Arial"/>
        <family val="2"/>
      </rPr>
      <t xml:space="preserve"> ( </t>
    </r>
    <r>
      <rPr>
        <b/>
        <sz val="10"/>
        <color indexed="10"/>
        <rFont val="Arial"/>
        <family val="2"/>
      </rPr>
      <t>699</t>
    </r>
    <r>
      <rPr>
        <b/>
        <sz val="10"/>
        <color indexed="10"/>
        <rFont val="ＭＳ Ｐゴシック"/>
        <family val="3"/>
        <charset val="128"/>
      </rPr>
      <t>円</t>
    </r>
    <r>
      <rPr>
        <b/>
        <sz val="10"/>
        <color indexed="10"/>
        <rFont val="Arial"/>
        <family val="2"/>
      </rPr>
      <t xml:space="preserve">/m </t>
    </r>
    <r>
      <rPr>
        <b/>
        <sz val="10"/>
        <color indexed="10"/>
        <rFont val="ＭＳ Ｐゴシック"/>
        <family val="3"/>
        <charset val="128"/>
      </rPr>
      <t>以下</t>
    </r>
    <r>
      <rPr>
        <b/>
        <sz val="10"/>
        <color indexed="10"/>
        <rFont val="Arial"/>
        <family val="2"/>
      </rPr>
      <t xml:space="preserve">) </t>
    </r>
    <r>
      <rPr>
        <b/>
        <sz val="10"/>
        <color indexed="10"/>
        <rFont val="ＭＳ Ｐゴシック"/>
        <family val="3"/>
        <charset val="128"/>
      </rPr>
      <t>顧客単価</t>
    </r>
    <r>
      <rPr>
        <b/>
        <sz val="10"/>
        <color indexed="10"/>
        <rFont val="Arial"/>
        <family val="2"/>
      </rPr>
      <t xml:space="preserve"> &gt;&gt;&gt; 40% ( 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30%,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10% 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Osaka - NY ( </t>
    </r>
    <r>
      <rPr>
        <b/>
        <sz val="10"/>
        <color indexed="10"/>
        <rFont val="ＭＳ Ｐゴシック"/>
        <family val="3"/>
        <charset val="128"/>
      </rPr>
      <t>仕入単価</t>
    </r>
    <r>
      <rPr>
        <b/>
        <sz val="10"/>
        <color indexed="10"/>
        <rFont val="Arial"/>
        <family val="2"/>
      </rPr>
      <t>÷0.7÷</t>
    </r>
    <r>
      <rPr>
        <b/>
        <sz val="10"/>
        <color indexed="10"/>
        <rFont val="Arial"/>
        <family val="2"/>
      </rPr>
      <t>120</t>
    </r>
    <r>
      <rPr>
        <b/>
        <sz val="10"/>
        <color indexed="10"/>
        <rFont val="Arial"/>
        <family val="2"/>
      </rPr>
      <t xml:space="preserve"> ) </t>
    </r>
    <rPh sb="13" eb="15">
      <t>イカ</t>
    </rPh>
    <phoneticPr fontId="3"/>
  </si>
  <si>
    <r>
      <rPr>
        <b/>
        <sz val="10"/>
        <color indexed="10"/>
        <rFont val="ＭＳ Ｐゴシック"/>
        <family val="3"/>
        <charset val="128"/>
      </rPr>
      <t>レース</t>
    </r>
    <r>
      <rPr>
        <b/>
        <sz val="10"/>
        <color indexed="10"/>
        <rFont val="Arial"/>
        <family val="2"/>
      </rPr>
      <t xml:space="preserve"> ( 700</t>
    </r>
    <r>
      <rPr>
        <b/>
        <sz val="10"/>
        <color indexed="10"/>
        <rFont val="ＭＳ Ｐゴシック"/>
        <family val="3"/>
        <charset val="128"/>
      </rPr>
      <t>円</t>
    </r>
    <r>
      <rPr>
        <b/>
        <sz val="10"/>
        <color indexed="10"/>
        <rFont val="Arial"/>
        <family val="2"/>
      </rPr>
      <t xml:space="preserve">/m </t>
    </r>
    <r>
      <rPr>
        <b/>
        <sz val="10"/>
        <color indexed="10"/>
        <rFont val="ＭＳ Ｐゴシック"/>
        <family val="3"/>
        <charset val="128"/>
      </rPr>
      <t>以上</t>
    </r>
    <r>
      <rPr>
        <b/>
        <sz val="10"/>
        <color indexed="10"/>
        <rFont val="Arial"/>
        <family val="2"/>
      </rPr>
      <t xml:space="preserve">)  </t>
    </r>
    <r>
      <rPr>
        <b/>
        <sz val="10"/>
        <color indexed="10"/>
        <rFont val="ＭＳ Ｐゴシック"/>
        <family val="3"/>
        <charset val="128"/>
      </rPr>
      <t>顧客単価</t>
    </r>
    <r>
      <rPr>
        <b/>
        <sz val="10"/>
        <color indexed="10"/>
        <rFont val="Arial"/>
        <family val="2"/>
      </rPr>
      <t xml:space="preserve"> &gt;&gt;&gt;Osaka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12%,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</t>
    </r>
    <r>
      <rPr>
        <b/>
        <sz val="10"/>
        <color indexed="10"/>
        <rFont val="ＭＳ Ｐゴシック"/>
        <family val="3"/>
        <charset val="128"/>
      </rPr>
      <t>残り</t>
    </r>
    <r>
      <rPr>
        <b/>
        <sz val="10"/>
        <color indexed="10"/>
        <rFont val="Arial"/>
        <family val="2"/>
      </rPr>
      <t xml:space="preserve">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Osaka - NY ( </t>
    </r>
    <r>
      <rPr>
        <b/>
        <sz val="10"/>
        <color indexed="10"/>
        <rFont val="ＭＳ Ｐゴシック"/>
        <family val="3"/>
        <charset val="128"/>
      </rPr>
      <t>仕入単価</t>
    </r>
    <r>
      <rPr>
        <b/>
        <sz val="10"/>
        <color indexed="10"/>
        <rFont val="Arial"/>
        <family val="2"/>
      </rPr>
      <t>÷0.88÷</t>
    </r>
    <r>
      <rPr>
        <b/>
        <sz val="10"/>
        <color indexed="10"/>
        <rFont val="Arial"/>
        <family val="2"/>
      </rPr>
      <t>120</t>
    </r>
    <r>
      <rPr>
        <b/>
        <sz val="10"/>
        <color indexed="10"/>
        <rFont val="Arial"/>
        <family val="2"/>
      </rPr>
      <t xml:space="preserve"> ) </t>
    </r>
    <rPh sb="48" eb="49">
      <t>ノコ</t>
    </rPh>
    <phoneticPr fontId="3"/>
  </si>
  <si>
    <r>
      <rPr>
        <b/>
        <sz val="10"/>
        <color indexed="10"/>
        <rFont val="ＭＳ Ｐゴシック"/>
        <family val="3"/>
        <charset val="128"/>
      </rPr>
      <t>その他</t>
    </r>
    <r>
      <rPr>
        <b/>
        <sz val="10"/>
        <color indexed="10"/>
        <rFont val="Arial"/>
        <family val="2"/>
      </rPr>
      <t xml:space="preserve"> ( 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12%,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</t>
    </r>
    <r>
      <rPr>
        <b/>
        <sz val="10"/>
        <color indexed="10"/>
        <rFont val="ＭＳ Ｐゴシック"/>
        <family val="3"/>
        <charset val="128"/>
      </rPr>
      <t>残り</t>
    </r>
    <r>
      <rPr>
        <b/>
        <sz val="10"/>
        <color indexed="10"/>
        <rFont val="Arial"/>
        <family val="2"/>
      </rPr>
      <t xml:space="preserve"> 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Osaka - NY ( </t>
    </r>
    <r>
      <rPr>
        <b/>
        <sz val="10"/>
        <color indexed="10"/>
        <rFont val="ＭＳ Ｐゴシック"/>
        <family val="3"/>
        <charset val="128"/>
      </rPr>
      <t>仕入単価÷</t>
    </r>
    <r>
      <rPr>
        <b/>
        <sz val="10"/>
        <color indexed="10"/>
        <rFont val="Arial"/>
        <family val="2"/>
      </rPr>
      <t>0.88</t>
    </r>
    <r>
      <rPr>
        <b/>
        <sz val="10"/>
        <color indexed="10"/>
        <rFont val="ＭＳ Ｐゴシック"/>
        <family val="3"/>
        <charset val="128"/>
      </rPr>
      <t>÷</t>
    </r>
    <r>
      <rPr>
        <b/>
        <sz val="10"/>
        <color indexed="10"/>
        <rFont val="Arial"/>
        <family val="2"/>
      </rPr>
      <t xml:space="preserve">120 ) </t>
    </r>
    <rPh sb="2" eb="3">
      <t>ホカ</t>
    </rPh>
    <rPh sb="28" eb="29">
      <t>ノコ</t>
    </rPh>
    <rPh sb="46" eb="48">
      <t>ケイサン</t>
    </rPh>
    <rPh sb="49" eb="51">
      <t>コキャク</t>
    </rPh>
    <rPh sb="51" eb="53">
      <t>タンカ</t>
    </rPh>
    <rPh sb="54" eb="55">
      <t>モト</t>
    </rPh>
    <rPh sb="60" eb="62">
      <t>シイレ</t>
    </rPh>
    <rPh sb="62" eb="64">
      <t>タンカ</t>
    </rPh>
    <rPh sb="76" eb="78">
      <t>タンカ</t>
    </rPh>
    <rPh sb="80" eb="82">
      <t>テキヨウ</t>
    </rPh>
    <phoneticPr fontId="3"/>
  </si>
  <si>
    <r>
      <t xml:space="preserve">Trim 40% ( 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30%,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10% 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Osaka - NY ( </t>
    </r>
    <r>
      <rPr>
        <b/>
        <sz val="10"/>
        <color indexed="10"/>
        <rFont val="ＭＳ Ｐゴシック"/>
        <family val="3"/>
        <charset val="128"/>
      </rPr>
      <t>仕入単価÷</t>
    </r>
    <r>
      <rPr>
        <b/>
        <sz val="10"/>
        <color indexed="10"/>
        <rFont val="Arial"/>
        <family val="2"/>
      </rPr>
      <t>0.7</t>
    </r>
    <r>
      <rPr>
        <b/>
        <sz val="10"/>
        <color indexed="10"/>
        <rFont val="ＭＳ Ｐゴシック"/>
        <family val="3"/>
        <charset val="128"/>
      </rPr>
      <t>÷</t>
    </r>
    <r>
      <rPr>
        <b/>
        <sz val="10"/>
        <color indexed="10"/>
        <rFont val="Arial"/>
        <family val="2"/>
      </rPr>
      <t xml:space="preserve">90 ) </t>
    </r>
    <rPh sb="52" eb="54">
      <t>ケイサン</t>
    </rPh>
    <rPh sb="55" eb="57">
      <t>コキャク</t>
    </rPh>
    <rPh sb="57" eb="59">
      <t>タンカ</t>
    </rPh>
    <rPh sb="60" eb="61">
      <t>モト</t>
    </rPh>
    <rPh sb="66" eb="68">
      <t>シイレ</t>
    </rPh>
    <rPh sb="68" eb="70">
      <t>タンカ</t>
    </rPh>
    <rPh sb="82" eb="84">
      <t>タンカ</t>
    </rPh>
    <rPh sb="86" eb="88">
      <t>テキヨウ</t>
    </rPh>
    <phoneticPr fontId="3"/>
  </si>
  <si>
    <r>
      <t xml:space="preserve">Fabric 20% ( 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12%,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8% 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Osaka - NY ( </t>
    </r>
    <r>
      <rPr>
        <b/>
        <sz val="10"/>
        <color indexed="10"/>
        <rFont val="ＭＳ Ｐゴシック"/>
        <family val="3"/>
        <charset val="128"/>
      </rPr>
      <t>仕入単価÷</t>
    </r>
    <r>
      <rPr>
        <b/>
        <sz val="10"/>
        <color indexed="10"/>
        <rFont val="Arial"/>
        <family val="2"/>
      </rPr>
      <t>0.88</t>
    </r>
    <r>
      <rPr>
        <b/>
        <sz val="10"/>
        <color indexed="10"/>
        <rFont val="ＭＳ Ｐゴシック"/>
        <family val="3"/>
        <charset val="128"/>
      </rPr>
      <t>÷</t>
    </r>
    <r>
      <rPr>
        <b/>
        <sz val="10"/>
        <color indexed="10"/>
        <rFont val="Arial"/>
        <family val="2"/>
      </rPr>
      <t xml:space="preserve">90 ) </t>
    </r>
    <rPh sb="53" eb="55">
      <t>ケイサン</t>
    </rPh>
    <rPh sb="56" eb="58">
      <t>コキャク</t>
    </rPh>
    <rPh sb="58" eb="60">
      <t>タンカ</t>
    </rPh>
    <rPh sb="61" eb="62">
      <t>モト</t>
    </rPh>
    <rPh sb="67" eb="69">
      <t>シイレ</t>
    </rPh>
    <rPh sb="69" eb="71">
      <t>タンカ</t>
    </rPh>
    <rPh sb="83" eb="85">
      <t>タンカ</t>
    </rPh>
    <rPh sb="87" eb="89">
      <t>テキヨウ</t>
    </rPh>
    <rPh sb="103" eb="105">
      <t>シイレ</t>
    </rPh>
    <rPh sb="105" eb="107">
      <t>タンカ</t>
    </rPh>
    <phoneticPr fontId="3"/>
  </si>
  <si>
    <r>
      <rPr>
        <b/>
        <sz val="10"/>
        <color indexed="10"/>
        <rFont val="ＭＳ Ｐゴシック"/>
        <family val="3"/>
        <charset val="128"/>
      </rPr>
      <t>レース</t>
    </r>
    <r>
      <rPr>
        <b/>
        <sz val="10"/>
        <color indexed="10"/>
        <rFont val="Arial"/>
        <family val="2"/>
      </rPr>
      <t xml:space="preserve"> ( </t>
    </r>
    <r>
      <rPr>
        <b/>
        <sz val="10"/>
        <color indexed="10"/>
        <rFont val="Arial"/>
        <family val="2"/>
      </rPr>
      <t>699</t>
    </r>
    <r>
      <rPr>
        <b/>
        <sz val="10"/>
        <color indexed="10"/>
        <rFont val="ＭＳ Ｐゴシック"/>
        <family val="3"/>
        <charset val="128"/>
      </rPr>
      <t>円</t>
    </r>
    <r>
      <rPr>
        <b/>
        <sz val="10"/>
        <color indexed="10"/>
        <rFont val="Arial"/>
        <family val="2"/>
      </rPr>
      <t xml:space="preserve">/m </t>
    </r>
    <r>
      <rPr>
        <b/>
        <sz val="10"/>
        <color indexed="10"/>
        <rFont val="ＭＳ Ｐゴシック"/>
        <family val="3"/>
        <charset val="128"/>
      </rPr>
      <t>以下</t>
    </r>
    <r>
      <rPr>
        <b/>
        <sz val="10"/>
        <color indexed="10"/>
        <rFont val="Arial"/>
        <family val="2"/>
      </rPr>
      <t xml:space="preserve">) </t>
    </r>
    <r>
      <rPr>
        <b/>
        <sz val="10"/>
        <color indexed="10"/>
        <rFont val="ＭＳ Ｐゴシック"/>
        <family val="3"/>
        <charset val="128"/>
      </rPr>
      <t>顧客単価</t>
    </r>
    <r>
      <rPr>
        <b/>
        <sz val="10"/>
        <color indexed="10"/>
        <rFont val="Arial"/>
        <family val="2"/>
      </rPr>
      <t xml:space="preserve"> &gt;&gt;&gt; 40% ( 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30%,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10% 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Osaka - NY ( </t>
    </r>
    <r>
      <rPr>
        <b/>
        <sz val="10"/>
        <color indexed="10"/>
        <rFont val="ＭＳ Ｐゴシック"/>
        <family val="3"/>
        <charset val="128"/>
      </rPr>
      <t>仕入単価</t>
    </r>
    <r>
      <rPr>
        <b/>
        <sz val="10"/>
        <color indexed="10"/>
        <rFont val="Arial"/>
        <family val="2"/>
      </rPr>
      <t xml:space="preserve">÷0.7÷90 ) </t>
    </r>
    <rPh sb="13" eb="15">
      <t>イカ</t>
    </rPh>
    <phoneticPr fontId="3"/>
  </si>
  <si>
    <r>
      <rPr>
        <b/>
        <sz val="10"/>
        <color indexed="10"/>
        <rFont val="ＭＳ Ｐゴシック"/>
        <family val="3"/>
        <charset val="128"/>
      </rPr>
      <t>レース</t>
    </r>
    <r>
      <rPr>
        <b/>
        <sz val="10"/>
        <color indexed="10"/>
        <rFont val="Arial"/>
        <family val="2"/>
      </rPr>
      <t xml:space="preserve"> ( 700</t>
    </r>
    <r>
      <rPr>
        <b/>
        <sz val="10"/>
        <color indexed="10"/>
        <rFont val="ＭＳ Ｐゴシック"/>
        <family val="3"/>
        <charset val="128"/>
      </rPr>
      <t>円</t>
    </r>
    <r>
      <rPr>
        <b/>
        <sz val="10"/>
        <color indexed="10"/>
        <rFont val="Arial"/>
        <family val="2"/>
      </rPr>
      <t xml:space="preserve">/m </t>
    </r>
    <r>
      <rPr>
        <b/>
        <sz val="10"/>
        <color indexed="10"/>
        <rFont val="ＭＳ Ｐゴシック"/>
        <family val="3"/>
        <charset val="128"/>
      </rPr>
      <t>以上</t>
    </r>
    <r>
      <rPr>
        <b/>
        <sz val="10"/>
        <color indexed="10"/>
        <rFont val="Arial"/>
        <family val="2"/>
      </rPr>
      <t xml:space="preserve">)  </t>
    </r>
    <r>
      <rPr>
        <b/>
        <sz val="10"/>
        <color indexed="10"/>
        <rFont val="ＭＳ Ｐゴシック"/>
        <family val="3"/>
        <charset val="128"/>
      </rPr>
      <t>顧客単価</t>
    </r>
    <r>
      <rPr>
        <b/>
        <sz val="10"/>
        <color indexed="10"/>
        <rFont val="Arial"/>
        <family val="2"/>
      </rPr>
      <t xml:space="preserve"> &gt;&gt;&gt;Osaka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12%,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</t>
    </r>
    <r>
      <rPr>
        <b/>
        <sz val="10"/>
        <color indexed="10"/>
        <rFont val="ＭＳ Ｐゴシック"/>
        <family val="3"/>
        <charset val="128"/>
      </rPr>
      <t>残り</t>
    </r>
    <r>
      <rPr>
        <b/>
        <sz val="10"/>
        <color indexed="10"/>
        <rFont val="Arial"/>
        <family val="2"/>
      </rPr>
      <t xml:space="preserve">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Osaka - NY ( </t>
    </r>
    <r>
      <rPr>
        <b/>
        <sz val="10"/>
        <color indexed="10"/>
        <rFont val="ＭＳ Ｐゴシック"/>
        <family val="3"/>
        <charset val="128"/>
      </rPr>
      <t>仕入単価</t>
    </r>
    <r>
      <rPr>
        <b/>
        <sz val="10"/>
        <color indexed="10"/>
        <rFont val="Arial"/>
        <family val="2"/>
      </rPr>
      <t xml:space="preserve">÷0.88÷90 ) </t>
    </r>
    <rPh sb="48" eb="49">
      <t>ノコ</t>
    </rPh>
    <phoneticPr fontId="3"/>
  </si>
  <si>
    <r>
      <rPr>
        <b/>
        <sz val="10"/>
        <color indexed="10"/>
        <rFont val="ＭＳ Ｐゴシック"/>
        <family val="3"/>
        <charset val="128"/>
      </rPr>
      <t>その他</t>
    </r>
    <r>
      <rPr>
        <b/>
        <sz val="10"/>
        <color indexed="10"/>
        <rFont val="Arial"/>
        <family val="2"/>
      </rPr>
      <t xml:space="preserve"> ( 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12%,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</t>
    </r>
    <r>
      <rPr>
        <b/>
        <sz val="10"/>
        <color indexed="10"/>
        <rFont val="ＭＳ Ｐゴシック"/>
        <family val="3"/>
        <charset val="128"/>
      </rPr>
      <t>残り</t>
    </r>
    <r>
      <rPr>
        <b/>
        <sz val="10"/>
        <color indexed="10"/>
        <rFont val="Arial"/>
        <family val="2"/>
      </rPr>
      <t xml:space="preserve"> 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Osaka - NY ( </t>
    </r>
    <r>
      <rPr>
        <b/>
        <sz val="10"/>
        <color indexed="10"/>
        <rFont val="ＭＳ Ｐゴシック"/>
        <family val="3"/>
        <charset val="128"/>
      </rPr>
      <t>仕入単価÷</t>
    </r>
    <r>
      <rPr>
        <b/>
        <sz val="10"/>
        <color indexed="10"/>
        <rFont val="Arial"/>
        <family val="2"/>
      </rPr>
      <t>0.88</t>
    </r>
    <r>
      <rPr>
        <b/>
        <sz val="10"/>
        <color indexed="10"/>
        <rFont val="ＭＳ Ｐゴシック"/>
        <family val="3"/>
        <charset val="128"/>
      </rPr>
      <t>÷</t>
    </r>
    <r>
      <rPr>
        <b/>
        <sz val="10"/>
        <color indexed="10"/>
        <rFont val="Arial"/>
        <family val="2"/>
      </rPr>
      <t xml:space="preserve">90 ) </t>
    </r>
    <rPh sb="2" eb="3">
      <t>ホカ</t>
    </rPh>
    <rPh sb="28" eb="29">
      <t>ノコ</t>
    </rPh>
    <rPh sb="46" eb="48">
      <t>ケイサン</t>
    </rPh>
    <rPh sb="49" eb="51">
      <t>コキャク</t>
    </rPh>
    <rPh sb="51" eb="53">
      <t>タンカ</t>
    </rPh>
    <rPh sb="54" eb="55">
      <t>モト</t>
    </rPh>
    <rPh sb="60" eb="62">
      <t>シイレ</t>
    </rPh>
    <rPh sb="62" eb="64">
      <t>タンカ</t>
    </rPh>
    <rPh sb="76" eb="78">
      <t>タンカ</t>
    </rPh>
    <rPh sb="80" eb="82">
      <t>テキヨウ</t>
    </rPh>
    <phoneticPr fontId="3"/>
  </si>
  <si>
    <t>MP2000120</t>
    <phoneticPr fontId="3"/>
  </si>
  <si>
    <t>East Concept ( 3.1 Phillip Lim )</t>
    <phoneticPr fontId="3"/>
  </si>
  <si>
    <t>Herringbone Tape   Acrylic-100%</t>
    <phoneticPr fontId="3"/>
  </si>
  <si>
    <t>S-1668</t>
    <phoneticPr fontId="3"/>
  </si>
  <si>
    <t xml:space="preserve"># 25 Black </t>
    <phoneticPr fontId="3"/>
  </si>
  <si>
    <t xml:space="preserve"># 8 Baby Blue </t>
    <phoneticPr fontId="3"/>
  </si>
  <si>
    <t xml:space="preserve"># 19 Grey </t>
    <phoneticPr fontId="3"/>
  </si>
  <si>
    <t>Fedex Freight charge</t>
    <phoneticPr fontId="3"/>
  </si>
  <si>
    <t>PO-CLFW21S-SUNFASHION01</t>
    <phoneticPr fontId="3"/>
  </si>
  <si>
    <t xml:space="preserve">Claudia Li </t>
    <phoneticPr fontId="3"/>
  </si>
  <si>
    <t>Chambray Spark Satin   Polyester 60%,  Nylon 40%</t>
    <phoneticPr fontId="3"/>
  </si>
  <si>
    <t>S-1670</t>
    <phoneticPr fontId="3"/>
  </si>
  <si>
    <t>M2017</t>
    <phoneticPr fontId="3"/>
  </si>
  <si>
    <t xml:space="preserve"># 208 </t>
    <phoneticPr fontId="3"/>
  </si>
  <si>
    <t>X48019</t>
    <phoneticPr fontId="3"/>
  </si>
  <si>
    <t>Helmut Lang</t>
    <phoneticPr fontId="3"/>
  </si>
  <si>
    <t>S-1669</t>
    <phoneticPr fontId="3"/>
  </si>
  <si>
    <t xml:space="preserve"># BK </t>
    <phoneticPr fontId="3"/>
  </si>
  <si>
    <t># 33</t>
    <phoneticPr fontId="3"/>
  </si>
  <si>
    <t>X48019-2</t>
    <phoneticPr fontId="3"/>
  </si>
  <si>
    <t>S-1679</t>
    <phoneticPr fontId="3"/>
  </si>
  <si>
    <t>SUN103020</t>
    <phoneticPr fontId="3"/>
  </si>
  <si>
    <t>Hellessy</t>
    <phoneticPr fontId="3"/>
  </si>
  <si>
    <t>Double Faced Velveteen Ribbon Rayon-89%, Nylon-11%</t>
    <phoneticPr fontId="3"/>
  </si>
  <si>
    <t>S-1676</t>
    <phoneticPr fontId="3"/>
  </si>
  <si>
    <t xml:space="preserve"># 68 Teal </t>
    <phoneticPr fontId="3"/>
  </si>
  <si>
    <t>R-201105</t>
    <phoneticPr fontId="3"/>
  </si>
  <si>
    <t>The Ribbonerie</t>
    <phoneticPr fontId="3"/>
  </si>
  <si>
    <t>Velvet Ribbon Rayon 70 %, Nylon 30 %</t>
    <phoneticPr fontId="3"/>
  </si>
  <si>
    <t>S-1682</t>
    <phoneticPr fontId="3"/>
  </si>
  <si>
    <t># 125</t>
    <phoneticPr fontId="3"/>
  </si>
  <si>
    <t># 126</t>
    <phoneticPr fontId="3"/>
  </si>
  <si>
    <t xml:space="preserve">Petersham Ribbon  Cotton-100%  </t>
    <phoneticPr fontId="3"/>
  </si>
  <si>
    <t>GTG-M316-20</t>
    <phoneticPr fontId="3"/>
  </si>
  <si>
    <t>Golden Times Group Limited (Marchesa )</t>
    <phoneticPr fontId="3"/>
  </si>
  <si>
    <t>Knit Piping   Polyester-100%</t>
    <phoneticPr fontId="3"/>
  </si>
  <si>
    <t>S-1689</t>
    <phoneticPr fontId="3"/>
  </si>
  <si>
    <t># 222</t>
    <phoneticPr fontId="3"/>
  </si>
  <si>
    <t># 272</t>
    <phoneticPr fontId="3"/>
  </si>
  <si>
    <t># 180</t>
    <phoneticPr fontId="3"/>
  </si>
  <si>
    <t># 271</t>
    <phoneticPr fontId="3"/>
  </si>
  <si>
    <t>Elst Cord (Soft Type)   Rubber-70/Polyester-30%</t>
    <phoneticPr fontId="3"/>
  </si>
  <si>
    <t xml:space="preserve"># 76 </t>
    <phoneticPr fontId="3"/>
  </si>
  <si>
    <t>Waist Stretch Tape    Polyester-85%/Polyurethane-15%</t>
    <phoneticPr fontId="3"/>
  </si>
  <si>
    <t xml:space="preserve"># 50 Black </t>
    <phoneticPr fontId="3"/>
  </si>
  <si>
    <t>2011038</t>
    <phoneticPr fontId="3"/>
  </si>
  <si>
    <t>Tak Fat Fashions Ltd. (Alexander Wang)</t>
    <phoneticPr fontId="3"/>
  </si>
  <si>
    <t>Stretch Fine Grosgrain    Ny-79%, Pu-21%</t>
    <phoneticPr fontId="3"/>
  </si>
  <si>
    <t>TI-1050</t>
    <phoneticPr fontId="3"/>
  </si>
  <si>
    <t xml:space="preserve"># SG01 White </t>
    <phoneticPr fontId="3"/>
  </si>
  <si>
    <t>メンコ付け替え</t>
    <rPh sb="3" eb="4">
      <t>ツ</t>
    </rPh>
    <rPh sb="5" eb="6">
      <t>カ</t>
    </rPh>
    <phoneticPr fontId="3"/>
  </si>
  <si>
    <t>AH20PT11094</t>
    <phoneticPr fontId="3"/>
  </si>
  <si>
    <t>A&amp;Feng Fashion Limited ( Alexander Wang )</t>
    <phoneticPr fontId="3"/>
  </si>
  <si>
    <t xml:space="preserve"># SG04 Black </t>
    <phoneticPr fontId="3"/>
  </si>
  <si>
    <t>AH20PT11095</t>
    <phoneticPr fontId="3"/>
  </si>
  <si>
    <r>
      <t xml:space="preserve">8891 </t>
    </r>
    <r>
      <rPr>
        <sz val="12"/>
        <color indexed="10"/>
        <rFont val="Arial"/>
        <family val="2"/>
      </rPr>
      <t xml:space="preserve">Magic </t>
    </r>
  </si>
  <si>
    <t>3.1 Phillip Lim</t>
    <phoneticPr fontId="3"/>
  </si>
  <si>
    <t>Stretch Cord   95.5% Nylon, 4.5% Polyurethane</t>
    <phoneticPr fontId="3"/>
  </si>
  <si>
    <t>S-1696</t>
    <phoneticPr fontId="3"/>
  </si>
  <si>
    <t xml:space="preserve"># R-4 Black </t>
    <phoneticPr fontId="3"/>
  </si>
  <si>
    <t xml:space="preserve"># 10 Scarlet </t>
    <phoneticPr fontId="3"/>
  </si>
  <si>
    <t>PO-01212</t>
    <phoneticPr fontId="3"/>
  </si>
  <si>
    <t>Dion Lee</t>
    <phoneticPr fontId="3"/>
  </si>
  <si>
    <t xml:space="preserve">Trim Lace </t>
    <phoneticPr fontId="3"/>
  </si>
  <si>
    <t>S-1697</t>
    <phoneticPr fontId="3"/>
  </si>
  <si>
    <t>FWL-41079S</t>
    <phoneticPr fontId="3"/>
  </si>
  <si>
    <t>184( 114 + Dye 70)</t>
    <phoneticPr fontId="3"/>
  </si>
  <si>
    <t>FWL-41035S</t>
    <phoneticPr fontId="3"/>
  </si>
  <si>
    <t>105( 35 + Dye 70)</t>
    <phoneticPr fontId="3"/>
  </si>
  <si>
    <t>FWL-41130S</t>
    <phoneticPr fontId="3"/>
  </si>
  <si>
    <t>S-1730</t>
    <phoneticPr fontId="3"/>
  </si>
  <si>
    <t>274( 174 + Dye 100)</t>
    <phoneticPr fontId="3"/>
  </si>
  <si>
    <t xml:space="preserve">Dye Fee for 3 articles </t>
    <phoneticPr fontId="3"/>
  </si>
  <si>
    <t>002372</t>
    <phoneticPr fontId="3"/>
  </si>
  <si>
    <t xml:space="preserve">Marchesa </t>
    <phoneticPr fontId="3"/>
  </si>
  <si>
    <t>S-1706</t>
    <phoneticPr fontId="3"/>
  </si>
  <si>
    <t># 230 Heather Grey</t>
    <phoneticPr fontId="3"/>
  </si>
  <si>
    <t>FGL-201119</t>
    <phoneticPr fontId="3"/>
  </si>
  <si>
    <t>Fantastic Garments Ltd-Coach (CM# M-71253-00 )</t>
    <phoneticPr fontId="3"/>
  </si>
  <si>
    <t>Knit Tape  Polyester-100%</t>
    <phoneticPr fontId="3"/>
  </si>
  <si>
    <t>Select from Amossa Yarn C/C</t>
    <phoneticPr fontId="3"/>
  </si>
  <si>
    <t>(per meter )</t>
    <phoneticPr fontId="3"/>
  </si>
  <si>
    <t>S-1710</t>
    <phoneticPr fontId="3"/>
  </si>
  <si>
    <t xml:space="preserve">AMOSSA RASCHEL120  </t>
    <phoneticPr fontId="3"/>
  </si>
  <si>
    <t># A9358 Black</t>
    <phoneticPr fontId="3"/>
  </si>
  <si>
    <t>111220</t>
    <phoneticPr fontId="3"/>
  </si>
  <si>
    <t xml:space="preserve">Creative Design </t>
    <phoneticPr fontId="3"/>
  </si>
  <si>
    <t>S-1712</t>
    <phoneticPr fontId="3"/>
  </si>
  <si>
    <t>FLR-55058</t>
    <phoneticPr fontId="3"/>
  </si>
  <si>
    <t># 329 Off White</t>
    <phoneticPr fontId="3"/>
  </si>
  <si>
    <t>DL-201120</t>
    <phoneticPr fontId="3"/>
  </si>
  <si>
    <t>S-1711</t>
    <phoneticPr fontId="3"/>
  </si>
  <si>
    <t># 09</t>
    <phoneticPr fontId="3"/>
  </si>
  <si>
    <t># C30</t>
    <phoneticPr fontId="3"/>
  </si>
  <si>
    <t>GTG-M340-20</t>
    <phoneticPr fontId="3"/>
  </si>
  <si>
    <t>S-1722</t>
    <phoneticPr fontId="3"/>
  </si>
  <si>
    <t>通常19</t>
    <rPh sb="0" eb="2">
      <t>ツウジョウ</t>
    </rPh>
    <phoneticPr fontId="3"/>
  </si>
  <si>
    <t># 92</t>
    <phoneticPr fontId="3"/>
  </si>
  <si>
    <t># 270</t>
    <phoneticPr fontId="3"/>
  </si>
  <si>
    <t>Free of Charge</t>
    <phoneticPr fontId="3"/>
  </si>
  <si>
    <t># 84</t>
    <phoneticPr fontId="3"/>
  </si>
  <si>
    <t># 47</t>
    <phoneticPr fontId="3"/>
  </si>
  <si>
    <t>無償</t>
    <rPh sb="0" eb="2">
      <t>ムショウ</t>
    </rPh>
    <phoneticPr fontId="3"/>
  </si>
  <si>
    <t>CM-201125</t>
    <phoneticPr fontId="3"/>
  </si>
  <si>
    <t xml:space="preserve">Chinamine Trading Limited </t>
    <phoneticPr fontId="3"/>
  </si>
  <si>
    <t>KYL-76620</t>
    <phoneticPr fontId="3"/>
  </si>
  <si>
    <t>110( 80 + Dye 30)</t>
    <phoneticPr fontId="3"/>
  </si>
  <si>
    <r>
      <t xml:space="preserve">002400 </t>
    </r>
    <r>
      <rPr>
        <sz val="12"/>
        <color indexed="10"/>
        <rFont val="Arial"/>
        <family val="2"/>
      </rPr>
      <t xml:space="preserve">Bodacious </t>
    </r>
    <phoneticPr fontId="3"/>
  </si>
  <si>
    <t>S-1725</t>
    <phoneticPr fontId="3"/>
  </si>
  <si>
    <t># 31 Blushy Nude</t>
    <phoneticPr fontId="3"/>
  </si>
  <si>
    <t>R21-PT0016</t>
    <phoneticPr fontId="3"/>
  </si>
  <si>
    <t>Monse</t>
    <phoneticPr fontId="3"/>
  </si>
  <si>
    <t>S-1743</t>
    <phoneticPr fontId="3"/>
  </si>
  <si>
    <t>5603 :C/# 31 Black x Black Cel Tip (15mm )</t>
    <phoneticPr fontId="3"/>
  </si>
  <si>
    <r>
      <rPr>
        <sz val="12"/>
        <rFont val="ＭＳ Ｐゴシック"/>
        <family val="3"/>
        <charset val="128"/>
      </rPr>
      <t>白チップ</t>
    </r>
    <r>
      <rPr>
        <sz val="12"/>
        <rFont val="Arial"/>
        <family val="2"/>
      </rPr>
      <t xml:space="preserve"> 47.3</t>
    </r>
    <rPh sb="0" eb="1">
      <t>シロ</t>
    </rPh>
    <phoneticPr fontId="3"/>
  </si>
  <si>
    <t>5603 :C/# 30 Midnight x Black Cel Tip (15mm )</t>
    <phoneticPr fontId="3"/>
  </si>
  <si>
    <t>5603 :C/# 09 Ivory x White Cel Tip (15mm )</t>
    <phoneticPr fontId="3"/>
  </si>
  <si>
    <t>S-1753</t>
    <phoneticPr fontId="3"/>
  </si>
  <si>
    <t>PO-CLFW21S-SUNFASHION02</t>
    <phoneticPr fontId="3"/>
  </si>
  <si>
    <t>Claudia Li</t>
    <phoneticPr fontId="3"/>
  </si>
  <si>
    <t>S-1733</t>
    <phoneticPr fontId="3"/>
  </si>
  <si>
    <t xml:space="preserve"># Y134 </t>
    <phoneticPr fontId="3"/>
  </si>
  <si>
    <t>1283</t>
    <phoneticPr fontId="3"/>
  </si>
  <si>
    <t xml:space="preserve">Schone Design </t>
    <phoneticPr fontId="3"/>
  </si>
  <si>
    <t>S-1734</t>
    <phoneticPr fontId="3"/>
  </si>
  <si>
    <t>CTL-201209</t>
    <phoneticPr fontId="3"/>
  </si>
  <si>
    <t>Trim Lace Cotton:70%,Nylon:30%</t>
    <phoneticPr fontId="3"/>
  </si>
  <si>
    <t>ZMG0772</t>
    <phoneticPr fontId="3"/>
  </si>
  <si>
    <t>DTM TOFU( 11-4801TPG)</t>
    <phoneticPr fontId="3"/>
  </si>
  <si>
    <t>DTM Pistachio Shell(12-0110TPG)</t>
    <phoneticPr fontId="3"/>
  </si>
  <si>
    <t>ZMA2851</t>
    <phoneticPr fontId="3"/>
  </si>
  <si>
    <t>Nylon:65%,Cationic Polyester:35%</t>
    <phoneticPr fontId="3"/>
  </si>
  <si>
    <t>ZKC4151</t>
    <phoneticPr fontId="3"/>
  </si>
  <si>
    <t>ZMT3451</t>
    <phoneticPr fontId="3"/>
  </si>
  <si>
    <t>Dye Fee   8 sets (USD 10 x 8 articles)</t>
    <phoneticPr fontId="3"/>
  </si>
  <si>
    <t>S-1744</t>
    <phoneticPr fontId="3"/>
  </si>
  <si>
    <t>USD 125 x 2 colors</t>
    <phoneticPr fontId="3"/>
  </si>
  <si>
    <t>HS-201204</t>
    <phoneticPr fontId="3"/>
  </si>
  <si>
    <t>The Hat Salon</t>
    <phoneticPr fontId="3"/>
  </si>
  <si>
    <t>Herringbone Tape  Polyester-100%</t>
    <phoneticPr fontId="3"/>
  </si>
  <si>
    <t>S-1723</t>
    <phoneticPr fontId="3"/>
  </si>
  <si>
    <t># 95 Black</t>
    <phoneticPr fontId="3"/>
  </si>
  <si>
    <r>
      <rPr>
        <sz val="8"/>
        <rFont val="ＭＳ Ｐゴシック"/>
        <family val="3"/>
        <charset val="128"/>
      </rPr>
      <t>通常単価</t>
    </r>
    <r>
      <rPr>
        <sz val="8"/>
        <rFont val="Arial"/>
        <family val="2"/>
      </rPr>
      <t>38.53</t>
    </r>
    <r>
      <rPr>
        <sz val="8"/>
        <rFont val="ＭＳ Ｐゴシック"/>
        <family val="3"/>
        <charset val="128"/>
      </rPr>
      <t>貿易単価→</t>
    </r>
    <rPh sb="0" eb="2">
      <t>ツウジョウ</t>
    </rPh>
    <rPh sb="2" eb="4">
      <t>タンカ</t>
    </rPh>
    <rPh sb="9" eb="11">
      <t>ボウエキ</t>
    </rPh>
    <rPh sb="11" eb="13">
      <t>タンカ</t>
    </rPh>
    <phoneticPr fontId="3"/>
  </si>
  <si>
    <t xml:space="preserve"># 15 </t>
    <phoneticPr fontId="3"/>
  </si>
  <si>
    <r>
      <rPr>
        <sz val="8"/>
        <rFont val="ＭＳ Ｐゴシック"/>
        <family val="3"/>
        <charset val="128"/>
      </rPr>
      <t>通常単価</t>
    </r>
    <r>
      <rPr>
        <sz val="8"/>
        <rFont val="Arial"/>
        <family val="2"/>
      </rPr>
      <t>8.87</t>
    </r>
    <r>
      <rPr>
        <sz val="8"/>
        <rFont val="ＭＳ Ｐゴシック"/>
        <family val="3"/>
        <charset val="128"/>
      </rPr>
      <t>貿易単価→</t>
    </r>
    <phoneticPr fontId="3"/>
  </si>
  <si>
    <r>
      <rPr>
        <sz val="8"/>
        <rFont val="ＭＳ Ｐゴシック"/>
        <family val="3"/>
        <charset val="128"/>
      </rPr>
      <t>通常単価</t>
    </r>
    <r>
      <rPr>
        <sz val="8"/>
        <rFont val="Arial"/>
        <family val="2"/>
      </rPr>
      <t>11.1</t>
    </r>
    <r>
      <rPr>
        <sz val="8"/>
        <rFont val="ＭＳ Ｐゴシック"/>
        <family val="3"/>
        <charset val="128"/>
      </rPr>
      <t>貿易単価→</t>
    </r>
    <phoneticPr fontId="3"/>
  </si>
  <si>
    <t># 21</t>
    <phoneticPr fontId="3"/>
  </si>
  <si>
    <t># 32</t>
    <phoneticPr fontId="3"/>
  </si>
  <si>
    <r>
      <rPr>
        <sz val="8"/>
        <rFont val="ＭＳ Ｐゴシック"/>
        <family val="3"/>
        <charset val="128"/>
      </rPr>
      <t>通常単価</t>
    </r>
    <r>
      <rPr>
        <sz val="8"/>
        <rFont val="Arial"/>
        <family val="2"/>
      </rPr>
      <t>12.9</t>
    </r>
    <r>
      <rPr>
        <sz val="8"/>
        <rFont val="ＭＳ Ｐゴシック"/>
        <family val="3"/>
        <charset val="128"/>
      </rPr>
      <t>貿易単価→</t>
    </r>
    <phoneticPr fontId="3"/>
  </si>
  <si>
    <r>
      <t>X48445</t>
    </r>
    <r>
      <rPr>
        <sz val="12"/>
        <color indexed="10"/>
        <rFont val="Arial"/>
        <family val="2"/>
      </rPr>
      <t xml:space="preserve"> China</t>
    </r>
    <r>
      <rPr>
        <sz val="12"/>
        <rFont val="Arial"/>
        <family val="2"/>
      </rPr>
      <t xml:space="preserve"> </t>
    </r>
    <phoneticPr fontId="3"/>
  </si>
  <si>
    <t xml:space="preserve">Theory </t>
    <phoneticPr fontId="3"/>
  </si>
  <si>
    <t>Elst Cord (Hard Type)   Rubber-70/Polyester-30%</t>
    <phoneticPr fontId="3"/>
  </si>
  <si>
    <t>S-1755</t>
    <phoneticPr fontId="3"/>
  </si>
  <si>
    <t xml:space="preserve"># 47NT Deep Navy </t>
    <phoneticPr fontId="3"/>
  </si>
  <si>
    <r>
      <rPr>
        <sz val="12"/>
        <rFont val="ＭＳ Ｐゴシック"/>
        <family val="3"/>
        <charset val="128"/>
      </rPr>
      <t>色物単価</t>
    </r>
    <r>
      <rPr>
        <sz val="12"/>
        <rFont val="Arial"/>
        <family val="2"/>
      </rPr>
      <t>8.4</t>
    </r>
    <rPh sb="0" eb="2">
      <t>イロモノ</t>
    </rPh>
    <rPh sb="2" eb="4">
      <t>タンカ</t>
    </rPh>
    <phoneticPr fontId="3"/>
  </si>
  <si>
    <t xml:space="preserve"># 17NT Merlot </t>
    <phoneticPr fontId="3"/>
  </si>
  <si>
    <t xml:space="preserve"># 9NT Orange </t>
    <phoneticPr fontId="3"/>
  </si>
  <si>
    <t xml:space="preserve"># 65NT Pear </t>
    <phoneticPr fontId="3"/>
  </si>
  <si>
    <t xml:space="preserve"># 71NT Russet </t>
    <phoneticPr fontId="3"/>
  </si>
  <si>
    <t xml:space="preserve"># 78NT Viridian </t>
    <phoneticPr fontId="3"/>
  </si>
  <si>
    <r>
      <t>X48442</t>
    </r>
    <r>
      <rPr>
        <sz val="12"/>
        <color indexed="10"/>
        <rFont val="Arial"/>
        <family val="2"/>
      </rPr>
      <t xml:space="preserve"> Turkey</t>
    </r>
    <phoneticPr fontId="3"/>
  </si>
  <si>
    <t>S-1738</t>
    <phoneticPr fontId="3"/>
  </si>
  <si>
    <t># 59NT Pale Oat</t>
    <phoneticPr fontId="3"/>
  </si>
  <si>
    <t>R-201208</t>
    <phoneticPr fontId="3"/>
  </si>
  <si>
    <t>S-1742</t>
    <phoneticPr fontId="3"/>
  </si>
  <si>
    <t># 107</t>
    <phoneticPr fontId="3"/>
  </si>
  <si>
    <t># 104</t>
    <phoneticPr fontId="3"/>
  </si>
  <si>
    <t>8428</t>
    <phoneticPr fontId="3"/>
  </si>
  <si>
    <t>Reem Acra</t>
    <phoneticPr fontId="3"/>
  </si>
  <si>
    <t xml:space="preserve">Lace Trim </t>
    <phoneticPr fontId="3"/>
  </si>
  <si>
    <t>S-1751</t>
    <phoneticPr fontId="3"/>
  </si>
  <si>
    <t>KYL-875004GL6</t>
    <phoneticPr fontId="3"/>
  </si>
  <si>
    <t>Olive (Gold x Gray)</t>
    <phoneticPr fontId="3"/>
  </si>
  <si>
    <t>KYL-875004GL7</t>
    <phoneticPr fontId="3"/>
  </si>
  <si>
    <t>Wine (Gold x Wine)</t>
    <phoneticPr fontId="3"/>
  </si>
  <si>
    <t>KYL-875008GL6</t>
    <phoneticPr fontId="3"/>
  </si>
  <si>
    <t>KYL-875005GL6</t>
    <phoneticPr fontId="3"/>
  </si>
  <si>
    <r>
      <t>12142020SF</t>
    </r>
    <r>
      <rPr>
        <sz val="12"/>
        <color indexed="10"/>
        <rFont val="Arial"/>
        <family val="2"/>
      </rPr>
      <t xml:space="preserve"> </t>
    </r>
    <r>
      <rPr>
        <sz val="12"/>
        <color indexed="10"/>
        <rFont val="Arial"/>
        <family val="2"/>
      </rPr>
      <t>China</t>
    </r>
    <phoneticPr fontId="3"/>
  </si>
  <si>
    <t>Jenny Yoo</t>
    <phoneticPr fontId="3"/>
  </si>
  <si>
    <t>S-1756</t>
    <phoneticPr fontId="3"/>
  </si>
  <si>
    <t># 37 Light Nude</t>
    <phoneticPr fontId="3"/>
  </si>
  <si>
    <t>7297</t>
    <phoneticPr fontId="3"/>
  </si>
  <si>
    <t xml:space="preserve">Creative Enterprise Investment ( Marchesa) </t>
    <phoneticPr fontId="3"/>
  </si>
  <si>
    <t>S-1761</t>
    <phoneticPr fontId="3"/>
  </si>
  <si>
    <t># 31 Blush Nude</t>
    <phoneticPr fontId="3"/>
  </si>
  <si>
    <t xml:space="preserve"># 0 Ivory </t>
    <phoneticPr fontId="3"/>
  </si>
  <si>
    <r>
      <t xml:space="preserve">SU-1221200-HE </t>
    </r>
    <r>
      <rPr>
        <sz val="12"/>
        <color indexed="10"/>
        <rFont val="Arial"/>
        <family val="2"/>
      </rPr>
      <t>Magic</t>
    </r>
    <phoneticPr fontId="3"/>
  </si>
  <si>
    <t>Knit Tapes     Polyester-100%</t>
    <phoneticPr fontId="3"/>
  </si>
  <si>
    <t>S-1768</t>
    <phoneticPr fontId="3"/>
  </si>
  <si>
    <t>KS-9315</t>
    <phoneticPr fontId="3"/>
  </si>
  <si>
    <t># 3 Off White</t>
    <phoneticPr fontId="3"/>
  </si>
  <si>
    <r>
      <t xml:space="preserve">PO-01272 </t>
    </r>
    <r>
      <rPr>
        <sz val="12"/>
        <color indexed="10"/>
        <rFont val="Arial"/>
        <family val="2"/>
      </rPr>
      <t>Wing Tai Fashion</t>
    </r>
  </si>
  <si>
    <t>AH20PT12030</t>
    <phoneticPr fontId="3"/>
  </si>
  <si>
    <t>HS-210105</t>
    <phoneticPr fontId="3"/>
  </si>
  <si>
    <t>KYL-875005GL19</t>
    <phoneticPr fontId="3"/>
  </si>
  <si>
    <t xml:space="preserve">Black x Gold </t>
    <phoneticPr fontId="3"/>
  </si>
  <si>
    <t>R-210105</t>
    <phoneticPr fontId="3"/>
  </si>
  <si>
    <t># 117</t>
    <phoneticPr fontId="3"/>
  </si>
  <si>
    <t># 113</t>
    <phoneticPr fontId="3"/>
  </si>
  <si>
    <t># 106</t>
    <phoneticPr fontId="3"/>
  </si>
  <si>
    <t>1072102</t>
    <phoneticPr fontId="3"/>
  </si>
  <si>
    <t>Hunter Bell</t>
    <phoneticPr fontId="3"/>
  </si>
  <si>
    <t>KYL-25101</t>
    <phoneticPr fontId="3"/>
  </si>
  <si>
    <t>R-210112</t>
    <phoneticPr fontId="3"/>
  </si>
  <si>
    <t># 111</t>
    <phoneticPr fontId="3"/>
  </si>
  <si>
    <t>MP200007</t>
    <phoneticPr fontId="3"/>
  </si>
  <si>
    <t># 2 Ecru</t>
    <phoneticPr fontId="3"/>
  </si>
  <si>
    <t>AH21PF01005</t>
    <phoneticPr fontId="3"/>
  </si>
  <si>
    <t>A&amp;Feng Fashion Limited ( Helmut Lang )</t>
    <phoneticPr fontId="3"/>
  </si>
  <si>
    <t xml:space="preserve">GB Test </t>
    <phoneticPr fontId="3"/>
  </si>
  <si>
    <t>300m</t>
    <phoneticPr fontId="3"/>
  </si>
  <si>
    <t>R-210113</t>
    <phoneticPr fontId="3"/>
  </si>
  <si>
    <t># 49</t>
    <phoneticPr fontId="3"/>
  </si>
  <si>
    <t>005576</t>
    <phoneticPr fontId="3"/>
  </si>
  <si>
    <t xml:space="preserve">Nili Lotan(Tribeca Design Studio ) </t>
    <phoneticPr fontId="3"/>
  </si>
  <si>
    <t xml:space="preserve">Acrylic Cords  100% Acrylic </t>
    <phoneticPr fontId="3"/>
  </si>
  <si>
    <t xml:space="preserve"># 25 Taupe </t>
    <phoneticPr fontId="3"/>
  </si>
  <si>
    <t>A&amp;F 210113</t>
    <phoneticPr fontId="3"/>
  </si>
  <si>
    <t>キャンセル・大阪貿易在庫として処理</t>
    <rPh sb="6" eb="8">
      <t>オオサカ</t>
    </rPh>
    <rPh sb="8" eb="10">
      <t>ボウエキ</t>
    </rPh>
    <rPh sb="10" eb="12">
      <t>ザイコ</t>
    </rPh>
    <rPh sb="15" eb="17">
      <t>ショリ</t>
    </rPh>
    <phoneticPr fontId="3"/>
  </si>
  <si>
    <r>
      <t xml:space="preserve">SU-012521-HE </t>
    </r>
    <r>
      <rPr>
        <sz val="12"/>
        <color indexed="10"/>
        <rFont val="Arial"/>
        <family val="2"/>
      </rPr>
      <t>Magic</t>
    </r>
    <phoneticPr fontId="3"/>
  </si>
  <si>
    <t xml:space="preserve"># 6 Blue </t>
    <phoneticPr fontId="3"/>
  </si>
  <si>
    <t># 2 Red</t>
    <phoneticPr fontId="3"/>
  </si>
  <si>
    <t>1935</t>
    <phoneticPr fontId="3"/>
  </si>
  <si>
    <t>Bibhu Mohapatra</t>
    <phoneticPr fontId="3"/>
  </si>
  <si>
    <t># 610</t>
    <phoneticPr fontId="3"/>
  </si>
  <si>
    <t># 618 Nude</t>
    <phoneticPr fontId="3"/>
  </si>
  <si>
    <t xml:space="preserve"># 09 Black </t>
    <phoneticPr fontId="3"/>
  </si>
  <si>
    <t>026SUNAW21</t>
    <phoneticPr fontId="3"/>
  </si>
  <si>
    <t xml:space="preserve">INTERIOR WEAR LLC. </t>
    <phoneticPr fontId="3"/>
  </si>
  <si>
    <t>Stretch Grosgrain Ribbon  Polyester-80%/Polyurethane-20%</t>
  </si>
  <si>
    <t>12mm x 2</t>
    <phoneticPr fontId="3"/>
  </si>
  <si>
    <t>R-210201</t>
    <phoneticPr fontId="3"/>
  </si>
  <si>
    <t>MP2100012</t>
    <phoneticPr fontId="3"/>
  </si>
  <si>
    <t xml:space="preserve"># 11 Light Pink from #TI7030  </t>
    <phoneticPr fontId="3"/>
  </si>
  <si>
    <t>2102009</t>
    <phoneticPr fontId="3"/>
  </si>
  <si>
    <t>Stretch Fine Grosgrain    Ny-80%, Pu-20%</t>
    <phoneticPr fontId="3"/>
  </si>
  <si>
    <t># SG36 Nude</t>
    <phoneticPr fontId="3"/>
  </si>
  <si>
    <t>TI-10-7095</t>
    <phoneticPr fontId="3"/>
  </si>
  <si>
    <t>PFD (Preventative Yellowing Process)</t>
    <phoneticPr fontId="3"/>
  </si>
  <si>
    <t>Dye Fee for # 10-7095 / PFD</t>
    <phoneticPr fontId="3"/>
  </si>
  <si>
    <t>DC21AD-03</t>
    <phoneticPr fontId="3"/>
  </si>
  <si>
    <t>China Ting Garment MFG(Group)Ltd. - Marchesa</t>
    <phoneticPr fontId="3"/>
  </si>
  <si>
    <t xml:space="preserve"># 20 </t>
    <phoneticPr fontId="3"/>
  </si>
  <si>
    <t># 88</t>
    <phoneticPr fontId="3"/>
  </si>
  <si>
    <t xml:space="preserve">International Freight ( Marchesa's DHL ) </t>
    <phoneticPr fontId="3"/>
  </si>
  <si>
    <t>549</t>
    <phoneticPr fontId="3"/>
  </si>
  <si>
    <t>Danielle Frankel Studio LLC</t>
    <phoneticPr fontId="3"/>
  </si>
  <si>
    <t># 12 OFF WHITE</t>
    <phoneticPr fontId="3"/>
  </si>
  <si>
    <t>P21-PT0005</t>
    <phoneticPr fontId="3"/>
  </si>
  <si>
    <t>Surcharge</t>
    <phoneticPr fontId="3"/>
  </si>
  <si>
    <t>PO-MD003</t>
    <phoneticPr fontId="3"/>
  </si>
  <si>
    <t>Mojo Dojo (Timothy Brittain )</t>
    <phoneticPr fontId="3"/>
  </si>
  <si>
    <t>Cotton Knit Tape  Cotton-100%</t>
    <phoneticPr fontId="3"/>
  </si>
  <si>
    <t>KS-9110</t>
    <phoneticPr fontId="3"/>
  </si>
  <si>
    <t>Cotton Cord Cotton-100%</t>
    <phoneticPr fontId="3"/>
  </si>
  <si>
    <t>Inside Belt (Soft Type)    Polyester-75%/Polyurethane-25%</t>
    <phoneticPr fontId="3"/>
  </si>
  <si>
    <r>
      <rPr>
        <sz val="12"/>
        <rFont val="ＭＳ Ｐゴシック"/>
        <family val="3"/>
        <charset val="128"/>
      </rPr>
      <t>黒</t>
    </r>
    <r>
      <rPr>
        <sz val="12"/>
        <rFont val="Arial"/>
        <family val="2"/>
      </rPr>
      <t xml:space="preserve">63 </t>
    </r>
    <rPh sb="0" eb="1">
      <t>クロ</t>
    </rPh>
    <phoneticPr fontId="3"/>
  </si>
  <si>
    <t>SUN-022221-LE</t>
    <phoneticPr fontId="3"/>
  </si>
  <si>
    <t>FG-PO21020144</t>
    <phoneticPr fontId="3"/>
  </si>
  <si>
    <t xml:space="preserve">Dongguan Dalisheng Fashion Co. Ltd ( High Fashion - Alexander Wang ) </t>
    <phoneticPr fontId="3"/>
  </si>
  <si>
    <t>Stretch Fine Grosgrain    Nylon-79%, Polyurethane-21%</t>
    <phoneticPr fontId="3"/>
  </si>
  <si>
    <t>P21-PT0005'</t>
    <phoneticPr fontId="3"/>
  </si>
  <si>
    <t>MP2100022</t>
    <phoneticPr fontId="3"/>
  </si>
  <si>
    <t>East Concept-Shenzhen Maohua Fashion  ( 3.1 Phillip Lim )</t>
    <phoneticPr fontId="3"/>
  </si>
  <si>
    <t>P21-PT0005''</t>
    <phoneticPr fontId="3"/>
  </si>
  <si>
    <t>5603 :C/# 09 Ivory x White Cel Tip (15mm )</t>
  </si>
  <si>
    <t>CTL-210312</t>
    <phoneticPr fontId="3"/>
  </si>
  <si>
    <t xml:space="preserve">SAKAE Black </t>
    <phoneticPr fontId="3"/>
  </si>
  <si>
    <t xml:space="preserve"> 1 set for Pistachio (USD 40/set )</t>
    <phoneticPr fontId="3"/>
  </si>
  <si>
    <r>
      <t xml:space="preserve">SAKAE </t>
    </r>
    <r>
      <rPr>
        <b/>
        <sz val="10"/>
        <rFont val="ＭＳ Ｐゴシック"/>
        <family val="3"/>
        <charset val="128"/>
      </rPr>
      <t>負担</t>
    </r>
    <rPh sb="6" eb="8">
      <t>フタン</t>
    </rPh>
    <phoneticPr fontId="3"/>
  </si>
  <si>
    <t xml:space="preserve">DTM ( SAKAE ) Black </t>
    <phoneticPr fontId="3"/>
  </si>
  <si>
    <t>Dye Fee for Pistachio</t>
    <phoneticPr fontId="3"/>
  </si>
  <si>
    <t xml:space="preserve">Dye Fee for Black </t>
    <phoneticPr fontId="3"/>
  </si>
  <si>
    <r>
      <t>SF</t>
    </r>
    <r>
      <rPr>
        <b/>
        <sz val="10"/>
        <rFont val="ＭＳ Ｐゴシック"/>
        <family val="3"/>
        <charset val="128"/>
      </rPr>
      <t>負担</t>
    </r>
    <rPh sb="2" eb="4">
      <t>フタン</t>
    </rPh>
    <phoneticPr fontId="3"/>
  </si>
  <si>
    <t>MC-210317</t>
    <phoneticPr fontId="3"/>
  </si>
  <si>
    <t xml:space="preserve">Col. 0 Ivory </t>
    <phoneticPr fontId="3"/>
  </si>
  <si>
    <t>GTG-M055-21</t>
    <phoneticPr fontId="3"/>
  </si>
  <si>
    <t>カラー12.6</t>
    <phoneticPr fontId="3"/>
  </si>
  <si>
    <r>
      <t xml:space="preserve">R22-DT0002 </t>
    </r>
    <r>
      <rPr>
        <sz val="12"/>
        <color indexed="10"/>
        <rFont val="Arial"/>
        <family val="2"/>
      </rPr>
      <t>China</t>
    </r>
    <phoneticPr fontId="3"/>
  </si>
  <si>
    <t>MONSE LLC</t>
    <phoneticPr fontId="3"/>
  </si>
  <si>
    <r>
      <rPr>
        <sz val="8"/>
        <rFont val="ＭＳ Ｐゴシック"/>
        <family val="3"/>
        <charset val="128"/>
      </rPr>
      <t>カラー</t>
    </r>
    <r>
      <rPr>
        <sz val="8"/>
        <rFont val="Arial"/>
        <family val="2"/>
      </rPr>
      <t>35</t>
    </r>
    <r>
      <rPr>
        <sz val="8"/>
        <rFont val="ＭＳ Ｐゴシック"/>
        <family val="3"/>
        <charset val="128"/>
      </rPr>
      <t>生成り</t>
    </r>
    <r>
      <rPr>
        <sz val="8"/>
        <rFont val="Arial"/>
        <family val="2"/>
      </rPr>
      <t xml:space="preserve"> 31.5</t>
    </r>
    <rPh sb="5" eb="7">
      <t>キナ</t>
    </rPh>
    <phoneticPr fontId="3"/>
  </si>
  <si>
    <t>005828</t>
    <phoneticPr fontId="3"/>
  </si>
  <si>
    <t>HU-21F-021</t>
    <phoneticPr fontId="3"/>
  </si>
  <si>
    <t>Changzhou Hualida Garments Group (Theory )</t>
    <phoneticPr fontId="3"/>
  </si>
  <si>
    <t xml:space="preserve"># 84 Black </t>
    <phoneticPr fontId="3"/>
  </si>
  <si>
    <t>1942</t>
    <phoneticPr fontId="3"/>
  </si>
  <si>
    <t># 652 Navy</t>
    <phoneticPr fontId="3"/>
  </si>
  <si>
    <t>031621</t>
    <phoneticPr fontId="3"/>
  </si>
  <si>
    <t>TRL-271447</t>
    <phoneticPr fontId="3"/>
  </si>
  <si>
    <t>FLR-55038</t>
    <phoneticPr fontId="3"/>
  </si>
  <si>
    <t>X49558</t>
    <phoneticPr fontId="3"/>
  </si>
  <si>
    <t xml:space="preserve"># 11 Pale Petal </t>
    <phoneticPr fontId="3"/>
  </si>
  <si>
    <r>
      <t xml:space="preserve">MS-210326 </t>
    </r>
    <r>
      <rPr>
        <sz val="12"/>
        <color indexed="10"/>
        <rFont val="Arial"/>
        <family val="2"/>
      </rPr>
      <t>China</t>
    </r>
    <r>
      <rPr>
        <sz val="12"/>
        <rFont val="Arial"/>
        <family val="2"/>
      </rPr>
      <t xml:space="preserve"> </t>
    </r>
    <phoneticPr fontId="3"/>
  </si>
  <si>
    <r>
      <rPr>
        <sz val="8"/>
        <rFont val="ＭＳ Ｐゴシック"/>
        <family val="3"/>
        <charset val="128"/>
      </rPr>
      <t>カラー</t>
    </r>
    <r>
      <rPr>
        <sz val="8"/>
        <rFont val="Arial"/>
        <family val="2"/>
      </rPr>
      <t>24</t>
    </r>
    <r>
      <rPr>
        <sz val="8"/>
        <rFont val="ＭＳ Ｐゴシック"/>
        <family val="3"/>
        <charset val="128"/>
      </rPr>
      <t>生成り</t>
    </r>
    <r>
      <rPr>
        <sz val="8"/>
        <rFont val="Arial"/>
        <family val="2"/>
      </rPr>
      <t xml:space="preserve"> 21</t>
    </r>
    <rPh sb="5" eb="7">
      <t>キナ</t>
    </rPh>
    <phoneticPr fontId="3"/>
  </si>
  <si>
    <r>
      <t xml:space="preserve">SU-032921-HE </t>
    </r>
    <r>
      <rPr>
        <sz val="12"/>
        <color indexed="10"/>
        <rFont val="Arial"/>
        <family val="2"/>
      </rPr>
      <t>NY</t>
    </r>
    <phoneticPr fontId="3"/>
  </si>
  <si>
    <t># 25 Navy</t>
    <phoneticPr fontId="3"/>
  </si>
  <si>
    <t>Double Faced Velveteen Ribbon Rayon-89%, Nylon-11%</t>
  </si>
  <si>
    <t xml:space="preserve"># 68 Aqua </t>
    <phoneticPr fontId="3"/>
  </si>
  <si>
    <t># 53 Chartreuse</t>
    <phoneticPr fontId="3"/>
  </si>
  <si>
    <r>
      <t xml:space="preserve">SU-032921-MT </t>
    </r>
    <r>
      <rPr>
        <sz val="12"/>
        <color indexed="10"/>
        <rFont val="Arial"/>
        <family val="2"/>
      </rPr>
      <t>Magic</t>
    </r>
    <phoneticPr fontId="3"/>
  </si>
  <si>
    <t>KS-9300</t>
    <phoneticPr fontId="3"/>
  </si>
  <si>
    <t># 32 Burgundy</t>
    <phoneticPr fontId="3"/>
  </si>
  <si>
    <t>33121</t>
    <phoneticPr fontId="3"/>
  </si>
  <si>
    <t xml:space="preserve">Cotton Lace Trim </t>
    <phoneticPr fontId="3"/>
  </si>
  <si>
    <t>KYL-23703-1</t>
    <phoneticPr fontId="3"/>
  </si>
  <si>
    <t>THWFA'21-SUNFS</t>
    <phoneticPr fontId="3"/>
  </si>
  <si>
    <t>SPHERE CO., LTD / GEMMA (Theory )</t>
    <phoneticPr fontId="3"/>
  </si>
  <si>
    <t>色物単価13.8</t>
    <rPh sb="0" eb="2">
      <t>イロモノ</t>
    </rPh>
    <rPh sb="2" eb="4">
      <t>タンカ</t>
    </rPh>
    <phoneticPr fontId="3"/>
  </si>
  <si>
    <t xml:space="preserve"># 75NT Steel </t>
    <phoneticPr fontId="3"/>
  </si>
  <si>
    <t>C&amp;F</t>
    <phoneticPr fontId="3"/>
  </si>
  <si>
    <t>27605</t>
    <phoneticPr fontId="3"/>
  </si>
  <si>
    <t xml:space="preserve">Oscar de la Renta </t>
    <phoneticPr fontId="3"/>
  </si>
  <si>
    <t xml:space="preserve">Cotton Lace </t>
    <phoneticPr fontId="3"/>
  </si>
  <si>
    <t>FLR-85019</t>
    <phoneticPr fontId="3"/>
  </si>
  <si>
    <t>DTM Citrine(12-0643TCX- # 2)</t>
    <phoneticPr fontId="3"/>
  </si>
  <si>
    <t xml:space="preserve">Dye Fee Citrine </t>
    <phoneticPr fontId="3"/>
  </si>
  <si>
    <t>DTM Topaz(14-4112TCX- # 1 )</t>
    <phoneticPr fontId="3"/>
  </si>
  <si>
    <t>DTM Navy (19-4024TCX)</t>
    <phoneticPr fontId="3"/>
  </si>
  <si>
    <t>Dye Fee Topaz</t>
    <phoneticPr fontId="3"/>
  </si>
  <si>
    <t>Dye Fee Navy</t>
    <phoneticPr fontId="3"/>
  </si>
  <si>
    <t>ITX-210406</t>
    <phoneticPr fontId="3"/>
  </si>
  <si>
    <t>Intex (Theory )</t>
    <phoneticPr fontId="3"/>
  </si>
  <si>
    <t>Elst Cord (Hard Type)   Rubber-60/Polyester-40%</t>
    <phoneticPr fontId="3"/>
  </si>
  <si>
    <t># 59 Pale Oat</t>
    <phoneticPr fontId="3"/>
  </si>
  <si>
    <t>54829-FA</t>
    <phoneticPr fontId="3"/>
  </si>
  <si>
    <t xml:space="preserve">Sara Campbell </t>
    <phoneticPr fontId="3"/>
  </si>
  <si>
    <t>KYL-23402-1</t>
    <phoneticPr fontId="3"/>
  </si>
  <si>
    <t>TO-210416</t>
    <phoneticPr fontId="3"/>
  </si>
  <si>
    <t>Tomomi Okubo</t>
    <phoneticPr fontId="3"/>
  </si>
  <si>
    <t xml:space="preserve">100% Cotton Lace  </t>
    <phoneticPr fontId="3"/>
  </si>
  <si>
    <t>FLR-85042</t>
    <phoneticPr fontId="3"/>
  </si>
  <si>
    <t>OL-62456-1</t>
    <phoneticPr fontId="3"/>
  </si>
  <si>
    <r>
      <t xml:space="preserve">R22-DT0002-1 </t>
    </r>
    <r>
      <rPr>
        <sz val="12"/>
        <color indexed="10"/>
        <rFont val="Arial"/>
        <family val="2"/>
      </rPr>
      <t>China</t>
    </r>
    <phoneticPr fontId="3"/>
  </si>
  <si>
    <t># 28</t>
    <phoneticPr fontId="3"/>
  </si>
  <si>
    <r>
      <t xml:space="preserve">R22-DT0002-1 </t>
    </r>
    <r>
      <rPr>
        <sz val="12"/>
        <color indexed="10"/>
        <rFont val="Arial"/>
        <family val="2"/>
      </rPr>
      <t>NY</t>
    </r>
    <phoneticPr fontId="3"/>
  </si>
  <si>
    <r>
      <t xml:space="preserve">9213 </t>
    </r>
    <r>
      <rPr>
        <sz val="12"/>
        <color indexed="10"/>
        <rFont val="Arial"/>
        <family val="2"/>
      </rPr>
      <t>East Concept</t>
    </r>
    <r>
      <rPr>
        <sz val="12"/>
        <rFont val="Arial"/>
        <family val="2"/>
      </rPr>
      <t xml:space="preserve"> </t>
    </r>
    <phoneticPr fontId="3"/>
  </si>
  <si>
    <t>Polyester Cord /Polyester-100%</t>
    <phoneticPr fontId="3"/>
  </si>
  <si>
    <t xml:space="preserve"># 10NT Orange </t>
    <phoneticPr fontId="3"/>
  </si>
  <si>
    <t xml:space="preserve"># 3NT Pale Yellow  </t>
    <phoneticPr fontId="3"/>
  </si>
  <si>
    <t>MP2100027</t>
    <phoneticPr fontId="3"/>
  </si>
  <si>
    <t xml:space="preserve"># 21 Olive </t>
    <phoneticPr fontId="3"/>
  </si>
  <si>
    <t>MP2100102</t>
    <phoneticPr fontId="3"/>
  </si>
  <si>
    <t>PO-CL-OU-SUNFASHION01</t>
    <phoneticPr fontId="3"/>
  </si>
  <si>
    <t xml:space="preserve"># FB Black </t>
    <phoneticPr fontId="3"/>
  </si>
  <si>
    <t>002779</t>
    <phoneticPr fontId="3"/>
  </si>
  <si>
    <t xml:space="preserve"># BK Black </t>
    <phoneticPr fontId="3"/>
  </si>
  <si>
    <t>002778</t>
    <phoneticPr fontId="3"/>
  </si>
  <si>
    <t>CO-210426</t>
    <phoneticPr fontId="3"/>
  </si>
  <si>
    <t xml:space="preserve">Coach </t>
    <phoneticPr fontId="3"/>
  </si>
  <si>
    <t>Striped Knit Tape  Polyester-100%</t>
    <phoneticPr fontId="3"/>
  </si>
  <si>
    <t>Select from Amossa Bright Yarn  (Top x Middle x Bottom )</t>
    <phoneticPr fontId="3"/>
  </si>
  <si>
    <t>CM-0024(M-74699-00 )</t>
    <phoneticPr fontId="3"/>
  </si>
  <si>
    <t>Strawberry Ice277:  x KhakiB8035: x Gardenia298: (13mm each)</t>
    <phoneticPr fontId="3"/>
  </si>
  <si>
    <r>
      <t xml:space="preserve">1 </t>
    </r>
    <r>
      <rPr>
        <sz val="12"/>
        <color indexed="8"/>
        <rFont val="ＭＳ Ｐゴシック"/>
        <family val="3"/>
        <charset val="128"/>
      </rPr>
      <t>式</t>
    </r>
    <r>
      <rPr>
        <sz val="12"/>
        <color indexed="8"/>
        <rFont val="Arial"/>
        <family val="2"/>
      </rPr>
      <t xml:space="preserve"> 25m </t>
    </r>
    <r>
      <rPr>
        <sz val="12"/>
        <color indexed="8"/>
        <rFont val="ＭＳ Ｐゴシック"/>
        <family val="3"/>
        <charset val="128"/>
      </rPr>
      <t>で</t>
    </r>
    <rPh sb="2" eb="3">
      <t>シキ</t>
    </rPh>
    <phoneticPr fontId="3"/>
  </si>
  <si>
    <t>控え</t>
    <rPh sb="0" eb="1">
      <t>ヒカ</t>
    </rPh>
    <phoneticPr fontId="3"/>
  </si>
  <si>
    <t>HS-210421</t>
    <phoneticPr fontId="3"/>
  </si>
  <si>
    <t>HU-21F-035</t>
    <phoneticPr fontId="3"/>
  </si>
  <si>
    <t># 47 Deep Navy</t>
    <phoneticPr fontId="3"/>
  </si>
  <si>
    <t xml:space="preserve"># 42 Bluestone </t>
    <phoneticPr fontId="3"/>
  </si>
  <si>
    <t># 83 Deep Slate</t>
    <phoneticPr fontId="3"/>
  </si>
  <si>
    <t>CHG-210426</t>
    <phoneticPr fontId="3"/>
  </si>
  <si>
    <t>565</t>
    <phoneticPr fontId="3"/>
  </si>
  <si>
    <t>54302-FA</t>
    <phoneticPr fontId="3"/>
  </si>
  <si>
    <t>KYL-23488</t>
    <phoneticPr fontId="3"/>
  </si>
  <si>
    <t>PO-CL-SS22-SUNFASHION01</t>
    <phoneticPr fontId="3"/>
  </si>
  <si>
    <t>21042021</t>
    <phoneticPr fontId="3"/>
  </si>
  <si>
    <t>LEVINSON(Theory )</t>
    <phoneticPr fontId="3"/>
  </si>
  <si>
    <t xml:space="preserve">COO by Chamber of Commerce </t>
    <phoneticPr fontId="3"/>
  </si>
  <si>
    <t>GTG-210427</t>
    <phoneticPr fontId="3"/>
  </si>
  <si>
    <r>
      <t xml:space="preserve">SUN050521 </t>
    </r>
    <r>
      <rPr>
        <sz val="12"/>
        <color indexed="10"/>
        <rFont val="Arial"/>
        <family val="2"/>
      </rPr>
      <t>Magic</t>
    </r>
    <phoneticPr fontId="3"/>
  </si>
  <si>
    <t xml:space="preserve"># 42 Mustard </t>
    <phoneticPr fontId="3"/>
  </si>
  <si>
    <t>X49958</t>
    <phoneticPr fontId="3"/>
  </si>
  <si>
    <t>MC-210511</t>
    <phoneticPr fontId="3"/>
  </si>
  <si>
    <t># 510 Antique Rose</t>
    <phoneticPr fontId="3"/>
  </si>
  <si>
    <t># 137 Lavender</t>
    <phoneticPr fontId="3"/>
  </si>
  <si>
    <t xml:space="preserve"># 116 Bluebell </t>
    <phoneticPr fontId="3"/>
  </si>
  <si>
    <r>
      <t>F21-PT0010</t>
    </r>
    <r>
      <rPr>
        <sz val="12"/>
        <color indexed="10"/>
        <rFont val="Arial"/>
        <family val="2"/>
      </rPr>
      <t xml:space="preserve"> HK</t>
    </r>
  </si>
  <si>
    <t>F21-PT0010</t>
    <phoneticPr fontId="3"/>
  </si>
  <si>
    <r>
      <t xml:space="preserve">SUN051321 </t>
    </r>
    <r>
      <rPr>
        <sz val="12"/>
        <color indexed="10"/>
        <rFont val="Arial"/>
        <family val="2"/>
      </rPr>
      <t>Magic</t>
    </r>
    <phoneticPr fontId="3"/>
  </si>
  <si>
    <t># 77 Burgundy</t>
    <phoneticPr fontId="3"/>
  </si>
  <si>
    <t>21-33097</t>
    <phoneticPr fontId="3"/>
  </si>
  <si>
    <t>AMSALE</t>
    <phoneticPr fontId="3"/>
  </si>
  <si>
    <t xml:space="preserve"># 29 Yellow </t>
    <phoneticPr fontId="3"/>
  </si>
  <si>
    <t># 134 Burgundy</t>
    <phoneticPr fontId="3"/>
  </si>
  <si>
    <r>
      <t>05182020SF</t>
    </r>
    <r>
      <rPr>
        <sz val="12"/>
        <color indexed="10"/>
        <rFont val="Arial"/>
        <family val="2"/>
      </rPr>
      <t xml:space="preserve"> </t>
    </r>
    <r>
      <rPr>
        <sz val="12"/>
        <color indexed="10"/>
        <rFont val="Arial"/>
        <family val="2"/>
      </rPr>
      <t>China</t>
    </r>
  </si>
  <si>
    <r>
      <t xml:space="preserve">SUN052521 </t>
    </r>
    <r>
      <rPr>
        <sz val="12"/>
        <color indexed="10"/>
        <rFont val="Arial"/>
        <family val="2"/>
      </rPr>
      <t xml:space="preserve">Greenhill </t>
    </r>
    <phoneticPr fontId="3"/>
  </si>
  <si>
    <t># 3 Ecru</t>
    <phoneticPr fontId="3"/>
  </si>
  <si>
    <t>006107</t>
    <phoneticPr fontId="3"/>
  </si>
  <si>
    <t>SKL041733</t>
    <phoneticPr fontId="3"/>
  </si>
  <si>
    <t>Chinamine Trading Limited (Coach)</t>
    <phoneticPr fontId="3"/>
  </si>
  <si>
    <t>SKL041732</t>
    <phoneticPr fontId="3"/>
  </si>
  <si>
    <t xml:space="preserve">test sample </t>
    <phoneticPr fontId="3"/>
  </si>
  <si>
    <t>F21-PT0010_2</t>
    <phoneticPr fontId="3"/>
  </si>
  <si>
    <t>PO-CL-OU-SUNFASHION02</t>
    <phoneticPr fontId="3"/>
  </si>
  <si>
    <t># A18</t>
    <phoneticPr fontId="3"/>
  </si>
  <si>
    <t># 160</t>
    <phoneticPr fontId="3"/>
  </si>
  <si>
    <t>2918</t>
    <phoneticPr fontId="3"/>
  </si>
  <si>
    <t xml:space="preserve"># SO Off White </t>
    <phoneticPr fontId="3"/>
  </si>
  <si>
    <r>
      <t>06152020SF</t>
    </r>
    <r>
      <rPr>
        <sz val="12"/>
        <color indexed="10"/>
        <rFont val="Arial"/>
        <family val="2"/>
      </rPr>
      <t xml:space="preserve"> </t>
    </r>
    <r>
      <rPr>
        <sz val="12"/>
        <color indexed="10"/>
        <rFont val="Arial"/>
        <family val="2"/>
      </rPr>
      <t>China</t>
    </r>
    <phoneticPr fontId="3"/>
  </si>
  <si>
    <t>AH21PT06055</t>
    <phoneticPr fontId="3"/>
  </si>
  <si>
    <t>A&amp;Feng Fashion Limited (Theory)</t>
    <phoneticPr fontId="3"/>
  </si>
  <si>
    <t>EXW</t>
    <phoneticPr fontId="3"/>
  </si>
  <si>
    <t>AH21PT06055</t>
  </si>
  <si>
    <t>A&amp;Feng Fashion Limited (Theory)</t>
  </si>
  <si>
    <t>Yarn CC # 1027 Vanilla</t>
    <phoneticPr fontId="3"/>
  </si>
  <si>
    <t>Custom Yarn color order</t>
    <phoneticPr fontId="3"/>
  </si>
  <si>
    <t>Yarn CC # 1196 Lilac</t>
    <phoneticPr fontId="3"/>
  </si>
  <si>
    <t>Below min. fee</t>
    <phoneticPr fontId="3"/>
  </si>
  <si>
    <r>
      <t>JW202106170002</t>
    </r>
    <r>
      <rPr>
        <sz val="12"/>
        <color indexed="10"/>
        <rFont val="Arial"/>
        <family val="2"/>
      </rPr>
      <t xml:space="preserve"> </t>
    </r>
    <r>
      <rPr>
        <sz val="12"/>
        <color indexed="10"/>
        <rFont val="Arial"/>
        <family val="2"/>
      </rPr>
      <t>China</t>
    </r>
    <phoneticPr fontId="3"/>
  </si>
  <si>
    <r>
      <t>Jason Wu</t>
    </r>
    <r>
      <rPr>
        <sz val="12"/>
        <rFont val="ＭＳ Ｐゴシック"/>
        <family val="3"/>
        <charset val="128"/>
      </rPr>
      <t>（</t>
    </r>
    <r>
      <rPr>
        <sz val="12"/>
        <rFont val="Arial"/>
        <family val="2"/>
      </rPr>
      <t>Shanghai</t>
    </r>
    <r>
      <rPr>
        <sz val="12"/>
        <rFont val="ＭＳ Ｐゴシック"/>
        <family val="3"/>
        <charset val="128"/>
      </rPr>
      <t>）</t>
    </r>
    <r>
      <rPr>
        <sz val="12"/>
        <rFont val="Arial"/>
        <family val="2"/>
      </rPr>
      <t xml:space="preserve"> Garment CO., Ltd  </t>
    </r>
    <phoneticPr fontId="3"/>
  </si>
  <si>
    <t xml:space="preserve">Trim Lace  100% Cotton </t>
    <phoneticPr fontId="3"/>
  </si>
  <si>
    <t>KYL-25284-19</t>
    <phoneticPr fontId="3"/>
  </si>
  <si>
    <t>KYL-25284</t>
    <phoneticPr fontId="3"/>
  </si>
  <si>
    <t>21-33155</t>
    <phoneticPr fontId="3"/>
  </si>
  <si>
    <t xml:space="preserve"># 39 Blush </t>
    <phoneticPr fontId="3"/>
  </si>
  <si>
    <t xml:space="preserve"># 5 Blue </t>
    <phoneticPr fontId="3"/>
  </si>
  <si>
    <t xml:space="preserve"># 190 </t>
    <phoneticPr fontId="3"/>
  </si>
  <si>
    <t xml:space="preserve"># 192 Orange </t>
    <phoneticPr fontId="3"/>
  </si>
  <si>
    <t xml:space="preserve"># 140 Brown </t>
    <phoneticPr fontId="3"/>
  </si>
  <si>
    <t># 429 Ivory</t>
    <phoneticPr fontId="3"/>
  </si>
  <si>
    <t>27898</t>
    <phoneticPr fontId="3"/>
  </si>
  <si>
    <t xml:space="preserve">Cotton Lace 100% Cotton </t>
    <phoneticPr fontId="3"/>
  </si>
  <si>
    <t xml:space="preserve">DTM Navy (19-4024TCX) Lot 1 </t>
    <phoneticPr fontId="3"/>
  </si>
  <si>
    <t>DTM Navy (19-4024TCX) Lot 2</t>
    <phoneticPr fontId="3"/>
  </si>
  <si>
    <t>94076</t>
    <phoneticPr fontId="3"/>
  </si>
  <si>
    <t xml:space="preserve">J Mendel </t>
    <phoneticPr fontId="3"/>
  </si>
  <si>
    <t># A21 Navy</t>
    <phoneticPr fontId="3"/>
  </si>
  <si>
    <t>AF-210629</t>
    <phoneticPr fontId="3"/>
  </si>
  <si>
    <t>597</t>
    <phoneticPr fontId="3"/>
  </si>
  <si>
    <t>HS-210702</t>
    <phoneticPr fontId="3"/>
  </si>
  <si>
    <t>Hat Salon</t>
    <phoneticPr fontId="3"/>
  </si>
  <si>
    <t xml:space="preserve">Lace Trim  Cotton 100% </t>
    <phoneticPr fontId="3"/>
  </si>
  <si>
    <t>KYL-T25281</t>
    <phoneticPr fontId="3"/>
  </si>
  <si>
    <t>KYL-875008S</t>
  </si>
  <si>
    <t xml:space="preserve">Silver </t>
  </si>
  <si>
    <t>LOM-211022</t>
    <phoneticPr fontId="3"/>
  </si>
  <si>
    <t>PERU FASHIONS S.A.C.(Theory )</t>
    <phoneticPr fontId="3"/>
  </si>
  <si>
    <t>LOM-211022</t>
  </si>
  <si>
    <r>
      <rPr>
        <sz val="12"/>
        <rFont val="ＭＳ Ｐゴシック"/>
        <family val="3"/>
        <charset val="128"/>
      </rPr>
      <t>通常</t>
    </r>
    <r>
      <rPr>
        <sz val="12"/>
        <rFont val="Arial"/>
        <family val="2"/>
      </rPr>
      <t>Black</t>
    </r>
    <r>
      <rPr>
        <sz val="12"/>
        <rFont val="ＭＳ Ｐゴシック"/>
        <family val="3"/>
        <charset val="128"/>
      </rPr>
      <t>単価</t>
    </r>
    <r>
      <rPr>
        <sz val="12"/>
        <rFont val="Arial"/>
        <family val="2"/>
      </rPr>
      <t>10.4</t>
    </r>
    <rPh sb="0" eb="2">
      <t>ツウジョウ</t>
    </rPh>
    <rPh sb="7" eb="9">
      <t>タンカ</t>
    </rPh>
    <phoneticPr fontId="3"/>
  </si>
  <si>
    <t>LOM-211030</t>
    <phoneticPr fontId="3"/>
  </si>
  <si>
    <t>LOM-211023</t>
    <phoneticPr fontId="3"/>
  </si>
  <si>
    <t># 01 Off White</t>
    <phoneticPr fontId="3"/>
  </si>
  <si>
    <t>通常色物単価13.8</t>
    <rPh sb="0" eb="2">
      <t>ツウジョウ</t>
    </rPh>
    <rPh sb="2" eb="4">
      <t>イロモノ</t>
    </rPh>
    <rPh sb="4" eb="6">
      <t>タンカ</t>
    </rPh>
    <phoneticPr fontId="3"/>
  </si>
  <si>
    <t>LOM-211024</t>
    <phoneticPr fontId="3"/>
  </si>
  <si>
    <t># 18 Dusty Rose</t>
    <phoneticPr fontId="3"/>
  </si>
  <si>
    <t xml:space="preserve"># 81 Dark Grey </t>
    <phoneticPr fontId="3"/>
  </si>
  <si>
    <t>LOM-211072</t>
    <phoneticPr fontId="3"/>
  </si>
  <si>
    <t>062821</t>
    <phoneticPr fontId="3"/>
  </si>
  <si>
    <t xml:space="preserve"># 62 </t>
    <phoneticPr fontId="3"/>
  </si>
  <si>
    <t>JQ-2020</t>
    <phoneticPr fontId="3"/>
  </si>
  <si>
    <t># OF  Off White</t>
    <phoneticPr fontId="3"/>
  </si>
  <si>
    <t>OG1050-FL</t>
    <phoneticPr fontId="3"/>
  </si>
  <si>
    <t xml:space="preserve">DTM Pink ( same as ST1010 / Col. 3 ) </t>
    <phoneticPr fontId="3"/>
  </si>
  <si>
    <t>T3500</t>
  </si>
  <si>
    <t>KYL-25483</t>
    <phoneticPr fontId="3"/>
  </si>
  <si>
    <t>KYL-25483</t>
  </si>
  <si>
    <t>1965</t>
    <phoneticPr fontId="3"/>
  </si>
  <si>
    <t xml:space="preserve"># 650 Violet </t>
    <phoneticPr fontId="3"/>
  </si>
  <si>
    <t xml:space="preserve"># GP1 Mauve </t>
    <phoneticPr fontId="3"/>
  </si>
  <si>
    <t xml:space="preserve"># A1 Nude </t>
    <phoneticPr fontId="3"/>
  </si>
  <si>
    <t>DJ001-SPRING22</t>
    <phoneticPr fontId="3"/>
  </si>
  <si>
    <t>DANNIJO</t>
    <phoneticPr fontId="3"/>
  </si>
  <si>
    <t xml:space="preserve">Piping Braids     100%  Polyester </t>
    <phoneticPr fontId="3"/>
  </si>
  <si>
    <t xml:space="preserve"># 14 </t>
    <phoneticPr fontId="3"/>
  </si>
  <si>
    <t xml:space="preserve"># 31 </t>
    <phoneticPr fontId="3"/>
  </si>
  <si>
    <t>MP2100038</t>
    <phoneticPr fontId="3"/>
  </si>
  <si>
    <t xml:space="preserve"># 2 Ecru </t>
    <phoneticPr fontId="3"/>
  </si>
  <si>
    <t>01570</t>
    <phoneticPr fontId="3"/>
  </si>
  <si>
    <t>Dion Lee Enterprise</t>
    <phoneticPr fontId="3"/>
  </si>
  <si>
    <t>Elastic Tape with Custom Silicon Logo</t>
    <phoneticPr fontId="3"/>
  </si>
  <si>
    <t>1100 with Custom Silicon Logo</t>
    <phoneticPr fontId="3"/>
  </si>
  <si>
    <t xml:space="preserve">Black Elastic x Black Print </t>
    <phoneticPr fontId="3"/>
  </si>
  <si>
    <t xml:space="preserve">Off White Elastic x White Print </t>
    <phoneticPr fontId="3"/>
  </si>
  <si>
    <t xml:space="preserve">Mold Fee </t>
    <phoneticPr fontId="3"/>
  </si>
  <si>
    <t>Set-up Fee</t>
    <phoneticPr fontId="3"/>
  </si>
  <si>
    <t>01575</t>
    <phoneticPr fontId="3"/>
  </si>
  <si>
    <t>Cotton Cord  Cotton-100%</t>
    <phoneticPr fontId="3"/>
  </si>
  <si>
    <t>CCF-01A</t>
    <phoneticPr fontId="3"/>
  </si>
  <si>
    <t xml:space="preserve"># 50C Black </t>
    <phoneticPr fontId="3"/>
  </si>
  <si>
    <t># 21C Navy</t>
    <phoneticPr fontId="3"/>
  </si>
  <si>
    <t># 34C Olive</t>
    <phoneticPr fontId="3"/>
  </si>
  <si>
    <t xml:space="preserve"># 42C Sand Dollar </t>
    <phoneticPr fontId="3"/>
  </si>
  <si>
    <t># 01C White</t>
    <phoneticPr fontId="3"/>
  </si>
  <si>
    <t>006325</t>
    <phoneticPr fontId="3"/>
  </si>
  <si>
    <t>HS-210721</t>
    <phoneticPr fontId="3"/>
  </si>
  <si>
    <t>Trimming Braids</t>
    <phoneticPr fontId="3"/>
  </si>
  <si>
    <t xml:space="preserve"># 001 White </t>
    <phoneticPr fontId="3"/>
  </si>
  <si>
    <t xml:space="preserve"># 100 Gold </t>
    <phoneticPr fontId="3"/>
  </si>
  <si>
    <t xml:space="preserve"># 200 Silver </t>
    <phoneticPr fontId="3"/>
  </si>
  <si>
    <t xml:space="preserve"># 002 Black </t>
    <phoneticPr fontId="3"/>
  </si>
  <si>
    <r>
      <t xml:space="preserve">01548 </t>
    </r>
    <r>
      <rPr>
        <sz val="12"/>
        <color indexed="10"/>
        <rFont val="Arial"/>
        <family val="2"/>
      </rPr>
      <t xml:space="preserve">Tong Hui </t>
    </r>
    <phoneticPr fontId="3"/>
  </si>
  <si>
    <t xml:space="preserve">Plain Elastic </t>
    <phoneticPr fontId="3"/>
  </si>
  <si>
    <t>DTM Natural</t>
    <phoneticPr fontId="3"/>
  </si>
  <si>
    <r>
      <t xml:space="preserve">01578 </t>
    </r>
    <r>
      <rPr>
        <sz val="12"/>
        <color indexed="10"/>
        <rFont val="Arial"/>
        <family val="2"/>
      </rPr>
      <t>Wng-Yi</t>
    </r>
    <phoneticPr fontId="3"/>
  </si>
  <si>
    <t>Cotton Cord with Bullet Tip</t>
    <phoneticPr fontId="3"/>
  </si>
  <si>
    <t xml:space="preserve">Cord Colors selected from Yarn CC ( excluding 50C &amp; 34C)  </t>
    <phoneticPr fontId="3"/>
  </si>
  <si>
    <t>CCR-02(M) with Bullet Tip</t>
    <phoneticPr fontId="3"/>
  </si>
  <si>
    <t>CCR-02(M) :C/# L808 Ivory x Silver Bullet Tips(PWP,16mm)</t>
    <phoneticPr fontId="3"/>
  </si>
  <si>
    <t>CCR-02(M) :C/# 34C Moss x Gold Bullet Tips(16mm)</t>
    <phoneticPr fontId="3"/>
  </si>
  <si>
    <t>CCR-02(M) :C/# 50C Black x Silver Bullet Tips(PWP,16mm)</t>
    <phoneticPr fontId="3"/>
  </si>
  <si>
    <t>CCR-02(M) :C/# L732 Sahara x Gold Bullet Tips(16mm)</t>
    <phoneticPr fontId="3"/>
  </si>
  <si>
    <t>Custom Yarn color order (L808 &amp; L732)</t>
    <phoneticPr fontId="3"/>
  </si>
  <si>
    <t>Below min. fee for custom cord (L808 &amp; L732)</t>
    <phoneticPr fontId="3"/>
  </si>
  <si>
    <t xml:space="preserve">Surcharge for additional Moss color </t>
    <phoneticPr fontId="3"/>
  </si>
  <si>
    <r>
      <t xml:space="preserve">01579 </t>
    </r>
    <r>
      <rPr>
        <sz val="12"/>
        <color indexed="10"/>
        <rFont val="Arial"/>
        <family val="2"/>
      </rPr>
      <t>Tong Hui</t>
    </r>
    <phoneticPr fontId="3"/>
  </si>
  <si>
    <t xml:space="preserve">Cord Colors selected from Yarn CC ( excluding 50C)  </t>
    <phoneticPr fontId="3"/>
  </si>
  <si>
    <t>CCR-02(M) :C/# L704 Clear Blue x Silver Bullet Tips(PWP,16mm)</t>
    <phoneticPr fontId="3"/>
  </si>
  <si>
    <t>Custom Yarn color order (L704)</t>
    <phoneticPr fontId="3"/>
  </si>
  <si>
    <t>Below min. fee for cord (L704)</t>
    <phoneticPr fontId="3"/>
  </si>
  <si>
    <r>
      <t xml:space="preserve">R22-PT008 - </t>
    </r>
    <r>
      <rPr>
        <sz val="12"/>
        <color indexed="10"/>
        <rFont val="Arial"/>
        <family val="2"/>
      </rPr>
      <t>Highable</t>
    </r>
    <phoneticPr fontId="3"/>
  </si>
  <si>
    <r>
      <t xml:space="preserve">R22-PT008 - </t>
    </r>
    <r>
      <rPr>
        <sz val="12"/>
        <color indexed="10"/>
        <rFont val="Arial"/>
        <family val="2"/>
      </rPr>
      <t>Fred</t>
    </r>
    <phoneticPr fontId="3"/>
  </si>
  <si>
    <t># 9 Ivory</t>
    <phoneticPr fontId="3"/>
  </si>
  <si>
    <r>
      <t xml:space="preserve">R22-PT008 - </t>
    </r>
    <r>
      <rPr>
        <sz val="12"/>
        <color indexed="10"/>
        <rFont val="Arial"/>
        <family val="2"/>
      </rPr>
      <t>NY</t>
    </r>
    <phoneticPr fontId="3"/>
  </si>
  <si>
    <r>
      <t xml:space="preserve">R22-PT008 Add- </t>
    </r>
    <r>
      <rPr>
        <sz val="12"/>
        <color indexed="10"/>
        <rFont val="Arial"/>
        <family val="2"/>
      </rPr>
      <t>NY</t>
    </r>
    <phoneticPr fontId="3"/>
  </si>
  <si>
    <t xml:space="preserve">003061 </t>
    <phoneticPr fontId="3"/>
  </si>
  <si>
    <t>Fruta-210728</t>
    <phoneticPr fontId="3"/>
  </si>
  <si>
    <t>FRUTA</t>
    <phoneticPr fontId="3"/>
  </si>
  <si>
    <t xml:space="preserve"># 45 </t>
    <phoneticPr fontId="3"/>
  </si>
  <si>
    <t>HS-210803</t>
    <phoneticPr fontId="3"/>
  </si>
  <si>
    <t>KYL-25540</t>
    <phoneticPr fontId="3"/>
  </si>
  <si>
    <t>KYL-25412</t>
    <phoneticPr fontId="3"/>
  </si>
  <si>
    <t xml:space="preserve">Metallic Piping Tape </t>
    <phoneticPr fontId="3"/>
  </si>
  <si>
    <t xml:space="preserve">Col. 2 White with Gold </t>
    <phoneticPr fontId="3"/>
  </si>
  <si>
    <t>AC-210804</t>
    <phoneticPr fontId="3"/>
  </si>
  <si>
    <t>Amore Cache/Deean Yeoh &amp; Agnes Zhan</t>
    <phoneticPr fontId="3"/>
  </si>
  <si>
    <t>2108007</t>
    <phoneticPr fontId="3"/>
  </si>
  <si>
    <t>Stretch Tape</t>
    <phoneticPr fontId="3"/>
  </si>
  <si>
    <t>TI-10-700</t>
    <phoneticPr fontId="3"/>
  </si>
  <si>
    <t xml:space="preserve">Mill's  Black </t>
    <phoneticPr fontId="3"/>
  </si>
  <si>
    <t xml:space="preserve">Dye Fee for # TI-10-700 </t>
    <phoneticPr fontId="3"/>
  </si>
  <si>
    <t>AW-210804</t>
    <phoneticPr fontId="3"/>
  </si>
  <si>
    <t xml:space="preserve">Alexander Wang </t>
    <phoneticPr fontId="3"/>
  </si>
  <si>
    <t>Cord Colors selected from Yarn CC</t>
    <phoneticPr fontId="3"/>
  </si>
  <si>
    <t># D805 Dark Navy</t>
    <phoneticPr fontId="3"/>
  </si>
  <si>
    <t>Custom Yarn color order (D805)</t>
    <phoneticPr fontId="3"/>
  </si>
  <si>
    <t>Below min. fee for cord (D805)</t>
    <phoneticPr fontId="3"/>
  </si>
  <si>
    <t>006680</t>
    <phoneticPr fontId="3"/>
  </si>
  <si>
    <t xml:space="preserve">JWU LLC D/B/A/ Jason Wu </t>
    <phoneticPr fontId="3"/>
  </si>
  <si>
    <t xml:space="preserve"># 160 </t>
    <phoneticPr fontId="3"/>
  </si>
  <si>
    <t>JW202108060003</t>
    <phoneticPr fontId="3"/>
  </si>
  <si>
    <t xml:space="preserve">FWL-23689-11 </t>
    <phoneticPr fontId="3"/>
  </si>
  <si>
    <t>FWL-23689</t>
    <phoneticPr fontId="3"/>
  </si>
  <si>
    <t>EB-210811</t>
    <phoneticPr fontId="3"/>
  </si>
  <si>
    <t>Edgardo Bonilla</t>
  </si>
  <si>
    <t>Polyester 100 % Fabric</t>
    <phoneticPr fontId="3"/>
  </si>
  <si>
    <t>ONHY-410-B</t>
    <phoneticPr fontId="3"/>
  </si>
  <si>
    <t>#FB Black</t>
  </si>
  <si>
    <r>
      <t>KYL-25483</t>
    </r>
    <r>
      <rPr>
        <sz val="12"/>
        <rFont val="ＭＳ Ｐゴシック"/>
        <family val="3"/>
        <charset val="128"/>
      </rPr>
      <t>と一緒に請求</t>
    </r>
    <phoneticPr fontId="3"/>
  </si>
  <si>
    <r>
      <t>KYL-25483</t>
    </r>
    <r>
      <rPr>
        <sz val="12"/>
        <rFont val="ＭＳ Ｐゴシック"/>
        <family val="3"/>
        <charset val="128"/>
      </rPr>
      <t>と一緒に請求</t>
    </r>
    <rPh sb="10" eb="12">
      <t>イッショ</t>
    </rPh>
    <rPh sb="13" eb="15">
      <t>セイキュウ</t>
    </rPh>
    <phoneticPr fontId="3"/>
  </si>
  <si>
    <t>PO DJ001-SUMMER22</t>
    <phoneticPr fontId="3"/>
  </si>
  <si>
    <t>Stretch Satin Ribbon  Polyester-95%/Polyurethane-5%</t>
    <phoneticPr fontId="3"/>
  </si>
  <si>
    <t>7x7mm</t>
  </si>
  <si>
    <t>#0 white</t>
  </si>
  <si>
    <t>6mm</t>
  </si>
  <si>
    <t>9mm</t>
  </si>
  <si>
    <t>30mm</t>
  </si>
  <si>
    <t>WTA02354/21</t>
    <phoneticPr fontId="3"/>
  </si>
  <si>
    <t xml:space="preserve">Excellent Jade Limited-Coach </t>
    <phoneticPr fontId="3"/>
  </si>
  <si>
    <t>Tricolor  Knit Tape  Polyester-100%</t>
    <phoneticPr fontId="3"/>
  </si>
  <si>
    <t>Top x Middle x Bottom</t>
    <phoneticPr fontId="3"/>
  </si>
  <si>
    <t>CM#M75505-00</t>
    <phoneticPr fontId="3"/>
  </si>
  <si>
    <t>Strawberry Ice x Khaki: x Gardenia: (13mm each)</t>
    <phoneticPr fontId="3"/>
  </si>
  <si>
    <t>JW202108190004</t>
    <phoneticPr fontId="3"/>
  </si>
  <si>
    <t>HL-210825</t>
    <phoneticPr fontId="3"/>
  </si>
  <si>
    <t>JW2021008250005</t>
    <phoneticPr fontId="3"/>
  </si>
  <si>
    <t>LOM-211375</t>
    <phoneticPr fontId="3"/>
  </si>
  <si>
    <t>#42 Blue Stone</t>
  </si>
  <si>
    <t>#18 Dusty Rose</t>
  </si>
  <si>
    <t>chelse 20210831</t>
    <phoneticPr fontId="3"/>
  </si>
  <si>
    <t>CHELSE FASHION LIMITED (Marchesa)</t>
    <phoneticPr fontId="3"/>
  </si>
  <si>
    <t xml:space="preserve">International Freight ( SF Express  ) </t>
    <phoneticPr fontId="3"/>
  </si>
  <si>
    <r>
      <t xml:space="preserve">PO DJ003_SPRING22 </t>
    </r>
    <r>
      <rPr>
        <sz val="12"/>
        <color indexed="10"/>
        <rFont val="Arial"/>
        <family val="2"/>
      </rPr>
      <t>Katleya</t>
    </r>
    <phoneticPr fontId="3"/>
  </si>
  <si>
    <t>NN-210903</t>
    <phoneticPr fontId="3"/>
  </si>
  <si>
    <t>Natalia Nazarenco</t>
    <phoneticPr fontId="3"/>
  </si>
  <si>
    <t>TRL-286639</t>
  </si>
  <si>
    <t>Mill's Off-white</t>
    <phoneticPr fontId="3"/>
  </si>
  <si>
    <t>TRL-287891</t>
  </si>
  <si>
    <t>KYL-T25282</t>
  </si>
  <si>
    <t>PO-DJ006_SUMMER22</t>
    <phoneticPr fontId="3"/>
  </si>
  <si>
    <t xml:space="preserve">Marine Border Cord  Acrylic 50% Cotton 50% </t>
    <phoneticPr fontId="3"/>
  </si>
  <si>
    <t>CO-MBN02</t>
    <phoneticPr fontId="3"/>
  </si>
  <si>
    <t>#B2</t>
  </si>
  <si>
    <t xml:space="preserve">Piping Tape  Polyester 100% </t>
    <phoneticPr fontId="3"/>
  </si>
  <si>
    <t>#021</t>
    <phoneticPr fontId="3"/>
  </si>
  <si>
    <r>
      <t xml:space="preserve">X51676 </t>
    </r>
    <r>
      <rPr>
        <sz val="12"/>
        <color indexed="10"/>
        <rFont val="Arial"/>
        <family val="2"/>
      </rPr>
      <t xml:space="preserve">Chinamine </t>
    </r>
    <phoneticPr fontId="3"/>
  </si>
  <si>
    <t xml:space="preserve">Thoery </t>
    <phoneticPr fontId="3"/>
  </si>
  <si>
    <t>#24</t>
  </si>
  <si>
    <t>#35</t>
  </si>
  <si>
    <t>#64</t>
  </si>
  <si>
    <t>Handling fee</t>
  </si>
  <si>
    <t>NL-210917</t>
    <phoneticPr fontId="3"/>
  </si>
  <si>
    <t>HLD/JL/GM/18</t>
    <phoneticPr fontId="3"/>
  </si>
  <si>
    <t xml:space="preserve"># 76 Beige </t>
    <phoneticPr fontId="3"/>
  </si>
  <si>
    <t xml:space="preserve"># 54 Pale Green </t>
    <phoneticPr fontId="3"/>
  </si>
  <si>
    <r>
      <t xml:space="preserve">01653 </t>
    </r>
    <r>
      <rPr>
        <sz val="12"/>
        <color indexed="10"/>
        <rFont val="Arial"/>
        <family val="2"/>
      </rPr>
      <t>Tong Hui</t>
    </r>
    <phoneticPr fontId="3"/>
  </si>
  <si>
    <t>Custom Fee Total : Custom Yarn color order (L704)</t>
    <phoneticPr fontId="3"/>
  </si>
  <si>
    <t>Surcharge for MOQ</t>
    <phoneticPr fontId="3"/>
  </si>
  <si>
    <t>1344</t>
    <phoneticPr fontId="3"/>
  </si>
  <si>
    <r>
      <t>2021/11</t>
    </r>
    <r>
      <rPr>
        <sz val="12"/>
        <color indexed="10"/>
        <rFont val="ＭＳ Ｐゴシック"/>
        <family val="3"/>
        <charset val="128"/>
      </rPr>
      <t>～</t>
    </r>
    <r>
      <rPr>
        <sz val="12"/>
        <color indexed="10"/>
        <rFont val="Arial"/>
        <family val="2"/>
      </rPr>
      <t>94</t>
    </r>
    <r>
      <rPr>
        <sz val="12"/>
        <color indexed="10"/>
        <rFont val="ＭＳ Ｐゴシック"/>
        <family val="3"/>
        <charset val="128"/>
      </rPr>
      <t>円</t>
    </r>
    <rPh sb="10" eb="11">
      <t>エン</t>
    </rPh>
    <phoneticPr fontId="3"/>
  </si>
  <si>
    <t>DJ009_SUMMER22</t>
    <phoneticPr fontId="3"/>
  </si>
  <si>
    <t># 161</t>
    <phoneticPr fontId="3"/>
  </si>
  <si>
    <r>
      <t>2021/11</t>
    </r>
    <r>
      <rPr>
        <sz val="12"/>
        <color indexed="10"/>
        <rFont val="ＭＳ Ｐゴシック"/>
        <family val="3"/>
        <charset val="128"/>
      </rPr>
      <t>～</t>
    </r>
    <r>
      <rPr>
        <sz val="12"/>
        <color indexed="10"/>
        <rFont val="Arial"/>
        <family val="2"/>
      </rPr>
      <t>134</t>
    </r>
    <r>
      <rPr>
        <sz val="12"/>
        <color indexed="10"/>
        <rFont val="ＭＳ Ｐゴシック"/>
        <family val="3"/>
        <charset val="128"/>
      </rPr>
      <t>円</t>
    </r>
    <rPh sb="11" eb="12">
      <t>エン</t>
    </rPh>
    <phoneticPr fontId="3"/>
  </si>
  <si>
    <t># 120</t>
    <phoneticPr fontId="3"/>
  </si>
  <si>
    <t># 133</t>
    <phoneticPr fontId="3"/>
  </si>
  <si>
    <r>
      <t>2021/11</t>
    </r>
    <r>
      <rPr>
        <sz val="12"/>
        <color indexed="10"/>
        <rFont val="ＭＳ Ｐゴシック"/>
        <family val="3"/>
        <charset val="128"/>
      </rPr>
      <t>～</t>
    </r>
    <r>
      <rPr>
        <sz val="12"/>
        <color indexed="10"/>
        <rFont val="Arial"/>
        <family val="2"/>
      </rPr>
      <t>100</t>
    </r>
    <r>
      <rPr>
        <sz val="12"/>
        <color indexed="10"/>
        <rFont val="ＭＳ Ｐゴシック"/>
        <family val="3"/>
        <charset val="128"/>
      </rPr>
      <t>円</t>
    </r>
    <rPh sb="11" eb="12">
      <t>エン</t>
    </rPh>
    <phoneticPr fontId="3"/>
  </si>
  <si>
    <t>EC-210924</t>
    <phoneticPr fontId="3"/>
  </si>
  <si>
    <t>#2 Ecru</t>
    <phoneticPr fontId="3"/>
  </si>
  <si>
    <r>
      <t>2021/11</t>
    </r>
    <r>
      <rPr>
        <sz val="12"/>
        <color indexed="10"/>
        <rFont val="ＭＳ Ｐゴシック"/>
        <family val="3"/>
        <charset val="128"/>
      </rPr>
      <t>～</t>
    </r>
    <r>
      <rPr>
        <sz val="12"/>
        <color indexed="10"/>
        <rFont val="Arial"/>
        <family val="2"/>
      </rPr>
      <t>2</t>
    </r>
    <r>
      <rPr>
        <sz val="12"/>
        <color indexed="10"/>
        <rFont val="Arial"/>
        <family val="2"/>
      </rPr>
      <t>0</t>
    </r>
    <r>
      <rPr>
        <sz val="12"/>
        <color indexed="10"/>
        <rFont val="ＭＳ Ｐゴシック"/>
        <family val="3"/>
        <charset val="128"/>
      </rPr>
      <t>円</t>
    </r>
    <rPh sb="10" eb="11">
      <t>エン</t>
    </rPh>
    <phoneticPr fontId="3"/>
  </si>
  <si>
    <t>#19 Grey</t>
    <phoneticPr fontId="3"/>
  </si>
  <si>
    <t>#25 Black</t>
  </si>
  <si>
    <t>PO-00324</t>
    <phoneticPr fontId="3"/>
  </si>
  <si>
    <t>Eckhaus Latta</t>
    <phoneticPr fontId="3"/>
  </si>
  <si>
    <t># 80</t>
    <phoneticPr fontId="3"/>
  </si>
  <si>
    <r>
      <t xml:space="preserve">9487 </t>
    </r>
    <r>
      <rPr>
        <sz val="12"/>
        <color indexed="10"/>
        <rFont val="Arial"/>
        <family val="2"/>
      </rPr>
      <t xml:space="preserve">Magic </t>
    </r>
    <phoneticPr fontId="3"/>
  </si>
  <si>
    <t>X51619</t>
    <phoneticPr fontId="3"/>
  </si>
  <si>
    <t>Theory</t>
    <phoneticPr fontId="3"/>
  </si>
  <si>
    <r>
      <t xml:space="preserve">X51619 </t>
    </r>
    <r>
      <rPr>
        <sz val="12"/>
        <color indexed="10"/>
        <rFont val="Arial"/>
        <family val="2"/>
      </rPr>
      <t>Chinamine</t>
    </r>
    <phoneticPr fontId="3"/>
  </si>
  <si>
    <r>
      <t xml:space="preserve">X51619 </t>
    </r>
    <r>
      <rPr>
        <sz val="12"/>
        <color indexed="10"/>
        <rFont val="Arial"/>
        <family val="2"/>
      </rPr>
      <t>NY</t>
    </r>
    <phoneticPr fontId="3"/>
  </si>
  <si>
    <r>
      <t xml:space="preserve">SU-100421-GH </t>
    </r>
    <r>
      <rPr>
        <sz val="12"/>
        <color indexed="10"/>
        <rFont val="Arial"/>
        <family val="2"/>
      </rPr>
      <t xml:space="preserve">Greenhill </t>
    </r>
    <phoneticPr fontId="3"/>
  </si>
  <si>
    <r>
      <t>2021/11</t>
    </r>
    <r>
      <rPr>
        <sz val="12"/>
        <color indexed="10"/>
        <rFont val="ＭＳ Ｐゴシック"/>
        <family val="3"/>
        <charset val="128"/>
      </rPr>
      <t>～</t>
    </r>
    <r>
      <rPr>
        <sz val="12"/>
        <color indexed="10"/>
        <rFont val="Arial"/>
        <family val="2"/>
      </rPr>
      <t>52.3</t>
    </r>
    <r>
      <rPr>
        <sz val="12"/>
        <color indexed="10"/>
        <rFont val="ＭＳ Ｐゴシック"/>
        <family val="3"/>
        <charset val="128"/>
      </rPr>
      <t>円</t>
    </r>
    <rPh sb="12" eb="13">
      <t>エン</t>
    </rPh>
    <phoneticPr fontId="3"/>
  </si>
  <si>
    <r>
      <t xml:space="preserve">SU-100421-MT </t>
    </r>
    <r>
      <rPr>
        <sz val="12"/>
        <color indexed="10"/>
        <rFont val="Arial"/>
        <family val="2"/>
      </rPr>
      <t>Magic</t>
    </r>
    <phoneticPr fontId="3"/>
  </si>
  <si>
    <r>
      <t>2021/11</t>
    </r>
    <r>
      <rPr>
        <sz val="12"/>
        <color indexed="10"/>
        <rFont val="ＭＳ Ｐゴシック"/>
        <family val="3"/>
        <charset val="128"/>
      </rPr>
      <t>～</t>
    </r>
    <r>
      <rPr>
        <sz val="12"/>
        <color indexed="10"/>
        <rFont val="Arial"/>
        <family val="2"/>
      </rPr>
      <t>26.7</t>
    </r>
    <r>
      <rPr>
        <sz val="12"/>
        <color indexed="10"/>
        <rFont val="ＭＳ Ｐゴシック"/>
        <family val="3"/>
        <charset val="128"/>
      </rPr>
      <t>円</t>
    </r>
    <rPh sb="12" eb="13">
      <t>エン</t>
    </rPh>
    <phoneticPr fontId="3"/>
  </si>
  <si>
    <r>
      <t>2021/11</t>
    </r>
    <r>
      <rPr>
        <sz val="12"/>
        <color indexed="10"/>
        <rFont val="ＭＳ Ｐゴシック"/>
        <family val="3"/>
        <charset val="128"/>
      </rPr>
      <t>～</t>
    </r>
    <r>
      <rPr>
        <sz val="12"/>
        <color indexed="10"/>
        <rFont val="Arial"/>
        <family val="2"/>
      </rPr>
      <t>41</t>
    </r>
    <r>
      <rPr>
        <sz val="12"/>
        <color indexed="10"/>
        <rFont val="ＭＳ Ｐゴシック"/>
        <family val="3"/>
        <charset val="128"/>
      </rPr>
      <t>円</t>
    </r>
    <rPh sb="10" eb="11">
      <t>エン</t>
    </rPh>
    <phoneticPr fontId="3"/>
  </si>
  <si>
    <r>
      <t xml:space="preserve">SU-100421-HE </t>
    </r>
    <r>
      <rPr>
        <sz val="12"/>
        <color indexed="10"/>
        <rFont val="Arial"/>
        <family val="2"/>
      </rPr>
      <t>NY</t>
    </r>
    <phoneticPr fontId="3"/>
  </si>
  <si>
    <t xml:space="preserve"># 30 Black  </t>
    <phoneticPr fontId="3"/>
  </si>
  <si>
    <r>
      <t>2021/11</t>
    </r>
    <r>
      <rPr>
        <sz val="12"/>
        <color indexed="10"/>
        <rFont val="ＭＳ Ｐゴシック"/>
        <family val="3"/>
        <charset val="128"/>
      </rPr>
      <t>～</t>
    </r>
    <r>
      <rPr>
        <sz val="12"/>
        <color indexed="10"/>
        <rFont val="Arial"/>
        <family val="2"/>
      </rPr>
      <t>37</t>
    </r>
    <r>
      <rPr>
        <sz val="12"/>
        <color indexed="10"/>
        <rFont val="ＭＳ Ｐゴシック"/>
        <family val="3"/>
        <charset val="128"/>
      </rPr>
      <t>円</t>
    </r>
    <rPh sb="10" eb="11">
      <t>エン</t>
    </rPh>
    <phoneticPr fontId="3"/>
  </si>
  <si>
    <r>
      <t>2021/11</t>
    </r>
    <r>
      <rPr>
        <sz val="12"/>
        <color indexed="10"/>
        <rFont val="ＭＳ Ｐゴシック"/>
        <family val="3"/>
        <charset val="128"/>
      </rPr>
      <t>～</t>
    </r>
    <r>
      <rPr>
        <sz val="12"/>
        <color indexed="10"/>
        <rFont val="Arial"/>
        <family val="2"/>
      </rPr>
      <t>54</t>
    </r>
    <r>
      <rPr>
        <sz val="12"/>
        <color indexed="10"/>
        <rFont val="ＭＳ Ｐゴシック"/>
        <family val="3"/>
        <charset val="128"/>
      </rPr>
      <t>円</t>
    </r>
    <rPh sb="10" eb="11">
      <t>エン</t>
    </rPh>
    <phoneticPr fontId="3"/>
  </si>
  <si>
    <t xml:space="preserve"># 31 Ecru </t>
    <phoneticPr fontId="3"/>
  </si>
  <si>
    <t># 21 Burgundy</t>
    <phoneticPr fontId="3"/>
  </si>
  <si>
    <r>
      <t>2021/11</t>
    </r>
    <r>
      <rPr>
        <sz val="12"/>
        <color indexed="10"/>
        <rFont val="ＭＳ Ｐゴシック"/>
        <family val="3"/>
        <charset val="128"/>
      </rPr>
      <t>～</t>
    </r>
    <r>
      <rPr>
        <sz val="12"/>
        <color indexed="10"/>
        <rFont val="Arial"/>
        <family val="2"/>
      </rPr>
      <t>65</t>
    </r>
    <r>
      <rPr>
        <sz val="12"/>
        <color indexed="10"/>
        <rFont val="ＭＳ Ｐゴシック"/>
        <family val="3"/>
        <charset val="128"/>
      </rPr>
      <t>円</t>
    </r>
    <rPh sb="10" eb="11">
      <t>エン</t>
    </rPh>
    <phoneticPr fontId="3"/>
  </si>
  <si>
    <r>
      <rPr>
        <sz val="12"/>
        <rFont val="ＭＳ Ｐゴシック"/>
        <family val="3"/>
        <charset val="128"/>
      </rPr>
      <t>白メンコ付け替え</t>
    </r>
    <r>
      <rPr>
        <sz val="12"/>
        <rFont val="Arial"/>
        <family val="2"/>
      </rPr>
      <t xml:space="preserve"> 14552</t>
    </r>
    <rPh sb="0" eb="1">
      <t>シロ</t>
    </rPh>
    <rPh sb="4" eb="5">
      <t>ツ</t>
    </rPh>
    <rPh sb="6" eb="7">
      <t>カ</t>
    </rPh>
    <phoneticPr fontId="3"/>
  </si>
  <si>
    <r>
      <t xml:space="preserve">IFC </t>
    </r>
    <r>
      <rPr>
        <sz val="12"/>
        <rFont val="ＭＳ Ｐゴシック"/>
        <family val="3"/>
        <charset val="128"/>
      </rPr>
      <t>に含む</t>
    </r>
    <rPh sb="5" eb="6">
      <t>フク</t>
    </rPh>
    <phoneticPr fontId="3"/>
  </si>
  <si>
    <t>006854</t>
    <phoneticPr fontId="3"/>
  </si>
  <si>
    <t>X51800</t>
    <phoneticPr fontId="3"/>
  </si>
  <si>
    <r>
      <t xml:space="preserve">X51800 </t>
    </r>
    <r>
      <rPr>
        <sz val="12"/>
        <color indexed="10"/>
        <rFont val="Arial"/>
        <family val="2"/>
      </rPr>
      <t>A&amp;Feng</t>
    </r>
    <phoneticPr fontId="3"/>
  </si>
  <si>
    <t xml:space="preserve"># 64 Pond </t>
    <phoneticPr fontId="3"/>
  </si>
  <si>
    <t xml:space="preserve"># 13 Coral </t>
    <phoneticPr fontId="3"/>
  </si>
  <si>
    <r>
      <t xml:space="preserve">X51813 </t>
    </r>
    <r>
      <rPr>
        <sz val="12"/>
        <color indexed="10"/>
        <rFont val="Arial"/>
        <family val="2"/>
      </rPr>
      <t>A&amp;Feng</t>
    </r>
    <phoneticPr fontId="3"/>
  </si>
  <si>
    <t xml:space="preserve"># 35 Brown </t>
    <phoneticPr fontId="3"/>
  </si>
  <si>
    <r>
      <t xml:space="preserve">X51800&amp;X51813 </t>
    </r>
    <r>
      <rPr>
        <sz val="12"/>
        <color indexed="10"/>
        <rFont val="Arial"/>
        <family val="2"/>
      </rPr>
      <t>A&amp;Feng</t>
    </r>
    <phoneticPr fontId="3"/>
  </si>
  <si>
    <r>
      <t xml:space="preserve">X51800 </t>
    </r>
    <r>
      <rPr>
        <sz val="12"/>
        <color indexed="10"/>
        <rFont val="Arial"/>
        <family val="2"/>
      </rPr>
      <t>NY</t>
    </r>
    <phoneticPr fontId="3"/>
  </si>
  <si>
    <r>
      <t xml:space="preserve">X51813 </t>
    </r>
    <r>
      <rPr>
        <sz val="12"/>
        <color indexed="10"/>
        <rFont val="Arial"/>
        <family val="2"/>
      </rPr>
      <t>NY</t>
    </r>
    <phoneticPr fontId="3"/>
  </si>
  <si>
    <r>
      <t xml:space="preserve">X51800&amp;X51813 </t>
    </r>
    <r>
      <rPr>
        <sz val="12"/>
        <color indexed="10"/>
        <rFont val="Arial"/>
        <family val="2"/>
      </rPr>
      <t>NY</t>
    </r>
    <phoneticPr fontId="3"/>
  </si>
  <si>
    <t>21-33383</t>
    <phoneticPr fontId="3"/>
  </si>
  <si>
    <t>Credit amount from INV# 3275</t>
    <phoneticPr fontId="3"/>
  </si>
  <si>
    <t>21-33384</t>
    <phoneticPr fontId="3"/>
  </si>
  <si>
    <t>Double Sleek Satin  100% Polyester</t>
    <phoneticPr fontId="3"/>
  </si>
  <si>
    <t>TI-10000</t>
    <phoneticPr fontId="3"/>
  </si>
  <si>
    <r>
      <t>2021/11</t>
    </r>
    <r>
      <rPr>
        <sz val="12"/>
        <color indexed="10"/>
        <rFont val="ＭＳ Ｐゴシック"/>
        <family val="3"/>
        <charset val="128"/>
      </rPr>
      <t>～</t>
    </r>
    <r>
      <rPr>
        <sz val="12"/>
        <color indexed="10"/>
        <rFont val="Arial"/>
        <family val="2"/>
      </rPr>
      <t>168.5</t>
    </r>
    <r>
      <rPr>
        <sz val="12"/>
        <color indexed="10"/>
        <rFont val="ＭＳ Ｐゴシック"/>
        <family val="3"/>
        <charset val="128"/>
      </rPr>
      <t>円</t>
    </r>
    <rPh sb="13" eb="14">
      <t>エン</t>
    </rPh>
    <phoneticPr fontId="3"/>
  </si>
  <si>
    <t>21-33383&amp;33384</t>
    <phoneticPr fontId="3"/>
  </si>
  <si>
    <t>AMS-211018</t>
    <phoneticPr fontId="3"/>
  </si>
  <si>
    <t xml:space="preserve">Sample Card </t>
    <phoneticPr fontId="3"/>
  </si>
  <si>
    <t>ES-174</t>
    <phoneticPr fontId="3"/>
  </si>
  <si>
    <t>ES-175</t>
    <phoneticPr fontId="3"/>
  </si>
  <si>
    <t>IM-30000</t>
    <phoneticPr fontId="3"/>
  </si>
  <si>
    <t>IM-1150</t>
    <phoneticPr fontId="3"/>
  </si>
  <si>
    <r>
      <t xml:space="preserve">NY </t>
    </r>
    <r>
      <rPr>
        <sz val="12"/>
        <rFont val="ＭＳ Ｐゴシック"/>
        <family val="3"/>
        <charset val="128"/>
      </rPr>
      <t>分と同梱</t>
    </r>
    <rPh sb="3" eb="4">
      <t>ブン</t>
    </rPh>
    <rPh sb="5" eb="7">
      <t>ドウコン</t>
    </rPh>
    <phoneticPr fontId="3"/>
  </si>
  <si>
    <r>
      <t>NY</t>
    </r>
    <r>
      <rPr>
        <sz val="12"/>
        <color indexed="8"/>
        <rFont val="ＭＳ Ｐゴシック"/>
        <family val="3"/>
        <charset val="128"/>
      </rPr>
      <t>分と同梱</t>
    </r>
    <rPh sb="2" eb="3">
      <t>ブン</t>
    </rPh>
    <rPh sb="4" eb="6">
      <t>ドウコン</t>
    </rPh>
    <phoneticPr fontId="3"/>
  </si>
  <si>
    <r>
      <t>NY</t>
    </r>
    <r>
      <rPr>
        <sz val="12"/>
        <rFont val="ＭＳ Ｐゴシック"/>
        <family val="3"/>
        <charset val="128"/>
      </rPr>
      <t>分と同梱</t>
    </r>
    <phoneticPr fontId="3"/>
  </si>
  <si>
    <t>21CFBZXY012</t>
    <phoneticPr fontId="3"/>
  </si>
  <si>
    <t>CHENFENG (JIANGSU) APPAREL CO.,LTD (Theory )</t>
    <phoneticPr fontId="3"/>
  </si>
  <si>
    <t>#84 Black</t>
  </si>
  <si>
    <t>#79 Sea Rock</t>
  </si>
  <si>
    <t>#76 Beige</t>
  </si>
  <si>
    <t>101821</t>
    <phoneticPr fontId="3"/>
  </si>
  <si>
    <t xml:space="preserve"># 329 Off White </t>
    <phoneticPr fontId="3"/>
  </si>
  <si>
    <t>5300SDMVS</t>
    <phoneticPr fontId="3"/>
  </si>
  <si>
    <t>28571</t>
    <phoneticPr fontId="3"/>
  </si>
  <si>
    <t xml:space="preserve">DTM Navy (19-4024TCX) </t>
    <phoneticPr fontId="3"/>
  </si>
  <si>
    <t>SC122-154</t>
    <phoneticPr fontId="3"/>
  </si>
  <si>
    <t>X52019</t>
    <phoneticPr fontId="3"/>
  </si>
  <si>
    <t>#OF</t>
  </si>
  <si>
    <t>#69</t>
  </si>
  <si>
    <t>#BK</t>
  </si>
  <si>
    <t>#20</t>
  </si>
  <si>
    <t>#26</t>
  </si>
  <si>
    <t>#FB</t>
  </si>
  <si>
    <t xml:space="preserve">Cut Fee </t>
    <phoneticPr fontId="3"/>
  </si>
  <si>
    <t>21-33409</t>
    <phoneticPr fontId="3"/>
  </si>
  <si>
    <t xml:space="preserve">Silk Ribbon   Silk 100% </t>
    <phoneticPr fontId="3"/>
  </si>
  <si>
    <t xml:space="preserve"># 00 Ivory </t>
    <phoneticPr fontId="3"/>
  </si>
  <si>
    <t>MO21025</t>
    <phoneticPr fontId="3"/>
  </si>
  <si>
    <t xml:space="preserve"># 11 Light Blush from #TI7030  </t>
    <phoneticPr fontId="3"/>
  </si>
  <si>
    <r>
      <t xml:space="preserve">SUN102821 </t>
    </r>
    <r>
      <rPr>
        <sz val="12"/>
        <color indexed="10"/>
        <rFont val="Arial"/>
        <family val="2"/>
      </rPr>
      <t>Greenhill</t>
    </r>
    <phoneticPr fontId="3"/>
  </si>
  <si>
    <t>LOM-211828</t>
    <phoneticPr fontId="3"/>
  </si>
  <si>
    <t xml:space="preserve">VHK-email 10/29/21 </t>
    <phoneticPr fontId="3"/>
  </si>
  <si>
    <t>Vinnitsa Hong Kong Ltd.(Marchesa )</t>
    <phoneticPr fontId="3"/>
  </si>
  <si>
    <t xml:space="preserve"># 62 Mint </t>
    <phoneticPr fontId="3"/>
  </si>
  <si>
    <t xml:space="preserve"># 36 Oat </t>
    <phoneticPr fontId="3"/>
  </si>
  <si>
    <t>AF-211102</t>
    <phoneticPr fontId="3"/>
  </si>
  <si>
    <t xml:space="preserve"># 33 Sandstorm </t>
    <phoneticPr fontId="3"/>
  </si>
  <si>
    <t xml:space="preserve"># 33 Sandstorm test sample </t>
    <phoneticPr fontId="3"/>
  </si>
  <si>
    <t xml:space="preserve">Cutting Fee for test sample </t>
    <phoneticPr fontId="3"/>
  </si>
  <si>
    <t xml:space="preserve">Handling Fee (Inland Freight Charge in Japan) for test sample </t>
    <phoneticPr fontId="3"/>
  </si>
  <si>
    <t xml:space="preserve">ANY-email 11/2/21 </t>
    <phoneticPr fontId="3"/>
  </si>
  <si>
    <t>Alix NYC</t>
    <phoneticPr fontId="3"/>
  </si>
  <si>
    <t>50mm</t>
  </si>
  <si>
    <t>#50 Black</t>
    <phoneticPr fontId="3"/>
  </si>
  <si>
    <r>
      <rPr>
        <sz val="12"/>
        <rFont val="ＭＳ Ｐゴシック"/>
        <family val="3"/>
        <charset val="128"/>
      </rPr>
      <t>通常</t>
    </r>
    <r>
      <rPr>
        <sz val="12"/>
        <rFont val="Arial"/>
        <family val="2"/>
      </rPr>
      <t>198</t>
    </r>
    <rPh sb="0" eb="2">
      <t>ツウジョウ</t>
    </rPh>
    <phoneticPr fontId="3"/>
  </si>
  <si>
    <r>
      <t>01732-</t>
    </r>
    <r>
      <rPr>
        <sz val="12"/>
        <color indexed="10"/>
        <rFont val="Arial"/>
        <family val="2"/>
      </rPr>
      <t xml:space="preserve">Hotland </t>
    </r>
    <phoneticPr fontId="3"/>
  </si>
  <si>
    <t xml:space="preserve">Elastic Tape with Custom Silicon Logo  Composition -Tape : 84% Pl, 16% Pu / Silicone Logo </t>
    <phoneticPr fontId="3"/>
  </si>
  <si>
    <t xml:space="preserve">White Print Fee </t>
    <phoneticPr fontId="3"/>
  </si>
  <si>
    <t>1100 with Custom Silicon Logo</t>
  </si>
  <si>
    <t xml:space="preserve">Japan </t>
    <phoneticPr fontId="3"/>
  </si>
  <si>
    <t xml:space="preserve">DTM Moss Elastic x Black Print </t>
    <phoneticPr fontId="3"/>
  </si>
  <si>
    <t xml:space="preserve">Black Print Fee </t>
    <phoneticPr fontId="3"/>
  </si>
  <si>
    <t>Dye Fee for DTM Moss</t>
    <phoneticPr fontId="3"/>
  </si>
  <si>
    <r>
      <t>01733-</t>
    </r>
    <r>
      <rPr>
        <sz val="12"/>
        <color indexed="10"/>
        <rFont val="Arial"/>
        <family val="2"/>
      </rPr>
      <t>Wingtai</t>
    </r>
    <r>
      <rPr>
        <sz val="12"/>
        <rFont val="Arial"/>
        <family val="2"/>
      </rPr>
      <t xml:space="preserve"> </t>
    </r>
    <phoneticPr fontId="3"/>
  </si>
  <si>
    <r>
      <t>01732-</t>
    </r>
    <r>
      <rPr>
        <sz val="12"/>
        <color indexed="10"/>
        <rFont val="Arial"/>
        <family val="2"/>
      </rPr>
      <t>Wingtai</t>
    </r>
    <phoneticPr fontId="3"/>
  </si>
  <si>
    <t>Black &amp; White Print Fee ( with PO# 01732 )</t>
    <phoneticPr fontId="3"/>
  </si>
  <si>
    <r>
      <t>01745-</t>
    </r>
    <r>
      <rPr>
        <sz val="12"/>
        <color indexed="10"/>
        <rFont val="Arial"/>
        <family val="2"/>
      </rPr>
      <t>Tong Hui</t>
    </r>
    <r>
      <rPr>
        <sz val="12"/>
        <rFont val="Arial"/>
        <family val="2"/>
      </rPr>
      <t xml:space="preserve"> </t>
    </r>
    <phoneticPr fontId="3"/>
  </si>
  <si>
    <t>Dye Fee for DTM Moss ( with PO# 01732 )</t>
    <phoneticPr fontId="3"/>
  </si>
  <si>
    <t>006994</t>
    <phoneticPr fontId="3"/>
  </si>
  <si>
    <t>BH-Email11/4/21</t>
    <phoneticPr fontId="3"/>
  </si>
  <si>
    <t xml:space="preserve"># GP1 Lavender </t>
    <phoneticPr fontId="3"/>
  </si>
  <si>
    <t>003331</t>
    <phoneticPr fontId="3"/>
  </si>
  <si>
    <t xml:space="preserve"># 73 Lilac </t>
    <phoneticPr fontId="3"/>
  </si>
  <si>
    <t>003331</t>
  </si>
  <si>
    <t>CTG-Email11/4/21</t>
    <phoneticPr fontId="3"/>
  </si>
  <si>
    <t>CHINA TING GROUP CO.,LTD (Marchesa)</t>
    <phoneticPr fontId="3"/>
  </si>
  <si>
    <t xml:space="preserve"># 40 Light Cream </t>
    <phoneticPr fontId="3"/>
  </si>
  <si>
    <t>003364</t>
    <phoneticPr fontId="3"/>
  </si>
  <si>
    <r>
      <t>X52108</t>
    </r>
    <r>
      <rPr>
        <sz val="12"/>
        <color indexed="10"/>
        <rFont val="Arial"/>
        <family val="2"/>
      </rPr>
      <t xml:space="preserve"> Hualida </t>
    </r>
    <phoneticPr fontId="3"/>
  </si>
  <si>
    <t>#84</t>
  </si>
  <si>
    <t>#81</t>
  </si>
  <si>
    <t>#70</t>
  </si>
  <si>
    <t>#21</t>
  </si>
  <si>
    <t>318</t>
    <phoneticPr fontId="3"/>
  </si>
  <si>
    <t>ALIX NYC</t>
    <phoneticPr fontId="3"/>
  </si>
  <si>
    <t>Elastic Tape</t>
    <phoneticPr fontId="3"/>
  </si>
  <si>
    <t>TI-1190</t>
    <phoneticPr fontId="3"/>
  </si>
  <si>
    <t>25mm</t>
  </si>
  <si>
    <t xml:space="preserve">Off-white   </t>
  </si>
  <si>
    <t>FKS-10000</t>
  </si>
  <si>
    <t>75mm</t>
  </si>
  <si>
    <t>TI-1100</t>
    <phoneticPr fontId="3"/>
  </si>
  <si>
    <t>40mm</t>
  </si>
  <si>
    <t>Off-white</t>
  </si>
  <si>
    <t xml:space="preserve">White    </t>
    <phoneticPr fontId="3"/>
  </si>
  <si>
    <t>Elst Cord (Soft Type)   Rubber-59%/Polyester-41%</t>
    <phoneticPr fontId="3"/>
  </si>
  <si>
    <t>色物単価11.2</t>
    <rPh sb="0" eb="2">
      <t>イロモノ</t>
    </rPh>
    <rPh sb="2" eb="4">
      <t>タンカ</t>
    </rPh>
    <phoneticPr fontId="3"/>
  </si>
  <si>
    <t>#3 Canary</t>
  </si>
  <si>
    <t>#87 Tangerine</t>
  </si>
  <si>
    <t>#2 Ivory</t>
  </si>
  <si>
    <r>
      <t xml:space="preserve">SF USA </t>
    </r>
    <r>
      <rPr>
        <b/>
        <sz val="10"/>
        <rFont val="ＭＳ Ｐゴシック"/>
        <family val="3"/>
        <charset val="128"/>
      </rPr>
      <t>引き取り分</t>
    </r>
  </si>
  <si>
    <t>319</t>
    <phoneticPr fontId="3"/>
  </si>
  <si>
    <t>Rayon Trimming Braids</t>
    <phoneticPr fontId="3"/>
  </si>
  <si>
    <t>#3 Black</t>
  </si>
  <si>
    <t>#77 Cerise</t>
  </si>
  <si>
    <t>#0 Ivory</t>
  </si>
  <si>
    <t>#17 Kiwi</t>
  </si>
  <si>
    <t>#86 Military</t>
  </si>
  <si>
    <t>#16 Tangerine</t>
  </si>
  <si>
    <t>#1 White</t>
  </si>
  <si>
    <t>633</t>
    <phoneticPr fontId="3"/>
  </si>
  <si>
    <t>NL-email 11/10/21</t>
    <phoneticPr fontId="3"/>
  </si>
  <si>
    <t>110921</t>
    <phoneticPr fontId="3"/>
  </si>
  <si>
    <r>
      <t xml:space="preserve">3385 </t>
    </r>
    <r>
      <rPr>
        <sz val="12"/>
        <color indexed="10"/>
        <rFont val="Arial"/>
        <family val="2"/>
      </rPr>
      <t xml:space="preserve">Ming Leurn </t>
    </r>
    <phoneticPr fontId="3"/>
  </si>
  <si>
    <t># 69 Navy</t>
    <phoneticPr fontId="3"/>
  </si>
  <si>
    <t>1994</t>
    <phoneticPr fontId="3"/>
  </si>
  <si>
    <t># GP1 Rose</t>
    <phoneticPr fontId="3"/>
  </si>
  <si>
    <t>NL-email 11/17/21</t>
    <phoneticPr fontId="3"/>
  </si>
  <si>
    <t># 30 Dark Navy</t>
    <phoneticPr fontId="3"/>
  </si>
  <si>
    <t xml:space="preserve"># 9 Ivory </t>
    <phoneticPr fontId="3"/>
  </si>
  <si>
    <t xml:space="preserve"># 53 Army Green </t>
    <phoneticPr fontId="3"/>
  </si>
  <si>
    <t>HLD-email 11/17/21</t>
    <phoneticPr fontId="3"/>
  </si>
  <si>
    <t>#75 Steel</t>
  </si>
  <si>
    <t>#53 Green</t>
  </si>
  <si>
    <t>#61 Khaki Green</t>
  </si>
  <si>
    <t>TO-email 11/19/21</t>
    <phoneticPr fontId="3"/>
  </si>
  <si>
    <t>5540W</t>
    <phoneticPr fontId="3"/>
  </si>
  <si>
    <t>chelse 20210831 date 2021.11.25</t>
    <phoneticPr fontId="3"/>
  </si>
  <si>
    <t>VHK-email 11/24/21</t>
  </si>
  <si>
    <t>VHK-email 11/24/21</t>
    <phoneticPr fontId="3"/>
  </si>
  <si>
    <t>A&amp;F email 11/23/21</t>
    <phoneticPr fontId="3"/>
  </si>
  <si>
    <t>A&amp;Feng Fashion Limited ( Marchesa)</t>
    <phoneticPr fontId="3"/>
  </si>
  <si>
    <t xml:space="preserve">C&amp;F </t>
    <phoneticPr fontId="3"/>
  </si>
  <si>
    <t>FW22-DEV-SUNFASHIONPO1</t>
    <phoneticPr fontId="3"/>
  </si>
  <si>
    <t>2580K</t>
    <phoneticPr fontId="3"/>
  </si>
  <si>
    <t>#506 Dark Green</t>
    <phoneticPr fontId="3"/>
  </si>
  <si>
    <t>PO-00356</t>
    <phoneticPr fontId="3"/>
  </si>
  <si>
    <t># 30 Navy</t>
    <phoneticPr fontId="3"/>
  </si>
  <si>
    <t>HS-email 12/2/21</t>
    <phoneticPr fontId="3"/>
  </si>
  <si>
    <t>Striped Fancy Ribbon  Nylon-100%</t>
    <phoneticPr fontId="3"/>
  </si>
  <si>
    <t>Mix Stitch  Piping Polyester-100%</t>
    <phoneticPr fontId="3"/>
  </si>
  <si>
    <t>ES-9111</t>
    <phoneticPr fontId="3"/>
  </si>
  <si>
    <t xml:space="preserve"># 08 </t>
    <phoneticPr fontId="3"/>
  </si>
  <si>
    <t>Bright Piping Polyester-100%</t>
    <phoneticPr fontId="3"/>
  </si>
  <si>
    <t>ES-9431</t>
    <phoneticPr fontId="3"/>
  </si>
  <si>
    <t xml:space="preserve">Sample card </t>
    <phoneticPr fontId="3"/>
  </si>
  <si>
    <t xml:space="preserve">International Freight </t>
  </si>
  <si>
    <t>007200</t>
    <phoneticPr fontId="3"/>
  </si>
  <si>
    <t>CM-211207</t>
    <phoneticPr fontId="3"/>
  </si>
  <si>
    <t>Chinamine Trading Limited (USA)</t>
    <phoneticPr fontId="3"/>
  </si>
  <si>
    <t>KYL-7627</t>
    <phoneticPr fontId="3"/>
  </si>
  <si>
    <t>60( 30 + Dye 30)</t>
    <phoneticPr fontId="3"/>
  </si>
  <si>
    <t xml:space="preserve">DTM Tickled pink- 14-1910 TPG  </t>
    <phoneticPr fontId="3"/>
  </si>
  <si>
    <t xml:space="preserve">DTM Mellow yellow- 12-0720 TPG </t>
    <phoneticPr fontId="3"/>
  </si>
  <si>
    <t>大阪在庫</t>
    <rPh sb="0" eb="2">
      <t>オオサカ</t>
    </rPh>
    <rPh sb="2" eb="4">
      <t>ザイコ</t>
    </rPh>
    <phoneticPr fontId="3"/>
  </si>
  <si>
    <t>000678</t>
    <phoneticPr fontId="3"/>
  </si>
  <si>
    <t xml:space="preserve">Urban Zen </t>
    <phoneticPr fontId="3"/>
  </si>
  <si>
    <t xml:space="preserve">Silicone Coated Cord  100% Acrylic </t>
    <phoneticPr fontId="3"/>
  </si>
  <si>
    <t xml:space="preserve"># 14 Black </t>
    <phoneticPr fontId="3"/>
  </si>
  <si>
    <t>371</t>
    <phoneticPr fontId="3"/>
  </si>
  <si>
    <r>
      <t>Wool-Mixed Elastic Cords   Ac</t>
    </r>
    <r>
      <rPr>
        <sz val="12"/>
        <rFont val="ＭＳ Ｐゴシック"/>
        <family val="3"/>
        <charset val="128"/>
      </rPr>
      <t>：</t>
    </r>
    <r>
      <rPr>
        <sz val="12"/>
        <rFont val="Arial"/>
        <family val="2"/>
      </rPr>
      <t>36%</t>
    </r>
    <r>
      <rPr>
        <sz val="12"/>
        <rFont val="ＭＳ Ｐゴシック"/>
        <family val="3"/>
        <charset val="128"/>
      </rPr>
      <t>，</t>
    </r>
    <r>
      <rPr>
        <sz val="12"/>
        <rFont val="Arial"/>
        <family val="2"/>
      </rPr>
      <t>N</t>
    </r>
    <r>
      <rPr>
        <sz val="12"/>
        <rFont val="ＭＳ Ｐゴシック"/>
        <family val="3"/>
        <charset val="128"/>
      </rPr>
      <t>：</t>
    </r>
    <r>
      <rPr>
        <sz val="12"/>
        <rFont val="Arial"/>
        <family val="2"/>
      </rPr>
      <t>23%</t>
    </r>
    <r>
      <rPr>
        <sz val="12"/>
        <rFont val="ＭＳ Ｐゴシック"/>
        <family val="3"/>
        <charset val="128"/>
      </rPr>
      <t>，</t>
    </r>
    <r>
      <rPr>
        <sz val="12"/>
        <rFont val="Arial"/>
        <family val="2"/>
      </rPr>
      <t>W</t>
    </r>
    <r>
      <rPr>
        <sz val="12"/>
        <rFont val="ＭＳ Ｐゴシック"/>
        <family val="3"/>
        <charset val="128"/>
      </rPr>
      <t>：</t>
    </r>
    <r>
      <rPr>
        <sz val="12"/>
        <rFont val="Arial"/>
        <family val="2"/>
      </rPr>
      <t>10%</t>
    </r>
    <r>
      <rPr>
        <sz val="12"/>
        <rFont val="ＭＳ Ｐゴシック"/>
        <family val="3"/>
        <charset val="128"/>
      </rPr>
      <t>，</t>
    </r>
    <r>
      <rPr>
        <sz val="12"/>
        <rFont val="Arial"/>
        <family val="2"/>
      </rPr>
      <t>Ru</t>
    </r>
    <r>
      <rPr>
        <sz val="12"/>
        <rFont val="ＭＳ Ｐゴシック"/>
        <family val="3"/>
        <charset val="128"/>
      </rPr>
      <t>：</t>
    </r>
    <r>
      <rPr>
        <sz val="12"/>
        <rFont val="Arial"/>
        <family val="2"/>
      </rPr>
      <t>31%</t>
    </r>
    <phoneticPr fontId="3"/>
  </si>
  <si>
    <t xml:space="preserve">KB-01(M) </t>
    <phoneticPr fontId="3"/>
  </si>
  <si>
    <t>#853 Beige</t>
  </si>
  <si>
    <r>
      <t>#</t>
    </r>
    <r>
      <rPr>
        <sz val="12"/>
        <rFont val="Arial"/>
        <family val="2"/>
      </rPr>
      <t xml:space="preserve"> Black</t>
    </r>
    <phoneticPr fontId="3"/>
  </si>
  <si>
    <t>#854 Brown</t>
  </si>
  <si>
    <t>#844 Dark Brown</t>
    <phoneticPr fontId="3"/>
  </si>
  <si>
    <t>#832 Grey</t>
  </si>
  <si>
    <t>#857Navy</t>
  </si>
  <si>
    <t>#837 Terracotta</t>
  </si>
  <si>
    <t>#846 White</t>
    <phoneticPr fontId="3"/>
  </si>
  <si>
    <r>
      <t>Wool-Mixed Elastic Cords   Ac</t>
    </r>
    <r>
      <rPr>
        <sz val="12"/>
        <rFont val="ＭＳ Ｐゴシック"/>
        <family val="3"/>
        <charset val="128"/>
      </rPr>
      <t>：</t>
    </r>
    <r>
      <rPr>
        <sz val="12"/>
        <rFont val="Arial"/>
        <family val="2"/>
      </rPr>
      <t>39%</t>
    </r>
    <r>
      <rPr>
        <sz val="12"/>
        <rFont val="ＭＳ Ｐゴシック"/>
        <family val="3"/>
        <charset val="128"/>
      </rPr>
      <t>，</t>
    </r>
    <r>
      <rPr>
        <sz val="12"/>
        <rFont val="Arial"/>
        <family val="2"/>
      </rPr>
      <t>N</t>
    </r>
    <r>
      <rPr>
        <sz val="12"/>
        <rFont val="ＭＳ Ｐゴシック"/>
        <family val="3"/>
        <charset val="128"/>
      </rPr>
      <t>：</t>
    </r>
    <r>
      <rPr>
        <sz val="12"/>
        <rFont val="Arial"/>
        <family val="2"/>
      </rPr>
      <t>25%</t>
    </r>
    <r>
      <rPr>
        <sz val="12"/>
        <rFont val="ＭＳ Ｐゴシック"/>
        <family val="3"/>
        <charset val="128"/>
      </rPr>
      <t>，</t>
    </r>
    <r>
      <rPr>
        <sz val="12"/>
        <rFont val="Arial"/>
        <family val="2"/>
      </rPr>
      <t>W</t>
    </r>
    <r>
      <rPr>
        <sz val="12"/>
        <rFont val="ＭＳ Ｐゴシック"/>
        <family val="3"/>
        <charset val="128"/>
      </rPr>
      <t>：</t>
    </r>
    <r>
      <rPr>
        <sz val="12"/>
        <rFont val="Arial"/>
        <family val="2"/>
      </rPr>
      <t>10%</t>
    </r>
    <r>
      <rPr>
        <sz val="12"/>
        <rFont val="ＭＳ Ｐゴシック"/>
        <family val="3"/>
        <charset val="128"/>
      </rPr>
      <t>，</t>
    </r>
    <r>
      <rPr>
        <sz val="12"/>
        <rFont val="Arial"/>
        <family val="2"/>
      </rPr>
      <t>Ru</t>
    </r>
    <r>
      <rPr>
        <sz val="12"/>
        <rFont val="ＭＳ Ｐゴシック"/>
        <family val="3"/>
        <charset val="128"/>
      </rPr>
      <t>：</t>
    </r>
    <r>
      <rPr>
        <sz val="12"/>
        <rFont val="Arial"/>
        <family val="2"/>
      </rPr>
      <t>26%</t>
    </r>
    <phoneticPr fontId="3"/>
  </si>
  <si>
    <t>KB-02(M)</t>
    <phoneticPr fontId="3"/>
  </si>
  <si>
    <t>#846White</t>
  </si>
  <si>
    <t>Credit amount from INV# 3650</t>
    <phoneticPr fontId="3"/>
  </si>
  <si>
    <t>111521 Dannijo SP '22</t>
    <phoneticPr fontId="3"/>
  </si>
  <si>
    <t>ARTSLINE COMPANY (DANNIJO)</t>
    <phoneticPr fontId="3"/>
  </si>
  <si>
    <t># 14 Neon Green</t>
    <phoneticPr fontId="3"/>
  </si>
  <si>
    <t># 20 Turquoise</t>
    <phoneticPr fontId="3"/>
  </si>
  <si>
    <t># 31 Pink</t>
    <phoneticPr fontId="3"/>
  </si>
  <si>
    <t>21-33498</t>
    <phoneticPr fontId="3"/>
  </si>
  <si>
    <t xml:space="preserve"># 3 Black </t>
    <phoneticPr fontId="3"/>
  </si>
  <si>
    <t xml:space="preserve">Double Faced Satin Ribbon   Polyester 100% </t>
    <phoneticPr fontId="3"/>
  </si>
  <si>
    <t>IM-1110</t>
    <phoneticPr fontId="3"/>
  </si>
  <si>
    <t xml:space="preserve"># 00 Off White </t>
    <phoneticPr fontId="3"/>
  </si>
  <si>
    <t>Diomi-email 12/15/21</t>
    <phoneticPr fontId="3"/>
  </si>
  <si>
    <t>Diomi</t>
    <phoneticPr fontId="3"/>
  </si>
  <si>
    <t xml:space="preserve">21CFBZXY023(12/20/21) </t>
    <phoneticPr fontId="3"/>
  </si>
  <si>
    <t xml:space="preserve">21CFBZXY027(12/22/21) </t>
    <phoneticPr fontId="3"/>
  </si>
  <si>
    <t>21CFBZXY023</t>
    <phoneticPr fontId="3"/>
  </si>
  <si>
    <t>007293</t>
    <phoneticPr fontId="3"/>
  </si>
  <si>
    <t>HS-email 12/28/21</t>
    <phoneticPr fontId="3"/>
  </si>
  <si>
    <t>KYL-875007S</t>
    <phoneticPr fontId="3"/>
  </si>
  <si>
    <t xml:space="preserve">Silver </t>
    <phoneticPr fontId="3"/>
  </si>
  <si>
    <t>KYL-25293</t>
    <phoneticPr fontId="3"/>
  </si>
  <si>
    <t>KYL-875007G</t>
    <phoneticPr fontId="3"/>
  </si>
  <si>
    <t>Shiny Fringe  Polyester-100%</t>
    <phoneticPr fontId="3"/>
  </si>
  <si>
    <t>378</t>
    <phoneticPr fontId="3"/>
  </si>
  <si>
    <t>PF22-PT0004</t>
    <phoneticPr fontId="3"/>
  </si>
  <si>
    <r>
      <t>2022.2</t>
    </r>
    <r>
      <rPr>
        <sz val="12"/>
        <color indexed="10"/>
        <rFont val="ＭＳ Ｐゴシック"/>
        <family val="3"/>
        <charset val="128"/>
      </rPr>
      <t>月～</t>
    </r>
    <r>
      <rPr>
        <sz val="12"/>
        <color indexed="10"/>
        <rFont val="Arial"/>
        <family val="2"/>
      </rPr>
      <t xml:space="preserve">36.3 </t>
    </r>
    <rPh sb="6" eb="7">
      <t>ガツ</t>
    </rPh>
    <phoneticPr fontId="3"/>
  </si>
  <si>
    <t xml:space="preserve">Surcharge for below MOQ </t>
    <phoneticPr fontId="3"/>
  </si>
  <si>
    <t>A&amp;F email 12/23/21</t>
    <phoneticPr fontId="3"/>
  </si>
  <si>
    <t>22-33533</t>
    <phoneticPr fontId="3"/>
  </si>
  <si>
    <t>#60 Navy</t>
  </si>
  <si>
    <t>#191 Lime</t>
  </si>
  <si>
    <t>#200 Coral</t>
  </si>
  <si>
    <t>#411 Fuchsia</t>
    <phoneticPr fontId="3"/>
  </si>
  <si>
    <t>#9 Black</t>
  </si>
  <si>
    <t>X52759</t>
    <phoneticPr fontId="3"/>
  </si>
  <si>
    <t>#30 Champagne</t>
  </si>
  <si>
    <t>#38 Fig</t>
  </si>
  <si>
    <t>A&amp;F email 1/6/22</t>
    <phoneticPr fontId="3"/>
  </si>
  <si>
    <r>
      <t xml:space="preserve"># 13 Coral </t>
    </r>
    <r>
      <rPr>
        <sz val="12"/>
        <rFont val="ＭＳ Ｐゴシック"/>
        <family val="3"/>
        <charset val="128"/>
      </rPr>
      <t>梱包代</t>
    </r>
    <rPh sb="11" eb="13">
      <t>コンポウ</t>
    </rPh>
    <rPh sb="13" eb="14">
      <t>ダイ</t>
    </rPh>
    <phoneticPr fontId="3"/>
  </si>
  <si>
    <t xml:space="preserve"># 13 Coral test sample </t>
    <phoneticPr fontId="3"/>
  </si>
  <si>
    <t>GB Test for # 13 Coral</t>
    <phoneticPr fontId="3"/>
  </si>
  <si>
    <t xml:space="preserve">FOB arrangement </t>
    <phoneticPr fontId="3"/>
  </si>
  <si>
    <r>
      <t xml:space="preserve">3556 </t>
    </r>
    <r>
      <rPr>
        <sz val="12"/>
        <color indexed="10"/>
        <rFont val="Arial"/>
        <family val="2"/>
      </rPr>
      <t>Pretty Fashion China</t>
    </r>
    <phoneticPr fontId="3"/>
  </si>
  <si>
    <t xml:space="preserve"># 60 Dusty Blue </t>
    <phoneticPr fontId="3"/>
  </si>
  <si>
    <t># OF Ivory</t>
    <phoneticPr fontId="3"/>
  </si>
  <si>
    <t>International Freight (DHL 3rd )</t>
    <phoneticPr fontId="3"/>
  </si>
  <si>
    <r>
      <t xml:space="preserve">SUN011121 </t>
    </r>
    <r>
      <rPr>
        <sz val="12"/>
        <color indexed="10"/>
        <rFont val="Arial"/>
        <family val="2"/>
      </rPr>
      <t xml:space="preserve">Magic </t>
    </r>
    <phoneticPr fontId="3"/>
  </si>
  <si>
    <t xml:space="preserve"># 0 Ecru </t>
    <phoneticPr fontId="3"/>
  </si>
  <si>
    <t>International Freight (UPS)</t>
    <phoneticPr fontId="3"/>
  </si>
  <si>
    <t>Diomi-email 1/11/22</t>
    <phoneticPr fontId="3"/>
  </si>
  <si>
    <t>FLE-email 1/10/22</t>
    <phoneticPr fontId="3"/>
  </si>
  <si>
    <t>Fair Lady Exports ( Marchesa)</t>
    <phoneticPr fontId="3"/>
  </si>
  <si>
    <t># 79 Navy</t>
    <phoneticPr fontId="3"/>
  </si>
  <si>
    <t># 125 Nude</t>
    <phoneticPr fontId="3"/>
  </si>
  <si>
    <t>NL-email 1/13/22</t>
    <phoneticPr fontId="3"/>
  </si>
  <si>
    <t>#31 Black</t>
  </si>
  <si>
    <t>#16</t>
  </si>
  <si>
    <t>#H3</t>
  </si>
  <si>
    <t>#C54</t>
  </si>
  <si>
    <t>#30</t>
  </si>
  <si>
    <t>#25</t>
  </si>
  <si>
    <t>22CFBZXY003</t>
    <phoneticPr fontId="3"/>
  </si>
  <si>
    <t>2022.2月～値上げ</t>
    <rPh sb="6" eb="7">
      <t>ガツ</t>
    </rPh>
    <rPh sb="8" eb="10">
      <t>ネア</t>
    </rPh>
    <phoneticPr fontId="3"/>
  </si>
  <si>
    <t xml:space="preserve"># 74 Light Grey </t>
    <phoneticPr fontId="3"/>
  </si>
  <si>
    <t>22CFBZXY014</t>
    <phoneticPr fontId="3"/>
  </si>
  <si>
    <t>#84 Black</t>
    <phoneticPr fontId="3"/>
  </si>
  <si>
    <t># 79 Sea Rock</t>
    <phoneticPr fontId="3"/>
  </si>
  <si>
    <t>CFJA-email 2/23/22</t>
    <phoneticPr fontId="3"/>
  </si>
  <si>
    <t>色物単価11.9</t>
    <rPh sb="0" eb="2">
      <t>イロモノ</t>
    </rPh>
    <rPh sb="2" eb="4">
      <t>タンカ</t>
    </rPh>
    <phoneticPr fontId="3"/>
  </si>
  <si>
    <t>2201009</t>
    <phoneticPr fontId="3"/>
  </si>
  <si>
    <t xml:space="preserve">Tak Fat Fashions Ltd. ( Helmut Lang ) </t>
    <phoneticPr fontId="3"/>
  </si>
  <si>
    <t xml:space="preserve">3569 </t>
    <phoneticPr fontId="3"/>
  </si>
  <si>
    <t xml:space="preserve"># SO (Marchesa overdyes to Black in NY ) </t>
    <phoneticPr fontId="3"/>
  </si>
  <si>
    <r>
      <t xml:space="preserve">3584 </t>
    </r>
    <r>
      <rPr>
        <sz val="12"/>
        <color indexed="10"/>
        <rFont val="Arial"/>
        <family val="2"/>
      </rPr>
      <t xml:space="preserve">SIA Apparel </t>
    </r>
    <phoneticPr fontId="3"/>
  </si>
  <si>
    <t xml:space="preserve"># DTM Watermelon </t>
    <phoneticPr fontId="3"/>
  </si>
  <si>
    <t>Cutting Fee for Col. 73</t>
    <phoneticPr fontId="3"/>
  </si>
  <si>
    <r>
      <t xml:space="preserve">SU-011722-HE </t>
    </r>
    <r>
      <rPr>
        <sz val="12"/>
        <color indexed="10"/>
        <rFont val="Arial"/>
        <family val="2"/>
      </rPr>
      <t>NY</t>
    </r>
    <phoneticPr fontId="3"/>
  </si>
  <si>
    <r>
      <t xml:space="preserve">SU-011722-MT </t>
    </r>
    <r>
      <rPr>
        <sz val="12"/>
        <color indexed="10"/>
        <rFont val="Arial"/>
        <family val="2"/>
      </rPr>
      <t>Magic</t>
    </r>
    <phoneticPr fontId="3"/>
  </si>
  <si>
    <t>3606</t>
    <phoneticPr fontId="3"/>
  </si>
  <si>
    <t>MO22001</t>
    <phoneticPr fontId="3"/>
  </si>
  <si>
    <t># 8 Blue</t>
    <phoneticPr fontId="3"/>
  </si>
  <si>
    <t>012422 (1/24/22  )</t>
    <phoneticPr fontId="3"/>
  </si>
  <si>
    <t xml:space="preserve"># OF  </t>
    <phoneticPr fontId="3"/>
  </si>
  <si>
    <t># IV</t>
    <phoneticPr fontId="3"/>
  </si>
  <si>
    <t>HTV-2M8807</t>
    <phoneticPr fontId="3"/>
  </si>
  <si>
    <t>GLOBAL SOURCENET LTD (Theory)</t>
    <phoneticPr fontId="3"/>
  </si>
  <si>
    <t>色物単価13.8, 2022.2月より値上げ</t>
  </si>
  <si>
    <t>HTV-2M8807 (added 2/11/22  )</t>
    <phoneticPr fontId="3"/>
  </si>
  <si>
    <t>色物単価13.8, 2022.2月より値上げ</t>
    <rPh sb="0" eb="2">
      <t>イロモノ</t>
    </rPh>
    <rPh sb="2" eb="4">
      <t>タンカ</t>
    </rPh>
    <rPh sb="16" eb="17">
      <t>ガツ</t>
    </rPh>
    <rPh sb="19" eb="21">
      <t>ネア</t>
    </rPh>
    <phoneticPr fontId="3"/>
  </si>
  <si>
    <t>Yarn CC # 1029 Flax</t>
    <phoneticPr fontId="3"/>
  </si>
  <si>
    <r>
      <t>2022.2</t>
    </r>
    <r>
      <rPr>
        <sz val="12"/>
        <color indexed="30"/>
        <rFont val="ＭＳ Ｐゴシック"/>
        <family val="3"/>
        <charset val="128"/>
      </rPr>
      <t>月より25.4</t>
    </r>
    <phoneticPr fontId="3"/>
  </si>
  <si>
    <t>Yarn CC # 1500 Fawn</t>
    <phoneticPr fontId="3"/>
  </si>
  <si>
    <r>
      <t>2022.2</t>
    </r>
    <r>
      <rPr>
        <sz val="12"/>
        <color indexed="30"/>
        <rFont val="ＭＳ Ｐゴシック"/>
        <family val="3"/>
        <charset val="128"/>
      </rPr>
      <t>月より</t>
    </r>
    <r>
      <rPr>
        <sz val="12"/>
        <color indexed="30"/>
        <rFont val="Arial"/>
        <family val="2"/>
      </rPr>
      <t>21000</t>
    </r>
    <phoneticPr fontId="3"/>
  </si>
  <si>
    <r>
      <t xml:space="preserve">3603 </t>
    </r>
    <r>
      <rPr>
        <sz val="12"/>
        <color indexed="10"/>
        <rFont val="Arial"/>
        <family val="2"/>
      </rPr>
      <t>NY</t>
    </r>
    <r>
      <rPr>
        <sz val="12"/>
        <color indexed="10"/>
        <rFont val="Arial"/>
        <family val="2"/>
      </rPr>
      <t xml:space="preserve"> </t>
    </r>
    <phoneticPr fontId="3"/>
  </si>
  <si>
    <t xml:space="preserve">  # 52 Sterling</t>
    <phoneticPr fontId="3"/>
  </si>
  <si>
    <t>Credit amount from INV# 3646</t>
    <phoneticPr fontId="3"/>
  </si>
  <si>
    <t>415</t>
    <phoneticPr fontId="3"/>
  </si>
  <si>
    <t>Rayon Trimming Braids  Rayon 100%</t>
    <phoneticPr fontId="3"/>
  </si>
  <si>
    <t># 17 Kiwi</t>
    <phoneticPr fontId="3"/>
  </si>
  <si>
    <t>3264</t>
    <phoneticPr fontId="3"/>
  </si>
  <si>
    <t xml:space="preserve">Single-Face Velveteen Ribbon  Base: Warp yarn Nylon 100%, Weft yarn Rayon 100%, Shearing : Rayon 100% </t>
    <phoneticPr fontId="3"/>
  </si>
  <si>
    <t>ES-108</t>
    <phoneticPr fontId="3"/>
  </si>
  <si>
    <t># 129</t>
    <phoneticPr fontId="3"/>
  </si>
  <si>
    <t>MC-220204</t>
    <phoneticPr fontId="3"/>
  </si>
  <si>
    <t>UPS Freight Fee</t>
    <phoneticPr fontId="3"/>
  </si>
  <si>
    <t>UPS Ref # 1Z78323A0491718945</t>
    <phoneticPr fontId="3"/>
  </si>
  <si>
    <t xml:space="preserve">UPS Ref # 1Z78323A0496722047 </t>
    <phoneticPr fontId="3"/>
  </si>
  <si>
    <t>UPS Ref # 1Z78323A0491306685</t>
    <phoneticPr fontId="3"/>
  </si>
  <si>
    <t>Diomi-email 2/4/22</t>
    <phoneticPr fontId="3"/>
  </si>
  <si>
    <t xml:space="preserve">  #12 Pink </t>
    <phoneticPr fontId="3"/>
  </si>
  <si>
    <t>417</t>
    <phoneticPr fontId="3"/>
  </si>
  <si>
    <t>#73 Sand</t>
  </si>
  <si>
    <t>#14 Latte</t>
  </si>
  <si>
    <t>22-33599</t>
    <phoneticPr fontId="3"/>
  </si>
  <si>
    <t>X53043</t>
    <phoneticPr fontId="3"/>
  </si>
  <si>
    <t>#33 Sandstorm</t>
    <phoneticPr fontId="3"/>
  </si>
  <si>
    <t>HS-email 2/7/22</t>
    <phoneticPr fontId="3"/>
  </si>
  <si>
    <t xml:space="preserve">Lace Trim   100% Cotton </t>
    <phoneticPr fontId="3"/>
  </si>
  <si>
    <t>CTG-Email 2/11/22(2/14/22)</t>
    <phoneticPr fontId="3"/>
  </si>
  <si>
    <t>AF-email 2/11/22</t>
    <phoneticPr fontId="3"/>
  </si>
  <si>
    <t>R-220214</t>
    <phoneticPr fontId="3"/>
  </si>
  <si>
    <t># 59</t>
    <phoneticPr fontId="3"/>
  </si>
  <si>
    <t>PO-01860</t>
  </si>
  <si>
    <t>Plain Elastic  Polyester 85%, Polyurethane 15%</t>
    <phoneticPr fontId="3"/>
  </si>
  <si>
    <t xml:space="preserve">Vietnam </t>
    <phoneticPr fontId="3"/>
  </si>
  <si>
    <t xml:space="preserve">Off White   </t>
    <phoneticPr fontId="3"/>
  </si>
  <si>
    <t>PO-01861</t>
    <phoneticPr fontId="3"/>
  </si>
  <si>
    <t>007747</t>
    <phoneticPr fontId="3"/>
  </si>
  <si>
    <t># 53 Clover</t>
    <phoneticPr fontId="3"/>
  </si>
  <si>
    <t># 9 Eggshell</t>
    <phoneticPr fontId="3"/>
  </si>
  <si>
    <t xml:space="preserve"># 52 Tan </t>
    <phoneticPr fontId="3"/>
  </si>
  <si>
    <t>THW60503</t>
    <phoneticPr fontId="3"/>
  </si>
  <si>
    <t>JIAXING SENCHUANG FASHION CO.,LTD  (Theory)</t>
    <phoneticPr fontId="3"/>
  </si>
  <si>
    <t># 58 Natural</t>
    <phoneticPr fontId="3"/>
  </si>
  <si>
    <t>HS-email 2/28/22</t>
    <phoneticPr fontId="3"/>
  </si>
  <si>
    <t>HS-email 3/2/22</t>
    <phoneticPr fontId="3"/>
  </si>
  <si>
    <t>Trimming Braids  100% Rayon</t>
    <phoneticPr fontId="3"/>
  </si>
  <si>
    <t>PO-DJ102_SUMM22</t>
    <phoneticPr fontId="3"/>
  </si>
  <si>
    <t># 161 Yellow</t>
    <phoneticPr fontId="3"/>
  </si>
  <si>
    <t xml:space="preserve"># 2 Ivory </t>
    <phoneticPr fontId="3"/>
  </si>
  <si>
    <t>HL-email 3/8/22</t>
    <phoneticPr fontId="3"/>
  </si>
  <si>
    <t>CFJA-email 3/7/22</t>
    <phoneticPr fontId="3"/>
  </si>
  <si>
    <t>F22-PT0005</t>
    <phoneticPr fontId="3"/>
  </si>
  <si>
    <t>HU-22F-032</t>
    <phoneticPr fontId="3"/>
  </si>
  <si>
    <t># 70NT Dark Khaki</t>
    <phoneticPr fontId="3"/>
  </si>
  <si>
    <t>HU-22F-032</t>
  </si>
  <si>
    <t>33704</t>
    <phoneticPr fontId="3"/>
  </si>
  <si>
    <t xml:space="preserve">Vera Wang </t>
    <phoneticPr fontId="3"/>
  </si>
  <si>
    <t>FUT8822-58</t>
    <phoneticPr fontId="3"/>
  </si>
  <si>
    <t xml:space="preserve"># 11 White </t>
    <phoneticPr fontId="3"/>
  </si>
  <si>
    <t>AF-email 3/17/22</t>
    <phoneticPr fontId="3"/>
  </si>
  <si>
    <t>#78 Denim</t>
  </si>
  <si>
    <t>#44 Marigold</t>
  </si>
  <si>
    <t>#59 Magenta</t>
  </si>
  <si>
    <t>HS-email 3/21/22</t>
    <phoneticPr fontId="3"/>
  </si>
  <si>
    <t xml:space="preserve"># 144 Red </t>
    <phoneticPr fontId="3"/>
  </si>
  <si>
    <t>HS-email 3/24/22</t>
    <phoneticPr fontId="3"/>
  </si>
  <si>
    <t>HS-email 3/22/22</t>
    <phoneticPr fontId="3"/>
  </si>
  <si>
    <t>BA-email 3/22/22</t>
    <phoneticPr fontId="3"/>
  </si>
  <si>
    <t xml:space="preserve">Belle Atelier </t>
    <phoneticPr fontId="3"/>
  </si>
  <si>
    <t>#Y650</t>
  </si>
  <si>
    <t>#A9</t>
  </si>
  <si>
    <t>#Y307</t>
  </si>
  <si>
    <t>#A10</t>
  </si>
  <si>
    <r>
      <t xml:space="preserve">HL-email 3/22/22 </t>
    </r>
    <r>
      <rPr>
        <sz val="12"/>
        <color indexed="10"/>
        <rFont val="Arial"/>
        <family val="2"/>
      </rPr>
      <t>A&amp;Feng</t>
    </r>
    <phoneticPr fontId="3"/>
  </si>
  <si>
    <t># 15 Scarlett</t>
    <phoneticPr fontId="3"/>
  </si>
  <si>
    <t>HU-22F-039</t>
    <phoneticPr fontId="3"/>
  </si>
  <si>
    <t># 60NT Grey Oat</t>
    <phoneticPr fontId="3"/>
  </si>
  <si>
    <t># 83NT Deep Slate</t>
    <phoneticPr fontId="3"/>
  </si>
  <si>
    <t># 75NT Steel</t>
    <phoneticPr fontId="3"/>
  </si>
  <si>
    <t>HU-22F-039 addition</t>
    <phoneticPr fontId="3"/>
  </si>
  <si>
    <t># 61NT Khaki Green</t>
    <phoneticPr fontId="3"/>
  </si>
  <si>
    <t>PO Chelse 20220324</t>
    <phoneticPr fontId="3"/>
  </si>
  <si>
    <t># 80 STEEL PU</t>
    <phoneticPr fontId="3"/>
  </si>
  <si>
    <t># 15 FUCHSIA</t>
    <phoneticPr fontId="3"/>
  </si>
  <si>
    <t xml:space="preserve">International Freight SF Express </t>
    <phoneticPr fontId="3"/>
  </si>
  <si>
    <t>22-33732</t>
    <phoneticPr fontId="3"/>
  </si>
  <si>
    <t xml:space="preserve">Silk Satin Ribbons (Double Face)  Silk 100% </t>
    <phoneticPr fontId="3"/>
  </si>
  <si>
    <t>NL-email 3/25/22</t>
    <phoneticPr fontId="3"/>
  </si>
  <si>
    <t xml:space="preserve">Nili Lotan(Tribeca Design Studio ) </t>
  </si>
  <si>
    <t>Prepaid</t>
    <phoneticPr fontId="3"/>
  </si>
  <si>
    <t>000473</t>
    <phoneticPr fontId="3"/>
  </si>
  <si>
    <t>HL-email 3/25/22</t>
    <phoneticPr fontId="3"/>
  </si>
  <si>
    <t>008085</t>
    <phoneticPr fontId="3"/>
  </si>
  <si>
    <t>Acrylic Cords   Acrylic 100%</t>
    <phoneticPr fontId="3"/>
  </si>
  <si>
    <t>8400F</t>
    <phoneticPr fontId="3"/>
  </si>
  <si>
    <t># 55 UNIFORM GREEN</t>
    <phoneticPr fontId="3"/>
  </si>
  <si>
    <t>NL-email 3/28/22</t>
    <phoneticPr fontId="3"/>
  </si>
  <si>
    <t xml:space="preserve">HU-22F-037 </t>
    <phoneticPr fontId="3"/>
  </si>
  <si>
    <t>HU-22F-046</t>
    <phoneticPr fontId="3"/>
  </si>
  <si>
    <t xml:space="preserve">  # 83NT Deep Slate</t>
  </si>
  <si>
    <t xml:space="preserve">  #76NT Beige</t>
    <phoneticPr fontId="3"/>
  </si>
  <si>
    <r>
      <t xml:space="preserve">BA-email 4/2/22 </t>
    </r>
    <r>
      <rPr>
        <sz val="12"/>
        <color indexed="30"/>
        <rFont val="Arial"/>
        <family val="2"/>
      </rPr>
      <t>Chicago</t>
    </r>
  </si>
  <si>
    <t># A9 purple</t>
    <phoneticPr fontId="3"/>
  </si>
  <si>
    <t># 329 ivory</t>
    <phoneticPr fontId="3"/>
  </si>
  <si>
    <t># 320 nude</t>
    <phoneticPr fontId="3"/>
  </si>
  <si>
    <r>
      <t xml:space="preserve">BA-email 4/2/22 </t>
    </r>
    <r>
      <rPr>
        <sz val="12"/>
        <color indexed="30"/>
        <rFont val="Arial"/>
        <family val="2"/>
      </rPr>
      <t>Israel</t>
    </r>
  </si>
  <si>
    <t xml:space="preserve">AL-email 3/31/22, DNJ-4/1/22
</t>
    <phoneticPr fontId="3"/>
  </si>
  <si>
    <t>Artsline Company (DANNIJO)</t>
    <phoneticPr fontId="3"/>
  </si>
  <si>
    <t>008225</t>
    <phoneticPr fontId="3"/>
  </si>
  <si>
    <t>X53894</t>
    <phoneticPr fontId="3"/>
  </si>
  <si>
    <t># 57 Juniper</t>
    <phoneticPr fontId="3"/>
  </si>
  <si>
    <r>
      <t xml:space="preserve">SU-040122-HE </t>
    </r>
    <r>
      <rPr>
        <sz val="12"/>
        <color indexed="10"/>
        <rFont val="Arial"/>
        <family val="2"/>
      </rPr>
      <t>NY</t>
    </r>
    <phoneticPr fontId="3"/>
  </si>
  <si>
    <t>Striped Grosgrain Ribbon  Nylon-100%</t>
    <phoneticPr fontId="3"/>
  </si>
  <si>
    <t># 3</t>
    <phoneticPr fontId="3"/>
  </si>
  <si>
    <r>
      <t xml:space="preserve">SU-040122-GH-rev </t>
    </r>
    <r>
      <rPr>
        <sz val="12"/>
        <color indexed="10"/>
        <rFont val="Arial"/>
        <family val="2"/>
      </rPr>
      <t>Greenhill</t>
    </r>
    <phoneticPr fontId="3"/>
  </si>
  <si>
    <r>
      <t xml:space="preserve">SU-040122-MT </t>
    </r>
    <r>
      <rPr>
        <sz val="12"/>
        <color indexed="10"/>
        <rFont val="Arial"/>
        <family val="2"/>
      </rPr>
      <t xml:space="preserve">Shantou Huanlong </t>
    </r>
    <phoneticPr fontId="3"/>
  </si>
  <si>
    <t>X53907 China</t>
    <phoneticPr fontId="3"/>
  </si>
  <si>
    <t>2040-FT</t>
    <phoneticPr fontId="3"/>
  </si>
  <si>
    <t>HS-email 4/6/22</t>
    <phoneticPr fontId="3"/>
  </si>
  <si>
    <t>AH22PF04033</t>
    <phoneticPr fontId="3"/>
  </si>
  <si>
    <t># 38 Fig</t>
    <phoneticPr fontId="3"/>
  </si>
  <si>
    <r>
      <t xml:space="preserve"># 38 Fig </t>
    </r>
    <r>
      <rPr>
        <sz val="12"/>
        <rFont val="ＭＳ Ｐゴシック"/>
        <family val="3"/>
        <charset val="128"/>
      </rPr>
      <t>梱包代</t>
    </r>
    <rPh sb="9" eb="11">
      <t>コンポウ</t>
    </rPh>
    <rPh sb="11" eb="12">
      <t>ダイ</t>
    </rPh>
    <phoneticPr fontId="3"/>
  </si>
  <si>
    <t>22-33763</t>
    <phoneticPr fontId="3"/>
  </si>
  <si>
    <t>AF-email 4/6/22</t>
    <phoneticPr fontId="3"/>
  </si>
  <si>
    <r>
      <t># 17</t>
    </r>
    <r>
      <rPr>
        <sz val="12"/>
        <rFont val="ＭＳ Ｐゴシック"/>
        <family val="3"/>
        <charset val="128"/>
      </rPr>
      <t>　</t>
    </r>
    <r>
      <rPr>
        <sz val="12"/>
        <rFont val="Arial"/>
        <family val="2"/>
      </rPr>
      <t>Magenta</t>
    </r>
    <phoneticPr fontId="3"/>
  </si>
  <si>
    <t>513</t>
    <phoneticPr fontId="3"/>
  </si>
  <si>
    <t>#29 Amber</t>
  </si>
  <si>
    <t xml:space="preserve">#3 Black </t>
  </si>
  <si>
    <t>#18 Marigold</t>
  </si>
  <si>
    <t>#90 Mauve</t>
  </si>
  <si>
    <t>#46 Midnight Blue</t>
  </si>
  <si>
    <t>#9 Rosewood</t>
  </si>
  <si>
    <t xml:space="preserve">#14 Sable </t>
  </si>
  <si>
    <t>PO-00391</t>
    <phoneticPr fontId="3"/>
  </si>
  <si>
    <t>#31 black</t>
  </si>
  <si>
    <r>
      <t>5</t>
    </r>
    <r>
      <rPr>
        <sz val="12"/>
        <rFont val="ＭＳ Ｐゴシック"/>
        <family val="3"/>
        <charset val="128"/>
      </rPr>
      <t>月より</t>
    </r>
    <r>
      <rPr>
        <sz val="12"/>
        <rFont val="Arial"/>
        <family val="2"/>
      </rPr>
      <t>7</t>
    </r>
    <r>
      <rPr>
        <sz val="12"/>
        <rFont val="ＭＳ Ｐゴシック"/>
        <family val="3"/>
        <charset val="128"/>
      </rPr>
      <t>円</t>
    </r>
    <rPh sb="1" eb="2">
      <t>ガツ</t>
    </rPh>
    <rPh sb="5" eb="6">
      <t>エン</t>
    </rPh>
    <phoneticPr fontId="3"/>
  </si>
  <si>
    <t>#40 hot pink</t>
  </si>
  <si>
    <t>#44 sage</t>
  </si>
  <si>
    <r>
      <t xml:space="preserve">X54046 (HL-email 4/14/22) </t>
    </r>
    <r>
      <rPr>
        <sz val="12"/>
        <color indexed="10"/>
        <rFont val="Arial"/>
        <family val="2"/>
      </rPr>
      <t>China</t>
    </r>
    <phoneticPr fontId="3"/>
  </si>
  <si>
    <t>#18 Cabernet</t>
  </si>
  <si>
    <t>#69 Navy</t>
  </si>
  <si>
    <t>PO: 3/28 email</t>
    <phoneticPr fontId="3"/>
  </si>
  <si>
    <t>Coach/Tapestry</t>
    <phoneticPr fontId="3"/>
  </si>
  <si>
    <t xml:space="preserve">39mm Tricolor stripe knit tape (China) </t>
    <phoneticPr fontId="3"/>
  </si>
  <si>
    <t xml:space="preserve">CM# M-75505-00 </t>
    <phoneticPr fontId="3"/>
  </si>
  <si>
    <t>Zephyr 15-1906TPG x GARDENIA  11-0604TPG x Sterling Blue 15-4309TPG (13mm each)</t>
    <phoneticPr fontId="3"/>
  </si>
  <si>
    <t>3811</t>
    <phoneticPr fontId="3"/>
  </si>
  <si>
    <r>
      <t xml:space="preserve">HL-email 4/18/22 </t>
    </r>
    <r>
      <rPr>
        <sz val="12"/>
        <color indexed="10"/>
        <rFont val="Arial"/>
        <family val="2"/>
      </rPr>
      <t>China</t>
    </r>
    <phoneticPr fontId="3"/>
  </si>
  <si>
    <t>007971</t>
    <phoneticPr fontId="3"/>
  </si>
  <si>
    <r>
      <t>#</t>
    </r>
    <r>
      <rPr>
        <sz val="12"/>
        <rFont val="Arial  "/>
        <family val="2"/>
      </rPr>
      <t xml:space="preserve"> </t>
    </r>
    <r>
      <rPr>
        <sz val="12"/>
        <rFont val="Arial  "/>
        <family val="2"/>
      </rPr>
      <t>31 Black</t>
    </r>
    <phoneticPr fontId="3"/>
  </si>
  <si>
    <r>
      <t>#</t>
    </r>
    <r>
      <rPr>
        <sz val="12"/>
        <rFont val="Arial  "/>
        <family val="2"/>
      </rPr>
      <t xml:space="preserve"> 16 Dark Brown</t>
    </r>
    <phoneticPr fontId="3"/>
  </si>
  <si>
    <t># H3 GUNMETAL</t>
    <phoneticPr fontId="3"/>
  </si>
  <si>
    <t xml:space="preserve">X54046 - 2 to NY </t>
    <phoneticPr fontId="3"/>
  </si>
  <si>
    <r>
      <t xml:space="preserve">X54046 - replace to </t>
    </r>
    <r>
      <rPr>
        <sz val="12"/>
        <color indexed="10"/>
        <rFont val="Arial"/>
        <family val="2"/>
      </rPr>
      <t>China</t>
    </r>
    <phoneticPr fontId="3"/>
  </si>
  <si>
    <t>CD-email 4/26/22</t>
    <phoneticPr fontId="3"/>
  </si>
  <si>
    <t>実長計測費用</t>
    <rPh sb="0" eb="2">
      <t>ジッチョウ</t>
    </rPh>
    <rPh sb="2" eb="4">
      <t>ケイソク</t>
    </rPh>
    <rPh sb="4" eb="6">
      <t>ヒヨウ</t>
    </rPh>
    <phoneticPr fontId="3"/>
  </si>
  <si>
    <t>UZ-email 4/27/22</t>
    <phoneticPr fontId="3"/>
  </si>
  <si>
    <t>Elst Cord (Hard Type)   Rubber-61/Polyester-39%</t>
    <phoneticPr fontId="3"/>
  </si>
  <si>
    <t xml:space="preserve"># 1NT </t>
    <phoneticPr fontId="3"/>
  </si>
  <si>
    <t xml:space="preserve"># 74NT </t>
    <phoneticPr fontId="3"/>
  </si>
  <si>
    <t xml:space="preserve"># 71NT </t>
    <phoneticPr fontId="3"/>
  </si>
  <si>
    <t xml:space="preserve"># 84NT </t>
    <phoneticPr fontId="3"/>
  </si>
  <si>
    <t>PO: 4/27 email from Amy Sin</t>
    <phoneticPr fontId="3"/>
  </si>
  <si>
    <t xml:space="preserve">Top x Middle x Bottom </t>
    <phoneticPr fontId="3"/>
  </si>
  <si>
    <t>Gravel 14-1014TPG x Cocoa 19-1119TPG x Inkwell 19-4016TPG (13mm each)</t>
    <phoneticPr fontId="3"/>
  </si>
  <si>
    <t>PO: 5/6 email from Amy Sin</t>
    <phoneticPr fontId="3"/>
  </si>
  <si>
    <t>Gravel 14-1014TPG x Parisian Blue 18-4036TPG x Inkwell 19-4016TPG (13mm each)</t>
    <phoneticPr fontId="3"/>
  </si>
  <si>
    <t>X54116</t>
    <phoneticPr fontId="3"/>
  </si>
  <si>
    <t>China Stretch Tulle  80% polyester+20% spandex</t>
    <phoneticPr fontId="3"/>
  </si>
  <si>
    <t xml:space="preserve">China Stretch Tulle – 19 Colors </t>
    <phoneticPr fontId="3"/>
  </si>
  <si>
    <t>Scarlet #7</t>
    <phoneticPr fontId="3"/>
  </si>
  <si>
    <t>Cut Fee for Scarlet #7</t>
    <phoneticPr fontId="3"/>
  </si>
  <si>
    <t>China Stretch Tulle – 48 Colors</t>
    <phoneticPr fontId="3"/>
  </si>
  <si>
    <t>Iguana #26</t>
    <phoneticPr fontId="3"/>
  </si>
  <si>
    <t>Cut Fee for Iguana #26</t>
    <phoneticPr fontId="3"/>
  </si>
  <si>
    <t>Sandstorm #19 with Custom Print - fabric price</t>
    <phoneticPr fontId="3"/>
  </si>
  <si>
    <t>Print Fee</t>
    <phoneticPr fontId="3"/>
  </si>
  <si>
    <t>Cut Fee for Sandstorm #19</t>
    <phoneticPr fontId="3"/>
  </si>
  <si>
    <t>Print set-up fee</t>
    <phoneticPr fontId="3"/>
  </si>
  <si>
    <t>HS-email 4/28/22</t>
    <phoneticPr fontId="3"/>
  </si>
  <si>
    <t xml:space="preserve">HS-email 5/2/22  </t>
    <phoneticPr fontId="3"/>
  </si>
  <si>
    <t xml:space="preserve">HS-email 4/28/22 &amp;  5/2/22  </t>
    <phoneticPr fontId="3"/>
  </si>
  <si>
    <t>UJ-email 5/5/22</t>
    <phoneticPr fontId="3"/>
  </si>
  <si>
    <t>ULLA JOHNSON</t>
    <phoneticPr fontId="3"/>
  </si>
  <si>
    <t># 7NT Butterscotch</t>
    <phoneticPr fontId="3"/>
  </si>
  <si>
    <t># 60NT Taupe</t>
    <phoneticPr fontId="3"/>
  </si>
  <si>
    <t># 84NT Black</t>
    <phoneticPr fontId="3"/>
  </si>
  <si>
    <t># 1NT Cream</t>
    <phoneticPr fontId="3"/>
  </si>
  <si>
    <t>MO22005</t>
    <phoneticPr fontId="3"/>
  </si>
  <si>
    <t>#1 White</t>
    <phoneticPr fontId="3"/>
  </si>
  <si>
    <t>TB-email 5/6/22</t>
    <phoneticPr fontId="3"/>
  </si>
  <si>
    <t>Tory Burch</t>
    <phoneticPr fontId="3"/>
  </si>
  <si>
    <t>KYL-23476</t>
    <phoneticPr fontId="3"/>
  </si>
  <si>
    <t>718</t>
    <phoneticPr fontId="3"/>
  </si>
  <si>
    <t>HU-22F-046-Add (5/10/22)</t>
    <phoneticPr fontId="3"/>
  </si>
  <si>
    <t>SPRING2023</t>
    <phoneticPr fontId="3"/>
  </si>
  <si>
    <t>#58NT natural</t>
    <phoneticPr fontId="3"/>
  </si>
  <si>
    <t>#47NT deep navy</t>
    <phoneticPr fontId="3"/>
  </si>
  <si>
    <t>#61NT Khaki green</t>
    <phoneticPr fontId="3"/>
  </si>
  <si>
    <t>#42NT Bluestone</t>
    <phoneticPr fontId="3"/>
  </si>
  <si>
    <t>#76NT beige</t>
    <phoneticPr fontId="3"/>
  </si>
  <si>
    <t>PNP-00137</t>
    <phoneticPr fontId="3"/>
  </si>
  <si>
    <t>Puppets and Puppets</t>
    <phoneticPr fontId="3"/>
  </si>
  <si>
    <t>Lace  Rayon 66% Nylon 25% Poly 9%</t>
    <phoneticPr fontId="3"/>
  </si>
  <si>
    <t>FUT 9579S</t>
    <phoneticPr fontId="3"/>
  </si>
  <si>
    <t>105/108cm</t>
    <phoneticPr fontId="3"/>
  </si>
  <si>
    <t># 88 Neon Green</t>
    <phoneticPr fontId="3"/>
  </si>
  <si>
    <t>HU-22F-037-add(5/18/22)</t>
    <phoneticPr fontId="3"/>
  </si>
  <si>
    <r>
      <t xml:space="preserve">000700 </t>
    </r>
    <r>
      <rPr>
        <sz val="12"/>
        <color indexed="30"/>
        <rFont val="Arial"/>
        <family val="2"/>
      </rPr>
      <t>India</t>
    </r>
  </si>
  <si>
    <t>KYL-T8074-1</t>
    <phoneticPr fontId="3"/>
  </si>
  <si>
    <t>5005790</t>
    <phoneticPr fontId="3"/>
  </si>
  <si>
    <t>CAROLINA HERRERA LTD</t>
    <phoneticPr fontId="3"/>
  </si>
  <si>
    <t>P-122T</t>
    <phoneticPr fontId="3"/>
  </si>
  <si>
    <t># 44 Nude</t>
    <phoneticPr fontId="3"/>
  </si>
  <si>
    <t>2028</t>
    <phoneticPr fontId="3"/>
  </si>
  <si>
    <t>2028 add(5/30/22)</t>
    <phoneticPr fontId="3"/>
  </si>
  <si>
    <t># 610 Light Blue</t>
    <phoneticPr fontId="3"/>
  </si>
  <si>
    <t>2029 7/12/22</t>
    <phoneticPr fontId="3"/>
  </si>
  <si>
    <t>No stock end Sep</t>
    <phoneticPr fontId="3"/>
  </si>
  <si>
    <t xml:space="preserve"># B1 Light Blue </t>
    <phoneticPr fontId="3"/>
  </si>
  <si>
    <t>730</t>
    <phoneticPr fontId="3"/>
  </si>
  <si>
    <t>TB-email 5/31/22</t>
    <phoneticPr fontId="3"/>
  </si>
  <si>
    <t>KYL-23476</t>
  </si>
  <si>
    <t>060222</t>
    <phoneticPr fontId="3"/>
  </si>
  <si>
    <t>FLR-52989</t>
    <phoneticPr fontId="3"/>
  </si>
  <si>
    <t xml:space="preserve">Trim Lace   Front Yarn : 100% Rayon / Back Yarn :  100% Cotton </t>
    <phoneticPr fontId="3"/>
  </si>
  <si>
    <t>FLR-78965</t>
  </si>
  <si>
    <t>KYL-5123</t>
  </si>
  <si>
    <t>HU-22F-040 (6/2/22)</t>
    <phoneticPr fontId="3"/>
  </si>
  <si>
    <t>22-33873</t>
    <phoneticPr fontId="3"/>
  </si>
  <si>
    <t>Amsale</t>
    <phoneticPr fontId="3"/>
  </si>
  <si>
    <t>JZ-email 6/7/22</t>
    <phoneticPr fontId="3"/>
  </si>
  <si>
    <t>JZ Fashions</t>
    <phoneticPr fontId="3"/>
  </si>
  <si>
    <t xml:space="preserve">Polyester Trimming Braids   100% Polyester </t>
    <phoneticPr fontId="3"/>
  </si>
  <si>
    <t xml:space="preserve"># 1 Off White </t>
    <phoneticPr fontId="3"/>
  </si>
  <si>
    <t>S23-DT003</t>
    <phoneticPr fontId="3"/>
  </si>
  <si>
    <t>Polyester Cord   Polyester-100%</t>
    <phoneticPr fontId="3"/>
  </si>
  <si>
    <t>#20NT</t>
    <phoneticPr fontId="3"/>
  </si>
  <si>
    <t>#13NT</t>
  </si>
  <si>
    <t>#50NT</t>
  </si>
  <si>
    <t>#43NT</t>
  </si>
  <si>
    <t>#84NT</t>
  </si>
  <si>
    <t>#1NT</t>
  </si>
  <si>
    <t>S23-DT003-1</t>
    <phoneticPr fontId="3"/>
  </si>
  <si>
    <t>#13</t>
  </si>
  <si>
    <t>#48</t>
  </si>
  <si>
    <t>S23-DT003 &amp; 003-1</t>
    <phoneticPr fontId="3"/>
  </si>
  <si>
    <t>HU-22F-051 (6/13/22)</t>
    <phoneticPr fontId="3"/>
  </si>
  <si>
    <r>
      <t xml:space="preserve">SU-0610 </t>
    </r>
    <r>
      <rPr>
        <sz val="12"/>
        <color indexed="10"/>
        <rFont val="Arial"/>
        <family val="2"/>
      </rPr>
      <t>NY</t>
    </r>
    <phoneticPr fontId="3"/>
  </si>
  <si>
    <t>008858</t>
    <phoneticPr fontId="3"/>
  </si>
  <si>
    <t>BA-email 6/21/22</t>
    <phoneticPr fontId="3"/>
  </si>
  <si>
    <t># A9</t>
    <phoneticPr fontId="3"/>
  </si>
  <si>
    <t>BA-email 6/30/22</t>
    <phoneticPr fontId="3"/>
  </si>
  <si>
    <r>
      <t xml:space="preserve">10039 </t>
    </r>
    <r>
      <rPr>
        <sz val="12"/>
        <color indexed="10"/>
        <rFont val="Arial"/>
        <family val="2"/>
      </rPr>
      <t xml:space="preserve">East Concept </t>
    </r>
    <phoneticPr fontId="3"/>
  </si>
  <si>
    <t>#19 Grey</t>
  </si>
  <si>
    <t>AG-email 7/5/22</t>
    <phoneticPr fontId="3"/>
  </si>
  <si>
    <t>Alexandra Grecco</t>
    <phoneticPr fontId="3"/>
  </si>
  <si>
    <t xml:space="preserve"># OF   </t>
    <phoneticPr fontId="3"/>
  </si>
  <si>
    <t xml:space="preserve"># SO  </t>
    <phoneticPr fontId="3"/>
  </si>
  <si>
    <t>006960</t>
    <phoneticPr fontId="3"/>
  </si>
  <si>
    <t>JWU LLC., D/B/A JASON WU</t>
    <phoneticPr fontId="3"/>
  </si>
  <si>
    <t># 306 Pale Pink</t>
    <phoneticPr fontId="3"/>
  </si>
  <si>
    <t># A10 Iris</t>
    <phoneticPr fontId="3"/>
  </si>
  <si>
    <t xml:space="preserve">JS-trial </t>
    <phoneticPr fontId="3"/>
  </si>
  <si>
    <t>Wavy tulle with clear cellophane yarn</t>
    <phoneticPr fontId="3"/>
  </si>
  <si>
    <t>Trial development</t>
    <phoneticPr fontId="3"/>
  </si>
  <si>
    <t>038178</t>
    <phoneticPr fontId="3"/>
  </si>
  <si>
    <t>CO-Email order on 7/12</t>
    <phoneticPr fontId="3"/>
  </si>
  <si>
    <t>Coach Mens RTW 11 color Pride stripe knit tape</t>
    <phoneticPr fontId="3"/>
  </si>
  <si>
    <t>CM# M-79815-00 : 11 color Pride stripe knit tape</t>
    <phoneticPr fontId="3"/>
  </si>
  <si>
    <t xml:space="preserve">Sample making fee </t>
    <phoneticPr fontId="3"/>
  </si>
  <si>
    <r>
      <t xml:space="preserve">CO-Email order on 7/12 </t>
    </r>
    <r>
      <rPr>
        <sz val="12"/>
        <color indexed="30"/>
        <rFont val="Arial"/>
        <family val="2"/>
      </rPr>
      <t>India</t>
    </r>
    <phoneticPr fontId="3"/>
  </si>
  <si>
    <t xml:space="preserve">11 colors (0.418cm each) </t>
    <phoneticPr fontId="3"/>
  </si>
  <si>
    <r>
      <t xml:space="preserve">CO-Email order on 7/12 </t>
    </r>
    <r>
      <rPr>
        <sz val="12"/>
        <color indexed="30"/>
        <rFont val="Arial"/>
        <family val="2"/>
      </rPr>
      <t>Coach NY</t>
    </r>
    <phoneticPr fontId="3"/>
  </si>
  <si>
    <r>
      <t xml:space="preserve">CO-Email order on 7/12 </t>
    </r>
    <r>
      <rPr>
        <sz val="12"/>
        <color indexed="30"/>
        <rFont val="Arial"/>
        <family val="2"/>
      </rPr>
      <t>SF NY</t>
    </r>
    <phoneticPr fontId="3"/>
  </si>
  <si>
    <r>
      <t xml:space="preserve">NY </t>
    </r>
    <r>
      <rPr>
        <sz val="12"/>
        <rFont val="ＭＳ Ｐゴシック"/>
        <family val="3"/>
        <charset val="128"/>
      </rPr>
      <t>用サンプル</t>
    </r>
    <rPh sb="3" eb="4">
      <t>ヨウ</t>
    </rPh>
    <phoneticPr fontId="3"/>
  </si>
  <si>
    <t>TB-email 7/20/22</t>
    <phoneticPr fontId="3"/>
  </si>
  <si>
    <t>TB-email 7/20/22</t>
  </si>
  <si>
    <t>KYL-25372</t>
  </si>
  <si>
    <t>KYL-25575</t>
  </si>
  <si>
    <t>KYL-25576</t>
  </si>
  <si>
    <t>KYL-23705-1</t>
  </si>
  <si>
    <t>KYL-2529-1</t>
  </si>
  <si>
    <t>KYL-23408-1</t>
  </si>
  <si>
    <t>KYL-8331-1</t>
  </si>
  <si>
    <t>KYL-2432-1</t>
  </si>
  <si>
    <t>KYL-T23336-1</t>
  </si>
  <si>
    <t>KYL-T8074-1</t>
  </si>
  <si>
    <t>JW-email 7/20/22</t>
    <phoneticPr fontId="3"/>
  </si>
  <si>
    <t xml:space="preserve">  # 329 Chalk</t>
    <phoneticPr fontId="3"/>
  </si>
  <si>
    <t>HS-email7/21/22</t>
    <phoneticPr fontId="3"/>
  </si>
  <si>
    <t>KYL-875008S</t>
    <phoneticPr fontId="3"/>
  </si>
  <si>
    <t>Silver</t>
    <phoneticPr fontId="3"/>
  </si>
  <si>
    <t>0267</t>
    <phoneticPr fontId="3"/>
  </si>
  <si>
    <t>Honor</t>
    <phoneticPr fontId="3"/>
  </si>
  <si>
    <t># 86 Light pink</t>
    <phoneticPr fontId="3"/>
  </si>
  <si>
    <t>MO-email7/21/22</t>
    <phoneticPr fontId="3"/>
  </si>
  <si>
    <t xml:space="preserve"># 95 Black </t>
    <phoneticPr fontId="3"/>
  </si>
  <si>
    <t>通常17.10</t>
    <phoneticPr fontId="3"/>
  </si>
  <si>
    <t>009115</t>
    <phoneticPr fontId="3"/>
  </si>
  <si>
    <t>#62 Beige</t>
  </si>
  <si>
    <t>#25 Taupe</t>
  </si>
  <si>
    <t>#9 Eggshell</t>
  </si>
  <si>
    <t>JW-email 7/25/22</t>
    <phoneticPr fontId="3"/>
  </si>
  <si>
    <t># A19</t>
    <phoneticPr fontId="3"/>
  </si>
  <si>
    <t>S23-DT003 (7/26/22)</t>
    <phoneticPr fontId="3"/>
  </si>
  <si>
    <t># 20NT</t>
    <phoneticPr fontId="3"/>
  </si>
  <si>
    <t># 13NT</t>
    <phoneticPr fontId="3"/>
  </si>
  <si>
    <t># 50NT</t>
    <phoneticPr fontId="3"/>
  </si>
  <si>
    <t># 43NT</t>
    <phoneticPr fontId="3"/>
  </si>
  <si>
    <t># 84NT</t>
    <phoneticPr fontId="3"/>
  </si>
  <si>
    <t># 1NT</t>
    <phoneticPr fontId="3"/>
  </si>
  <si>
    <t>33842</t>
    <phoneticPr fontId="3"/>
  </si>
  <si>
    <r>
      <rPr>
        <sz val="12"/>
        <color indexed="10"/>
        <rFont val="ＭＳ Ｐゴシック"/>
        <family val="3"/>
        <charset val="128"/>
      </rPr>
      <t>次回より</t>
    </r>
    <r>
      <rPr>
        <sz val="12"/>
        <color indexed="10"/>
        <rFont val="Arial"/>
        <family val="2"/>
      </rPr>
      <t>800</t>
    </r>
    <r>
      <rPr>
        <sz val="12"/>
        <color indexed="10"/>
        <rFont val="ＭＳ Ｐゴシック"/>
        <family val="3"/>
        <charset val="128"/>
      </rPr>
      <t>円</t>
    </r>
    <rPh sb="0" eb="2">
      <t>ジカイ</t>
    </rPh>
    <rPh sb="7" eb="8">
      <t>エン</t>
    </rPh>
    <phoneticPr fontId="3"/>
  </si>
  <si>
    <r>
      <t xml:space="preserve">R23-PT0010 (7/28/22) </t>
    </r>
    <r>
      <rPr>
        <sz val="12"/>
        <color indexed="10"/>
        <rFont val="Arial"/>
        <family val="2"/>
      </rPr>
      <t>to China</t>
    </r>
  </si>
  <si>
    <r>
      <t xml:space="preserve">R23-PT0010 (7/28/22) </t>
    </r>
    <r>
      <rPr>
        <sz val="12"/>
        <color indexed="10"/>
        <rFont val="Arial"/>
        <family val="2"/>
      </rPr>
      <t>to China</t>
    </r>
    <phoneticPr fontId="3"/>
  </si>
  <si>
    <t>3928</t>
    <phoneticPr fontId="3"/>
  </si>
  <si>
    <t>TB-email 7/28/22</t>
    <phoneticPr fontId="3"/>
  </si>
  <si>
    <t>KYL-T8074</t>
  </si>
  <si>
    <t>TB-email 8/2/22</t>
    <phoneticPr fontId="3"/>
  </si>
  <si>
    <t>JW202207280006</t>
    <phoneticPr fontId="3"/>
  </si>
  <si>
    <r>
      <t>Jason Wu</t>
    </r>
    <r>
      <rPr>
        <sz val="12"/>
        <rFont val="ＭＳ Ｐゴシック"/>
        <family val="3"/>
        <charset val="128"/>
      </rPr>
      <t>（</t>
    </r>
    <r>
      <rPr>
        <sz val="12"/>
        <rFont val="Arial"/>
        <family val="2"/>
      </rPr>
      <t>Shanghai</t>
    </r>
    <r>
      <rPr>
        <sz val="12"/>
        <rFont val="ＭＳ Ｐゴシック"/>
        <family val="3"/>
        <charset val="128"/>
      </rPr>
      <t>）</t>
    </r>
    <r>
      <rPr>
        <sz val="12"/>
        <rFont val="Arial"/>
        <family val="2"/>
      </rPr>
      <t xml:space="preserve"> Garment CO., Ltd</t>
    </r>
    <phoneticPr fontId="3"/>
  </si>
  <si>
    <t>FWL-22812</t>
    <phoneticPr fontId="3"/>
  </si>
  <si>
    <t xml:space="preserve">Mill's Ecru ( Yarn dyed) </t>
    <phoneticPr fontId="3"/>
  </si>
  <si>
    <t xml:space="preserve">Mill's Black ( Yarn dyed) </t>
    <phoneticPr fontId="3"/>
  </si>
  <si>
    <t>Yarn Set-up</t>
    <phoneticPr fontId="3"/>
  </si>
  <si>
    <t>MO-email 7/29/22</t>
    <phoneticPr fontId="3"/>
  </si>
  <si>
    <t>CF22BKY011</t>
    <phoneticPr fontId="3"/>
  </si>
  <si>
    <t># 2 White</t>
    <phoneticPr fontId="3"/>
  </si>
  <si>
    <r>
      <t xml:space="preserve">004019 </t>
    </r>
    <r>
      <rPr>
        <sz val="12"/>
        <color indexed="10"/>
        <rFont val="Arial"/>
        <family val="2"/>
      </rPr>
      <t>India</t>
    </r>
    <phoneticPr fontId="3"/>
  </si>
  <si>
    <t># 24 Blue</t>
    <phoneticPr fontId="3"/>
  </si>
  <si>
    <t>MO-email 8/8/22</t>
    <phoneticPr fontId="3"/>
  </si>
  <si>
    <t>08092022SF</t>
    <phoneticPr fontId="3"/>
  </si>
  <si>
    <t xml:space="preserve">Jenny Yoo </t>
    <phoneticPr fontId="3"/>
  </si>
  <si>
    <t># 3 Medium Nude</t>
    <phoneticPr fontId="3"/>
  </si>
  <si>
    <t># 17 Dark Nude</t>
    <phoneticPr fontId="3"/>
  </si>
  <si>
    <t>JW-email 8/10/22</t>
    <phoneticPr fontId="3"/>
  </si>
  <si>
    <t>JW-email 8/17/22</t>
    <phoneticPr fontId="3"/>
  </si>
  <si>
    <t>JW-email 8/10/22 &amp; 8/17/22</t>
    <phoneticPr fontId="3"/>
  </si>
  <si>
    <t>JW-email 8/11/22</t>
    <phoneticPr fontId="3"/>
  </si>
  <si>
    <t># 329 Chalk</t>
    <phoneticPr fontId="3"/>
  </si>
  <si>
    <r>
      <t xml:space="preserve">SU-0804 </t>
    </r>
    <r>
      <rPr>
        <sz val="12"/>
        <color indexed="10"/>
        <rFont val="Arial"/>
        <family val="2"/>
      </rPr>
      <t>NY</t>
    </r>
    <phoneticPr fontId="3"/>
  </si>
  <si>
    <t># 31 Ecru</t>
    <phoneticPr fontId="3"/>
  </si>
  <si>
    <t>TB-email 8/15/22</t>
    <phoneticPr fontId="3"/>
  </si>
  <si>
    <t>HS-email 8/16/22</t>
    <phoneticPr fontId="3"/>
  </si>
  <si>
    <t>767</t>
    <phoneticPr fontId="3"/>
  </si>
  <si>
    <t xml:space="preserve">Danielle Frankel  </t>
    <phoneticPr fontId="3"/>
  </si>
  <si>
    <t>GF-email 8/22/22</t>
    <phoneticPr fontId="3"/>
  </si>
  <si>
    <t>Grace Fu</t>
    <phoneticPr fontId="3"/>
  </si>
  <si>
    <t xml:space="preserve">Trim Tulle Lace  Base: 100% Nylon /  Front yarn: 100% Rayon /  Back yarn :  100% Cotton </t>
    <phoneticPr fontId="3"/>
  </si>
  <si>
    <t>KYL-24193</t>
  </si>
  <si>
    <t>KYL-24246</t>
  </si>
  <si>
    <t xml:space="preserve">Trim Tulle Lace  Base: 100% Nylon /  Front &amp; Back Yarn :  100% Cotton </t>
    <phoneticPr fontId="3"/>
  </si>
  <si>
    <t>KYL-24122</t>
  </si>
  <si>
    <t>PO: 7/19/22 email from Amy Sin</t>
    <phoneticPr fontId="3"/>
  </si>
  <si>
    <t>Top x Middle x Bottom (DTM)</t>
    <phoneticPr fontId="3"/>
  </si>
  <si>
    <t>PO: 7/19/22 email from Amy Sin</t>
  </si>
  <si>
    <t>Brown Rice 13-1105TPG x Blue Horizon 18-3928TPG x Overture 19-3944TPG (13mm each)</t>
    <phoneticPr fontId="3"/>
  </si>
  <si>
    <t>PO: 7/29/22 email from Amy Sin</t>
    <phoneticPr fontId="3"/>
  </si>
  <si>
    <t>Top x Middle x Bottom (Yarn CC)</t>
    <phoneticPr fontId="3"/>
  </si>
  <si>
    <t>A0358 Beige x A0332 Blue x A0314 Dark Navy (13mm each)</t>
    <phoneticPr fontId="3"/>
  </si>
  <si>
    <t>WTA01510/22 (02)</t>
    <phoneticPr fontId="3"/>
  </si>
  <si>
    <t>Tricolor  Stripe Knit Tape  Polyester-100%</t>
    <phoneticPr fontId="3"/>
  </si>
  <si>
    <r>
      <t xml:space="preserve">2022/9/28 NY </t>
    </r>
    <r>
      <rPr>
        <sz val="8"/>
        <rFont val="ＭＳ Ｐゴシック"/>
        <family val="3"/>
        <charset val="128"/>
      </rPr>
      <t>用サンプル</t>
    </r>
    <r>
      <rPr>
        <sz val="8"/>
        <rFont val="Arial"/>
        <family val="2"/>
      </rPr>
      <t>/ test</t>
    </r>
    <rPh sb="13" eb="14">
      <t>ヨウ</t>
    </rPh>
    <phoneticPr fontId="3"/>
  </si>
  <si>
    <t>care label remake cost</t>
    <phoneticPr fontId="3"/>
  </si>
  <si>
    <r>
      <t>SF</t>
    </r>
    <r>
      <rPr>
        <sz val="8"/>
        <color indexed="10"/>
        <rFont val="ＭＳ Ｐゴシック"/>
        <family val="3"/>
        <charset val="128"/>
      </rPr>
      <t>負担・米国</t>
    </r>
    <r>
      <rPr>
        <sz val="8"/>
        <color indexed="10"/>
        <rFont val="Arial"/>
        <family val="2"/>
      </rPr>
      <t>&amp;</t>
    </r>
    <r>
      <rPr>
        <sz val="8"/>
        <color indexed="10"/>
        <rFont val="ＭＳ Ｐゴシック"/>
        <family val="3"/>
        <charset val="128"/>
      </rPr>
      <t>大阪折半</t>
    </r>
    <rPh sb="2" eb="4">
      <t>フタン</t>
    </rPh>
    <rPh sb="5" eb="7">
      <t>ベイコク</t>
    </rPh>
    <rPh sb="8" eb="10">
      <t>オオサカ</t>
    </rPh>
    <rPh sb="10" eb="12">
      <t>セッパン</t>
    </rPh>
    <phoneticPr fontId="3"/>
  </si>
  <si>
    <r>
      <t>SF</t>
    </r>
    <r>
      <rPr>
        <sz val="10"/>
        <color indexed="10"/>
        <rFont val="ＭＳ Ｐゴシック"/>
        <family val="3"/>
        <charset val="128"/>
      </rPr>
      <t>負担・米国</t>
    </r>
    <r>
      <rPr>
        <sz val="10"/>
        <color indexed="10"/>
        <rFont val="Arial"/>
        <family val="2"/>
      </rPr>
      <t>&amp;</t>
    </r>
    <r>
      <rPr>
        <sz val="10"/>
        <color indexed="10"/>
        <rFont val="ＭＳ Ｐゴシック"/>
        <family val="3"/>
        <charset val="128"/>
      </rPr>
      <t>大阪折半</t>
    </r>
    <rPh sb="2" eb="4">
      <t>フタン</t>
    </rPh>
    <rPh sb="5" eb="7">
      <t>ベイコク</t>
    </rPh>
    <rPh sb="8" eb="10">
      <t>オオサカ</t>
    </rPh>
    <rPh sb="10" eb="12">
      <t>セッパン</t>
    </rPh>
    <phoneticPr fontId="3"/>
  </si>
  <si>
    <t>TUV test fee</t>
    <phoneticPr fontId="3"/>
  </si>
  <si>
    <r>
      <rPr>
        <b/>
        <sz val="8"/>
        <color indexed="10"/>
        <rFont val="ＭＳ Ｐゴシック"/>
        <family val="3"/>
        <charset val="128"/>
      </rPr>
      <t>米国から</t>
    </r>
    <r>
      <rPr>
        <b/>
        <sz val="8"/>
        <color indexed="10"/>
        <rFont val="Arial"/>
        <family val="2"/>
      </rPr>
      <t>Osaka</t>
    </r>
    <r>
      <rPr>
        <b/>
        <sz val="8"/>
        <color indexed="10"/>
        <rFont val="ＭＳ Ｐゴシック"/>
        <family val="3"/>
        <charset val="128"/>
      </rPr>
      <t>に請求</t>
    </r>
    <rPh sb="0" eb="2">
      <t>ベイコク</t>
    </rPh>
    <rPh sb="10" eb="12">
      <t>セイキュウ</t>
    </rPh>
    <phoneticPr fontId="3"/>
  </si>
  <si>
    <t>JW-email 8/23/22</t>
    <phoneticPr fontId="3"/>
  </si>
  <si>
    <t># 303 pale pink</t>
    <phoneticPr fontId="3"/>
  </si>
  <si>
    <t>JW202208220007</t>
    <phoneticPr fontId="3"/>
  </si>
  <si>
    <t>HU-22F-047 (8/26/22)</t>
    <phoneticPr fontId="3"/>
  </si>
  <si>
    <t>HU-22F-063 (8/29/22)</t>
    <phoneticPr fontId="3"/>
  </si>
  <si>
    <t># 82NT Slate</t>
    <phoneticPr fontId="3"/>
  </si>
  <si>
    <t>1285</t>
    <phoneticPr fontId="3"/>
  </si>
  <si>
    <t>HU-22F-062 (9/9/22)</t>
    <phoneticPr fontId="3"/>
  </si>
  <si>
    <t># 54NT Pale Green</t>
    <phoneticPr fontId="3"/>
  </si>
  <si>
    <t>MP220090061(9/6/22)</t>
    <phoneticPr fontId="3"/>
  </si>
  <si>
    <t># 19 Grey</t>
    <phoneticPr fontId="3"/>
  </si>
  <si>
    <t># 25 Black</t>
    <phoneticPr fontId="3"/>
  </si>
  <si>
    <t>011741</t>
    <phoneticPr fontId="3"/>
  </si>
  <si>
    <t>LELA ROSE</t>
    <phoneticPr fontId="3"/>
  </si>
  <si>
    <t># 60 - NAVY</t>
    <phoneticPr fontId="3"/>
  </si>
  <si>
    <t>011742</t>
    <phoneticPr fontId="3"/>
  </si>
  <si>
    <t># 192 - GOLDENROD</t>
    <phoneticPr fontId="3"/>
  </si>
  <si>
    <t># 02 - SALMON</t>
    <phoneticPr fontId="3"/>
  </si>
  <si>
    <t xml:space="preserve">011741 &amp; 011742 </t>
    <phoneticPr fontId="3"/>
  </si>
  <si>
    <t>289</t>
    <phoneticPr fontId="3"/>
  </si>
  <si>
    <t>291</t>
    <phoneticPr fontId="3"/>
  </si>
  <si>
    <t># 101</t>
    <phoneticPr fontId="3"/>
  </si>
  <si>
    <t>通常単価67.3</t>
    <rPh sb="0" eb="2">
      <t>ツウジョウ</t>
    </rPh>
    <rPh sb="2" eb="4">
      <t>タンカ</t>
    </rPh>
    <phoneticPr fontId="3"/>
  </si>
  <si>
    <t>289&amp;291</t>
    <phoneticPr fontId="3"/>
  </si>
  <si>
    <t>22770</t>
    <phoneticPr fontId="3"/>
  </si>
  <si>
    <t>100% Polyester Dots Tulle</t>
    <phoneticPr fontId="3"/>
  </si>
  <si>
    <t>FUT9978  D#1</t>
    <phoneticPr fontId="3"/>
  </si>
  <si>
    <t># 6 Black</t>
    <phoneticPr fontId="3"/>
  </si>
  <si>
    <t>Cut Fee</t>
    <phoneticPr fontId="3"/>
  </si>
  <si>
    <t>AM-email 9/19/22</t>
    <phoneticPr fontId="3"/>
  </si>
  <si>
    <t>American Eagle Outfitters</t>
    <phoneticPr fontId="3"/>
  </si>
  <si>
    <t>KYL-25100</t>
    <phoneticPr fontId="3"/>
  </si>
  <si>
    <r>
      <t>10</t>
    </r>
    <r>
      <rPr>
        <sz val="10"/>
        <rFont val="ＭＳ Ｐゴシック"/>
        <family val="3"/>
        <charset val="128"/>
      </rPr>
      <t>月以降</t>
    </r>
    <r>
      <rPr>
        <sz val="10"/>
        <rFont val="Arial"/>
        <family val="2"/>
      </rPr>
      <t>140</t>
    </r>
    <r>
      <rPr>
        <sz val="10"/>
        <rFont val="ＭＳ Ｐゴシック"/>
        <family val="3"/>
        <charset val="128"/>
      </rPr>
      <t>円</t>
    </r>
    <r>
      <rPr>
        <sz val="10"/>
        <rFont val="Arial"/>
        <family val="2"/>
      </rPr>
      <t>/m</t>
    </r>
    <rPh sb="2" eb="3">
      <t>ガツ</t>
    </rPh>
    <rPh sb="3" eb="5">
      <t>イコウ</t>
    </rPh>
    <rPh sb="8" eb="9">
      <t>エン</t>
    </rPh>
    <phoneticPr fontId="3"/>
  </si>
  <si>
    <t>SSP-email 9/19/22</t>
    <phoneticPr fontId="3"/>
  </si>
  <si>
    <t>SAHU EXPORTS PVT LTD (Coach/Tapestry)</t>
    <phoneticPr fontId="3"/>
  </si>
  <si>
    <r>
      <t xml:space="preserve">PO-02312  </t>
    </r>
    <r>
      <rPr>
        <sz val="12"/>
        <color indexed="30"/>
        <rFont val="Arial"/>
        <family val="2"/>
      </rPr>
      <t>WING TAI FASHION</t>
    </r>
    <phoneticPr fontId="3"/>
  </si>
  <si>
    <t>100% Cotton cord</t>
    <phoneticPr fontId="3"/>
  </si>
  <si>
    <t>CCR-02(SS)</t>
    <phoneticPr fontId="3"/>
  </si>
  <si>
    <t>#50C Black</t>
  </si>
  <si>
    <t>#01C Ivory</t>
  </si>
  <si>
    <t>#43C Sand</t>
  </si>
  <si>
    <r>
      <t xml:space="preserve">PO-02313 </t>
    </r>
    <r>
      <rPr>
        <sz val="12"/>
        <color indexed="30"/>
        <rFont val="Arial"/>
        <family val="2"/>
      </rPr>
      <t>KRM</t>
    </r>
    <phoneticPr fontId="3"/>
  </si>
  <si>
    <t>#07C Flame</t>
  </si>
  <si>
    <r>
      <t xml:space="preserve">PO-02314 </t>
    </r>
    <r>
      <rPr>
        <sz val="12"/>
        <color indexed="30"/>
        <rFont val="Arial"/>
        <family val="2"/>
      </rPr>
      <t>POLARIS, HATRANS</t>
    </r>
    <phoneticPr fontId="3"/>
  </si>
  <si>
    <t>Dion Lee Enterprise ( bill to POLARIS )</t>
    <phoneticPr fontId="3"/>
  </si>
  <si>
    <t>#08C Fluoro Red</t>
  </si>
  <si>
    <r>
      <t xml:space="preserve">PO-02315 </t>
    </r>
    <r>
      <rPr>
        <sz val="12"/>
        <color indexed="30"/>
        <rFont val="Arial"/>
        <family val="2"/>
      </rPr>
      <t>ORJIN DERI KONFEKSIYON SAN</t>
    </r>
    <phoneticPr fontId="3"/>
  </si>
  <si>
    <t>0000939</t>
    <phoneticPr fontId="3"/>
  </si>
  <si>
    <t># 39 Blush</t>
    <phoneticPr fontId="3"/>
  </si>
  <si>
    <t>AF-email 9/28/22</t>
    <phoneticPr fontId="3"/>
  </si>
  <si>
    <t>#78 Denim Blue</t>
  </si>
  <si>
    <t>#5 Black</t>
  </si>
  <si>
    <t>TB-email 10/5/22</t>
    <phoneticPr fontId="3"/>
  </si>
  <si>
    <t>Color Torchon lace trim</t>
    <phoneticPr fontId="3"/>
  </si>
  <si>
    <t>FWL-81450</t>
    <phoneticPr fontId="3"/>
  </si>
  <si>
    <t># Gold x Off White x 9013 x E-72 x 20</t>
    <phoneticPr fontId="3"/>
  </si>
  <si>
    <t>FWL-81944</t>
    <phoneticPr fontId="3"/>
  </si>
  <si>
    <t xml:space="preserve"> # Greige x Silver x E72</t>
    <phoneticPr fontId="3"/>
  </si>
  <si>
    <t>PO0001034</t>
    <phoneticPr fontId="3"/>
  </si>
  <si>
    <t># 132</t>
    <phoneticPr fontId="3"/>
  </si>
  <si>
    <t>PO-02375</t>
    <phoneticPr fontId="3"/>
  </si>
  <si>
    <t>#46C Alloy</t>
  </si>
  <si>
    <t>#34C Dark Sage</t>
  </si>
  <si>
    <t>#12C Hibiscus</t>
  </si>
  <si>
    <t>#41C Sahara</t>
  </si>
  <si>
    <t xml:space="preserve">10247 </t>
    <phoneticPr fontId="3"/>
  </si>
  <si>
    <t>FWL-24192</t>
    <phoneticPr fontId="3"/>
  </si>
  <si>
    <t>DTM Black</t>
    <phoneticPr fontId="3"/>
  </si>
  <si>
    <t>DTM Mulberry</t>
    <phoneticPr fontId="3"/>
  </si>
  <si>
    <t>DTM White</t>
    <phoneticPr fontId="3"/>
  </si>
  <si>
    <t>S23-PT004 (10/12/22)</t>
    <phoneticPr fontId="3"/>
  </si>
  <si>
    <t>S23-PT004 (10/12/22)</t>
  </si>
  <si>
    <r>
      <t># 1NT</t>
    </r>
    <r>
      <rPr>
        <sz val="12"/>
        <rFont val="ＭＳ Ｐゴシック"/>
        <family val="3"/>
        <charset val="128"/>
      </rPr>
      <t>　</t>
    </r>
    <r>
      <rPr>
        <sz val="12"/>
        <rFont val="Arial  "/>
        <family val="2"/>
      </rPr>
      <t>White</t>
    </r>
    <phoneticPr fontId="3"/>
  </si>
  <si>
    <t>MO-email 10/12/22</t>
    <phoneticPr fontId="3"/>
  </si>
  <si>
    <t>Silicone Coated Polyester Cords   Polyester-100%</t>
    <phoneticPr fontId="3"/>
  </si>
  <si>
    <t>5650 ( =SCF / MU )</t>
    <phoneticPr fontId="3"/>
  </si>
  <si>
    <t>Size MU</t>
    <phoneticPr fontId="3"/>
  </si>
  <si>
    <t>AH22PF10017 (10/13/22)</t>
    <phoneticPr fontId="3"/>
  </si>
  <si>
    <t xml:space="preserve">  # 33 Sandstorm</t>
    <phoneticPr fontId="3"/>
  </si>
  <si>
    <t>011876</t>
    <phoneticPr fontId="3"/>
  </si>
  <si>
    <t>#516 Sea blue</t>
  </si>
  <si>
    <t>#22 Cendre blue</t>
    <phoneticPr fontId="3"/>
  </si>
  <si>
    <t>#9 black</t>
  </si>
  <si>
    <t>007029</t>
    <phoneticPr fontId="3"/>
  </si>
  <si>
    <r>
      <t>007029</t>
    </r>
    <r>
      <rPr>
        <sz val="12"/>
        <color indexed="30"/>
        <rFont val="Arial"/>
        <family val="2"/>
      </rPr>
      <t xml:space="preserve"> to NY</t>
    </r>
    <phoneticPr fontId="3"/>
  </si>
  <si>
    <r>
      <t>007029</t>
    </r>
    <r>
      <rPr>
        <sz val="12"/>
        <color indexed="30"/>
        <rFont val="Arial"/>
        <family val="2"/>
      </rPr>
      <t xml:space="preserve"> to HK</t>
    </r>
    <phoneticPr fontId="3"/>
  </si>
  <si>
    <t># 9 BK Black</t>
    <phoneticPr fontId="3"/>
  </si>
  <si>
    <t xml:space="preserve">  # A3 Pale Yellow</t>
    <phoneticPr fontId="3"/>
  </si>
  <si>
    <t>009598</t>
    <phoneticPr fontId="3"/>
  </si>
  <si>
    <r>
      <t>#</t>
    </r>
    <r>
      <rPr>
        <sz val="12"/>
        <rFont val="Arial  "/>
        <family val="2"/>
      </rPr>
      <t xml:space="preserve"> 1 White </t>
    </r>
    <phoneticPr fontId="3"/>
  </si>
  <si>
    <t>LIT-email 10/18/22</t>
    <phoneticPr fontId="3"/>
  </si>
  <si>
    <t>Litus International Trading Ltd. (Jason Wu)</t>
    <phoneticPr fontId="3"/>
  </si>
  <si>
    <t>SYHG-email 10/19/22</t>
    <phoneticPr fontId="3"/>
  </si>
  <si>
    <t>Shanghai YouHui Garment Co., Ltd. (Jason Wu)</t>
    <phoneticPr fontId="3"/>
  </si>
  <si>
    <t>PO0001119</t>
    <phoneticPr fontId="3"/>
  </si>
  <si>
    <t>MO-email 10/28/22</t>
    <phoneticPr fontId="3"/>
  </si>
  <si>
    <t># 48NT Green</t>
    <phoneticPr fontId="3"/>
  </si>
  <si>
    <t>LK-email 10/31/22</t>
    <phoneticPr fontId="3"/>
  </si>
  <si>
    <t>LAKE</t>
    <phoneticPr fontId="3"/>
  </si>
  <si>
    <t>PO-02449</t>
    <phoneticPr fontId="3"/>
  </si>
  <si>
    <t xml:space="preserve">Picot tape  Nylon 78.5%,   Polyurethane 21.5% </t>
    <phoneticPr fontId="3"/>
  </si>
  <si>
    <t>CM902-12</t>
    <phoneticPr fontId="3"/>
  </si>
  <si>
    <t>10296 (11/2/22)</t>
    <phoneticPr fontId="3"/>
  </si>
  <si>
    <r>
      <t xml:space="preserve">004006 </t>
    </r>
    <r>
      <rPr>
        <sz val="12"/>
        <color indexed="10"/>
        <rFont val="Arial"/>
        <family val="2"/>
      </rPr>
      <t>NY</t>
    </r>
    <r>
      <rPr>
        <sz val="12"/>
        <color indexed="10"/>
        <rFont val="Arial"/>
        <family val="2"/>
      </rPr>
      <t xml:space="preserve"> </t>
    </r>
    <phoneticPr fontId="3"/>
  </si>
  <si>
    <t># 170 Blush</t>
    <phoneticPr fontId="3"/>
  </si>
  <si>
    <t>MO-email 11/4/22</t>
    <phoneticPr fontId="3"/>
  </si>
  <si>
    <t>6AY</t>
  </si>
  <si>
    <t>2AY</t>
  </si>
  <si>
    <t>10AY</t>
  </si>
  <si>
    <t>MO-email 11/8/22</t>
    <phoneticPr fontId="3"/>
  </si>
  <si>
    <t xml:space="preserve"># 48NT  </t>
    <phoneticPr fontId="3"/>
  </si>
  <si>
    <t>PO-02465</t>
    <phoneticPr fontId="3"/>
  </si>
  <si>
    <t>PO0001236</t>
    <phoneticPr fontId="3"/>
  </si>
  <si>
    <t>Flock Printed Organza  Base fabric : 100% Polyester    Flock: 50% Nylon 50% Rayon</t>
    <phoneticPr fontId="3"/>
  </si>
  <si>
    <t>KFUT5116  D/#F-3407</t>
    <phoneticPr fontId="3"/>
  </si>
  <si>
    <t>116/118cm</t>
    <phoneticPr fontId="3"/>
  </si>
  <si>
    <t xml:space="preserve">  # 20BK Black</t>
    <phoneticPr fontId="3"/>
  </si>
  <si>
    <t>2020RE-WS</t>
    <phoneticPr fontId="3"/>
  </si>
  <si>
    <t># SI Ivory</t>
    <phoneticPr fontId="3"/>
  </si>
  <si>
    <t>111022</t>
    <phoneticPr fontId="3"/>
  </si>
  <si>
    <r>
      <t xml:space="preserve">007064 </t>
    </r>
    <r>
      <rPr>
        <sz val="12"/>
        <color indexed="30"/>
        <rFont val="Arial"/>
        <family val="2"/>
      </rPr>
      <t>India</t>
    </r>
    <phoneticPr fontId="3"/>
  </si>
  <si>
    <t>TO-email 11/17/22</t>
    <phoneticPr fontId="3"/>
  </si>
  <si>
    <t>HS-email 11/17/22</t>
    <phoneticPr fontId="3"/>
  </si>
  <si>
    <t>1985</t>
    <phoneticPr fontId="3"/>
  </si>
  <si>
    <t># 628 Burgundy</t>
    <phoneticPr fontId="3"/>
  </si>
  <si>
    <t># 610 Silver</t>
    <phoneticPr fontId="3"/>
  </si>
  <si>
    <t># GP1 Blush</t>
    <phoneticPr fontId="3"/>
  </si>
  <si>
    <t>2068</t>
    <phoneticPr fontId="3"/>
  </si>
  <si>
    <t>2091(12/7/22)</t>
    <phoneticPr fontId="3"/>
  </si>
  <si>
    <t>1985 &amp; 2068</t>
    <phoneticPr fontId="3"/>
  </si>
  <si>
    <t>MO-email 11/22/22</t>
    <phoneticPr fontId="3"/>
  </si>
  <si>
    <t># Greige (custom color)</t>
    <phoneticPr fontId="3"/>
  </si>
  <si>
    <t>0316</t>
    <phoneticPr fontId="3"/>
  </si>
  <si>
    <t>#107</t>
  </si>
  <si>
    <t>通常単価41.4</t>
    <rPh sb="0" eb="2">
      <t>ツウジョウ</t>
    </rPh>
    <rPh sb="2" eb="4">
      <t>タンカ</t>
    </rPh>
    <phoneticPr fontId="3"/>
  </si>
  <si>
    <t>通常単価46.4</t>
    <rPh sb="0" eb="2">
      <t>ツウジョウ</t>
    </rPh>
    <rPh sb="2" eb="4">
      <t>タンカ</t>
    </rPh>
    <phoneticPr fontId="3"/>
  </si>
  <si>
    <t>#113</t>
  </si>
  <si>
    <t>#108</t>
  </si>
  <si>
    <t>12mm</t>
  </si>
  <si>
    <t>通常単価52.10</t>
    <rPh sb="0" eb="2">
      <t>ツウジョウ</t>
    </rPh>
    <rPh sb="2" eb="4">
      <t>タンカ</t>
    </rPh>
    <phoneticPr fontId="3"/>
  </si>
  <si>
    <t>#22</t>
  </si>
  <si>
    <t>#44</t>
  </si>
  <si>
    <t>10mm</t>
  </si>
  <si>
    <t>#124</t>
  </si>
  <si>
    <t>#146</t>
  </si>
  <si>
    <t>#71</t>
  </si>
  <si>
    <t>DL-email 11/29/22</t>
    <phoneticPr fontId="3"/>
  </si>
  <si>
    <t>#45C Grey</t>
  </si>
  <si>
    <t>#26C Glacier</t>
  </si>
  <si>
    <t>MO-email 12/1/22</t>
    <phoneticPr fontId="3"/>
  </si>
  <si>
    <t>#39NT</t>
  </si>
  <si>
    <t>#84NT black</t>
  </si>
  <si>
    <r>
      <t xml:space="preserve">MO-email 12/2/22 </t>
    </r>
    <r>
      <rPr>
        <sz val="12"/>
        <color indexed="10"/>
        <rFont val="Arial"/>
        <family val="2"/>
      </rPr>
      <t>China</t>
    </r>
    <phoneticPr fontId="3"/>
  </si>
  <si>
    <t>5603 : C/# 9 Off White x Black Cel Tip (15mm )</t>
    <phoneticPr fontId="3"/>
  </si>
  <si>
    <t>Surcharge for below MOQ (100pcs)</t>
    <phoneticPr fontId="3"/>
  </si>
  <si>
    <t>22CFMZXY026</t>
    <phoneticPr fontId="3"/>
  </si>
  <si>
    <t>22CFMZXY026</t>
  </si>
  <si>
    <t>009826</t>
    <phoneticPr fontId="3"/>
  </si>
  <si>
    <t># 55 DARK GREEN</t>
    <phoneticPr fontId="3"/>
  </si>
  <si>
    <t>PO-02532</t>
    <phoneticPr fontId="3"/>
  </si>
  <si>
    <t>#42C Dune</t>
    <phoneticPr fontId="3"/>
  </si>
  <si>
    <t># custom color, Sandstorm ( C/# L735 )</t>
    <phoneticPr fontId="3"/>
  </si>
  <si>
    <t xml:space="preserve">Set-up fee </t>
    <phoneticPr fontId="3"/>
  </si>
  <si>
    <r>
      <t xml:space="preserve">SU-0610/1220 </t>
    </r>
    <r>
      <rPr>
        <sz val="12"/>
        <color indexed="10"/>
        <rFont val="Arial"/>
        <family val="2"/>
      </rPr>
      <t>NY</t>
    </r>
    <phoneticPr fontId="3"/>
  </si>
  <si>
    <r>
      <t xml:space="preserve">10457 </t>
    </r>
    <r>
      <rPr>
        <sz val="12"/>
        <color indexed="10"/>
        <rFont val="Arial"/>
        <family val="2"/>
      </rPr>
      <t>AFENG CHINA</t>
    </r>
    <phoneticPr fontId="3"/>
  </si>
  <si>
    <t>4247</t>
    <phoneticPr fontId="3"/>
  </si>
  <si>
    <t>Anne Barge</t>
    <phoneticPr fontId="3"/>
  </si>
  <si>
    <r>
      <t>#</t>
    </r>
    <r>
      <rPr>
        <sz val="12"/>
        <rFont val="Arial  "/>
        <family val="2"/>
      </rPr>
      <t xml:space="preserve"> </t>
    </r>
    <r>
      <rPr>
        <sz val="12"/>
        <rFont val="Arial  "/>
        <family val="2"/>
      </rPr>
      <t>142 (Soft Lilac)</t>
    </r>
    <phoneticPr fontId="3"/>
  </si>
  <si>
    <t># A9 (Soft Lilac)</t>
    <phoneticPr fontId="3"/>
  </si>
  <si>
    <t>122922</t>
    <phoneticPr fontId="3"/>
  </si>
  <si>
    <t>CD-email 1/4/23</t>
    <phoneticPr fontId="3"/>
  </si>
  <si>
    <t>MO-email 1/4/23</t>
    <phoneticPr fontId="3"/>
  </si>
  <si>
    <t>MO-email 1/2/23</t>
    <phoneticPr fontId="3"/>
  </si>
  <si>
    <r>
      <t>20230201~17.2</t>
    </r>
    <r>
      <rPr>
        <sz val="12"/>
        <color indexed="10"/>
        <rFont val="ＭＳ Ｐゴシック"/>
        <family val="3"/>
        <charset val="128"/>
      </rPr>
      <t>円</t>
    </r>
    <rPh sb="13" eb="14">
      <t>エン</t>
    </rPh>
    <phoneticPr fontId="3"/>
  </si>
  <si>
    <t>1691</t>
    <phoneticPr fontId="3"/>
  </si>
  <si>
    <t>AC-email 12/25/22(1/5/23)</t>
    <phoneticPr fontId="3"/>
  </si>
  <si>
    <t>Amore Cache</t>
    <phoneticPr fontId="3"/>
  </si>
  <si>
    <t>FUT9978 - D# 2</t>
    <phoneticPr fontId="3"/>
  </si>
  <si>
    <r>
      <t xml:space="preserve">email 1/6/23 </t>
    </r>
    <r>
      <rPr>
        <sz val="12"/>
        <color indexed="10"/>
        <rFont val="Arial"/>
        <family val="2"/>
      </rPr>
      <t>NY</t>
    </r>
    <phoneticPr fontId="3"/>
  </si>
  <si>
    <t>ODLR-email 12/28/22</t>
    <phoneticPr fontId="3"/>
  </si>
  <si>
    <t>T9000</t>
    <phoneticPr fontId="3"/>
  </si>
  <si>
    <t>004479</t>
    <phoneticPr fontId="3"/>
  </si>
  <si>
    <t># 20 Rose</t>
    <phoneticPr fontId="3"/>
  </si>
  <si>
    <r>
      <t xml:space="preserve">PO-02614  </t>
    </r>
    <r>
      <rPr>
        <sz val="12"/>
        <color indexed="30"/>
        <rFont val="Arial"/>
        <family val="2"/>
      </rPr>
      <t>WING TAI FASHION</t>
    </r>
    <phoneticPr fontId="3"/>
  </si>
  <si>
    <t>#46C Alloy</t>
    <phoneticPr fontId="3"/>
  </si>
  <si>
    <t>#41C Dune</t>
    <phoneticPr fontId="3"/>
  </si>
  <si>
    <t>#L735 Sandstone (custom)</t>
    <phoneticPr fontId="3"/>
  </si>
  <si>
    <t>PO-02614  WING TAI FASHION</t>
  </si>
  <si>
    <r>
      <t xml:space="preserve">PO-02616 </t>
    </r>
    <r>
      <rPr>
        <sz val="12"/>
        <color rgb="FF0070C0"/>
        <rFont val="Arial"/>
        <family val="2"/>
      </rPr>
      <t>Hotland</t>
    </r>
    <phoneticPr fontId="3"/>
  </si>
  <si>
    <t xml:space="preserve">JAPAN </t>
  </si>
  <si>
    <t>#45C Grey</t>
    <phoneticPr fontId="3"/>
  </si>
  <si>
    <t>PO-02616 Hotland</t>
  </si>
  <si>
    <r>
      <t xml:space="preserve">PO-02617 </t>
    </r>
    <r>
      <rPr>
        <sz val="12"/>
        <color rgb="FF0070C0"/>
        <rFont val="Arial"/>
        <family val="2"/>
      </rPr>
      <t>HUB (KRM London ?)</t>
    </r>
    <phoneticPr fontId="3"/>
  </si>
  <si>
    <t>#DTM Glacier</t>
    <phoneticPr fontId="3"/>
  </si>
  <si>
    <t>Dion Lee Enterprise</t>
  </si>
  <si>
    <r>
      <t xml:space="preserve">PO-02618 </t>
    </r>
    <r>
      <rPr>
        <sz val="12"/>
        <color rgb="FF0070C0"/>
        <rFont val="Arial"/>
        <family val="2"/>
      </rPr>
      <t>Punto Group</t>
    </r>
    <phoneticPr fontId="3"/>
  </si>
  <si>
    <t>PO-02618 Punto Group</t>
  </si>
  <si>
    <r>
      <t xml:space="preserve">PO-02619 </t>
    </r>
    <r>
      <rPr>
        <sz val="12"/>
        <color indexed="30"/>
        <rFont val="Arial"/>
        <family val="2"/>
      </rPr>
      <t>POLARIS, HATRANS</t>
    </r>
    <phoneticPr fontId="3"/>
  </si>
  <si>
    <t>#51C Umber</t>
    <phoneticPr fontId="3"/>
  </si>
  <si>
    <t>yarn DTM custom set-up</t>
    <phoneticPr fontId="3"/>
  </si>
  <si>
    <t>PO-02619 POLARIS, HATRANS</t>
  </si>
  <si>
    <t>1708</t>
    <phoneticPr fontId="3"/>
  </si>
  <si>
    <t>1708</t>
  </si>
  <si>
    <t>007161</t>
    <phoneticPr fontId="3"/>
  </si>
  <si>
    <t>DL-email 1/25/23</t>
    <phoneticPr fontId="3"/>
  </si>
  <si>
    <t>Yarn book Menroad 40</t>
    <phoneticPr fontId="3"/>
  </si>
  <si>
    <t>4826</t>
    <phoneticPr fontId="3"/>
  </si>
  <si>
    <t># A10 Blue Lilac</t>
    <phoneticPr fontId="3"/>
  </si>
  <si>
    <r>
      <t xml:space="preserve">PO-02628 </t>
    </r>
    <r>
      <rPr>
        <sz val="12"/>
        <color indexed="30"/>
        <rFont val="Arial"/>
        <family val="2"/>
      </rPr>
      <t>India</t>
    </r>
    <phoneticPr fontId="3"/>
  </si>
  <si>
    <t xml:space="preserve">  #10C Deep Red</t>
    <phoneticPr fontId="3"/>
  </si>
  <si>
    <t>E0221</t>
    <phoneticPr fontId="3"/>
  </si>
  <si>
    <t># 129 Royal Blue</t>
    <phoneticPr fontId="3"/>
  </si>
  <si>
    <t xml:space="preserve">Art .# </t>
    <phoneticPr fontId="3"/>
  </si>
  <si>
    <t>FOB JAPAN /m</t>
    <phoneticPr fontId="3"/>
  </si>
  <si>
    <t>920-8</t>
    <phoneticPr fontId="3"/>
  </si>
  <si>
    <t xml:space="preserve">DTM Ivory </t>
    <phoneticPr fontId="3"/>
  </si>
  <si>
    <t>DTM Pink-Nude</t>
    <phoneticPr fontId="3"/>
  </si>
  <si>
    <t>Put-up / roll</t>
    <phoneticPr fontId="3"/>
  </si>
  <si>
    <t xml:space="preserve">Roll Qty </t>
    <phoneticPr fontId="3"/>
  </si>
  <si>
    <t>(Total Qty in yds )</t>
    <phoneticPr fontId="3"/>
  </si>
  <si>
    <t>CIF HK Price  /m</t>
    <phoneticPr fontId="3"/>
  </si>
  <si>
    <t>Off White</t>
    <phoneticPr fontId="3"/>
  </si>
  <si>
    <t>KYL-T23217-19</t>
    <phoneticPr fontId="3"/>
  </si>
  <si>
    <t xml:space="preserve">Mill's Black </t>
  </si>
  <si>
    <t>Off White</t>
  </si>
  <si>
    <t>KYL-T23217-19</t>
  </si>
  <si>
    <t>Mill's Black</t>
  </si>
  <si>
    <t>KYL-T23217-1</t>
  </si>
  <si>
    <t>L/T as of 1st Nov.</t>
    <phoneticPr fontId="3"/>
  </si>
  <si>
    <t>KS-9300</t>
  </si>
  <si>
    <t># 44 Black</t>
  </si>
  <si>
    <t xml:space="preserve">over 10,000m in stock </t>
    <phoneticPr fontId="3"/>
  </si>
  <si>
    <t># 2 White</t>
  </si>
  <si>
    <t>KS-9306</t>
  </si>
  <si>
    <t xml:space="preserve">abt 4 - 5 weeks </t>
    <phoneticPr fontId="3"/>
  </si>
  <si>
    <t># 7</t>
  </si>
  <si>
    <t># 9</t>
  </si>
  <si>
    <t># 12</t>
  </si>
  <si>
    <t># 7</t>
    <phoneticPr fontId="3"/>
  </si>
  <si>
    <t>3 sets (US$ 5/cut )</t>
    <phoneticPr fontId="3"/>
  </si>
  <si>
    <t xml:space="preserve">Additional Qty </t>
    <phoneticPr fontId="3"/>
  </si>
  <si>
    <t xml:space="preserve"># 22 Black </t>
    <phoneticPr fontId="3"/>
  </si>
  <si>
    <t># 20 DK Navy</t>
    <phoneticPr fontId="3"/>
  </si>
  <si>
    <t># 10 Sage</t>
    <phoneticPr fontId="3"/>
  </si>
  <si>
    <t xml:space="preserve"># 1 Optic White </t>
    <phoneticPr fontId="3"/>
  </si>
  <si>
    <t xml:space="preserve"># 131 Nude </t>
    <phoneticPr fontId="3"/>
  </si>
  <si>
    <t xml:space="preserve"># 305 Pale Blue </t>
    <phoneticPr fontId="3"/>
  </si>
  <si>
    <t>TP614848</t>
    <phoneticPr fontId="3"/>
  </si>
  <si>
    <t>KATLEYA (Derek Lam  )</t>
    <phoneticPr fontId="3"/>
  </si>
  <si>
    <t>DTM Saffron</t>
    <phoneticPr fontId="3"/>
  </si>
  <si>
    <t>KYL-23423-19</t>
    <phoneticPr fontId="3"/>
  </si>
  <si>
    <t>FWL-24003</t>
    <phoneticPr fontId="3"/>
  </si>
  <si>
    <t>FWL-3218</t>
    <phoneticPr fontId="3"/>
  </si>
  <si>
    <r>
      <t>T25281-19</t>
    </r>
    <r>
      <rPr>
        <sz val="12"/>
        <color indexed="8"/>
        <rFont val="ＭＳ Ｐゴシック"/>
        <family val="3"/>
        <charset val="128"/>
      </rPr>
      <t>　</t>
    </r>
    <r>
      <rPr>
        <sz val="12"/>
        <color indexed="8"/>
        <rFont val="Calibri"/>
        <family val="2"/>
      </rPr>
      <t>27.4</t>
    </r>
    <r>
      <rPr>
        <sz val="12"/>
        <color indexed="8"/>
        <rFont val="ＭＳ Ｐゴシック"/>
        <family val="3"/>
        <charset val="128"/>
      </rPr>
      <t>ｍキープ済みです。</t>
    </r>
  </si>
  <si>
    <t xml:space="preserve">Approved </t>
    <phoneticPr fontId="3"/>
  </si>
  <si>
    <r>
      <t>（不足出た場合はあと</t>
    </r>
    <r>
      <rPr>
        <sz val="12"/>
        <color indexed="8"/>
        <rFont val="Calibri"/>
        <family val="2"/>
      </rPr>
      <t>T25281-19</t>
    </r>
    <r>
      <rPr>
        <sz val="12"/>
        <color indexed="8"/>
        <rFont val="ＭＳ Ｐゴシック"/>
        <family val="3"/>
        <charset val="128"/>
      </rPr>
      <t>　</t>
    </r>
    <r>
      <rPr>
        <sz val="12"/>
        <color indexed="8"/>
        <rFont val="Calibri"/>
        <family val="2"/>
      </rPr>
      <t>60</t>
    </r>
    <r>
      <rPr>
        <sz val="12"/>
        <color indexed="8"/>
        <rFont val="ＭＳ Ｐゴシック"/>
        <family val="3"/>
        <charset val="128"/>
      </rPr>
      <t>ｍほど残ります。</t>
    </r>
  </si>
  <si>
    <t>KYL-T25281-19</t>
    <phoneticPr fontId="3"/>
  </si>
  <si>
    <r>
      <t>T25281</t>
    </r>
    <r>
      <rPr>
        <sz val="12"/>
        <color indexed="8"/>
        <rFont val="ＭＳ Ｐゴシック"/>
        <family val="3"/>
        <charset val="128"/>
      </rPr>
      <t>オフは</t>
    </r>
    <r>
      <rPr>
        <sz val="12"/>
        <color indexed="8"/>
        <rFont val="Calibri"/>
        <family val="2"/>
      </rPr>
      <t>2/28</t>
    </r>
    <r>
      <rPr>
        <sz val="12"/>
        <color indexed="8"/>
        <rFont val="ＭＳ Ｐゴシック"/>
        <family val="3"/>
        <charset val="128"/>
      </rPr>
      <t>に</t>
    </r>
    <r>
      <rPr>
        <sz val="12"/>
        <color indexed="8"/>
        <rFont val="Calibri"/>
        <family val="2"/>
      </rPr>
      <t>1,800</t>
    </r>
    <r>
      <rPr>
        <sz val="12"/>
        <color indexed="8"/>
        <rFont val="ＭＳ Ｐゴシック"/>
        <family val="3"/>
        <charset val="128"/>
      </rPr>
      <t>ｍに入荷予定になっておりますので</t>
    </r>
  </si>
  <si>
    <t>そのあと染色出来ます。）</t>
  </si>
  <si>
    <t xml:space="preserve">16the March </t>
    <phoneticPr fontId="3"/>
  </si>
  <si>
    <r>
      <t>T8333-19</t>
    </r>
    <r>
      <rPr>
        <sz val="12"/>
        <color indexed="8"/>
        <rFont val="ＭＳ Ｐゴシック"/>
        <family val="3"/>
        <charset val="128"/>
      </rPr>
      <t>　本日染色に出します。</t>
    </r>
    <r>
      <rPr>
        <sz val="12"/>
        <color indexed="8"/>
        <rFont val="Calibri"/>
        <family val="2"/>
      </rPr>
      <t>2/</t>
    </r>
    <r>
      <rPr>
        <sz val="12"/>
        <color indexed="8"/>
        <rFont val="ＭＳ Ｐゴシック"/>
        <family val="3"/>
        <charset val="128"/>
      </rPr>
      <t>末に上がり予定です。</t>
    </r>
  </si>
  <si>
    <t>DTM Midnight Dye Lot 2</t>
    <phoneticPr fontId="3"/>
  </si>
  <si>
    <t>DTM Saffron Dye Lot 2</t>
    <phoneticPr fontId="3"/>
  </si>
  <si>
    <t>MC-gran491</t>
    <phoneticPr fontId="3"/>
  </si>
  <si>
    <t xml:space="preserve"># 321 Mauve </t>
    <phoneticPr fontId="3"/>
  </si>
  <si>
    <t># 308 Blush</t>
    <phoneticPr fontId="3"/>
  </si>
  <si>
    <t xml:space="preserve"># 306 Blush </t>
    <phoneticPr fontId="3"/>
  </si>
  <si>
    <t># A1 Nude</t>
    <phoneticPr fontId="3"/>
  </si>
  <si>
    <t>SKL036137</t>
    <phoneticPr fontId="3"/>
  </si>
  <si>
    <t>KYL-24241</t>
    <phoneticPr fontId="3"/>
  </si>
  <si>
    <t>DTM Dark Purple Grey</t>
    <phoneticPr fontId="3"/>
  </si>
  <si>
    <t>KYL-875008G</t>
    <phoneticPr fontId="3"/>
  </si>
  <si>
    <t># 21 Peony</t>
    <phoneticPr fontId="3"/>
  </si>
  <si>
    <t xml:space="preserve"># 79 Midnight </t>
    <phoneticPr fontId="3"/>
  </si>
  <si>
    <t xml:space="preserve"># 93 Grey </t>
    <phoneticPr fontId="3"/>
  </si>
  <si>
    <t>FOB JAPAN /roll</t>
    <phoneticPr fontId="3"/>
  </si>
  <si>
    <t># 123</t>
    <phoneticPr fontId="3"/>
  </si>
  <si>
    <t>TRL-287724</t>
    <phoneticPr fontId="3"/>
  </si>
  <si>
    <t>TRL-358127</t>
    <phoneticPr fontId="3"/>
  </si>
  <si>
    <t>KYL-T25320</t>
    <phoneticPr fontId="3"/>
  </si>
  <si>
    <t>KYL-25513</t>
    <phoneticPr fontId="3"/>
  </si>
  <si>
    <t>KYL-25512</t>
    <phoneticPr fontId="3"/>
  </si>
  <si>
    <t xml:space="preserve"># 3SW Optic White </t>
    <phoneticPr fontId="3"/>
  </si>
  <si>
    <t>TP616300</t>
    <phoneticPr fontId="3"/>
  </si>
  <si>
    <t>ES-134</t>
    <phoneticPr fontId="3"/>
  </si>
  <si>
    <t xml:space="preserve"># 50 Black  </t>
    <phoneticPr fontId="3"/>
  </si>
  <si>
    <t>TP616301</t>
    <phoneticPr fontId="3"/>
  </si>
  <si>
    <t>TP616302</t>
    <phoneticPr fontId="3"/>
  </si>
  <si>
    <t>R1900T</t>
    <phoneticPr fontId="3"/>
  </si>
  <si>
    <t>DS-2838</t>
    <phoneticPr fontId="3"/>
  </si>
  <si>
    <t xml:space="preserve">Optic White </t>
    <phoneticPr fontId="3"/>
  </si>
  <si>
    <t xml:space="preserve">Mill's Black ( Piece Dyed ) </t>
    <phoneticPr fontId="3"/>
  </si>
  <si>
    <t>Dye Fee for DS 2838</t>
    <phoneticPr fontId="3"/>
  </si>
  <si>
    <t>FWL-91728 ( FWL-69085 Cotton Ver.)</t>
    <phoneticPr fontId="3"/>
  </si>
  <si>
    <t>Mill's Black ( Yarn Dyed )</t>
    <phoneticPr fontId="3"/>
  </si>
  <si>
    <t>Set up Fee for FWL-</t>
    <phoneticPr fontId="3"/>
  </si>
  <si>
    <t>FWL-22937</t>
    <phoneticPr fontId="3"/>
  </si>
  <si>
    <t>FWL-21871</t>
    <phoneticPr fontId="3"/>
  </si>
  <si>
    <t xml:space="preserve">Dye Fee for FWL-21871 Black </t>
    <phoneticPr fontId="3"/>
  </si>
  <si>
    <t>KYL-25578</t>
    <phoneticPr fontId="3"/>
  </si>
  <si>
    <t xml:space="preserve">Dye Fee for KYL-25578 Black </t>
    <phoneticPr fontId="3"/>
  </si>
  <si>
    <t>KYL-3222-1</t>
    <phoneticPr fontId="3"/>
  </si>
  <si>
    <t xml:space="preserve">Dye Fee for KYL-3222-1 Black </t>
    <phoneticPr fontId="3"/>
  </si>
  <si>
    <t xml:space="preserve">Dye Fee for KYL-23551-1 Black </t>
    <phoneticPr fontId="3"/>
  </si>
  <si>
    <t>TI-7000</t>
    <phoneticPr fontId="3"/>
  </si>
  <si>
    <t># 60 Black</t>
    <phoneticPr fontId="3"/>
  </si>
  <si>
    <t xml:space="preserve"># 120 Champagne </t>
    <phoneticPr fontId="3"/>
  </si>
  <si>
    <t>FWL-7302</t>
  </si>
  <si>
    <t>GREIGE(OFF WHITE)</t>
    <phoneticPr fontId="3"/>
  </si>
  <si>
    <t>FWL-7302- 3.8CM</t>
  </si>
  <si>
    <t>FWL-22446</t>
  </si>
  <si>
    <t>FWL-71543</t>
  </si>
  <si>
    <t>Set up Fee for FWL-7302 3.8cm</t>
    <phoneticPr fontId="3"/>
  </si>
  <si>
    <t>Q3FY19#055</t>
    <phoneticPr fontId="3"/>
  </si>
  <si>
    <t xml:space="preserve">DTM New White </t>
    <phoneticPr fontId="3"/>
  </si>
  <si>
    <t>Dye80</t>
    <phoneticPr fontId="3"/>
  </si>
  <si>
    <t>DTM TEA STAIN ECRU</t>
    <phoneticPr fontId="3"/>
  </si>
  <si>
    <t xml:space="preserve">DTM CLAY </t>
    <phoneticPr fontId="3"/>
  </si>
  <si>
    <t>DTM VINTAGE BROWN</t>
    <phoneticPr fontId="3"/>
  </si>
  <si>
    <t>DTM BLACK</t>
    <phoneticPr fontId="3"/>
  </si>
  <si>
    <t>DYEING SURCHARGE for CLAY &amp; VINTAGE BROWN</t>
    <phoneticPr fontId="3"/>
  </si>
  <si>
    <t>FWL-91769</t>
    <phoneticPr fontId="3"/>
  </si>
  <si>
    <t>DTM NEW WHITE</t>
    <phoneticPr fontId="3"/>
  </si>
  <si>
    <t>DTM VINTAGE GREY</t>
    <phoneticPr fontId="3"/>
  </si>
  <si>
    <t>DYEING SURCHARGE for VINTAGE GREY</t>
    <phoneticPr fontId="3"/>
  </si>
  <si>
    <t>Dye70</t>
    <phoneticPr fontId="3"/>
  </si>
  <si>
    <t>DYEING SURCHARGE for VINTAGE BROWN</t>
    <phoneticPr fontId="3"/>
  </si>
  <si>
    <t xml:space="preserve"># 51 Julep </t>
    <phoneticPr fontId="3"/>
  </si>
  <si>
    <t># 10 Light Pink</t>
    <phoneticPr fontId="3"/>
  </si>
  <si>
    <t># 11 Slipper Pink</t>
    <phoneticPr fontId="3"/>
  </si>
  <si>
    <t># SO Pearl</t>
    <phoneticPr fontId="3"/>
  </si>
  <si>
    <t>Cutting Fee for # 51 &amp; # 10</t>
    <phoneticPr fontId="3"/>
  </si>
  <si>
    <r>
      <rPr>
        <sz val="12"/>
        <color indexed="8"/>
        <rFont val="ＭＳ Ｐゴシック"/>
        <family val="3"/>
        <charset val="128"/>
      </rPr>
      <t>単価</t>
    </r>
    <r>
      <rPr>
        <sz val="12"/>
        <color indexed="8"/>
        <rFont val="Arial"/>
        <family val="2"/>
      </rPr>
      <t xml:space="preserve"> /m</t>
    </r>
    <rPh sb="0" eb="2">
      <t>タンカ</t>
    </rPh>
    <phoneticPr fontId="3"/>
  </si>
  <si>
    <r>
      <t xml:space="preserve">749 </t>
    </r>
    <r>
      <rPr>
        <sz val="12"/>
        <color indexed="10"/>
        <rFont val="Arial  "/>
        <family val="2"/>
      </rPr>
      <t>LA</t>
    </r>
    <r>
      <rPr>
        <sz val="12"/>
        <rFont val="Arial  "/>
        <family val="2"/>
      </rPr>
      <t xml:space="preserve"> </t>
    </r>
    <phoneticPr fontId="3"/>
  </si>
  <si>
    <t>FWL-23949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</si>
  <si>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43 </t>
    </r>
    <phoneticPr fontId="3"/>
  </si>
  <si>
    <t xml:space="preserve">Black 55 </t>
    <phoneticPr fontId="3"/>
  </si>
  <si>
    <t>DTM Lemonade</t>
    <phoneticPr fontId="3"/>
  </si>
  <si>
    <t>DTM Summer Sky</t>
    <phoneticPr fontId="3"/>
  </si>
  <si>
    <t>FWL-22987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</si>
  <si>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73</t>
    </r>
    <phoneticPr fontId="3"/>
  </si>
  <si>
    <t xml:space="preserve">Black 95 </t>
    <phoneticPr fontId="3"/>
  </si>
  <si>
    <t>FWL-7379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</si>
  <si>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132</t>
    </r>
    <phoneticPr fontId="3"/>
  </si>
  <si>
    <t>FWL-21969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</si>
  <si>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32</t>
    </r>
    <phoneticPr fontId="3"/>
  </si>
  <si>
    <t xml:space="preserve">Black 42 </t>
    <phoneticPr fontId="3"/>
  </si>
  <si>
    <t>DTM Ballet Pink</t>
    <phoneticPr fontId="3"/>
  </si>
  <si>
    <t>FWL-24150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</si>
  <si>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87</t>
    </r>
    <phoneticPr fontId="3"/>
  </si>
  <si>
    <t>FWL-22729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</si>
  <si>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36</t>
    </r>
    <phoneticPr fontId="3"/>
  </si>
  <si>
    <t>FWL-3171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</si>
  <si>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42</t>
    </r>
    <phoneticPr fontId="3"/>
  </si>
  <si>
    <t xml:space="preserve">DTM Azure </t>
    <phoneticPr fontId="3"/>
  </si>
  <si>
    <t xml:space="preserve">DTM Sandstone </t>
    <phoneticPr fontId="3"/>
  </si>
  <si>
    <t>DTM Neon Pink</t>
    <phoneticPr fontId="3"/>
  </si>
  <si>
    <t>FWL-91787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</si>
  <si>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135</t>
    </r>
    <phoneticPr fontId="3"/>
  </si>
  <si>
    <t xml:space="preserve">Set-up Fee for </t>
    <phoneticPr fontId="3"/>
  </si>
  <si>
    <t xml:space="preserve">7 sets </t>
    <phoneticPr fontId="3"/>
  </si>
  <si>
    <r>
      <rPr>
        <sz val="12"/>
        <rFont val="ＭＳ Ｐゴシック"/>
        <family val="3"/>
        <charset val="128"/>
      </rPr>
      <t>￥</t>
    </r>
    <r>
      <rPr>
        <sz val="12"/>
        <rFont val="Arial"/>
        <family val="2"/>
      </rPr>
      <t xml:space="preserve">7000 - </t>
    </r>
    <r>
      <rPr>
        <sz val="12"/>
        <rFont val="ＭＳ Ｐゴシック"/>
        <family val="3"/>
        <charset val="128"/>
      </rPr>
      <t>￥</t>
    </r>
    <r>
      <rPr>
        <sz val="12"/>
        <rFont val="Arial"/>
        <family val="2"/>
      </rPr>
      <t>8000</t>
    </r>
    <phoneticPr fontId="3"/>
  </si>
  <si>
    <t>8000/7000</t>
    <phoneticPr fontId="3"/>
  </si>
  <si>
    <r>
      <t>in stock-</t>
    </r>
    <r>
      <rPr>
        <b/>
        <sz val="12"/>
        <color indexed="30"/>
        <rFont val="ＭＳ Ｐゴシック"/>
        <family val="3"/>
        <charset val="128"/>
      </rPr>
      <t>キープ</t>
    </r>
    <r>
      <rPr>
        <sz val="12"/>
        <rFont val="Arial"/>
        <family val="2"/>
      </rPr>
      <t xml:space="preserve"> </t>
    </r>
    <phoneticPr fontId="3"/>
  </si>
  <si>
    <t># 1 Pink</t>
    <phoneticPr fontId="3"/>
  </si>
  <si>
    <r>
      <t>End of August-</t>
    </r>
    <r>
      <rPr>
        <b/>
        <sz val="12"/>
        <color indexed="30"/>
        <rFont val="ＭＳ Ｐゴシック"/>
        <family val="3"/>
        <charset val="128"/>
      </rPr>
      <t>生産進行お願いします</t>
    </r>
    <rPh sb="14" eb="16">
      <t>セイサン</t>
    </rPh>
    <rPh sb="16" eb="18">
      <t>シンコウ</t>
    </rPh>
    <rPh sb="19" eb="20">
      <t>ネガ</t>
    </rPh>
    <phoneticPr fontId="3"/>
  </si>
  <si>
    <t># 106 Fuchsia</t>
    <phoneticPr fontId="3"/>
  </si>
  <si>
    <t xml:space="preserve"># 109 Yellow </t>
    <phoneticPr fontId="3"/>
  </si>
  <si>
    <t># 642 Pink</t>
    <phoneticPr fontId="3"/>
  </si>
  <si>
    <t># Nude 618</t>
    <phoneticPr fontId="3"/>
  </si>
  <si>
    <t># 107 Red</t>
    <phoneticPr fontId="3"/>
  </si>
  <si>
    <t>S19C0058</t>
    <phoneticPr fontId="3"/>
  </si>
  <si>
    <t># GP1 Pale Pink</t>
    <phoneticPr fontId="3"/>
  </si>
  <si>
    <t>カット代無し</t>
    <rPh sb="3" eb="4">
      <t>ダイ</t>
    </rPh>
    <rPh sb="4" eb="5">
      <t>ナ</t>
    </rPh>
    <phoneticPr fontId="3"/>
  </si>
  <si>
    <t># A5 Rose Pink</t>
    <phoneticPr fontId="3"/>
  </si>
  <si>
    <r>
      <t xml:space="preserve">S19C0058 </t>
    </r>
    <r>
      <rPr>
        <sz val="12"/>
        <color indexed="10"/>
        <rFont val="Arial"/>
        <family val="2"/>
      </rPr>
      <t>Fullin</t>
    </r>
    <phoneticPr fontId="3"/>
  </si>
  <si>
    <r>
      <t xml:space="preserve">Fullin </t>
    </r>
    <r>
      <rPr>
        <sz val="12"/>
        <rFont val="ＭＳ Ｐゴシック"/>
        <family val="3"/>
        <charset val="128"/>
      </rPr>
      <t>に発送</t>
    </r>
    <rPh sb="8" eb="10">
      <t>ハッソウ</t>
    </rPh>
    <phoneticPr fontId="3"/>
  </si>
  <si>
    <t># A9 Lilac</t>
    <phoneticPr fontId="3"/>
  </si>
  <si>
    <t xml:space="preserve"># 300 Pale Yellow </t>
    <phoneticPr fontId="3"/>
  </si>
  <si>
    <t xml:space="preserve"># 280 Yellow </t>
    <phoneticPr fontId="3"/>
  </si>
  <si>
    <t>12 sets</t>
    <phoneticPr fontId="3"/>
  </si>
  <si>
    <t>S19C0061</t>
    <phoneticPr fontId="3"/>
  </si>
  <si>
    <t xml:space="preserve"># 24 Dusty Blue </t>
    <phoneticPr fontId="3"/>
  </si>
  <si>
    <t xml:space="preserve"># 11 Yellow </t>
    <phoneticPr fontId="3"/>
  </si>
  <si>
    <t xml:space="preserve"># 230 Heather </t>
    <phoneticPr fontId="3"/>
  </si>
  <si>
    <t xml:space="preserve"># 52 Dove Grey </t>
    <phoneticPr fontId="3"/>
  </si>
  <si>
    <t># 16 Peach</t>
    <phoneticPr fontId="3"/>
  </si>
  <si>
    <t># 32 Lavender</t>
    <phoneticPr fontId="3"/>
  </si>
  <si>
    <t>C&amp;F HK /m</t>
    <phoneticPr fontId="3"/>
  </si>
  <si>
    <t xml:space="preserve"># 32 Beige </t>
    <phoneticPr fontId="3"/>
  </si>
  <si>
    <t># 26 Navy</t>
    <phoneticPr fontId="3"/>
  </si>
  <si>
    <t># 44 Black</t>
    <phoneticPr fontId="3"/>
  </si>
  <si>
    <t>Out of Stock, ready early Sep.</t>
    <phoneticPr fontId="3"/>
  </si>
  <si>
    <t>Out of Stock, ready at the end of Sep.</t>
    <phoneticPr fontId="3"/>
  </si>
  <si>
    <t>FWL-71003</t>
    <phoneticPr fontId="3"/>
  </si>
  <si>
    <t>FWL-71029</t>
    <phoneticPr fontId="3"/>
  </si>
  <si>
    <r>
      <t xml:space="preserve">TT08008 </t>
    </r>
    <r>
      <rPr>
        <sz val="11"/>
        <color indexed="10"/>
        <rFont val="Arial"/>
        <family val="2"/>
      </rPr>
      <t/>
    </r>
    <phoneticPr fontId="3"/>
  </si>
  <si>
    <t>1017-10</t>
    <phoneticPr fontId="3"/>
  </si>
  <si>
    <t>染色代/m</t>
    <rPh sb="0" eb="2">
      <t>センショク</t>
    </rPh>
    <rPh sb="2" eb="3">
      <t>ダイ</t>
    </rPh>
    <phoneticPr fontId="3"/>
  </si>
  <si>
    <t>Off</t>
    <phoneticPr fontId="3"/>
  </si>
  <si>
    <t>FWL-23323</t>
    <phoneticPr fontId="3"/>
  </si>
  <si>
    <t xml:space="preserve">NEW WHITE (MILL'S OFF WHITE) </t>
    <phoneticPr fontId="3"/>
  </si>
  <si>
    <t>染色代：￥80/m</t>
    <rPh sb="0" eb="2">
      <t>センショク</t>
    </rPh>
    <rPh sb="2" eb="3">
      <t>ダイ</t>
    </rPh>
    <phoneticPr fontId="3"/>
  </si>
  <si>
    <t>FWL-71065</t>
    <phoneticPr fontId="3"/>
  </si>
  <si>
    <t>FWL-71070</t>
    <phoneticPr fontId="3"/>
  </si>
  <si>
    <t>FWL-7366</t>
    <phoneticPr fontId="3"/>
  </si>
  <si>
    <t>FWL-71069</t>
    <phoneticPr fontId="3"/>
  </si>
  <si>
    <t>FWL-2103</t>
    <phoneticPr fontId="3"/>
  </si>
  <si>
    <t xml:space="preserve">Dye Fee for Mill's Black </t>
    <phoneticPr fontId="3"/>
  </si>
  <si>
    <t xml:space="preserve">5 sets </t>
    <phoneticPr fontId="3"/>
  </si>
  <si>
    <t>FWL-23133</t>
    <phoneticPr fontId="3"/>
  </si>
  <si>
    <t>FWL-61086</t>
    <phoneticPr fontId="3"/>
  </si>
  <si>
    <t>FWL-61082</t>
    <phoneticPr fontId="3"/>
  </si>
  <si>
    <t>FWL-7302 (2.6cm )</t>
    <phoneticPr fontId="3"/>
  </si>
  <si>
    <t>染色代/col</t>
    <rPh sb="0" eb="2">
      <t>センショク</t>
    </rPh>
    <rPh sb="2" eb="3">
      <t>ダイ</t>
    </rPh>
    <phoneticPr fontId="3"/>
  </si>
  <si>
    <t>10-1035</t>
    <phoneticPr fontId="3"/>
  </si>
  <si>
    <t xml:space="preserve">DTM BLACK </t>
    <phoneticPr fontId="3"/>
  </si>
  <si>
    <t>DTM YKK 801</t>
    <phoneticPr fontId="3"/>
  </si>
  <si>
    <t>KYL-25520</t>
    <phoneticPr fontId="3"/>
  </si>
  <si>
    <t>KYL-25338</t>
    <phoneticPr fontId="3"/>
  </si>
  <si>
    <t>KYL-25068</t>
    <phoneticPr fontId="3"/>
  </si>
  <si>
    <t>TRL-291829</t>
    <phoneticPr fontId="3"/>
  </si>
  <si>
    <t>092719</t>
    <phoneticPr fontId="3"/>
  </si>
  <si>
    <t>OL-354181-1</t>
    <phoneticPr fontId="3"/>
  </si>
  <si>
    <t>POs from each factory</t>
    <phoneticPr fontId="3"/>
  </si>
  <si>
    <t xml:space="preserve">Chinamine : 720m </t>
    <phoneticPr fontId="3"/>
  </si>
  <si>
    <t xml:space="preserve">Chinamine : 120m </t>
    <phoneticPr fontId="3"/>
  </si>
  <si>
    <t xml:space="preserve">Unique : 60yds / Mandarin : 114m </t>
    <phoneticPr fontId="3"/>
  </si>
  <si>
    <t xml:space="preserve">Unique : 110yds </t>
    <phoneticPr fontId="3"/>
  </si>
  <si>
    <t xml:space="preserve">Chinamine : 80m </t>
    <phoneticPr fontId="3"/>
  </si>
  <si>
    <t xml:space="preserve">Unique : 170yds </t>
    <phoneticPr fontId="3"/>
  </si>
  <si>
    <r>
      <t>OL-356139</t>
    </r>
    <r>
      <rPr>
        <sz val="12"/>
        <color indexed="10"/>
        <rFont val="Arial"/>
        <family val="2"/>
      </rPr>
      <t>-1</t>
    </r>
    <phoneticPr fontId="3"/>
  </si>
  <si>
    <t xml:space="preserve">DTM Pink Sand </t>
    <phoneticPr fontId="3"/>
  </si>
  <si>
    <t>DTM Fuchsia</t>
    <phoneticPr fontId="3"/>
  </si>
  <si>
    <t>DTM Moroccan Blue</t>
    <phoneticPr fontId="3"/>
  </si>
  <si>
    <t xml:space="preserve">DTM Mustard </t>
    <phoneticPr fontId="3"/>
  </si>
  <si>
    <t>DTM White (or Mill's Off White ?)</t>
    <phoneticPr fontId="3"/>
  </si>
  <si>
    <t>OL-353526-1</t>
    <phoneticPr fontId="3"/>
  </si>
  <si>
    <t>OL-353529-1</t>
    <phoneticPr fontId="3"/>
  </si>
  <si>
    <t xml:space="preserve">Subtotal </t>
    <phoneticPr fontId="3"/>
  </si>
  <si>
    <t xml:space="preserve"># OF Ivory </t>
  </si>
  <si>
    <t># FB Black</t>
  </si>
  <si>
    <t>Backorders</t>
    <phoneticPr fontId="3"/>
  </si>
  <si>
    <t>FOB JAPAN / roll</t>
    <phoneticPr fontId="3"/>
  </si>
  <si>
    <t>FOB JAPAN / m</t>
    <phoneticPr fontId="3"/>
  </si>
  <si>
    <t xml:space="preserve">Courier A/C </t>
    <phoneticPr fontId="3"/>
  </si>
  <si>
    <t>DHL A/C : 965002200</t>
    <phoneticPr fontId="3"/>
  </si>
  <si>
    <t xml:space="preserve"> FedEx A/C : 256476126 </t>
    <phoneticPr fontId="3"/>
  </si>
  <si>
    <t>Ready on the 17th - 18th Dec.</t>
    <phoneticPr fontId="3"/>
  </si>
  <si>
    <t>Ready on the 5th - 6th Dec.</t>
    <phoneticPr fontId="3"/>
  </si>
  <si>
    <t>Ready Mid January, 2019</t>
    <phoneticPr fontId="3"/>
  </si>
  <si>
    <t xml:space="preserve"># 127 </t>
    <phoneticPr fontId="3"/>
  </si>
  <si>
    <t xml:space="preserve">Greige  </t>
    <phoneticPr fontId="3"/>
  </si>
  <si>
    <t>In stock, ship out on the 17th -18th Dec.</t>
    <phoneticPr fontId="3"/>
  </si>
  <si>
    <t>Ready Mid Feb. 2019</t>
    <phoneticPr fontId="3"/>
  </si>
  <si>
    <t># 122</t>
    <phoneticPr fontId="3"/>
  </si>
  <si>
    <t># 22 Black</t>
    <phoneticPr fontId="3"/>
  </si>
  <si>
    <t>単価/反</t>
    <rPh sb="0" eb="2">
      <t>タンカ</t>
    </rPh>
    <rPh sb="3" eb="4">
      <t>タン</t>
    </rPh>
    <phoneticPr fontId="3"/>
  </si>
  <si>
    <t xml:space="preserve"># 5 Black </t>
  </si>
  <si>
    <r>
      <t>525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</si>
  <si>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t># 0 Cream</t>
  </si>
  <si>
    <r>
      <t>420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</si>
  <si>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r>
      <t>123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</si>
  <si>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t># 113 Mustard</t>
    <phoneticPr fontId="3"/>
  </si>
  <si>
    <t>DTM Copper (C/# 27 from # 12720)</t>
    <phoneticPr fontId="3"/>
  </si>
  <si>
    <t xml:space="preserve">Dye upcharge </t>
    <phoneticPr fontId="3"/>
  </si>
  <si>
    <t># 122 Navy</t>
    <phoneticPr fontId="3"/>
  </si>
  <si>
    <t># 102 White</t>
    <phoneticPr fontId="3"/>
  </si>
  <si>
    <t># 75 Maroon</t>
    <phoneticPr fontId="3"/>
  </si>
  <si>
    <t># 15 Red</t>
    <phoneticPr fontId="3"/>
  </si>
  <si>
    <t># 70 Emerald</t>
    <phoneticPr fontId="3"/>
  </si>
  <si>
    <t># 105</t>
    <phoneticPr fontId="3"/>
  </si>
  <si>
    <t>Ship out early February</t>
    <phoneticPr fontId="3"/>
  </si>
  <si>
    <t># 128</t>
    <phoneticPr fontId="3"/>
  </si>
  <si>
    <t># 68</t>
    <phoneticPr fontId="3"/>
  </si>
  <si>
    <t xml:space="preserve">Ready early March </t>
    <phoneticPr fontId="3"/>
  </si>
  <si>
    <t xml:space="preserve">Ready Mid. February </t>
    <phoneticPr fontId="3"/>
  </si>
  <si>
    <t># A12 Purple</t>
  </si>
  <si>
    <t xml:space="preserve"># 321 Mauve </t>
  </si>
  <si>
    <t>Select from Amossa Yarn C/C  (Top x Middle x Bottom )</t>
    <phoneticPr fontId="3"/>
  </si>
  <si>
    <t>BC031119PS20</t>
    <phoneticPr fontId="3"/>
  </si>
  <si>
    <t>KS-9304</t>
    <phoneticPr fontId="3"/>
  </si>
  <si>
    <t>Blue: A2021 x Red: B5019 x Yellow: B6013(5mm each)</t>
    <phoneticPr fontId="3"/>
  </si>
  <si>
    <t>Blue: A2021 x Red: B5019 x Yellow: B6013(12mm each)</t>
    <phoneticPr fontId="3"/>
  </si>
  <si>
    <t>Blue: A2021 x Red: B5019 x Yellow: B6013(16mm each)</t>
    <phoneticPr fontId="3"/>
  </si>
  <si>
    <t>EXW JAPAN / m</t>
    <phoneticPr fontId="3"/>
  </si>
  <si>
    <t>5120</t>
    <phoneticPr fontId="3"/>
  </si>
  <si>
    <t># 78 Navy</t>
    <phoneticPr fontId="3"/>
  </si>
  <si>
    <t xml:space="preserve"># 17 Blush </t>
    <phoneticPr fontId="3"/>
  </si>
  <si>
    <r>
      <rPr>
        <b/>
        <sz val="11"/>
        <rFont val="Arial"/>
        <family val="2"/>
      </rPr>
      <t>Color</t>
    </r>
    <r>
      <rPr>
        <sz val="11"/>
        <rFont val="Arial"/>
        <family val="2"/>
      </rPr>
      <t xml:space="preserve"> Select from Amossa Yarn C/C  (Top x Middle x Bottom )</t>
    </r>
    <phoneticPr fontId="3"/>
  </si>
  <si>
    <t>CM-0002</t>
    <phoneticPr fontId="3"/>
  </si>
  <si>
    <t xml:space="preserve">Yellow: B6013 x Blue: B1069 x Red: B5019 (3mm each)  </t>
    <phoneticPr fontId="3"/>
  </si>
  <si>
    <t>CM-0003</t>
    <phoneticPr fontId="3"/>
  </si>
  <si>
    <t xml:space="preserve">Yellow: B6013 x Blue: B1069 x Red: B5019 (5mm each)  </t>
    <phoneticPr fontId="3"/>
  </si>
  <si>
    <t>CM-0004</t>
    <phoneticPr fontId="3"/>
  </si>
  <si>
    <t xml:space="preserve">Yellow: B6013 x Blue: B1069 x Red: B5019 (12mm each)  </t>
    <phoneticPr fontId="3"/>
  </si>
  <si>
    <t>CM-0005</t>
    <phoneticPr fontId="3"/>
  </si>
  <si>
    <t xml:space="preserve">Yellow: B6013 x Blue: B1069 x Red: B5019 (17mm each)  </t>
    <phoneticPr fontId="3"/>
  </si>
  <si>
    <t xml:space="preserve"># 16 Coral </t>
    <phoneticPr fontId="3"/>
  </si>
  <si>
    <t>After GW</t>
    <phoneticPr fontId="3"/>
  </si>
  <si>
    <t xml:space="preserve"># 230 Heather Grey </t>
    <phoneticPr fontId="3"/>
  </si>
  <si>
    <t>Mid May</t>
    <phoneticPr fontId="3"/>
  </si>
  <si>
    <t xml:space="preserve"># 24 Blue </t>
    <phoneticPr fontId="3"/>
  </si>
  <si>
    <t># 31 Lilac</t>
    <phoneticPr fontId="3"/>
  </si>
  <si>
    <t xml:space="preserve"># 51 Asher </t>
    <phoneticPr fontId="3"/>
  </si>
  <si>
    <t xml:space="preserve"># 52 Sterling </t>
    <phoneticPr fontId="3"/>
  </si>
  <si>
    <r>
      <rPr>
        <b/>
        <sz val="11"/>
        <rFont val="Arial"/>
        <family val="2"/>
      </rPr>
      <t xml:space="preserve">Color  </t>
    </r>
    <r>
      <rPr>
        <sz val="11"/>
        <rFont val="Arial"/>
        <family val="2"/>
      </rPr>
      <t>Select from Amossa Yarn C/C  (Top x Middle x Bottom )</t>
    </r>
    <phoneticPr fontId="3"/>
  </si>
  <si>
    <t>EXW JAPAN / set</t>
    <phoneticPr fontId="3"/>
  </si>
  <si>
    <t>CM-0006</t>
    <phoneticPr fontId="3"/>
  </si>
  <si>
    <t xml:space="preserve">KhakiBrown: B8035 x Navy: B1069 x Orange: B8001 (5mm each)  </t>
    <phoneticPr fontId="3"/>
  </si>
  <si>
    <t>CM-0007</t>
    <phoneticPr fontId="3"/>
  </si>
  <si>
    <t xml:space="preserve">KhakiBrown: B8035 x Navy: B1069 x Orange: B8001 (12mm each)  </t>
    <phoneticPr fontId="3"/>
  </si>
  <si>
    <t>CM-0008</t>
    <phoneticPr fontId="3"/>
  </si>
  <si>
    <t xml:space="preserve">KhakiBrown: B8035 x Navy: B1069 x Orange: B8001 (16mm each)  </t>
    <phoneticPr fontId="3"/>
  </si>
  <si>
    <t>CM-0009</t>
    <phoneticPr fontId="3"/>
  </si>
  <si>
    <t xml:space="preserve">KhakiBrown: B8035 x Navy: B1069 x Orange: B8001 (3mm each)  </t>
    <phoneticPr fontId="3"/>
  </si>
  <si>
    <t>Cancel Fee for 2nd sample (C-190408)</t>
    <phoneticPr fontId="3"/>
  </si>
  <si>
    <t>319 yen</t>
    <phoneticPr fontId="3"/>
  </si>
  <si>
    <t>1100 yen</t>
    <phoneticPr fontId="3"/>
  </si>
  <si>
    <t>482 yen</t>
    <phoneticPr fontId="3"/>
  </si>
  <si>
    <t>172 yen</t>
    <phoneticPr fontId="3"/>
  </si>
  <si>
    <t>LB/18-0143</t>
    <phoneticPr fontId="3"/>
  </si>
  <si>
    <t>10-7095</t>
    <phoneticPr fontId="3"/>
  </si>
  <si>
    <t>KYL-23309</t>
    <phoneticPr fontId="3"/>
  </si>
  <si>
    <r>
      <t>141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</si>
  <si>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t>商品</t>
    <rPh sb="0" eb="2">
      <t>ショウヒン</t>
    </rPh>
    <phoneticPr fontId="3"/>
  </si>
  <si>
    <r>
      <rPr>
        <sz val="11"/>
        <rFont val="ＭＳ Ｐゴシック"/>
        <family val="3"/>
        <charset val="128"/>
      </rPr>
      <t>カラー</t>
    </r>
    <r>
      <rPr>
        <sz val="11"/>
        <rFont val="Arial"/>
        <family val="2"/>
      </rPr>
      <t xml:space="preserve"> Amossa Yarn C/C  (Top x Middle x Bottom )</t>
    </r>
    <phoneticPr fontId="3"/>
  </si>
  <si>
    <t>別注ストライプテープ</t>
    <rPh sb="0" eb="2">
      <t>ベッチュウ</t>
    </rPh>
    <phoneticPr fontId="3"/>
  </si>
  <si>
    <r>
      <t>KhakiBrown: B8035 x Navy: B1069 x Orange: B8001 (</t>
    </r>
    <r>
      <rPr>
        <sz val="8"/>
        <rFont val="ＭＳ Ｐゴシック"/>
        <family val="3"/>
        <charset val="128"/>
      </rPr>
      <t>各</t>
    </r>
    <r>
      <rPr>
        <sz val="8"/>
        <rFont val="Arial"/>
        <family val="2"/>
      </rPr>
      <t xml:space="preserve">5mm)  </t>
    </r>
    <rPh sb="49" eb="50">
      <t>カク</t>
    </rPh>
    <phoneticPr fontId="3"/>
  </si>
  <si>
    <r>
      <t>50</t>
    </r>
    <r>
      <rPr>
        <sz val="12"/>
        <rFont val="ＭＳ Ｐゴシック"/>
        <family val="3"/>
        <charset val="128"/>
      </rPr>
      <t>円</t>
    </r>
    <rPh sb="2" eb="3">
      <t>エン</t>
    </rPh>
    <phoneticPr fontId="3"/>
  </si>
  <si>
    <r>
      <t>43</t>
    </r>
    <r>
      <rPr>
        <sz val="12"/>
        <rFont val="ＭＳ Ｐゴシック"/>
        <family val="3"/>
        <charset val="128"/>
      </rPr>
      <t>円</t>
    </r>
    <rPh sb="2" eb="3">
      <t>エン</t>
    </rPh>
    <phoneticPr fontId="3"/>
  </si>
  <si>
    <r>
      <t>KhakiBrown: B8035 x Navy: B1069 x Orange: B8001 (</t>
    </r>
    <r>
      <rPr>
        <sz val="8"/>
        <rFont val="ＭＳ Ｐゴシック"/>
        <family val="3"/>
        <charset val="128"/>
      </rPr>
      <t>各</t>
    </r>
    <r>
      <rPr>
        <sz val="8"/>
        <rFont val="Arial"/>
        <family val="2"/>
      </rPr>
      <t xml:space="preserve">12mm )  </t>
    </r>
    <rPh sb="49" eb="50">
      <t>カク</t>
    </rPh>
    <phoneticPr fontId="3"/>
  </si>
  <si>
    <r>
      <t>104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</si>
  <si>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r>
      <t>155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</si>
  <si>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r>
      <rPr>
        <b/>
        <sz val="11"/>
        <rFont val="Arial"/>
        <family val="2"/>
      </rPr>
      <t>Color</t>
    </r>
    <r>
      <rPr>
        <sz val="11"/>
        <rFont val="Arial"/>
        <family val="2"/>
      </rPr>
      <t xml:space="preserve"> select from Amossa Yarn C/C  (Top x Middle x Bottom )</t>
    </r>
    <phoneticPr fontId="3"/>
  </si>
  <si>
    <t xml:space="preserve">MOQ /col </t>
    <phoneticPr fontId="3"/>
  </si>
  <si>
    <t>KhakiBrown: B8035 x Navy: B1069 x Orange: B8001 (5mm each )  </t>
    <phoneticPr fontId="3"/>
  </si>
  <si>
    <t>KhakiBrown: B8035 x Navy: B1069 x Orange: B8001 (12mm each )  </t>
    <phoneticPr fontId="3"/>
  </si>
  <si>
    <t>MOQ/col for 
custom colors</t>
    <phoneticPr fontId="3"/>
  </si>
  <si>
    <t>USD/m</t>
    <phoneticPr fontId="3"/>
  </si>
  <si>
    <t>F19J-140</t>
    <phoneticPr fontId="3"/>
  </si>
  <si>
    <r>
      <t>PI# 2070</t>
    </r>
    <r>
      <rPr>
        <sz val="12"/>
        <rFont val="ＭＳ Ｐゴシック"/>
        <family val="3"/>
        <charset val="128"/>
      </rPr>
      <t>で</t>
    </r>
    <r>
      <rPr>
        <sz val="12"/>
        <rFont val="Arial"/>
        <family val="2"/>
      </rPr>
      <t xml:space="preserve">payment </t>
    </r>
    <r>
      <rPr>
        <sz val="12"/>
        <rFont val="ＭＳ Ｐゴシック"/>
        <family val="3"/>
        <charset val="128"/>
      </rPr>
      <t>受取予定</t>
    </r>
    <rPh sb="17" eb="19">
      <t>ウケトリ</t>
    </rPh>
    <rPh sb="19" eb="21">
      <t>ヨテイ</t>
    </rPh>
    <phoneticPr fontId="3"/>
  </si>
  <si>
    <r>
      <rPr>
        <sz val="12"/>
        <rFont val="ＭＳ Ｐゴシック"/>
        <family val="3"/>
        <charset val="128"/>
      </rPr>
      <t>通常</t>
    </r>
    <r>
      <rPr>
        <sz val="12"/>
        <rFont val="Arial"/>
        <family val="2"/>
      </rPr>
      <t xml:space="preserve"> invoice </t>
    </r>
    <rPh sb="0" eb="2">
      <t>ツウジョウ</t>
    </rPh>
    <phoneticPr fontId="3"/>
  </si>
  <si>
    <t>F19J-141</t>
    <phoneticPr fontId="3"/>
  </si>
  <si>
    <r>
      <rPr>
        <b/>
        <sz val="11"/>
        <rFont val="ＭＳ Ｐゴシック"/>
        <family val="3"/>
        <charset val="128"/>
      </rPr>
      <t>単価</t>
    </r>
    <r>
      <rPr>
        <b/>
        <sz val="11"/>
        <rFont val="Arial  "/>
        <family val="2"/>
      </rPr>
      <t>/m</t>
    </r>
    <rPh sb="0" eb="2">
      <t>タンカ</t>
    </rPh>
    <phoneticPr fontId="3"/>
  </si>
  <si>
    <r>
      <t>100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>/m</t>
    </r>
    <rPh sb="3" eb="4">
      <t>エン</t>
    </rPh>
    <phoneticPr fontId="3"/>
  </si>
  <si>
    <r>
      <t>42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 xml:space="preserve">/m </t>
    </r>
    <rPh sb="2" eb="3">
      <t>エン</t>
    </rPh>
    <phoneticPr fontId="3"/>
  </si>
  <si>
    <t>X39842</t>
    <phoneticPr fontId="3"/>
  </si>
  <si>
    <t>Theory LLC</t>
    <phoneticPr fontId="3"/>
  </si>
  <si>
    <t>S-9480</t>
    <phoneticPr fontId="3"/>
  </si>
  <si>
    <r>
      <t xml:space="preserve">Black </t>
    </r>
    <r>
      <rPr>
        <sz val="12"/>
        <rFont val="ＭＳ Ｐゴシック"/>
        <family val="3"/>
        <charset val="128"/>
      </rPr>
      <t>単価</t>
    </r>
    <rPh sb="6" eb="8">
      <t>タンカ</t>
    </rPh>
    <phoneticPr fontId="3"/>
  </si>
  <si>
    <r>
      <rPr>
        <sz val="12"/>
        <rFont val="ＭＳ Ｐゴシック"/>
        <family val="3"/>
        <charset val="128"/>
      </rPr>
      <t>色物単価</t>
    </r>
    <r>
      <rPr>
        <sz val="12"/>
        <rFont val="Arial"/>
        <family val="2"/>
      </rPr>
      <t>12.8</t>
    </r>
    <rPh sb="0" eb="2">
      <t>イロモノ</t>
    </rPh>
    <rPh sb="2" eb="4">
      <t>タンカ</t>
    </rPh>
    <phoneticPr fontId="3"/>
  </si>
  <si>
    <t># 39 Capri</t>
    <phoneticPr fontId="3"/>
  </si>
  <si>
    <t xml:space="preserve"># 73 Dark Olive </t>
    <phoneticPr fontId="3"/>
  </si>
  <si>
    <t xml:space="preserve"># 18 Dusty Rose </t>
    <phoneticPr fontId="3"/>
  </si>
  <si>
    <t># 23 Magenta</t>
    <phoneticPr fontId="3"/>
  </si>
  <si>
    <t xml:space="preserve"># 58 Natural </t>
    <phoneticPr fontId="3"/>
  </si>
  <si>
    <t xml:space="preserve"># 77 Pale Green </t>
    <phoneticPr fontId="3"/>
  </si>
  <si>
    <t>X40115</t>
    <phoneticPr fontId="3"/>
  </si>
  <si>
    <t># 81</t>
    <phoneticPr fontId="3"/>
  </si>
  <si>
    <t>S-9518</t>
    <phoneticPr fontId="3"/>
  </si>
  <si>
    <t># 54</t>
    <phoneticPr fontId="3"/>
  </si>
  <si>
    <t>X40684</t>
    <phoneticPr fontId="3"/>
  </si>
  <si>
    <t># 61 Khaki Green</t>
    <phoneticPr fontId="3"/>
  </si>
  <si>
    <t>S-9600</t>
    <phoneticPr fontId="3"/>
  </si>
  <si>
    <t>X41231</t>
    <phoneticPr fontId="3"/>
  </si>
  <si>
    <t xml:space="preserve"># 84 </t>
    <phoneticPr fontId="3"/>
  </si>
  <si>
    <t>S-9675</t>
    <phoneticPr fontId="3"/>
  </si>
  <si>
    <t>CHG-190513</t>
    <phoneticPr fontId="3"/>
  </si>
  <si>
    <t>S-9641</t>
    <phoneticPr fontId="3"/>
  </si>
  <si>
    <t xml:space="preserve"># 83 Deep Slate </t>
    <phoneticPr fontId="3"/>
  </si>
  <si>
    <t xml:space="preserve"># 60 Grey Oat </t>
    <phoneticPr fontId="3"/>
  </si>
  <si>
    <t>CHG-190606</t>
    <phoneticPr fontId="3"/>
  </si>
  <si>
    <t>S-9711</t>
    <phoneticPr fontId="3"/>
  </si>
  <si>
    <t>X41453</t>
    <phoneticPr fontId="3"/>
  </si>
  <si>
    <t># 75</t>
    <phoneticPr fontId="3"/>
  </si>
  <si>
    <t>S-9709</t>
    <phoneticPr fontId="3"/>
  </si>
  <si>
    <t>X41538</t>
    <phoneticPr fontId="3"/>
  </si>
  <si>
    <t xml:space="preserve"># 56 Kelly Green </t>
    <phoneticPr fontId="3"/>
  </si>
  <si>
    <t>色</t>
    <rPh sb="0" eb="1">
      <t>イロ</t>
    </rPh>
    <phoneticPr fontId="3"/>
  </si>
  <si>
    <t xml:space="preserve">Col. 3 Black </t>
    <phoneticPr fontId="3"/>
  </si>
  <si>
    <t>210m</t>
    <phoneticPr fontId="3"/>
  </si>
  <si>
    <t>Col. 1 White</t>
    <phoneticPr fontId="3"/>
  </si>
  <si>
    <r>
      <rPr>
        <b/>
        <sz val="12"/>
        <rFont val="ＭＳ Ｐゴシック"/>
        <family val="3"/>
        <charset val="128"/>
      </rPr>
      <t>単価</t>
    </r>
    <r>
      <rPr>
        <b/>
        <sz val="12"/>
        <rFont val="Arial"/>
        <family val="2"/>
      </rPr>
      <t xml:space="preserve"> /m </t>
    </r>
    <rPh sb="0" eb="2">
      <t>タンカ</t>
    </rPh>
    <phoneticPr fontId="3"/>
  </si>
  <si>
    <r>
      <t>142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</si>
  <si>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t>入荷済</t>
    <rPh sb="0" eb="2">
      <t>ニュウカ</t>
    </rPh>
    <rPh sb="2" eb="3">
      <t>スミ</t>
    </rPh>
    <phoneticPr fontId="3"/>
  </si>
  <si>
    <t>KYL-T24049</t>
    <phoneticPr fontId="3"/>
  </si>
  <si>
    <r>
      <t>215</t>
    </r>
    <r>
      <rPr>
        <sz val="12"/>
        <rFont val="ＭＳ Ｐゴシック"/>
        <family val="3"/>
        <charset val="128"/>
      </rPr>
      <t>円</t>
    </r>
    <phoneticPr fontId="3"/>
  </si>
  <si>
    <t>FLR-53022</t>
    <phoneticPr fontId="3"/>
  </si>
  <si>
    <r>
      <t>319</t>
    </r>
    <r>
      <rPr>
        <sz val="12"/>
        <rFont val="ＭＳ Ｐゴシック"/>
        <family val="3"/>
        <charset val="128"/>
      </rPr>
      <t>円</t>
    </r>
    <phoneticPr fontId="3"/>
  </si>
  <si>
    <t>FLR-55429</t>
    <phoneticPr fontId="3"/>
  </si>
  <si>
    <r>
      <t>450</t>
    </r>
    <r>
      <rPr>
        <sz val="12"/>
        <rFont val="ＭＳ Ｐゴシック"/>
        <family val="3"/>
        <charset val="128"/>
      </rPr>
      <t>円</t>
    </r>
    <phoneticPr fontId="3"/>
  </si>
  <si>
    <t>FWL-23504s</t>
    <phoneticPr fontId="3"/>
  </si>
  <si>
    <r>
      <t>253</t>
    </r>
    <r>
      <rPr>
        <sz val="12"/>
        <rFont val="ＭＳ Ｐゴシック"/>
        <family val="3"/>
        <charset val="128"/>
      </rPr>
      <t>円</t>
    </r>
    <phoneticPr fontId="3"/>
  </si>
  <si>
    <t>FWL-22236s</t>
    <phoneticPr fontId="3"/>
  </si>
  <si>
    <r>
      <t>408</t>
    </r>
    <r>
      <rPr>
        <sz val="12"/>
        <rFont val="ＭＳ Ｐゴシック"/>
        <family val="3"/>
        <charset val="128"/>
      </rPr>
      <t>円</t>
    </r>
    <phoneticPr fontId="3"/>
  </si>
  <si>
    <r>
      <rPr>
        <sz val="12"/>
        <rFont val="ＭＳ Ｐゴシック"/>
        <family val="3"/>
        <charset val="128"/>
      </rPr>
      <t>エステルスピンドル</t>
    </r>
    <r>
      <rPr>
        <sz val="12"/>
        <rFont val="Arial  "/>
        <family val="2"/>
      </rPr>
      <t xml:space="preserve"> ( 5288 )</t>
    </r>
    <phoneticPr fontId="3"/>
  </si>
  <si>
    <r>
      <t>20</t>
    </r>
    <r>
      <rPr>
        <sz val="12"/>
        <rFont val="ＭＳ Ｐゴシック"/>
        <family val="3"/>
        <charset val="128"/>
      </rPr>
      <t>円</t>
    </r>
    <phoneticPr fontId="3"/>
  </si>
  <si>
    <t xml:space="preserve"># 47 Black </t>
    <phoneticPr fontId="3"/>
  </si>
  <si>
    <r>
      <t>36</t>
    </r>
    <r>
      <rPr>
        <sz val="12"/>
        <rFont val="ＭＳ Ｐゴシック"/>
        <family val="3"/>
        <charset val="128"/>
      </rPr>
      <t>円</t>
    </r>
    <rPh sb="2" eb="3">
      <t>エン</t>
    </rPh>
    <phoneticPr fontId="3"/>
  </si>
  <si>
    <r>
      <t>92</t>
    </r>
    <r>
      <rPr>
        <sz val="12"/>
        <rFont val="ＭＳ Ｐゴシック"/>
        <family val="3"/>
        <charset val="128"/>
      </rPr>
      <t>円</t>
    </r>
    <rPh sb="2" eb="3">
      <t>エン</t>
    </rPh>
    <phoneticPr fontId="3"/>
  </si>
  <si>
    <t>EXW JAPAN / roll</t>
    <phoneticPr fontId="3"/>
  </si>
  <si>
    <t xml:space="preserve"># 107 </t>
    <phoneticPr fontId="3"/>
  </si>
  <si>
    <t># 115</t>
    <phoneticPr fontId="3"/>
  </si>
  <si>
    <t># 119</t>
    <phoneticPr fontId="3"/>
  </si>
  <si>
    <t xml:space="preserve"># 121 </t>
    <phoneticPr fontId="3"/>
  </si>
  <si>
    <t># 131</t>
    <phoneticPr fontId="3"/>
  </si>
  <si>
    <t># 44</t>
    <phoneticPr fontId="3"/>
  </si>
  <si>
    <t xml:space="preserve">Around Aug. 7-8th </t>
    <phoneticPr fontId="3"/>
  </si>
  <si>
    <t># 39</t>
    <phoneticPr fontId="3"/>
  </si>
  <si>
    <t># 79</t>
    <phoneticPr fontId="3"/>
  </si>
  <si>
    <t xml:space="preserve">Around Aug. 2nd </t>
    <phoneticPr fontId="3"/>
  </si>
  <si>
    <t xml:space="preserve">Around July 29th  </t>
    <phoneticPr fontId="3"/>
  </si>
  <si>
    <t>KYL-24077</t>
    <phoneticPr fontId="3"/>
  </si>
  <si>
    <r>
      <t>319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 xml:space="preserve"> /m</t>
    </r>
    <rPh sb="3" eb="4">
      <t>エン</t>
    </rPh>
    <phoneticPr fontId="3"/>
  </si>
  <si>
    <t>Dye 40</t>
    <phoneticPr fontId="3"/>
  </si>
  <si>
    <t>FLR-54418</t>
    <phoneticPr fontId="3"/>
  </si>
  <si>
    <r>
      <t>253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 xml:space="preserve"> /m</t>
    </r>
    <rPh sb="3" eb="4">
      <t>エン</t>
    </rPh>
    <phoneticPr fontId="3"/>
  </si>
  <si>
    <t>Dye 55</t>
    <phoneticPr fontId="3"/>
  </si>
  <si>
    <t>KYL-24328</t>
    <phoneticPr fontId="3"/>
  </si>
  <si>
    <r>
      <t>193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 xml:space="preserve"> /m</t>
    </r>
    <rPh sb="3" eb="4">
      <t>エン</t>
    </rPh>
    <phoneticPr fontId="3"/>
  </si>
  <si>
    <t>879</t>
    <phoneticPr fontId="3"/>
  </si>
  <si>
    <t>Black 119</t>
    <phoneticPr fontId="3"/>
  </si>
  <si>
    <t>KYL-T25109-19</t>
    <phoneticPr fontId="3"/>
  </si>
  <si>
    <t># 12  Mill's Ivory</t>
    <phoneticPr fontId="3"/>
  </si>
  <si>
    <t># 12:  139</t>
    <phoneticPr fontId="3"/>
  </si>
  <si>
    <t>Black 144</t>
    <phoneticPr fontId="3"/>
  </si>
  <si>
    <t xml:space="preserve"># 78 Cobalt </t>
    <phoneticPr fontId="3"/>
  </si>
  <si>
    <t>SIC-3122</t>
    <phoneticPr fontId="3"/>
  </si>
  <si>
    <t>LL size</t>
    <phoneticPr fontId="3"/>
  </si>
  <si>
    <t xml:space="preserve"># 01 White </t>
    <phoneticPr fontId="3"/>
  </si>
  <si>
    <t>LB/19-0432-2</t>
    <phoneticPr fontId="3"/>
  </si>
  <si>
    <t>Dye Fee for # 920-8</t>
    <phoneticPr fontId="3"/>
  </si>
  <si>
    <t>Dye Fee for # 10-7095</t>
    <phoneticPr fontId="3"/>
  </si>
  <si>
    <r>
      <rPr>
        <sz val="12"/>
        <rFont val="Arial  "/>
        <family val="2"/>
      </rPr>
      <t>123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 xml:space="preserve"> /m</t>
    </r>
    <rPh sb="3" eb="4">
      <t>エン</t>
    </rPh>
    <phoneticPr fontId="3"/>
  </si>
  <si>
    <r>
      <t>69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 xml:space="preserve"> /m</t>
    </r>
    <rPh sb="2" eb="3">
      <t>エン</t>
    </rPh>
    <phoneticPr fontId="3"/>
  </si>
  <si>
    <t>前回ロット</t>
    <rPh sb="0" eb="2">
      <t>ゼンカイ</t>
    </rPh>
    <phoneticPr fontId="3"/>
  </si>
  <si>
    <r>
      <t>6/3</t>
    </r>
    <r>
      <rPr>
        <sz val="12"/>
        <rFont val="ＭＳ Ｐゴシック"/>
        <family val="3"/>
        <charset val="128"/>
      </rPr>
      <t>出荷分と同ロット希望（発注</t>
    </r>
    <r>
      <rPr>
        <sz val="12"/>
        <rFont val="Arial"/>
        <family val="2"/>
      </rPr>
      <t># S-282)</t>
    </r>
    <rPh sb="3" eb="5">
      <t>シュッカ</t>
    </rPh>
    <rPh sb="5" eb="6">
      <t>ブン</t>
    </rPh>
    <rPh sb="7" eb="8">
      <t>オナ</t>
    </rPh>
    <rPh sb="11" eb="13">
      <t>キボウ</t>
    </rPh>
    <rPh sb="14" eb="16">
      <t>ハッチュウ</t>
    </rPh>
    <phoneticPr fontId="3"/>
  </si>
  <si>
    <t># 37 Nude</t>
    <phoneticPr fontId="3"/>
  </si>
  <si>
    <r>
      <t>6/16</t>
    </r>
    <r>
      <rPr>
        <sz val="12"/>
        <rFont val="ＭＳ Ｐゴシック"/>
        <family val="3"/>
        <charset val="128"/>
      </rPr>
      <t>出荷分と同ロット希望（発注</t>
    </r>
    <r>
      <rPr>
        <sz val="12"/>
        <rFont val="Arial"/>
        <family val="2"/>
      </rPr>
      <t># S-292)</t>
    </r>
    <rPh sb="4" eb="6">
      <t>シュッカ</t>
    </rPh>
    <rPh sb="6" eb="7">
      <t>ブン</t>
    </rPh>
    <rPh sb="8" eb="9">
      <t>オナ</t>
    </rPh>
    <rPh sb="12" eb="14">
      <t>キボウ</t>
    </rPh>
    <rPh sb="15" eb="17">
      <t>ハッチュウ</t>
    </rPh>
    <phoneticPr fontId="3"/>
  </si>
  <si>
    <t>ES-242</t>
    <phoneticPr fontId="3"/>
  </si>
  <si>
    <t xml:space="preserve">DTM Pale Yellow ( C/# 02 of ES-146 ) </t>
    <phoneticPr fontId="3"/>
  </si>
  <si>
    <t xml:space="preserve">DTM Dark Khaki ( C/# 78 of ES-146 ) </t>
    <phoneticPr fontId="3"/>
  </si>
  <si>
    <t xml:space="preserve">Dye fee for ES-242 </t>
    <phoneticPr fontId="3"/>
  </si>
  <si>
    <t>ES-146</t>
    <phoneticPr fontId="3"/>
  </si>
  <si>
    <t>C/# 02 Pale Yellow</t>
    <phoneticPr fontId="3"/>
  </si>
  <si>
    <t xml:space="preserve">C/# 78 Dark Khaki </t>
    <phoneticPr fontId="3"/>
  </si>
  <si>
    <t>DTM Light Blue</t>
    <phoneticPr fontId="3"/>
  </si>
  <si>
    <t xml:space="preserve">We bear a half of the cost </t>
    <phoneticPr fontId="3"/>
  </si>
  <si>
    <t xml:space="preserve">Dyeing Fee </t>
    <phoneticPr fontId="3"/>
  </si>
  <si>
    <t>KYL-T3220-1</t>
    <phoneticPr fontId="3"/>
  </si>
  <si>
    <t>KYL-3736-1</t>
    <phoneticPr fontId="3"/>
  </si>
  <si>
    <t>KYL-3472</t>
    <phoneticPr fontId="3"/>
  </si>
  <si>
    <t>FWL-23283</t>
    <phoneticPr fontId="3"/>
  </si>
  <si>
    <r>
      <t xml:space="preserve">Mill's Black Lot </t>
    </r>
    <r>
      <rPr>
        <sz val="12"/>
        <rFont val="ＭＳ Ｐゴシック"/>
        <family val="3"/>
        <charset val="128"/>
      </rPr>
      <t>①</t>
    </r>
    <phoneticPr fontId="3"/>
  </si>
  <si>
    <t>オーダー済・色確認中</t>
    <rPh sb="4" eb="5">
      <t>スミ</t>
    </rPh>
    <rPh sb="6" eb="7">
      <t>イロ</t>
    </rPh>
    <rPh sb="7" eb="9">
      <t>カクニン</t>
    </rPh>
    <rPh sb="9" eb="10">
      <t>チュウ</t>
    </rPh>
    <phoneticPr fontId="3"/>
  </si>
  <si>
    <r>
      <t xml:space="preserve">Mill's Black Lot </t>
    </r>
    <r>
      <rPr>
        <sz val="12"/>
        <rFont val="ＭＳ Ｐゴシック"/>
        <family val="3"/>
        <charset val="128"/>
      </rPr>
      <t>②</t>
    </r>
    <phoneticPr fontId="3"/>
  </si>
  <si>
    <t>追加オーダー予定</t>
    <rPh sb="0" eb="2">
      <t>ツイカ</t>
    </rPh>
    <rPh sb="6" eb="8">
      <t>ヨテイ</t>
    </rPh>
    <phoneticPr fontId="3"/>
  </si>
  <si>
    <t>オーダー済</t>
    <rPh sb="4" eb="5">
      <t>スミ</t>
    </rPh>
    <phoneticPr fontId="3"/>
  </si>
  <si>
    <t>FWL-23808</t>
    <phoneticPr fontId="3"/>
  </si>
  <si>
    <t>DTM New White</t>
    <phoneticPr fontId="3"/>
  </si>
  <si>
    <r>
      <t xml:space="preserve">897m </t>
    </r>
    <r>
      <rPr>
        <b/>
        <sz val="12"/>
        <color indexed="10"/>
        <rFont val="ＭＳ Ｐゴシック"/>
        <family val="3"/>
        <charset val="128"/>
      </rPr>
      <t>→</t>
    </r>
    <r>
      <rPr>
        <b/>
        <sz val="12"/>
        <color indexed="10"/>
        <rFont val="Arial"/>
        <family val="2"/>
      </rPr>
      <t xml:space="preserve"> 650m </t>
    </r>
    <r>
      <rPr>
        <b/>
        <sz val="12"/>
        <color indexed="10"/>
        <rFont val="ＭＳ Ｐゴシック"/>
        <family val="3"/>
        <charset val="128"/>
      </rPr>
      <t>に変更予定</t>
    </r>
    <rPh sb="13" eb="15">
      <t>ヘンコウ</t>
    </rPh>
    <rPh sb="15" eb="17">
      <t>ヨテイ</t>
    </rPh>
    <phoneticPr fontId="3"/>
  </si>
  <si>
    <t>オーダー済・数量変更予定</t>
    <rPh sb="4" eb="5">
      <t>スミ</t>
    </rPh>
    <rPh sb="6" eb="8">
      <t>スウリョウ</t>
    </rPh>
    <rPh sb="8" eb="10">
      <t>ヘンコウ</t>
    </rPh>
    <rPh sb="10" eb="12">
      <t>ヨテイ</t>
    </rPh>
    <phoneticPr fontId="3"/>
  </si>
  <si>
    <t>FLR-55320</t>
    <phoneticPr fontId="3"/>
  </si>
  <si>
    <t>FLR-55312</t>
    <phoneticPr fontId="3"/>
  </si>
  <si>
    <t>Monika Hadioetomo</t>
    <phoneticPr fontId="3"/>
  </si>
  <si>
    <t>TI-3644-9</t>
    <phoneticPr fontId="3"/>
  </si>
  <si>
    <t>TI-16-529</t>
    <phoneticPr fontId="3"/>
  </si>
  <si>
    <t xml:space="preserve"># 43 Black </t>
    <phoneticPr fontId="3"/>
  </si>
  <si>
    <t># 40 Navy</t>
    <phoneticPr fontId="3"/>
  </si>
  <si>
    <t># 244</t>
    <phoneticPr fontId="3"/>
  </si>
  <si>
    <t># 277</t>
    <phoneticPr fontId="3"/>
  </si>
  <si>
    <t>9 x 9mm</t>
    <phoneticPr fontId="3"/>
  </si>
  <si>
    <t># 279</t>
    <phoneticPr fontId="3"/>
  </si>
  <si>
    <t># 89</t>
    <phoneticPr fontId="3"/>
  </si>
  <si>
    <r>
      <t xml:space="preserve">Mill's Off White </t>
    </r>
    <r>
      <rPr>
        <sz val="12"/>
        <rFont val="ＭＳ Ｐゴシック"/>
        <family val="3"/>
        <charset val="128"/>
      </rPr>
      <t>追加オーダー分</t>
    </r>
    <rPh sb="17" eb="19">
      <t>ツイカ</t>
    </rPh>
    <rPh sb="23" eb="24">
      <t>ブン</t>
    </rPh>
    <phoneticPr fontId="3"/>
  </si>
  <si>
    <r>
      <rPr>
        <sz val="12"/>
        <rFont val="ＭＳ Ｐゴシック"/>
        <family val="3"/>
        <charset val="128"/>
      </rPr>
      <t>上記より</t>
    </r>
    <r>
      <rPr>
        <sz val="12"/>
        <rFont val="Arial"/>
        <family val="2"/>
      </rPr>
      <t xml:space="preserve">Mill's Off White </t>
    </r>
    <r>
      <rPr>
        <sz val="12"/>
        <rFont val="ＭＳ Ｐゴシック"/>
        <family val="3"/>
        <charset val="128"/>
      </rPr>
      <t>先出し予定分</t>
    </r>
    <rPh sb="0" eb="2">
      <t>ジョウキ</t>
    </rPh>
    <rPh sb="21" eb="23">
      <t>サキダ</t>
    </rPh>
    <rPh sb="24" eb="26">
      <t>ヨテイ</t>
    </rPh>
    <rPh sb="26" eb="27">
      <t>ブン</t>
    </rPh>
    <phoneticPr fontId="3"/>
  </si>
  <si>
    <r>
      <t xml:space="preserve">Mill's Black Lot </t>
    </r>
    <r>
      <rPr>
        <sz val="12"/>
        <rFont val="ＭＳ Ｐゴシック"/>
        <family val="3"/>
        <charset val="128"/>
      </rPr>
      <t>②　追加オーダー分</t>
    </r>
    <phoneticPr fontId="3"/>
  </si>
  <si>
    <r>
      <rPr>
        <sz val="12"/>
        <rFont val="ＭＳ Ｐゴシック"/>
        <family val="3"/>
        <charset val="128"/>
      </rPr>
      <t>上記より</t>
    </r>
    <r>
      <rPr>
        <sz val="12"/>
        <rFont val="Arial"/>
        <family val="2"/>
      </rPr>
      <t xml:space="preserve">Mill's Black Lot </t>
    </r>
    <r>
      <rPr>
        <sz val="12"/>
        <rFont val="ＭＳ Ｐゴシック"/>
        <family val="3"/>
        <charset val="128"/>
      </rPr>
      <t>①</t>
    </r>
    <r>
      <rPr>
        <sz val="12"/>
        <rFont val="Arial"/>
        <family val="2"/>
      </rPr>
      <t xml:space="preserve">(1592m) &amp; </t>
    </r>
    <r>
      <rPr>
        <sz val="12"/>
        <rFont val="ＭＳ Ｐゴシック"/>
        <family val="3"/>
        <charset val="128"/>
      </rPr>
      <t>②</t>
    </r>
    <r>
      <rPr>
        <sz val="12"/>
        <rFont val="Arial"/>
        <family val="2"/>
      </rPr>
      <t>(558m)</t>
    </r>
    <r>
      <rPr>
        <sz val="12"/>
        <rFont val="ＭＳ Ｐゴシック"/>
        <family val="3"/>
        <charset val="128"/>
      </rPr>
      <t>先出し予定分</t>
    </r>
    <rPh sb="0" eb="2">
      <t>ジョウキ</t>
    </rPh>
    <rPh sb="39" eb="41">
      <t>サキダ</t>
    </rPh>
    <rPh sb="42" eb="44">
      <t>ヨテイ</t>
    </rPh>
    <rPh sb="44" eb="45">
      <t>ブン</t>
    </rPh>
    <phoneticPr fontId="3"/>
  </si>
  <si>
    <r>
      <t xml:space="preserve">Mill's Black Lot </t>
    </r>
    <r>
      <rPr>
        <sz val="12"/>
        <rFont val="ＭＳ Ｐゴシック"/>
        <family val="3"/>
        <charset val="128"/>
      </rPr>
      <t>②</t>
    </r>
    <r>
      <rPr>
        <sz val="12"/>
        <rFont val="Arial"/>
        <family val="2"/>
      </rPr>
      <t xml:space="preserve"> </t>
    </r>
    <r>
      <rPr>
        <sz val="12"/>
        <rFont val="ＭＳ Ｐゴシック"/>
        <family val="3"/>
        <charset val="128"/>
      </rPr>
      <t>追加オーダー分</t>
    </r>
    <phoneticPr fontId="3"/>
  </si>
  <si>
    <r>
      <rPr>
        <sz val="12"/>
        <rFont val="ＭＳ Ｐゴシック"/>
        <family val="3"/>
        <charset val="128"/>
      </rPr>
      <t>上記より</t>
    </r>
    <r>
      <rPr>
        <sz val="12"/>
        <rFont val="Arial"/>
        <family val="2"/>
      </rPr>
      <t xml:space="preserve">Mill's Black Lot </t>
    </r>
    <r>
      <rPr>
        <sz val="12"/>
        <rFont val="ＭＳ Ｐゴシック"/>
        <family val="3"/>
        <charset val="128"/>
      </rPr>
      <t>①</t>
    </r>
    <r>
      <rPr>
        <sz val="12"/>
        <rFont val="Arial"/>
        <family val="2"/>
      </rPr>
      <t xml:space="preserve">(807m) &amp; </t>
    </r>
    <r>
      <rPr>
        <sz val="12"/>
        <rFont val="ＭＳ Ｐゴシック"/>
        <family val="3"/>
        <charset val="128"/>
      </rPr>
      <t>②</t>
    </r>
    <r>
      <rPr>
        <sz val="12"/>
        <rFont val="Arial"/>
        <family val="2"/>
      </rPr>
      <t>( 673m)</t>
    </r>
    <r>
      <rPr>
        <sz val="12"/>
        <rFont val="ＭＳ Ｐゴシック"/>
        <family val="3"/>
        <charset val="128"/>
      </rPr>
      <t>先出し予定分</t>
    </r>
    <rPh sb="0" eb="2">
      <t>ジョウキ</t>
    </rPh>
    <phoneticPr fontId="3"/>
  </si>
  <si>
    <r>
      <t xml:space="preserve">DTM New White Lot </t>
    </r>
    <r>
      <rPr>
        <sz val="12"/>
        <rFont val="ＭＳ Ｐゴシック"/>
        <family val="3"/>
        <charset val="128"/>
      </rPr>
      <t>②</t>
    </r>
    <phoneticPr fontId="3"/>
  </si>
  <si>
    <t>上記全て先出し予定</t>
    <rPh sb="0" eb="2">
      <t>ジョウキ</t>
    </rPh>
    <rPh sb="2" eb="3">
      <t>スベ</t>
    </rPh>
    <phoneticPr fontId="3"/>
  </si>
  <si>
    <r>
      <rPr>
        <sz val="12"/>
        <rFont val="ＭＳ Ｐゴシック"/>
        <family val="3"/>
        <charset val="128"/>
      </rPr>
      <t>上記より</t>
    </r>
    <r>
      <rPr>
        <sz val="12"/>
        <rFont val="Arial"/>
        <family val="2"/>
      </rPr>
      <t xml:space="preserve">Mill's Black </t>
    </r>
    <r>
      <rPr>
        <sz val="12"/>
        <rFont val="ＭＳ Ｐゴシック"/>
        <family val="3"/>
        <charset val="128"/>
      </rPr>
      <t>　先出し予定分</t>
    </r>
    <rPh sb="0" eb="2">
      <t>ジョウキ</t>
    </rPh>
    <phoneticPr fontId="3"/>
  </si>
  <si>
    <t>FWL-7311</t>
    <phoneticPr fontId="3"/>
  </si>
  <si>
    <r>
      <t>148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 xml:space="preserve"> /m</t>
    </r>
    <rPh sb="3" eb="4">
      <t>エン</t>
    </rPh>
    <phoneticPr fontId="3"/>
  </si>
  <si>
    <t>FWL-22978</t>
    <phoneticPr fontId="3"/>
  </si>
  <si>
    <r>
      <t>43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 xml:space="preserve"> /m</t>
    </r>
    <rPh sb="2" eb="3">
      <t>エン</t>
    </rPh>
    <phoneticPr fontId="3"/>
  </si>
  <si>
    <r>
      <t xml:space="preserve">Mill's Black Lot </t>
    </r>
    <r>
      <rPr>
        <sz val="12"/>
        <rFont val="ＭＳ Ｐゴシック"/>
        <family val="3"/>
        <charset val="128"/>
      </rPr>
      <t>①</t>
    </r>
    <r>
      <rPr>
        <sz val="12"/>
        <rFont val="Arial"/>
        <family val="2"/>
      </rPr>
      <t xml:space="preserve">(1567m) &amp; </t>
    </r>
    <r>
      <rPr>
        <sz val="12"/>
        <rFont val="ＭＳ Ｐゴシック"/>
        <family val="3"/>
        <charset val="128"/>
      </rPr>
      <t>②</t>
    </r>
    <r>
      <rPr>
        <sz val="12"/>
        <rFont val="Arial"/>
        <family val="2"/>
      </rPr>
      <t>(558m)</t>
    </r>
    <phoneticPr fontId="3"/>
  </si>
  <si>
    <r>
      <t xml:space="preserve">Mill's Black Lot </t>
    </r>
    <r>
      <rPr>
        <sz val="12"/>
        <rFont val="ＭＳ Ｐゴシック"/>
        <family val="3"/>
        <charset val="128"/>
      </rPr>
      <t>①</t>
    </r>
    <r>
      <rPr>
        <sz val="12"/>
        <rFont val="Arial"/>
        <family val="2"/>
      </rPr>
      <t xml:space="preserve">(787m) &amp; </t>
    </r>
    <r>
      <rPr>
        <sz val="12"/>
        <rFont val="ＭＳ Ｐゴシック"/>
        <family val="3"/>
        <charset val="128"/>
      </rPr>
      <t>②</t>
    </r>
    <r>
      <rPr>
        <sz val="12"/>
        <rFont val="Arial"/>
        <family val="2"/>
      </rPr>
      <t>( 673m)</t>
    </r>
    <phoneticPr fontId="3"/>
  </si>
  <si>
    <r>
      <t xml:space="preserve">DTM New White Lot </t>
    </r>
    <r>
      <rPr>
        <sz val="12"/>
        <rFont val="ＭＳ Ｐゴシック"/>
        <family val="3"/>
        <charset val="128"/>
      </rPr>
      <t>①</t>
    </r>
    <r>
      <rPr>
        <sz val="12"/>
        <rFont val="Arial"/>
        <family val="2"/>
      </rPr>
      <t xml:space="preserve">(645m) &amp; </t>
    </r>
    <r>
      <rPr>
        <sz val="12"/>
        <rFont val="ＭＳ Ｐゴシック"/>
        <family val="3"/>
        <charset val="128"/>
      </rPr>
      <t>②</t>
    </r>
    <r>
      <rPr>
        <sz val="12"/>
        <rFont val="Arial"/>
        <family val="2"/>
      </rPr>
      <t>( 80m)</t>
    </r>
    <phoneticPr fontId="3"/>
  </si>
  <si>
    <t>Lace trim</t>
    <phoneticPr fontId="3"/>
  </si>
  <si>
    <t># 5 Black</t>
    <phoneticPr fontId="3"/>
  </si>
  <si>
    <r>
      <t>1710m</t>
    </r>
    <r>
      <rPr>
        <sz val="12"/>
        <color indexed="30"/>
        <rFont val="Arial"/>
        <family val="2"/>
      </rPr>
      <t xml:space="preserve"> </t>
    </r>
    <r>
      <rPr>
        <sz val="12"/>
        <color indexed="30"/>
        <rFont val="ＭＳ Ｐゴシック"/>
        <family val="3"/>
        <charset val="128"/>
      </rPr>
      <t>→</t>
    </r>
    <r>
      <rPr>
        <sz val="12"/>
        <color indexed="30"/>
        <rFont val="Arial"/>
        <family val="2"/>
      </rPr>
      <t xml:space="preserve"> 2100m </t>
    </r>
  </si>
  <si>
    <r>
      <t xml:space="preserve">1710m </t>
    </r>
    <r>
      <rPr>
        <sz val="11"/>
        <rFont val="アリアl"/>
        <family val="3"/>
        <charset val="128"/>
      </rPr>
      <t>オーダー済</t>
    </r>
    <r>
      <rPr>
        <sz val="11"/>
        <rFont val="Arial  "/>
        <family val="2"/>
      </rPr>
      <t xml:space="preserve"> / </t>
    </r>
    <r>
      <rPr>
        <sz val="11"/>
        <rFont val="アリアl"/>
        <family val="3"/>
        <charset val="128"/>
      </rPr>
      <t>追加分在庫ありますか？</t>
    </r>
    <rPh sb="10" eb="11">
      <t>スミ</t>
    </rPh>
    <rPh sb="14" eb="16">
      <t>ツイカ</t>
    </rPh>
    <rPh sb="16" eb="17">
      <t>ブン</t>
    </rPh>
    <rPh sb="17" eb="19">
      <t>ザイコ</t>
    </rPh>
    <phoneticPr fontId="3"/>
  </si>
  <si>
    <t># SG01 White</t>
    <phoneticPr fontId="3"/>
  </si>
  <si>
    <r>
      <t xml:space="preserve">810m </t>
    </r>
    <r>
      <rPr>
        <sz val="12"/>
        <color indexed="30"/>
        <rFont val="ＭＳ Ｐゴシック"/>
        <family val="3"/>
        <charset val="128"/>
      </rPr>
      <t>→</t>
    </r>
    <r>
      <rPr>
        <sz val="12"/>
        <color indexed="30"/>
        <rFont val="Arial"/>
        <family val="2"/>
      </rPr>
      <t xml:space="preserve">900m  </t>
    </r>
    <phoneticPr fontId="3"/>
  </si>
  <si>
    <r>
      <t xml:space="preserve">810m </t>
    </r>
    <r>
      <rPr>
        <sz val="11"/>
        <rFont val="アリアl"/>
        <family val="3"/>
        <charset val="128"/>
      </rPr>
      <t>オーダー済</t>
    </r>
    <r>
      <rPr>
        <sz val="11"/>
        <rFont val="Arial  "/>
        <family val="2"/>
      </rPr>
      <t xml:space="preserve">/ </t>
    </r>
    <r>
      <rPr>
        <sz val="11"/>
        <rFont val="アリアl"/>
        <family val="3"/>
        <charset val="128"/>
      </rPr>
      <t>追加分在庫ありますか？</t>
    </r>
    <rPh sb="9" eb="10">
      <t>スミ</t>
    </rPh>
    <phoneticPr fontId="3"/>
  </si>
  <si>
    <t># SG33</t>
    <phoneticPr fontId="3"/>
  </si>
  <si>
    <r>
      <t xml:space="preserve">300m </t>
    </r>
    <r>
      <rPr>
        <sz val="11"/>
        <rFont val="アリアl"/>
        <family val="3"/>
        <charset val="128"/>
      </rPr>
      <t>オーダー済</t>
    </r>
    <rPh sb="9" eb="10">
      <t>スミ</t>
    </rPh>
    <phoneticPr fontId="3"/>
  </si>
  <si>
    <t xml:space="preserve"># SG 02 </t>
    <phoneticPr fontId="3"/>
  </si>
  <si>
    <t xml:space="preserve">210m </t>
    <phoneticPr fontId="3"/>
  </si>
  <si>
    <t>新引き合い / 在庫ありますか？</t>
    <rPh sb="0" eb="1">
      <t>シン</t>
    </rPh>
    <rPh sb="1" eb="2">
      <t>ヒ</t>
    </rPh>
    <rPh sb="3" eb="4">
      <t>ア</t>
    </rPh>
    <rPh sb="8" eb="10">
      <t>ザイコ</t>
    </rPh>
    <phoneticPr fontId="3"/>
  </si>
  <si>
    <r>
      <t>2400m</t>
    </r>
    <r>
      <rPr>
        <sz val="12"/>
        <color indexed="30"/>
        <rFont val="ＭＳ Ｐゴシック"/>
        <family val="3"/>
        <charset val="128"/>
      </rPr>
      <t>→</t>
    </r>
    <r>
      <rPr>
        <sz val="12"/>
        <color indexed="30"/>
        <rFont val="Arial"/>
        <family val="2"/>
      </rPr>
      <t>2610m</t>
    </r>
    <phoneticPr fontId="3"/>
  </si>
  <si>
    <r>
      <t xml:space="preserve">2400m </t>
    </r>
    <r>
      <rPr>
        <sz val="11"/>
        <rFont val="アリアl"/>
        <family val="3"/>
        <charset val="128"/>
      </rPr>
      <t>オーダー済/追加分の納期ご確認お願いします。</t>
    </r>
    <rPh sb="10" eb="11">
      <t>スミ</t>
    </rPh>
    <rPh sb="12" eb="14">
      <t>ツイカ</t>
    </rPh>
    <rPh sb="14" eb="15">
      <t>ブン</t>
    </rPh>
    <rPh sb="16" eb="18">
      <t>ノウキ</t>
    </rPh>
    <rPh sb="19" eb="21">
      <t>カクニン</t>
    </rPh>
    <rPh sb="22" eb="23">
      <t>ネガ</t>
    </rPh>
    <phoneticPr fontId="3"/>
  </si>
  <si>
    <t xml:space="preserve">12 x 12mm </t>
    <phoneticPr fontId="3"/>
  </si>
  <si>
    <t>TI-10-D11976</t>
    <phoneticPr fontId="3"/>
  </si>
  <si>
    <r>
      <t>600m</t>
    </r>
    <r>
      <rPr>
        <sz val="12"/>
        <color indexed="30"/>
        <rFont val="ＭＳ Ｐゴシック"/>
        <family val="3"/>
        <charset val="128"/>
      </rPr>
      <t>→</t>
    </r>
    <r>
      <rPr>
        <sz val="12"/>
        <color indexed="30"/>
        <rFont val="Arial"/>
        <family val="2"/>
      </rPr>
      <t xml:space="preserve"> 1300m </t>
    </r>
    <phoneticPr fontId="3"/>
  </si>
  <si>
    <r>
      <t xml:space="preserve">600m </t>
    </r>
    <r>
      <rPr>
        <sz val="11"/>
        <rFont val="アリアl"/>
        <family val="3"/>
        <charset val="128"/>
      </rPr>
      <t>オーダー済</t>
    </r>
    <r>
      <rPr>
        <sz val="11"/>
        <rFont val="Arial  "/>
        <family val="2"/>
      </rPr>
      <t xml:space="preserve">/ </t>
    </r>
    <r>
      <rPr>
        <sz val="11"/>
        <rFont val="アリアl"/>
        <family val="3"/>
        <charset val="128"/>
      </rPr>
      <t>追加分在庫ありますか？</t>
    </r>
    <rPh sb="9" eb="10">
      <t>スミ</t>
    </rPh>
    <phoneticPr fontId="3"/>
  </si>
  <si>
    <t xml:space="preserve">DTM  Ivory </t>
    <phoneticPr fontId="3"/>
  </si>
  <si>
    <r>
      <t>500</t>
    </r>
    <r>
      <rPr>
        <sz val="12"/>
        <color indexed="30"/>
        <rFont val="ＭＳ Ｐゴシック"/>
        <family val="3"/>
        <charset val="128"/>
      </rPr>
      <t>→</t>
    </r>
    <r>
      <rPr>
        <sz val="12"/>
        <color indexed="30"/>
        <rFont val="Arial"/>
        <family val="2"/>
      </rPr>
      <t>800m</t>
    </r>
    <phoneticPr fontId="3"/>
  </si>
  <si>
    <t>未発注・キープ希望</t>
    <rPh sb="0" eb="1">
      <t>ミ</t>
    </rPh>
    <rPh sb="1" eb="3">
      <t>ハッチュウ</t>
    </rPh>
    <rPh sb="7" eb="9">
      <t>キボウ</t>
    </rPh>
    <phoneticPr fontId="3"/>
  </si>
  <si>
    <t>DTM Safari</t>
    <phoneticPr fontId="3"/>
  </si>
  <si>
    <t>新引き合い / キープ希望</t>
    <rPh sb="0" eb="1">
      <t>シン</t>
    </rPh>
    <rPh sb="1" eb="2">
      <t>ヒ</t>
    </rPh>
    <rPh sb="3" eb="4">
      <t>ア</t>
    </rPh>
    <rPh sb="11" eb="13">
      <t>キボウ</t>
    </rPh>
    <phoneticPr fontId="3"/>
  </si>
  <si>
    <r>
      <t>PFD</t>
    </r>
    <r>
      <rPr>
        <sz val="12"/>
        <color indexed="30"/>
        <rFont val="ＭＳ Ｐゴシック"/>
        <family val="3"/>
        <charset val="128"/>
      </rPr>
      <t>　黄変防止加工</t>
    </r>
    <rPh sb="4" eb="6">
      <t>オウヘン</t>
    </rPh>
    <rPh sb="6" eb="8">
      <t>ボウシ</t>
    </rPh>
    <rPh sb="8" eb="10">
      <t>カコウ</t>
    </rPh>
    <phoneticPr fontId="3"/>
  </si>
  <si>
    <t xml:space="preserve">White  </t>
    <phoneticPr fontId="3"/>
  </si>
  <si>
    <t># 05</t>
    <phoneticPr fontId="3"/>
  </si>
  <si>
    <t xml:space="preserve">Style # </t>
    <phoneticPr fontId="3"/>
  </si>
  <si>
    <t xml:space="preserve">Your Final Qty </t>
    <phoneticPr fontId="3"/>
  </si>
  <si>
    <t xml:space="preserve">Our Final Supply </t>
    <phoneticPr fontId="3"/>
  </si>
  <si>
    <t>LB/19-1703</t>
    <phoneticPr fontId="3"/>
  </si>
  <si>
    <t>TI-10-910</t>
    <phoneticPr fontId="3"/>
  </si>
  <si>
    <t>LB/19-1705</t>
    <phoneticPr fontId="3"/>
  </si>
  <si>
    <t>Your request : 1700m cancel</t>
    <phoneticPr fontId="3"/>
  </si>
  <si>
    <t xml:space="preserve">840m ( we cannot cancecl a whole qty, please take 850m ) </t>
    <phoneticPr fontId="3"/>
  </si>
  <si>
    <t>Your request : 600m cancel</t>
    <phoneticPr fontId="3"/>
  </si>
  <si>
    <t xml:space="preserve">600m ( cancellation is NOT accepted   ) </t>
    <phoneticPr fontId="3"/>
  </si>
  <si>
    <t>LB/19-1707</t>
    <phoneticPr fontId="3"/>
  </si>
  <si>
    <t>LB/19-1706</t>
    <phoneticPr fontId="3"/>
  </si>
  <si>
    <r>
      <t>Your request 1400m</t>
    </r>
    <r>
      <rPr>
        <sz val="12"/>
        <rFont val="ＭＳ Ｐゴシック"/>
        <family val="3"/>
        <charset val="128"/>
      </rPr>
      <t>→</t>
    </r>
    <r>
      <rPr>
        <sz val="12"/>
        <rFont val="Arial"/>
        <family val="2"/>
      </rPr>
      <t>200m</t>
    </r>
    <phoneticPr fontId="3"/>
  </si>
  <si>
    <t xml:space="preserve">210m ( we reduce from 1400m to 210m) </t>
    <phoneticPr fontId="3"/>
  </si>
  <si>
    <t>Your request :100m</t>
    <phoneticPr fontId="3"/>
  </si>
  <si>
    <t>300m (Reduction is NOT accepted )</t>
    <phoneticPr fontId="3"/>
  </si>
  <si>
    <t>Style #</t>
  </si>
  <si>
    <t>Size</t>
  </si>
  <si>
    <t>Your Final Qty</t>
  </si>
  <si>
    <t>Our Final Supply</t>
  </si>
  <si>
    <t>Our comment</t>
  </si>
  <si>
    <t>LB/19-1703</t>
  </si>
  <si>
    <t>TI-10-910</t>
  </si>
  <si>
    <t>PFD</t>
  </si>
  <si>
    <t>900 m</t>
  </si>
  <si>
    <t>No Change</t>
  </si>
  <si>
    <t>(Preventative Yellowing Process)</t>
  </si>
  <si>
    <t>TI-1050</t>
  </si>
  <si>
    <t>15 mm</t>
  </si>
  <si>
    <t># SG01 White</t>
  </si>
  <si>
    <t>1,800 m</t>
  </si>
  <si>
    <t>LB/19-1705</t>
  </si>
  <si>
    <t>Your request :</t>
  </si>
  <si>
    <t>840m</t>
  </si>
  <si>
    <t xml:space="preserve">We cannot cancel a whole qty. </t>
  </si>
  <si>
    <t>1700m cancel</t>
  </si>
  <si>
    <t>Please take 840m</t>
  </si>
  <si>
    <t>12 mm</t>
  </si>
  <si>
    <t>We cannot cancel</t>
  </si>
  <si>
    <t>600m cancel</t>
  </si>
  <si>
    <t>LB/19-1707</t>
  </si>
  <si>
    <t>900m</t>
  </si>
  <si>
    <t>LB/19-1706</t>
  </si>
  <si>
    <t>Your request 1400m→200m</t>
  </si>
  <si>
    <t>210m</t>
  </si>
  <si>
    <t>We can reduce from 1400m to 210m</t>
  </si>
  <si>
    <t>Your request :100m</t>
  </si>
  <si>
    <t>300m</t>
  </si>
  <si>
    <t xml:space="preserve">DTM  Ivory ( C ) </t>
    <phoneticPr fontId="3"/>
  </si>
  <si>
    <t xml:space="preserve">DTM Safari ( C ) </t>
    <phoneticPr fontId="3"/>
  </si>
  <si>
    <t xml:space="preserve">AMOSSA RASCHEL120  </t>
  </si>
  <si>
    <t>Amossa Col. A9358 Black</t>
    <phoneticPr fontId="3"/>
  </si>
  <si>
    <t>1026SD</t>
    <phoneticPr fontId="3"/>
  </si>
  <si>
    <t># 11 TOFFEE</t>
    <phoneticPr fontId="3"/>
  </si>
  <si>
    <r>
      <rPr>
        <b/>
        <sz val="10"/>
        <rFont val="ＭＳ Ｐゴシック"/>
        <family val="3"/>
        <charset val="128"/>
      </rPr>
      <t>カラー　　</t>
    </r>
    <r>
      <rPr>
        <b/>
        <sz val="10"/>
        <rFont val="Arial"/>
        <family val="2"/>
      </rPr>
      <t xml:space="preserve"> </t>
    </r>
    <r>
      <rPr>
        <sz val="10"/>
        <rFont val="Arial"/>
        <family val="2"/>
      </rPr>
      <t>Select from Amossa Bright Yarn  (Top x Middle x Bottom )</t>
    </r>
    <phoneticPr fontId="3"/>
  </si>
  <si>
    <t>CM-0016</t>
    <phoneticPr fontId="3"/>
  </si>
  <si>
    <t>Saddle: #B8242 x Pink:#B8176 x Cream: #B0297 (12mm each)</t>
    <phoneticPr fontId="3"/>
  </si>
  <si>
    <t>10-910</t>
    <phoneticPr fontId="3"/>
  </si>
  <si>
    <t>10-D11976</t>
    <phoneticPr fontId="3"/>
  </si>
  <si>
    <r>
      <rPr>
        <b/>
        <sz val="10"/>
        <rFont val="ＭＳ Ｐゴシック"/>
        <family val="3"/>
        <charset val="128"/>
      </rPr>
      <t>顧客単価</t>
    </r>
    <rPh sb="0" eb="2">
      <t>コキャク</t>
    </rPh>
    <rPh sb="2" eb="4">
      <t>タンカ</t>
    </rPh>
    <phoneticPr fontId="3"/>
  </si>
  <si>
    <r>
      <t>SF Osaka</t>
    </r>
    <r>
      <rPr>
        <b/>
        <sz val="10"/>
        <rFont val="ＭＳ Ｐゴシック"/>
        <family val="3"/>
        <charset val="128"/>
      </rPr>
      <t>　→</t>
    </r>
    <r>
      <rPr>
        <b/>
        <sz val="10"/>
        <rFont val="Arial  "/>
        <family val="2"/>
      </rPr>
      <t xml:space="preserve"> SF USA </t>
    </r>
    <r>
      <rPr>
        <b/>
        <sz val="10"/>
        <rFont val="ＭＳ Ｐゴシック"/>
        <family val="3"/>
        <charset val="128"/>
      </rPr>
      <t>単価</t>
    </r>
    <rPh sb="18" eb="20">
      <t>タンカ</t>
    </rPh>
    <phoneticPr fontId="3"/>
  </si>
  <si>
    <t xml:space="preserve">仕入単価 </t>
    <rPh sb="0" eb="2">
      <t>シイレ</t>
    </rPh>
    <rPh sb="2" eb="4">
      <t>タンカ</t>
    </rPh>
    <phoneticPr fontId="3"/>
  </si>
  <si>
    <t>DTM Teak Lab-dip Fee</t>
  </si>
  <si>
    <t>3000/set</t>
    <phoneticPr fontId="3"/>
  </si>
  <si>
    <t xml:space="preserve"># DTM Teak ( Option B ) </t>
    <phoneticPr fontId="3"/>
  </si>
  <si>
    <r>
      <rPr>
        <sz val="12"/>
        <rFont val="ＭＳ Ｐゴシック"/>
        <family val="3"/>
        <charset val="128"/>
      </rPr>
      <t>完全別注色</t>
    </r>
    <r>
      <rPr>
        <sz val="12"/>
        <rFont val="Arial  "/>
        <family val="2"/>
      </rPr>
      <t xml:space="preserve"> 24.6/m</t>
    </r>
    <rPh sb="0" eb="2">
      <t>カンゼン</t>
    </rPh>
    <rPh sb="2" eb="4">
      <t>ベッチュウ</t>
    </rPh>
    <rPh sb="4" eb="5">
      <t>イロ</t>
    </rPh>
    <phoneticPr fontId="3"/>
  </si>
  <si>
    <t xml:space="preserve">Dye Fee + Set-up Fee </t>
    <phoneticPr fontId="3"/>
  </si>
  <si>
    <t>20000/set</t>
    <phoneticPr fontId="3"/>
  </si>
  <si>
    <r>
      <rPr>
        <sz val="12"/>
        <rFont val="ＭＳ Ｐゴシック"/>
        <family val="3"/>
        <charset val="128"/>
      </rPr>
      <t>運賃</t>
    </r>
    <rPh sb="0" eb="2">
      <t>ウンチン</t>
    </rPh>
    <phoneticPr fontId="3"/>
  </si>
  <si>
    <r>
      <t>109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</si>
  <si>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t xml:space="preserve">5637 ( SB-30 ) </t>
    <phoneticPr fontId="3"/>
  </si>
  <si>
    <t xml:space="preserve"># 272 </t>
    <phoneticPr fontId="3"/>
  </si>
  <si>
    <t xml:space="preserve">Art. # </t>
  </si>
  <si>
    <r>
      <rPr>
        <b/>
        <sz val="11"/>
        <rFont val="Arial"/>
        <family val="2"/>
      </rPr>
      <t>Color</t>
    </r>
    <r>
      <rPr>
        <sz val="11"/>
        <rFont val="Arial"/>
        <family val="2"/>
      </rPr>
      <t xml:space="preserve"> Select from Bright Yarn  (Col. A  x Col. B )</t>
    </r>
  </si>
  <si>
    <t>CM-0018</t>
    <phoneticPr fontId="3"/>
  </si>
  <si>
    <t xml:space="preserve">Colorway#1 : Lucent White: x Overture: </t>
    <phoneticPr fontId="3"/>
  </si>
  <si>
    <t>CM-0019</t>
    <phoneticPr fontId="3"/>
  </si>
  <si>
    <t xml:space="preserve">Colorway#2 : Overture: x Lucient White: </t>
    <phoneticPr fontId="3"/>
  </si>
  <si>
    <t>CM-0020</t>
    <phoneticPr fontId="3"/>
  </si>
  <si>
    <t xml:space="preserve">Colorway#3 : Racing Red : x Overture: </t>
    <phoneticPr fontId="3"/>
  </si>
  <si>
    <t>CM-0021</t>
    <phoneticPr fontId="3"/>
  </si>
  <si>
    <t xml:space="preserve">Colorway#4 : Lucent White : x Ice Water : </t>
    <phoneticPr fontId="3"/>
  </si>
  <si>
    <t>CM-0022</t>
    <phoneticPr fontId="3"/>
  </si>
  <si>
    <t xml:space="preserve">Colorway#5 : Lucent White : x Antarctica : </t>
    <phoneticPr fontId="3"/>
  </si>
  <si>
    <t>CM-0023</t>
    <phoneticPr fontId="3"/>
  </si>
  <si>
    <t xml:space="preserve">Colorway#6 : Overture: x Tambourine: </t>
    <phoneticPr fontId="3"/>
  </si>
  <si>
    <t xml:space="preserve">Colorway#1 : Lucent White:B0296 x Overture:B1354 </t>
    <phoneticPr fontId="3"/>
  </si>
  <si>
    <t xml:space="preserve">Colorway#2 : Overture:B1354 x Lucent White:B0296 </t>
    <phoneticPr fontId="3"/>
  </si>
  <si>
    <t xml:space="preserve">Colorway#3 : Racing Red :B5311 x Overture:B1354 </t>
    <phoneticPr fontId="3"/>
  </si>
  <si>
    <t xml:space="preserve">Colorway#4 : Lucent White :B0296 x Ice Water :B3111 </t>
    <phoneticPr fontId="3"/>
  </si>
  <si>
    <t xml:space="preserve">Colorway#5 : Lucent White :B0296 x Antarctica :B9162 </t>
    <phoneticPr fontId="3"/>
  </si>
  <si>
    <t xml:space="preserve">Colorway#6 : Overture:B1354 x Tambourine:B4037 </t>
    <phoneticPr fontId="3"/>
  </si>
  <si>
    <t xml:space="preserve"># 16 Black </t>
    <phoneticPr fontId="3"/>
  </si>
  <si>
    <t>FWL-71199</t>
    <phoneticPr fontId="3"/>
  </si>
  <si>
    <t>FWL-71180</t>
    <phoneticPr fontId="3"/>
  </si>
  <si>
    <t>FWL-71525</t>
    <phoneticPr fontId="3"/>
  </si>
  <si>
    <t>FWL-71271</t>
    <phoneticPr fontId="3"/>
  </si>
  <si>
    <t>FWL-71197</t>
    <phoneticPr fontId="3"/>
  </si>
  <si>
    <t>発送先</t>
    <rPh sb="0" eb="2">
      <t>ハッソウ</t>
    </rPh>
    <rPh sb="2" eb="3">
      <t>サキ</t>
    </rPh>
    <phoneticPr fontId="3"/>
  </si>
  <si>
    <t>AFF</t>
    <phoneticPr fontId="3"/>
  </si>
  <si>
    <t>在庫あり</t>
    <rPh sb="0" eb="2">
      <t>ザイコ</t>
    </rPh>
    <phoneticPr fontId="3"/>
  </si>
  <si>
    <t>TFF</t>
    <phoneticPr fontId="3"/>
  </si>
  <si>
    <t>30反在庫あり / 27反不足</t>
    <rPh sb="2" eb="3">
      <t>タン</t>
    </rPh>
    <rPh sb="3" eb="5">
      <t>ザイコ</t>
    </rPh>
    <rPh sb="12" eb="13">
      <t>タン</t>
    </rPh>
    <rPh sb="13" eb="15">
      <t>フソク</t>
    </rPh>
    <phoneticPr fontId="3"/>
  </si>
  <si>
    <t>40反在庫あり / 27反不足</t>
    <rPh sb="2" eb="3">
      <t>タン</t>
    </rPh>
    <rPh sb="3" eb="5">
      <t>ザイコ</t>
    </rPh>
    <rPh sb="12" eb="13">
      <t>タン</t>
    </rPh>
    <rPh sb="13" eb="15">
      <t>フソク</t>
    </rPh>
    <phoneticPr fontId="3"/>
  </si>
  <si>
    <t>will be shippped today</t>
    <phoneticPr fontId="3"/>
  </si>
  <si>
    <t xml:space="preserve">will be shippped tomorrow </t>
    <phoneticPr fontId="3"/>
  </si>
  <si>
    <t>SAKAE Articles</t>
    <phoneticPr fontId="3"/>
  </si>
  <si>
    <t>FOB Asia</t>
    <phoneticPr fontId="3"/>
  </si>
  <si>
    <t>DTM TOFU</t>
    <phoneticPr fontId="3"/>
  </si>
  <si>
    <t>DTM Pistachio Shell</t>
    <phoneticPr fontId="3"/>
  </si>
  <si>
    <t xml:space="preserve"> 8 sets (USD 10 x 8 articles)</t>
    <phoneticPr fontId="3"/>
  </si>
  <si>
    <t>Sun Fashion Article</t>
    <phoneticPr fontId="3"/>
  </si>
  <si>
    <t>2 sets (USD 125 x 2 colors)</t>
    <phoneticPr fontId="3"/>
  </si>
  <si>
    <t>Pattern no</t>
  </si>
  <si>
    <t>PRICE PER METER IN USD FOB ASIA OR CIF HK</t>
  </si>
  <si>
    <t>Minimum</t>
  </si>
  <si>
    <t>Composition and greige stock qtys</t>
  </si>
  <si>
    <t xml:space="preserve">10M </t>
  </si>
  <si>
    <t xml:space="preserve"> 100M </t>
  </si>
  <si>
    <t xml:space="preserve"> 300M </t>
  </si>
  <si>
    <t xml:space="preserve"> 1000M </t>
  </si>
  <si>
    <t>Dye to match</t>
  </si>
  <si>
    <t xml:space="preserve">(CM) </t>
  </si>
  <si>
    <t>Cotton:70%,Nylon:30% stock 2100M</t>
    <phoneticPr fontId="3"/>
  </si>
  <si>
    <t>Nylon:100%  stock 3600M</t>
    <phoneticPr fontId="3"/>
  </si>
  <si>
    <t>Nylon:65%,Cationic Polyester:35% stock 1900M</t>
    <phoneticPr fontId="3"/>
  </si>
  <si>
    <t>Nylon:100% Stock 1900M</t>
  </si>
  <si>
    <t>Cord Color x Tip</t>
    <phoneticPr fontId="3"/>
  </si>
  <si>
    <t>EXW JAPAN / pc</t>
    <phoneticPr fontId="3"/>
  </si>
  <si>
    <t xml:space="preserve">Dec. 9th - 11th </t>
    <phoneticPr fontId="3"/>
  </si>
  <si>
    <t xml:space="preserve">Dec. 15th - 17th </t>
    <phoneticPr fontId="3"/>
  </si>
  <si>
    <t>Stoc</t>
    <phoneticPr fontId="3"/>
  </si>
  <si>
    <t xml:space="preserve">No stock, it will be ready around 22nd Jan.  </t>
    <phoneticPr fontId="3"/>
  </si>
  <si>
    <t xml:space="preserve">3/11 updated </t>
    <phoneticPr fontId="3"/>
  </si>
  <si>
    <t>ZMA2851</t>
  </si>
  <si>
    <t xml:space="preserve">Nylon:100%  </t>
  </si>
  <si>
    <t>ZKC4151</t>
  </si>
  <si>
    <t xml:space="preserve">Nylon:65%,Cationic Polyester:35% </t>
  </si>
  <si>
    <t xml:space="preserve"> 2 sets for Pistachio (USD 40/set )</t>
    <phoneticPr fontId="3"/>
  </si>
  <si>
    <t xml:space="preserve">INV Amount </t>
    <phoneticPr fontId="3"/>
  </si>
  <si>
    <r>
      <rPr>
        <b/>
        <sz val="11"/>
        <rFont val="ＭＳ Ｐゴシック"/>
        <family val="3"/>
        <charset val="128"/>
      </rPr>
      <t>単価</t>
    </r>
    <r>
      <rPr>
        <b/>
        <sz val="11"/>
        <rFont val="Arial"/>
        <family val="2"/>
      </rPr>
      <t xml:space="preserve">/m </t>
    </r>
    <rPh sb="0" eb="2">
      <t>タンカ</t>
    </rPh>
    <phoneticPr fontId="3"/>
  </si>
  <si>
    <r>
      <t>620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>/m</t>
    </r>
    <rPh sb="3" eb="4">
      <t>エン</t>
    </rPh>
    <phoneticPr fontId="3"/>
  </si>
  <si>
    <r>
      <t>1100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>/m</t>
    </r>
    <rPh sb="4" eb="5">
      <t>エン</t>
    </rPh>
    <phoneticPr fontId="3"/>
  </si>
  <si>
    <t>62456-1</t>
    <phoneticPr fontId="3"/>
  </si>
  <si>
    <r>
      <t>155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>/m</t>
    </r>
    <rPh sb="3" eb="4">
      <t>エン</t>
    </rPh>
    <phoneticPr fontId="3"/>
  </si>
  <si>
    <t>DTM Citrine Lab-dip 2</t>
    <phoneticPr fontId="3"/>
  </si>
  <si>
    <r>
      <t>2800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>/m</t>
    </r>
    <rPh sb="4" eb="5">
      <t>エン</t>
    </rPh>
    <phoneticPr fontId="3"/>
  </si>
  <si>
    <t>DTM Topaz Lab-dip 1</t>
    <phoneticPr fontId="3"/>
  </si>
  <si>
    <r>
      <t>65200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 xml:space="preserve"> ( 19600+19600+26000)</t>
    </r>
    <rPh sb="5" eb="6">
      <t>エン</t>
    </rPh>
    <phoneticPr fontId="3"/>
  </si>
  <si>
    <t xml:space="preserve">C&amp;F HK ?? </t>
    <phoneticPr fontId="3"/>
  </si>
  <si>
    <t>ZMA2851 (Trim Lace 100% Nylon)</t>
    <phoneticPr fontId="3"/>
  </si>
  <si>
    <t>ZKC4151(Nylon:65%,Cationic Polyester:35%)</t>
    <phoneticPr fontId="3"/>
  </si>
  <si>
    <t>CIF HK /m</t>
    <phoneticPr fontId="3"/>
  </si>
  <si>
    <t xml:space="preserve">abt 4 weeks </t>
    <phoneticPr fontId="3"/>
  </si>
  <si>
    <t xml:space="preserve">abt 2 - 3 weeks </t>
    <phoneticPr fontId="3"/>
  </si>
  <si>
    <t>出荷順序</t>
    <rPh sb="0" eb="2">
      <t>シュッカ</t>
    </rPh>
    <rPh sb="2" eb="4">
      <t>ジュンジョ</t>
    </rPh>
    <phoneticPr fontId="3"/>
  </si>
  <si>
    <r>
      <rPr>
        <sz val="12"/>
        <rFont val="ＭＳ Ｐゴシック"/>
        <family val="3"/>
        <charset val="128"/>
      </rPr>
      <t>色確認</t>
    </r>
    <r>
      <rPr>
        <sz val="12"/>
        <rFont val="Arial"/>
        <family val="2"/>
      </rPr>
      <t xml:space="preserve">OK </t>
    </r>
    <r>
      <rPr>
        <sz val="12"/>
        <rFont val="ＭＳ Ｐゴシック"/>
        <family val="3"/>
        <charset val="128"/>
      </rPr>
      <t>次第、先出し</t>
    </r>
    <rPh sb="0" eb="1">
      <t>イロ</t>
    </rPh>
    <rPh sb="1" eb="3">
      <t>カクニン</t>
    </rPh>
    <rPh sb="6" eb="8">
      <t>シダイ</t>
    </rPh>
    <rPh sb="9" eb="11">
      <t>サキダ</t>
    </rPh>
    <phoneticPr fontId="3"/>
  </si>
  <si>
    <r>
      <t xml:space="preserve">test 5m + Coach </t>
    </r>
    <r>
      <rPr>
        <sz val="12"/>
        <rFont val="ＭＳ Ｐゴシック"/>
        <family val="3"/>
        <charset val="128"/>
      </rPr>
      <t>控え</t>
    </r>
    <r>
      <rPr>
        <sz val="12"/>
        <rFont val="Arial"/>
        <family val="2"/>
      </rPr>
      <t xml:space="preserve">4m </t>
    </r>
    <rPh sb="16" eb="17">
      <t>ヒカ</t>
    </rPh>
    <phoneticPr fontId="3"/>
  </si>
  <si>
    <r>
      <t xml:space="preserve">test pass </t>
    </r>
    <r>
      <rPr>
        <sz val="12"/>
        <rFont val="ＭＳ Ｐゴシック"/>
        <family val="3"/>
        <charset val="128"/>
      </rPr>
      <t>後の出荷？</t>
    </r>
    <rPh sb="10" eb="11">
      <t>アト</t>
    </rPh>
    <rPh sb="12" eb="14">
      <t>シュッカ</t>
    </rPh>
    <phoneticPr fontId="3"/>
  </si>
  <si>
    <t xml:space="preserve">PI / INV# </t>
    <phoneticPr fontId="3"/>
  </si>
  <si>
    <t>INV # 3251</t>
    <phoneticPr fontId="3"/>
  </si>
  <si>
    <t>INV # 3255</t>
    <phoneticPr fontId="3"/>
  </si>
  <si>
    <t>PI# 3267</t>
    <phoneticPr fontId="3"/>
  </si>
  <si>
    <t>PI# 3270</t>
    <phoneticPr fontId="3"/>
  </si>
  <si>
    <t xml:space="preserve">Total Amount </t>
  </si>
  <si>
    <t>キープ希望</t>
    <rPh sb="3" eb="5">
      <t>キボウ</t>
    </rPh>
    <phoneticPr fontId="3"/>
  </si>
  <si>
    <t>７月</t>
    <rPh sb="1" eb="2">
      <t>ガツ</t>
    </rPh>
    <phoneticPr fontId="3"/>
  </si>
  <si>
    <t>OG1050-FLT</t>
    <phoneticPr fontId="3"/>
  </si>
  <si>
    <t>品質確認中</t>
    <rPh sb="0" eb="2">
      <t>ヒンシツ</t>
    </rPh>
    <rPh sb="2" eb="4">
      <t>カクニン</t>
    </rPh>
    <rPh sb="4" eb="5">
      <t>チュウ</t>
    </rPh>
    <phoneticPr fontId="3"/>
  </si>
  <si>
    <t>仕入単価</t>
    <rPh sb="0" eb="4">
      <t>シイレタンカ</t>
    </rPh>
    <phoneticPr fontId="3"/>
  </si>
  <si>
    <t>01548</t>
    <phoneticPr fontId="3"/>
  </si>
  <si>
    <t>01578</t>
    <phoneticPr fontId="3"/>
  </si>
  <si>
    <t>8000 x 2 sets</t>
    <phoneticPr fontId="3"/>
  </si>
  <si>
    <t>4000 x 2 sets</t>
    <phoneticPr fontId="3"/>
  </si>
  <si>
    <t>01579</t>
    <phoneticPr fontId="3"/>
  </si>
  <si>
    <t>8000 x 1 set</t>
    <phoneticPr fontId="3"/>
  </si>
  <si>
    <t>4000 x 1 set</t>
    <phoneticPr fontId="3"/>
  </si>
  <si>
    <t>弊社色番</t>
    <rPh sb="0" eb="2">
      <t>ヘイシャ</t>
    </rPh>
    <rPh sb="2" eb="4">
      <t>イロバン</t>
    </rPh>
    <phoneticPr fontId="3"/>
  </si>
  <si>
    <t>Ready date</t>
    <phoneticPr fontId="3"/>
  </si>
  <si>
    <t>End of Aug - Beg. Sep</t>
    <phoneticPr fontId="3"/>
  </si>
  <si>
    <r>
      <t>US$180</t>
    </r>
    <r>
      <rPr>
        <b/>
        <sz val="12"/>
        <color indexed="10"/>
        <rFont val="ＭＳ Ｐゴシック"/>
        <family val="3"/>
        <charset val="128"/>
      </rPr>
      <t>に含む</t>
    </r>
    <rPh sb="7" eb="8">
      <t>フク</t>
    </rPh>
    <phoneticPr fontId="3"/>
  </si>
  <si>
    <r>
      <t>US$0.00 (US$180</t>
    </r>
    <r>
      <rPr>
        <b/>
        <sz val="12"/>
        <color indexed="10"/>
        <rFont val="ＭＳ Ｐゴシック"/>
        <family val="3"/>
        <charset val="128"/>
      </rPr>
      <t>に含む</t>
    </r>
    <r>
      <rPr>
        <b/>
        <sz val="12"/>
        <color indexed="10"/>
        <rFont val="Arial"/>
        <family val="2"/>
      </rPr>
      <t>)</t>
    </r>
    <rPh sb="16" eb="17">
      <t>フク</t>
    </rPh>
    <phoneticPr fontId="3"/>
  </si>
  <si>
    <r>
      <rPr>
        <b/>
        <sz val="12"/>
        <rFont val="ＭＳ Ｐゴシック"/>
        <family val="3"/>
        <charset val="128"/>
      </rPr>
      <t>カラー</t>
    </r>
    <r>
      <rPr>
        <b/>
        <sz val="12"/>
        <rFont val="Arial"/>
        <family val="2"/>
      </rPr>
      <t>(Top x Middle x Bottom )</t>
    </r>
    <phoneticPr fontId="3"/>
  </si>
  <si>
    <t>CM-0024(M-75505-00 )</t>
    <phoneticPr fontId="3"/>
  </si>
  <si>
    <r>
      <t>59</t>
    </r>
    <r>
      <rPr>
        <sz val="12"/>
        <rFont val="ＭＳ Ｐゴシック"/>
        <family val="3"/>
        <charset val="128"/>
      </rPr>
      <t>円</t>
    </r>
    <rPh sb="2" eb="3">
      <t>エン</t>
    </rPh>
    <phoneticPr fontId="3"/>
  </si>
  <si>
    <r>
      <t>46</t>
    </r>
    <r>
      <rPr>
        <sz val="12"/>
        <rFont val="ＭＳ Ｐゴシック"/>
        <family val="3"/>
        <charset val="128"/>
      </rPr>
      <t>円</t>
    </r>
    <rPh sb="2" eb="3">
      <t>エン</t>
    </rPh>
    <phoneticPr fontId="3"/>
  </si>
  <si>
    <r>
      <t>119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</si>
  <si>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t>単価/pc</t>
    <rPh sb="0" eb="2">
      <t>タンカ</t>
    </rPh>
    <phoneticPr fontId="3"/>
  </si>
  <si>
    <r>
      <rPr>
        <sz val="12"/>
        <rFont val="ＭＳ Ｐゴシック"/>
        <family val="3"/>
        <charset val="128"/>
      </rPr>
      <t>別注糸代</t>
    </r>
    <r>
      <rPr>
        <sz val="12"/>
        <rFont val="Arial"/>
        <family val="2"/>
      </rPr>
      <t xml:space="preserve"> (L704)</t>
    </r>
    <rPh sb="0" eb="2">
      <t>ベッチュウ</t>
    </rPh>
    <rPh sb="2" eb="3">
      <t>イト</t>
    </rPh>
    <rPh sb="3" eb="4">
      <t>ダイ</t>
    </rPh>
    <phoneticPr fontId="3"/>
  </si>
  <si>
    <r>
      <rPr>
        <sz val="12"/>
        <rFont val="ＭＳ Ｐゴシック"/>
        <family val="3"/>
        <charset val="128"/>
      </rPr>
      <t>別注糸小口製作費</t>
    </r>
    <r>
      <rPr>
        <sz val="12"/>
        <rFont val="Arial"/>
        <family val="2"/>
      </rPr>
      <t xml:space="preserve"> (L704)</t>
    </r>
    <rPh sb="0" eb="2">
      <t>ベッチュウ</t>
    </rPh>
    <rPh sb="2" eb="3">
      <t>イト</t>
    </rPh>
    <rPh sb="3" eb="5">
      <t>コグチ</t>
    </rPh>
    <rPh sb="5" eb="8">
      <t>セイサクヒ</t>
    </rPh>
    <phoneticPr fontId="3"/>
  </si>
  <si>
    <t>小口加工代</t>
    <rPh sb="0" eb="2">
      <t>コグチ</t>
    </rPh>
    <rPh sb="2" eb="4">
      <t>カコウ</t>
    </rPh>
    <rPh sb="4" eb="5">
      <t>ダイ</t>
    </rPh>
    <phoneticPr fontId="3"/>
  </si>
  <si>
    <r>
      <t>6</t>
    </r>
    <r>
      <rPr>
        <b/>
        <sz val="12"/>
        <rFont val="ＭＳ Ｐゴシック"/>
        <family val="3"/>
        <charset val="128"/>
      </rPr>
      <t>反オーダーの場合</t>
    </r>
    <rPh sb="1" eb="2">
      <t>タン</t>
    </rPh>
    <rPh sb="7" eb="9">
      <t>バアイ</t>
    </rPh>
    <phoneticPr fontId="3"/>
  </si>
  <si>
    <t>仕入単価total</t>
    <rPh sb="0" eb="2">
      <t>シイレ</t>
    </rPh>
    <rPh sb="2" eb="4">
      <t>タンカ</t>
    </rPh>
    <phoneticPr fontId="3"/>
  </si>
  <si>
    <r>
      <t>5</t>
    </r>
    <r>
      <rPr>
        <b/>
        <sz val="12"/>
        <rFont val="ＭＳ Ｐゴシック"/>
        <family val="3"/>
        <charset val="128"/>
      </rPr>
      <t>反オーダーの場合</t>
    </r>
    <rPh sb="1" eb="2">
      <t>タン</t>
    </rPh>
    <rPh sb="7" eb="9">
      <t>バアイ</t>
    </rPh>
    <phoneticPr fontId="3"/>
  </si>
  <si>
    <t>Mill's Standard Color</t>
  </si>
  <si>
    <t xml:space="preserve">MOQ / col for standard color </t>
  </si>
  <si>
    <t>Dye min. /col</t>
  </si>
  <si>
    <t>EXW JAPAN /m</t>
  </si>
  <si>
    <t>100% Nylon</t>
  </si>
  <si>
    <t xml:space="preserve">1 roll ( abt 50m) </t>
  </si>
  <si>
    <t>301m -</t>
  </si>
  <si>
    <t>3 sets ( USD 125/set)</t>
    <phoneticPr fontId="3"/>
  </si>
  <si>
    <r>
      <rPr>
        <b/>
        <sz val="11"/>
        <color indexed="8"/>
        <rFont val="ＭＳ Ｐゴシック"/>
        <family val="3"/>
        <charset val="128"/>
      </rPr>
      <t>大阪発行</t>
    </r>
    <r>
      <rPr>
        <b/>
        <sz val="11"/>
        <color indexed="8"/>
        <rFont val="Arial"/>
        <family val="2"/>
      </rPr>
      <t>invoice #</t>
    </r>
    <rPh sb="0" eb="2">
      <t>オオサカ</t>
    </rPh>
    <rPh sb="2" eb="4">
      <t>ハッコウ</t>
    </rPh>
    <phoneticPr fontId="3"/>
  </si>
  <si>
    <t>3569 Nick</t>
    <phoneticPr fontId="3"/>
  </si>
  <si>
    <t>PI# 3838</t>
    <phoneticPr fontId="3"/>
  </si>
  <si>
    <t>INV # 3838</t>
    <phoneticPr fontId="3"/>
  </si>
  <si>
    <t>3606 Elizabeth</t>
    <phoneticPr fontId="3"/>
  </si>
  <si>
    <t>PI# MK-220120</t>
    <phoneticPr fontId="3"/>
  </si>
  <si>
    <t xml:space="preserve">3603  Nick </t>
    <phoneticPr fontId="3"/>
  </si>
  <si>
    <t>PI# MK-220121</t>
    <phoneticPr fontId="3"/>
  </si>
  <si>
    <r>
      <t>3.5</t>
    </r>
    <r>
      <rPr>
        <sz val="12"/>
        <rFont val="ＭＳ Ｐゴシック"/>
        <family val="3"/>
        <charset val="128"/>
      </rPr>
      <t>反フリー</t>
    </r>
    <rPh sb="3" eb="4">
      <t>タン</t>
    </rPh>
    <phoneticPr fontId="3"/>
  </si>
  <si>
    <r>
      <t xml:space="preserve">Col. SO </t>
    </r>
    <r>
      <rPr>
        <sz val="12"/>
        <rFont val="ＭＳ Ｐゴシック"/>
        <family val="3"/>
        <charset val="128"/>
      </rPr>
      <t>での染め替え対応</t>
    </r>
    <rPh sb="10" eb="11">
      <t>ソ</t>
    </rPh>
    <rPh sb="12" eb="13">
      <t>カ</t>
    </rPh>
    <rPh sb="14" eb="16">
      <t>タイオウ</t>
    </rPh>
    <phoneticPr fontId="3"/>
  </si>
  <si>
    <r>
      <t xml:space="preserve">135m </t>
    </r>
    <r>
      <rPr>
        <sz val="12"/>
        <rFont val="ＭＳ Ｐゴシック"/>
        <family val="3"/>
        <charset val="128"/>
      </rPr>
      <t>キープ中</t>
    </r>
    <rPh sb="8" eb="9">
      <t>チュウ</t>
    </rPh>
    <phoneticPr fontId="3"/>
  </si>
  <si>
    <t>EXW JAPAN 
USD/Roll</t>
    <phoneticPr fontId="3"/>
  </si>
  <si>
    <t xml:space="preserve">Order amount </t>
    <phoneticPr fontId="3"/>
  </si>
  <si>
    <t xml:space="preserve">EXW JAPAN 
USD/roll </t>
    <phoneticPr fontId="3"/>
  </si>
  <si>
    <t>EXW (JAPAN) / roll</t>
    <phoneticPr fontId="3"/>
  </si>
  <si>
    <t xml:space="preserve"># 33 Sandstormfor for approval sample  </t>
    <phoneticPr fontId="3"/>
  </si>
  <si>
    <t xml:space="preserve">Cutting Fee for approval sample  </t>
    <phoneticPr fontId="3"/>
  </si>
  <si>
    <t xml:space="preserve">Handling Fee (Inland Freight Charge in Japan) for approval sample </t>
    <phoneticPr fontId="3"/>
  </si>
  <si>
    <r>
      <t>116</t>
    </r>
    <r>
      <rPr>
        <sz val="10"/>
        <rFont val="ＭＳ Ｐゴシック"/>
        <family val="3"/>
        <charset val="128"/>
      </rPr>
      <t>円</t>
    </r>
    <r>
      <rPr>
        <sz val="10"/>
        <rFont val="Arial"/>
        <family val="2"/>
      </rPr>
      <t>/m</t>
    </r>
    <rPh sb="3" eb="4">
      <t>エン</t>
    </rPh>
    <phoneticPr fontId="3"/>
  </si>
  <si>
    <r>
      <t>62</t>
    </r>
    <r>
      <rPr>
        <sz val="10"/>
        <rFont val="ＭＳ Ｐゴシック"/>
        <family val="3"/>
        <charset val="128"/>
      </rPr>
      <t>円</t>
    </r>
    <r>
      <rPr>
        <sz val="10"/>
        <rFont val="Arial"/>
        <family val="2"/>
      </rPr>
      <t>/m</t>
    </r>
    <rPh sb="2" eb="3">
      <t>エン</t>
    </rPh>
    <phoneticPr fontId="3"/>
  </si>
  <si>
    <t>DTM or Mill's White</t>
    <phoneticPr fontId="3"/>
  </si>
  <si>
    <r>
      <t>7000</t>
    </r>
    <r>
      <rPr>
        <sz val="10"/>
        <rFont val="ＭＳ Ｐゴシック"/>
        <family val="3"/>
        <charset val="128"/>
      </rPr>
      <t>円</t>
    </r>
    <r>
      <rPr>
        <sz val="10"/>
        <rFont val="Arial"/>
        <family val="2"/>
      </rPr>
      <t xml:space="preserve">/col </t>
    </r>
    <rPh sb="4" eb="5">
      <t>エン</t>
    </rPh>
    <phoneticPr fontId="3"/>
  </si>
  <si>
    <t xml:space="preserve">20221020 Vera Wang  20% 120 </t>
    <phoneticPr fontId="3"/>
  </si>
  <si>
    <t>反数</t>
    <rPh sb="0" eb="1">
      <t>タン</t>
    </rPh>
    <rPh sb="1" eb="2">
      <t>スウ</t>
    </rPh>
    <phoneticPr fontId="3"/>
  </si>
  <si>
    <t>010045</t>
    <phoneticPr fontId="3"/>
  </si>
  <si>
    <t>HTV-3M8807</t>
    <phoneticPr fontId="3"/>
  </si>
  <si>
    <t>HENET PTE. LTD. (GLOBAL SOURCENET LTD) Theory</t>
    <phoneticPr fontId="3"/>
  </si>
  <si>
    <t># 02NT White</t>
    <phoneticPr fontId="3"/>
  </si>
  <si>
    <t>004561</t>
    <phoneticPr fontId="3"/>
  </si>
  <si>
    <t># 17-GOLD</t>
    <phoneticPr fontId="3"/>
  </si>
  <si>
    <t>18E 16th Street 4th Floor  </t>
  </si>
  <si>
    <t>FedEx 949315037</t>
    <phoneticPr fontId="3"/>
  </si>
  <si>
    <t>A&amp;Feng Fashion Ltd.(HK)</t>
    <phoneticPr fontId="3"/>
  </si>
  <si>
    <t>A&amp;Feng Fashion Ltd.(Shenzhen)</t>
    <phoneticPr fontId="3"/>
  </si>
  <si>
    <t xml:space="preserve">Bldg B,  Sunny Ind. Zone Hezhou, Xixiang, </t>
    <phoneticPr fontId="3"/>
  </si>
  <si>
    <t xml:space="preserve">Bao’an Shenzhen, </t>
    <phoneticPr fontId="3"/>
  </si>
  <si>
    <t>Tel: 86 755 29980767</t>
    <phoneticPr fontId="3"/>
  </si>
  <si>
    <t>Tel: 212 630 9977</t>
    <phoneticPr fontId="3"/>
  </si>
  <si>
    <t>501 FIFTH AVENUE 7FL</t>
    <phoneticPr fontId="3"/>
  </si>
  <si>
    <t>007178</t>
    <phoneticPr fontId="3"/>
  </si>
  <si>
    <t># Y604 Flax</t>
    <phoneticPr fontId="3"/>
  </si>
  <si>
    <t>HS-email 02/16/23</t>
  </si>
  <si>
    <t>HS-email 02/16/23</t>
    <phoneticPr fontId="3"/>
  </si>
  <si>
    <t># 320 NUDE</t>
    <phoneticPr fontId="3"/>
  </si>
  <si>
    <t>007190 HK</t>
    <phoneticPr fontId="3"/>
  </si>
  <si>
    <t>Collect</t>
    <phoneticPr fontId="3"/>
  </si>
  <si>
    <t>No. of Package</t>
    <phoneticPr fontId="3"/>
  </si>
  <si>
    <t>373</t>
    <phoneticPr fontId="3"/>
  </si>
  <si>
    <t>通常20.87</t>
    <phoneticPr fontId="3"/>
  </si>
  <si>
    <t>JAYA APPARE GROUP LLC (Cinq a Sept)</t>
    <phoneticPr fontId="3"/>
  </si>
  <si>
    <r>
      <t xml:space="preserve">60748 </t>
    </r>
    <r>
      <rPr>
        <sz val="12"/>
        <color rgb="FF0070C0"/>
        <rFont val="Arial"/>
        <family val="2"/>
      </rPr>
      <t xml:space="preserve">High Fashion </t>
    </r>
  </si>
  <si>
    <t># 55 Seaweed</t>
    <phoneticPr fontId="3"/>
  </si>
  <si>
    <t>MO-email 3/14/23</t>
    <phoneticPr fontId="3"/>
  </si>
  <si>
    <t>#15NT</t>
    <phoneticPr fontId="3"/>
  </si>
  <si>
    <t>MO-EO 3/16/22</t>
    <phoneticPr fontId="3"/>
  </si>
  <si>
    <t>5603 : C/# 31 Black x Black Cel Tip (15mm )</t>
    <phoneticPr fontId="3"/>
  </si>
  <si>
    <r>
      <t xml:space="preserve">FG-PO23030301 </t>
    </r>
    <r>
      <rPr>
        <sz val="12"/>
        <color rgb="FF0070C0"/>
        <rFont val="Arial"/>
        <family val="2"/>
      </rPr>
      <t xml:space="preserve">High Fashion </t>
    </r>
    <phoneticPr fontId="3"/>
  </si>
  <si>
    <t>HIGH FASHION GARMENTS INTERNATIONAL CO., LTD(Cinq a Sept)</t>
    <phoneticPr fontId="3"/>
  </si>
  <si>
    <t>HU-23F-036 (3/20/23)</t>
    <phoneticPr fontId="3"/>
  </si>
  <si>
    <t xml:space="preserve"># 76NT Beige </t>
    <phoneticPr fontId="3"/>
  </si>
  <si>
    <r>
      <t xml:space="preserve">JW-EO3/22/23 </t>
    </r>
    <r>
      <rPr>
        <sz val="12"/>
        <color rgb="FF0070C0"/>
        <rFont val="Arial"/>
        <family val="2"/>
      </rPr>
      <t>India</t>
    </r>
    <phoneticPr fontId="3"/>
  </si>
  <si>
    <t># 9 Black</t>
    <phoneticPr fontId="3"/>
  </si>
  <si>
    <t># Y625 Red</t>
    <phoneticPr fontId="3"/>
  </si>
  <si>
    <t># 714 Red</t>
    <phoneticPr fontId="3"/>
  </si>
  <si>
    <t xml:space="preserve">#50C BLACK </t>
    <phoneticPr fontId="3"/>
  </si>
  <si>
    <t xml:space="preserve">#01C WHITE </t>
    <phoneticPr fontId="3"/>
  </si>
  <si>
    <t xml:space="preserve"> #46C ALLOY</t>
    <phoneticPr fontId="3"/>
  </si>
  <si>
    <t>#L811 GLACIER  (custom)</t>
    <phoneticPr fontId="3"/>
  </si>
  <si>
    <t>#L808 IVORY  (custom)</t>
    <phoneticPr fontId="3"/>
  </si>
  <si>
    <t>Set-up fee for #L811 &amp;# L808</t>
    <phoneticPr fontId="3"/>
  </si>
  <si>
    <t>100% Cotton Waxed cord</t>
    <phoneticPr fontId="3"/>
  </si>
  <si>
    <t>CCR-02 WAX(SS)</t>
    <phoneticPr fontId="3"/>
  </si>
  <si>
    <t>Set-up fee for #L808 WAX</t>
    <phoneticPr fontId="3"/>
  </si>
  <si>
    <r>
      <t xml:space="preserve">PO-02725 </t>
    </r>
    <r>
      <rPr>
        <sz val="12"/>
        <color indexed="30"/>
        <rFont val="Arial"/>
        <family val="2"/>
      </rPr>
      <t>BLING HANDS</t>
    </r>
  </si>
  <si>
    <t>#M766 CITRINE (custom)</t>
    <phoneticPr fontId="3"/>
  </si>
  <si>
    <t>#D806 MIDNIGHT (custom)</t>
    <phoneticPr fontId="3"/>
  </si>
  <si>
    <t>Set-up fee for #M766 &amp; # D806</t>
    <phoneticPr fontId="3"/>
  </si>
  <si>
    <t>NL-EO3/24/23</t>
    <phoneticPr fontId="3"/>
  </si>
  <si>
    <t>Polyester Cords   Polyester 100%</t>
    <phoneticPr fontId="3"/>
  </si>
  <si>
    <t xml:space="preserve">Size M </t>
    <phoneticPr fontId="3"/>
  </si>
  <si>
    <t>カラー</t>
    <phoneticPr fontId="3"/>
  </si>
  <si>
    <t>仕立て</t>
    <rPh sb="0" eb="2">
      <t>シタ</t>
    </rPh>
    <phoneticPr fontId="3"/>
  </si>
  <si>
    <t>反数</t>
    <rPh sb="0" eb="2">
      <t>タンスウ</t>
    </rPh>
    <phoneticPr fontId="3"/>
  </si>
  <si>
    <t>合計数量</t>
    <rPh sb="0" eb="2">
      <t>ゴウケイ</t>
    </rPh>
    <rPh sb="2" eb="4">
      <t>スウリョウ</t>
    </rPh>
    <phoneticPr fontId="3"/>
  </si>
  <si>
    <t>単価/m</t>
    <rPh sb="0" eb="2">
      <t>タンカ</t>
    </rPh>
    <phoneticPr fontId="3"/>
  </si>
  <si>
    <t>小計</t>
    <rPh sb="0" eb="2">
      <t>ショウケイ</t>
    </rPh>
    <phoneticPr fontId="3"/>
  </si>
  <si>
    <r>
      <rPr>
        <sz val="10"/>
        <rFont val="ＭＳ Ｐゴシック"/>
        <family val="3"/>
        <charset val="128"/>
      </rPr>
      <t>小口製作代</t>
    </r>
    <r>
      <rPr>
        <sz val="10"/>
        <rFont val="Arial"/>
        <family val="2"/>
      </rPr>
      <t>+</t>
    </r>
    <r>
      <rPr>
        <sz val="10"/>
        <rFont val="ＭＳ Ｐゴシック"/>
        <family val="3"/>
        <charset val="128"/>
      </rPr>
      <t>別注糸代　</t>
    </r>
    <r>
      <rPr>
        <sz val="10"/>
        <rFont val="Arial"/>
        <family val="2"/>
      </rPr>
      <t>11000</t>
    </r>
    <phoneticPr fontId="3"/>
  </si>
  <si>
    <r>
      <rPr>
        <sz val="10"/>
        <rFont val="ＭＳ Ｐゴシック"/>
        <family val="3"/>
        <charset val="128"/>
      </rPr>
      <t>小口製作代のみ　</t>
    </r>
    <r>
      <rPr>
        <sz val="10"/>
        <rFont val="Arial"/>
        <family val="2"/>
      </rPr>
      <t>6000</t>
    </r>
    <phoneticPr fontId="3"/>
  </si>
  <si>
    <r>
      <rPr>
        <sz val="10"/>
        <rFont val="ＭＳ Ｐゴシック"/>
        <family val="3"/>
        <charset val="128"/>
      </rPr>
      <t>小口製作代</t>
    </r>
    <r>
      <rPr>
        <sz val="10"/>
        <rFont val="Arial"/>
        <family val="2"/>
      </rPr>
      <t>+</t>
    </r>
    <r>
      <rPr>
        <sz val="10"/>
        <rFont val="ＭＳ Ｐゴシック"/>
        <family val="3"/>
        <charset val="128"/>
      </rPr>
      <t>別注糸代　</t>
    </r>
    <r>
      <rPr>
        <sz val="10"/>
        <rFont val="Arial"/>
        <family val="2"/>
      </rPr>
      <t>14000</t>
    </r>
    <phoneticPr fontId="3"/>
  </si>
  <si>
    <t>上記と同時手配なので、不要</t>
    <rPh sb="0" eb="2">
      <t>ジョウキ</t>
    </rPh>
    <rPh sb="3" eb="5">
      <t>ドウジ</t>
    </rPh>
    <rPh sb="5" eb="7">
      <t>テハイ</t>
    </rPh>
    <rPh sb="11" eb="13">
      <t>フヨウ</t>
    </rPh>
    <phoneticPr fontId="3"/>
  </si>
  <si>
    <t xml:space="preserve">REF # </t>
    <phoneticPr fontId="3"/>
  </si>
  <si>
    <t>Set-up fee for #M766 &amp; # D806 WAX</t>
    <phoneticPr fontId="3"/>
  </si>
  <si>
    <t>NL-EO3/28/23</t>
    <phoneticPr fontId="3"/>
  </si>
  <si>
    <t># 9</t>
    <phoneticPr fontId="3"/>
  </si>
  <si>
    <r>
      <rPr>
        <b/>
        <sz val="12"/>
        <rFont val="Times New Roman"/>
        <family val="1"/>
      </rPr>
      <t>SUN FASHION CORP.</t>
    </r>
    <r>
      <rPr>
        <sz val="10"/>
        <rFont val="Times New Roman"/>
        <family val="1"/>
      </rPr>
      <t xml:space="preserve">
21-10 Fukushima 8 Chome, Fukushima-Ku
Osaka, OSAKA 553-0003, 
TEL: +81 6-6455-7580/ 2850
FAX: +81 6-6452-1641</t>
    </r>
    <phoneticPr fontId="3"/>
  </si>
  <si>
    <t>AG-EO3/30/23</t>
    <phoneticPr fontId="3"/>
  </si>
  <si>
    <t>SN-1820</t>
  </si>
  <si>
    <t>#KW</t>
  </si>
  <si>
    <t>#02 off-white</t>
  </si>
  <si>
    <t>Nylon 100% Tulle</t>
    <phoneticPr fontId="3"/>
  </si>
  <si>
    <r>
      <t xml:space="preserve">VNHE-23F-031 (3/30/23) </t>
    </r>
    <r>
      <rPr>
        <sz val="12"/>
        <color rgb="FF0070C0"/>
        <rFont val="Arial"/>
        <family val="2"/>
      </rPr>
      <t xml:space="preserve">Vietnam </t>
    </r>
    <r>
      <rPr>
        <sz val="12"/>
        <color rgb="FF0070C0"/>
        <rFont val="ＭＳ Ｐゴシック"/>
        <family val="3"/>
        <charset val="128"/>
      </rPr>
      <t>送り</t>
    </r>
    <rPh sb="31" eb="32">
      <t>オク</t>
    </rPh>
    <phoneticPr fontId="3"/>
  </si>
  <si>
    <t>Account</t>
    <phoneticPr fontId="3"/>
  </si>
  <si>
    <t>New York, U.S.A</t>
    <phoneticPr fontId="3"/>
  </si>
  <si>
    <t>New York, U.S.A</t>
    <phoneticPr fontId="3"/>
  </si>
  <si>
    <t>NET 30days</t>
  </si>
  <si>
    <t>LR-EO4/3/23</t>
    <phoneticPr fontId="3"/>
  </si>
  <si>
    <t>#148</t>
  </si>
  <si>
    <t>#180</t>
  </si>
  <si>
    <t>#200</t>
  </si>
  <si>
    <t>#329</t>
  </si>
  <si>
    <t>#60</t>
  </si>
  <si>
    <t>#09</t>
  </si>
  <si>
    <t>#09 Black</t>
    <phoneticPr fontId="3"/>
  </si>
  <si>
    <t>#60 Navy</t>
    <phoneticPr fontId="3"/>
  </si>
  <si>
    <t>PO0002377</t>
    <phoneticPr fontId="3"/>
  </si>
  <si>
    <r>
      <t xml:space="preserve">FG-PO023040131 </t>
    </r>
    <r>
      <rPr>
        <sz val="12"/>
        <color rgb="FF0070C0"/>
        <rFont val="Arial"/>
        <family val="2"/>
      </rPr>
      <t xml:space="preserve">High Fashion </t>
    </r>
    <phoneticPr fontId="3"/>
  </si>
  <si>
    <r>
      <t>HL-EO4/7/23</t>
    </r>
    <r>
      <rPr>
        <sz val="12"/>
        <color rgb="FF0070C0"/>
        <rFont val="Arial"/>
        <family val="2"/>
      </rPr>
      <t xml:space="preserve"> NY</t>
    </r>
    <r>
      <rPr>
        <sz val="12"/>
        <rFont val="Arial"/>
        <family val="2"/>
      </rPr>
      <t xml:space="preserve"> </t>
    </r>
  </si>
  <si>
    <t># 38 Fig</t>
    <phoneticPr fontId="3"/>
  </si>
  <si>
    <r>
      <t xml:space="preserve">007292 </t>
    </r>
    <r>
      <rPr>
        <sz val="12"/>
        <color rgb="FF0070C0"/>
        <rFont val="Arial"/>
        <family val="2"/>
      </rPr>
      <t>India</t>
    </r>
    <phoneticPr fontId="3"/>
  </si>
  <si>
    <t>#54NT</t>
    <phoneticPr fontId="3"/>
  </si>
  <si>
    <r>
      <t xml:space="preserve">007302 </t>
    </r>
    <r>
      <rPr>
        <sz val="12"/>
        <color rgb="FF0070C0"/>
        <rFont val="Arial"/>
        <family val="2"/>
      </rPr>
      <t>HK</t>
    </r>
    <phoneticPr fontId="3"/>
  </si>
  <si>
    <t>#84NT Black</t>
    <phoneticPr fontId="3"/>
  </si>
  <si>
    <r>
      <t xml:space="preserve">MO-EO4/13/23 </t>
    </r>
    <r>
      <rPr>
        <sz val="12"/>
        <color rgb="FF0070C0"/>
        <rFont val="Arial"/>
        <family val="2"/>
      </rPr>
      <t>China</t>
    </r>
  </si>
  <si>
    <t>MO-EO 4/11/23 China</t>
    <phoneticPr fontId="3"/>
  </si>
  <si>
    <r>
      <t xml:space="preserve">PO-02777 </t>
    </r>
    <r>
      <rPr>
        <sz val="12"/>
        <color indexed="30"/>
        <rFont val="Arial"/>
        <family val="2"/>
      </rPr>
      <t>BLING HANDS</t>
    </r>
    <phoneticPr fontId="3"/>
  </si>
  <si>
    <r>
      <t xml:space="preserve">PO-02725 </t>
    </r>
    <r>
      <rPr>
        <sz val="12"/>
        <color indexed="30"/>
        <rFont val="Arial"/>
        <family val="2"/>
      </rPr>
      <t>BLING HANDS</t>
    </r>
    <phoneticPr fontId="3"/>
  </si>
  <si>
    <r>
      <t xml:space="preserve">PO-02723 </t>
    </r>
    <r>
      <rPr>
        <sz val="12"/>
        <color indexed="30"/>
        <rFont val="Arial"/>
        <family val="2"/>
      </rPr>
      <t>BLING HANDS</t>
    </r>
    <phoneticPr fontId="3"/>
  </si>
  <si>
    <t>PO-02723 WINGTAI</t>
  </si>
  <si>
    <t>PO-02723 WINGTAI</t>
    <phoneticPr fontId="3"/>
  </si>
  <si>
    <r>
      <t xml:space="preserve">007320 </t>
    </r>
    <r>
      <rPr>
        <sz val="12"/>
        <color rgb="FF0070C0"/>
        <rFont val="Arial"/>
        <family val="2"/>
      </rPr>
      <t>India</t>
    </r>
    <phoneticPr fontId="3"/>
  </si>
  <si>
    <t># Y625 RED</t>
    <phoneticPr fontId="3"/>
  </si>
  <si>
    <r>
      <t xml:space="preserve">007340 </t>
    </r>
    <r>
      <rPr>
        <sz val="12"/>
        <color rgb="FF0070C0"/>
        <rFont val="Arial"/>
        <family val="2"/>
      </rPr>
      <t>NY</t>
    </r>
    <phoneticPr fontId="3"/>
  </si>
  <si>
    <t>FUT3919 D#230</t>
    <phoneticPr fontId="3"/>
  </si>
  <si>
    <t>100% Polyester Lace</t>
    <phoneticPr fontId="3"/>
  </si>
  <si>
    <t>#6</t>
  </si>
  <si>
    <t>#31</t>
  </si>
  <si>
    <t>EO4/21/23</t>
    <phoneticPr fontId="3"/>
  </si>
  <si>
    <t>#Y610</t>
    <phoneticPr fontId="3"/>
  </si>
  <si>
    <t xml:space="preserve"> 2440RE</t>
    <phoneticPr fontId="3"/>
  </si>
  <si>
    <t>#530</t>
    <phoneticPr fontId="3"/>
  </si>
  <si>
    <t>2123</t>
    <phoneticPr fontId="3"/>
  </si>
  <si>
    <t># 9 Black</t>
    <phoneticPr fontId="3"/>
  </si>
  <si>
    <t># 618 Nude</t>
    <phoneticPr fontId="3"/>
  </si>
  <si>
    <t># GP1 Blush</t>
    <phoneticPr fontId="3"/>
  </si>
  <si>
    <t># 652 Navy</t>
    <phoneticPr fontId="3"/>
  </si>
  <si>
    <t>NL-EO 4/26/23</t>
    <phoneticPr fontId="3"/>
  </si>
  <si>
    <t xml:space="preserve"># 30 </t>
    <phoneticPr fontId="3"/>
  </si>
  <si>
    <t># 31 Black</t>
    <phoneticPr fontId="3"/>
  </si>
  <si>
    <t>HS-EO4/28/23</t>
    <phoneticPr fontId="3"/>
  </si>
  <si>
    <r>
      <t xml:space="preserve">SU0503 </t>
    </r>
    <r>
      <rPr>
        <sz val="12"/>
        <color indexed="10"/>
        <rFont val="Arial"/>
        <family val="2"/>
      </rPr>
      <t>China</t>
    </r>
    <phoneticPr fontId="3"/>
  </si>
  <si>
    <t>SUN051023</t>
    <phoneticPr fontId="3"/>
  </si>
  <si>
    <t>a</t>
    <phoneticPr fontId="3"/>
  </si>
  <si>
    <t>6507</t>
    <phoneticPr fontId="3"/>
  </si>
  <si>
    <t>#142 Lavender</t>
  </si>
  <si>
    <t>#530 French Blue</t>
  </si>
  <si>
    <t>#763 Baby Blue</t>
  </si>
  <si>
    <t>#A3 Soft Yellow</t>
  </si>
  <si>
    <t>#Y610 French Blue</t>
  </si>
  <si>
    <t>#A10 Blue Lavender</t>
  </si>
  <si>
    <t>#A9 Lavender</t>
  </si>
  <si>
    <t>SC423-124</t>
    <phoneticPr fontId="3"/>
  </si>
  <si>
    <t>Sara Campbell</t>
    <phoneticPr fontId="3"/>
  </si>
  <si>
    <r>
      <t>Two Layered Frill Ribbons  Nylon</t>
    </r>
    <r>
      <rPr>
        <sz val="12"/>
        <rFont val="ＭＳ Ｐゴシック"/>
        <family val="3"/>
        <charset val="128"/>
      </rPr>
      <t>：</t>
    </r>
    <r>
      <rPr>
        <sz val="12"/>
        <rFont val="Arial"/>
        <family val="2"/>
      </rPr>
      <t>90.9% , Polyurethane 9.1%</t>
    </r>
    <phoneticPr fontId="3"/>
  </si>
  <si>
    <t>#77 Black</t>
    <phoneticPr fontId="3"/>
  </si>
  <si>
    <t>012886</t>
    <phoneticPr fontId="3"/>
  </si>
  <si>
    <t>#192 Goldenrod</t>
  </si>
  <si>
    <t>#02 Salmon</t>
  </si>
  <si>
    <t>#131 Nude</t>
    <phoneticPr fontId="3"/>
  </si>
  <si>
    <t>10819</t>
    <phoneticPr fontId="3"/>
  </si>
  <si>
    <t>KYL-T23217-1</t>
    <phoneticPr fontId="3"/>
  </si>
  <si>
    <t>KYL-T23217-19</t>
    <phoneticPr fontId="3"/>
  </si>
  <si>
    <t>7367</t>
    <phoneticPr fontId="3"/>
  </si>
  <si>
    <t>#9 Black</t>
    <phoneticPr fontId="3"/>
  </si>
  <si>
    <t>#9 Black</t>
    <phoneticPr fontId="3"/>
  </si>
  <si>
    <t>0414</t>
    <phoneticPr fontId="3"/>
  </si>
  <si>
    <t>HU-23F-036 (5/22/23)</t>
    <phoneticPr fontId="3"/>
  </si>
  <si>
    <t>EO5-26-23 (5/26/23)</t>
    <phoneticPr fontId="3"/>
  </si>
  <si>
    <t>#62</t>
  </si>
  <si>
    <r>
      <t xml:space="preserve">EO5/30/23 </t>
    </r>
    <r>
      <rPr>
        <sz val="12"/>
        <color indexed="10"/>
        <rFont val="Arial"/>
        <family val="2"/>
      </rPr>
      <t>NY</t>
    </r>
    <phoneticPr fontId="3"/>
  </si>
  <si>
    <t>HU-23F-044 (6/2/23)</t>
    <phoneticPr fontId="3"/>
  </si>
  <si>
    <r>
      <t>MO-EO6/12/23</t>
    </r>
    <r>
      <rPr>
        <sz val="12"/>
        <color rgb="FF0070C0"/>
        <rFont val="Arial"/>
        <family val="2"/>
      </rPr>
      <t xml:space="preserve"> NY</t>
    </r>
  </si>
  <si>
    <t>24054 (6/9/23)</t>
    <phoneticPr fontId="3"/>
  </si>
  <si>
    <t xml:space="preserve">Poly Chiffon 100% Polyester </t>
    <phoneticPr fontId="3"/>
  </si>
  <si>
    <t>KKF6100</t>
    <phoneticPr fontId="3"/>
  </si>
  <si>
    <t># 162 Light Navy</t>
    <phoneticPr fontId="3"/>
  </si>
  <si>
    <t>Cut fee</t>
    <phoneticPr fontId="3"/>
  </si>
  <si>
    <t>e</t>
    <phoneticPr fontId="3"/>
  </si>
  <si>
    <t>HU-23F-044 (6/12/23)</t>
    <phoneticPr fontId="3"/>
  </si>
  <si>
    <r>
      <t xml:space="preserve">end user </t>
    </r>
    <r>
      <rPr>
        <b/>
        <sz val="12"/>
        <rFont val="ＭＳ Ｐゴシック"/>
        <family val="3"/>
        <charset val="128"/>
      </rPr>
      <t>益率</t>
    </r>
    <rPh sb="9" eb="10">
      <t>エキ</t>
    </rPh>
    <rPh sb="10" eb="11">
      <t>リツ</t>
    </rPh>
    <phoneticPr fontId="3"/>
  </si>
  <si>
    <r>
      <t xml:space="preserve">PO-02770 </t>
    </r>
    <r>
      <rPr>
        <sz val="12"/>
        <color indexed="30"/>
        <rFont val="Arial"/>
        <family val="2"/>
      </rPr>
      <t>BLING HANDS</t>
    </r>
    <phoneticPr fontId="3"/>
  </si>
  <si>
    <t>Set-up fee for #M766 &amp; # L808 WAX</t>
    <phoneticPr fontId="3"/>
  </si>
  <si>
    <r>
      <t xml:space="preserve">PO-02838 </t>
    </r>
    <r>
      <rPr>
        <sz val="12"/>
        <color rgb="FF0070C0"/>
        <rFont val="Arial"/>
        <family val="2"/>
      </rPr>
      <t>WINGTAI</t>
    </r>
    <phoneticPr fontId="3"/>
  </si>
  <si>
    <t xml:space="preserve"> #10C DEEP RED</t>
    <phoneticPr fontId="3"/>
  </si>
  <si>
    <t>Set-up fee for #L811 &amp;  #M766</t>
    <phoneticPr fontId="3"/>
  </si>
  <si>
    <t xml:space="preserve">Synthetic Leather trimmings </t>
    <phoneticPr fontId="3"/>
  </si>
  <si>
    <t>AW-EO6/15/23</t>
    <phoneticPr fontId="3"/>
  </si>
  <si>
    <t xml:space="preserve"># 5019 Black </t>
    <phoneticPr fontId="3"/>
  </si>
  <si>
    <t xml:space="preserve">M-03 (4-FOLD STITCHED LOOP with Mayfair 5000=1596) </t>
    <phoneticPr fontId="3"/>
  </si>
  <si>
    <t xml:space="preserve">M-05 (4-FOLD STITCHED LOOP with Mayfair 5000=1596) </t>
    <phoneticPr fontId="3"/>
  </si>
  <si>
    <t xml:space="preserve">WSO (GLUED TAPE with Mayfair 5000=1596) </t>
    <phoneticPr fontId="3"/>
  </si>
  <si>
    <t xml:space="preserve">S-03 (CORDED LOOP with Mayfair 5000=1596) </t>
    <phoneticPr fontId="3"/>
  </si>
  <si>
    <t>Black</t>
    <phoneticPr fontId="3"/>
  </si>
  <si>
    <t>無償</t>
    <rPh sb="0" eb="2">
      <t>ムショウ</t>
    </rPh>
    <phoneticPr fontId="3"/>
  </si>
  <si>
    <t>無償サンプル</t>
    <rPh sb="0" eb="2">
      <t>ムショウ</t>
    </rPh>
    <phoneticPr fontId="3"/>
  </si>
  <si>
    <t>2208 (6/19/23)</t>
    <phoneticPr fontId="3"/>
  </si>
  <si>
    <t># 329 Ivory</t>
    <phoneticPr fontId="3"/>
  </si>
  <si>
    <t># 654</t>
    <phoneticPr fontId="3"/>
  </si>
  <si>
    <t>現在庫</t>
    <rPh sb="0" eb="3">
      <t>ゲンザイコ</t>
    </rPh>
    <phoneticPr fontId="3"/>
  </si>
  <si>
    <t>不足分納期</t>
    <rPh sb="0" eb="3">
      <t>フソクブン</t>
    </rPh>
    <rPh sb="3" eb="5">
      <t>ノウキ</t>
    </rPh>
    <phoneticPr fontId="3"/>
  </si>
  <si>
    <t>PL-EO6/30/23  ship to China</t>
    <phoneticPr fontId="3"/>
  </si>
  <si>
    <t>10886 (6/29/23)  ship to China</t>
    <phoneticPr fontId="3"/>
  </si>
  <si>
    <t>100% POLYESTER ORGANZA with Print</t>
    <phoneticPr fontId="3"/>
  </si>
  <si>
    <t xml:space="preserve">abt 116cm </t>
    <phoneticPr fontId="3"/>
  </si>
  <si>
    <t>EX-mill (JAPAN)</t>
    <phoneticPr fontId="3"/>
  </si>
  <si>
    <t>14th July – JAPAN time</t>
    <phoneticPr fontId="3"/>
  </si>
  <si>
    <t>Action</t>
    <phoneticPr fontId="3"/>
  </si>
  <si>
    <t>Submission Deadline from HL to Sun Fashion</t>
    <phoneticPr fontId="3"/>
  </si>
  <si>
    <t>Ship out strike-offs as attached</t>
    <phoneticPr fontId="3"/>
  </si>
  <si>
    <t>Before COB on the 17th July - NY time</t>
    <phoneticPr fontId="3"/>
  </si>
  <si>
    <t>Please send us the final artworks</t>
    <phoneticPr fontId="3"/>
  </si>
  <si>
    <t>26th July – JAPAN time</t>
    <phoneticPr fontId="3"/>
  </si>
  <si>
    <t>Ship out strike-offs based on the final artworks</t>
    <phoneticPr fontId="3"/>
  </si>
  <si>
    <t>Before COB on the 28th July – NY time</t>
    <phoneticPr fontId="3"/>
  </si>
  <si>
    <t>Please send us sample PO</t>
    <phoneticPr fontId="3"/>
  </si>
  <si>
    <t>11th August – JAPAN time</t>
    <phoneticPr fontId="3"/>
  </si>
  <si>
    <t>Ship out  sample yds</t>
    <phoneticPr fontId="3"/>
  </si>
  <si>
    <t>TAXI PRINT 1 Background :White (as is) on PFP</t>
    <phoneticPr fontId="3"/>
  </si>
  <si>
    <t>CRUSH PRINT (as is) on PFP</t>
    <phoneticPr fontId="3"/>
  </si>
  <si>
    <t>NYC PRINT (as is) on PFP</t>
    <phoneticPr fontId="3"/>
  </si>
  <si>
    <t>FUT5115 with Print/Strike-Off</t>
    <phoneticPr fontId="3"/>
  </si>
  <si>
    <t>HL-EO6/23/23</t>
    <phoneticPr fontId="3"/>
  </si>
  <si>
    <t>利益率</t>
    <rPh sb="0" eb="2">
      <t>リエキ</t>
    </rPh>
    <rPh sb="2" eb="3">
      <t>リツ</t>
    </rPh>
    <phoneticPr fontId="3"/>
  </si>
  <si>
    <t>レート</t>
    <phoneticPr fontId="3"/>
  </si>
  <si>
    <t>EXW JAPAN 
USD/m</t>
    <phoneticPr fontId="184"/>
  </si>
  <si>
    <t>20230709 AW 40% 115円</t>
    <rPh sb="19" eb="20">
      <t>エン</t>
    </rPh>
    <phoneticPr fontId="3"/>
  </si>
  <si>
    <t>BHC-15KW (Button hole elastic)</t>
    <phoneticPr fontId="3"/>
  </si>
  <si>
    <t>MOQ / col</t>
    <phoneticPr fontId="3"/>
  </si>
  <si>
    <t>BHC-15BK (Button hole elastic)</t>
    <phoneticPr fontId="3"/>
  </si>
  <si>
    <t>Mill's Greige</t>
    <phoneticPr fontId="3"/>
  </si>
  <si>
    <t>反単価</t>
    <rPh sb="0" eb="1">
      <t>タン</t>
    </rPh>
    <rPh sb="1" eb="3">
      <t>タンカ</t>
    </rPh>
    <phoneticPr fontId="3"/>
  </si>
  <si>
    <t>メーター単価</t>
    <rPh sb="4" eb="6">
      <t>タンカ</t>
    </rPh>
    <phoneticPr fontId="3"/>
  </si>
  <si>
    <t>BHC-18KW (Button hole elastic)</t>
    <phoneticPr fontId="3"/>
  </si>
  <si>
    <t>BHC-20KW (Button hole elastic)</t>
    <phoneticPr fontId="3"/>
  </si>
  <si>
    <t>BHC-25KW (Button hole elastic)</t>
    <phoneticPr fontId="3"/>
  </si>
  <si>
    <t>BHC-18BK (Button hole elastic)</t>
    <phoneticPr fontId="3"/>
  </si>
  <si>
    <t>BHC-20BK (Button hole elastic)</t>
    <phoneticPr fontId="3"/>
  </si>
  <si>
    <t>BHC-25BK (Button hole elastic)</t>
    <phoneticPr fontId="3"/>
  </si>
  <si>
    <t>BHC-15 Mill's Colors (Button hole elastic)</t>
    <phoneticPr fontId="3"/>
  </si>
  <si>
    <t>BHC-18  Mill's Colors (Button hole elastic)</t>
    <phoneticPr fontId="3"/>
  </si>
  <si>
    <t>BHC-20  Mill's Colors (Button hole elastic)</t>
    <phoneticPr fontId="3"/>
  </si>
  <si>
    <t>BHC-25  Mill's Colors (Button hole elastic)</t>
    <phoneticPr fontId="3"/>
  </si>
  <si>
    <t xml:space="preserve">Mill's 16 Colors on the sample card </t>
    <phoneticPr fontId="3"/>
  </si>
  <si>
    <t>30 rolls /col (900m/col)</t>
    <phoneticPr fontId="184"/>
  </si>
  <si>
    <t>10 rolls /col (300m/col)</t>
    <phoneticPr fontId="184"/>
  </si>
  <si>
    <t>BHC-15 Custom Colors (Button hole elastic)</t>
    <phoneticPr fontId="3"/>
  </si>
  <si>
    <t>BHC-18  Custom Colors (Button hole elastic)</t>
    <phoneticPr fontId="3"/>
  </si>
  <si>
    <t>BHC-20  Custom Colors (Button hole elastic)</t>
    <phoneticPr fontId="3"/>
  </si>
  <si>
    <t>BHC-25  Custom Colors (Button hole elastic)</t>
    <phoneticPr fontId="3"/>
  </si>
  <si>
    <t>Custom colors</t>
    <phoneticPr fontId="3"/>
  </si>
  <si>
    <t>Put-up/roll</t>
    <phoneticPr fontId="3"/>
  </si>
  <si>
    <t>1 roll (30m/col)</t>
    <phoneticPr fontId="184"/>
  </si>
  <si>
    <t>TBC</t>
    <phoneticPr fontId="3"/>
  </si>
  <si>
    <t>Lace Trim 100% Cotton</t>
    <phoneticPr fontId="3"/>
  </si>
  <si>
    <t>OL-351501-1</t>
    <phoneticPr fontId="3"/>
  </si>
  <si>
    <t>KYL-K7716</t>
    <phoneticPr fontId="3"/>
  </si>
  <si>
    <t>#36 off-white</t>
    <phoneticPr fontId="3"/>
  </si>
  <si>
    <t>FUT9496-W D#1</t>
    <phoneticPr fontId="3"/>
  </si>
  <si>
    <t xml:space="preserve">SUN-7035 </t>
    <phoneticPr fontId="3"/>
  </si>
  <si>
    <t>FUT0158 D#2</t>
    <phoneticPr fontId="3"/>
  </si>
  <si>
    <t>FUT0158 D#1</t>
    <phoneticPr fontId="3"/>
  </si>
  <si>
    <t>Cut fee</t>
    <phoneticPr fontId="3"/>
  </si>
  <si>
    <t xml:space="preserve">Col.11  </t>
    <phoneticPr fontId="3"/>
  </si>
  <si>
    <t>Col. 21</t>
    <phoneticPr fontId="3"/>
  </si>
  <si>
    <t>Dyed poly Raschel Lace  Polyester100%</t>
    <phoneticPr fontId="3"/>
  </si>
  <si>
    <t>100/105cm</t>
    <phoneticPr fontId="3"/>
  </si>
  <si>
    <t>130cm</t>
    <phoneticPr fontId="3"/>
  </si>
  <si>
    <t>Crinoline   Nylon 100%</t>
    <phoneticPr fontId="3"/>
  </si>
  <si>
    <t xml:space="preserve">115cm </t>
    <phoneticPr fontId="3"/>
  </si>
  <si>
    <t>071123 (7/11/23)</t>
    <phoneticPr fontId="3"/>
  </si>
  <si>
    <t>EO7/13/23</t>
  </si>
  <si>
    <t>Alice &amp; Olivia</t>
    <phoneticPr fontId="3"/>
  </si>
  <si>
    <t>KYL-T24371-1</t>
    <phoneticPr fontId="3"/>
  </si>
  <si>
    <t>KYL-25214</t>
    <phoneticPr fontId="3"/>
  </si>
  <si>
    <t>Polyester Lace  100% Polyester</t>
    <phoneticPr fontId="3"/>
  </si>
  <si>
    <t xml:space="preserve">Col. 20 black   </t>
    <phoneticPr fontId="3"/>
  </si>
  <si>
    <t>FUT9361-58  D/# 1</t>
    <phoneticPr fontId="3"/>
  </si>
  <si>
    <r>
      <t xml:space="preserve">EO7/13/23 </t>
    </r>
    <r>
      <rPr>
        <sz val="12"/>
        <color rgb="FF0070C0"/>
        <rFont val="Arial"/>
        <family val="2"/>
      </rPr>
      <t>Vietnam</t>
    </r>
    <phoneticPr fontId="3"/>
  </si>
  <si>
    <r>
      <t xml:space="preserve">EO7/13/23 </t>
    </r>
    <r>
      <rPr>
        <sz val="12"/>
        <color rgb="FF0070C0"/>
        <rFont val="Arial"/>
        <family val="2"/>
      </rPr>
      <t>HK</t>
    </r>
    <phoneticPr fontId="3"/>
  </si>
  <si>
    <t>Plain Elastic Tape  Polyester 84% Pu 16%</t>
    <phoneticPr fontId="3"/>
  </si>
  <si>
    <t>Vietnam</t>
    <phoneticPr fontId="3"/>
  </si>
  <si>
    <t>PO-0017 (7/13/23)</t>
    <phoneticPr fontId="3"/>
  </si>
  <si>
    <t>Ascend USA West</t>
    <phoneticPr fontId="3"/>
  </si>
  <si>
    <t>White</t>
    <phoneticPr fontId="3"/>
  </si>
  <si>
    <t>DS24_0017</t>
    <phoneticPr fontId="3"/>
  </si>
  <si>
    <t>#48C Asphalt</t>
  </si>
  <si>
    <t>#43C Birch</t>
  </si>
  <si>
    <t>#49C Mercury</t>
  </si>
  <si>
    <t>#09C Red</t>
  </si>
  <si>
    <t>Set-up fee for #M766 Citrine</t>
    <phoneticPr fontId="3"/>
  </si>
  <si>
    <t>#M766 Citrine  (custom)</t>
    <phoneticPr fontId="3"/>
  </si>
  <si>
    <r>
      <t xml:space="preserve">PO-02909 (7/17/23) </t>
    </r>
    <r>
      <rPr>
        <sz val="12"/>
        <color rgb="FF0070C0"/>
        <rFont val="Arial"/>
        <family val="2"/>
      </rPr>
      <t>WINGTAI</t>
    </r>
    <phoneticPr fontId="3"/>
  </si>
  <si>
    <r>
      <t xml:space="preserve">PO-02903 (7/17/23) </t>
    </r>
    <r>
      <rPr>
        <sz val="12"/>
        <color rgb="FF0070C0"/>
        <rFont val="Arial"/>
        <family val="2"/>
      </rPr>
      <t>Turkey</t>
    </r>
    <phoneticPr fontId="3"/>
  </si>
  <si>
    <t>#01C White</t>
  </si>
  <si>
    <t>#L808 Ivory  (custom)</t>
    <phoneticPr fontId="3"/>
  </si>
  <si>
    <t xml:space="preserve">Set-up fee for L808 Ivory </t>
    <phoneticPr fontId="3"/>
  </si>
  <si>
    <t>AO-EO 7/14/23 India</t>
    <phoneticPr fontId="3"/>
  </si>
  <si>
    <t>KYL-25256</t>
    <phoneticPr fontId="3"/>
  </si>
  <si>
    <t>KYL-25255</t>
    <phoneticPr fontId="3"/>
  </si>
  <si>
    <r>
      <t xml:space="preserve">INV# green </t>
    </r>
    <r>
      <rPr>
        <b/>
        <sz val="11"/>
        <color rgb="FF00B050"/>
        <rFont val="ＭＳ Ｐゴシック"/>
        <family val="3"/>
        <charset val="128"/>
      </rPr>
      <t>実績表未</t>
    </r>
    <rPh sb="11" eb="14">
      <t>ジッセキヒョウ</t>
    </rPh>
    <rPh sb="14" eb="15">
      <t>ミ</t>
    </rPh>
    <phoneticPr fontId="3"/>
  </si>
  <si>
    <t>Plain Elastic Tape  Polyester 85% Pu 15%</t>
    <phoneticPr fontId="3"/>
  </si>
  <si>
    <t>AO-EO7/20/23 India</t>
    <phoneticPr fontId="3"/>
  </si>
  <si>
    <t>KYL-25431</t>
    <phoneticPr fontId="3"/>
  </si>
  <si>
    <r>
      <t>AO-EO7/24/23</t>
    </r>
    <r>
      <rPr>
        <sz val="12"/>
        <rFont val="ＭＳ Ｐゴシック"/>
        <family val="3"/>
        <charset val="128"/>
      </rPr>
      <t>　</t>
    </r>
    <r>
      <rPr>
        <sz val="12"/>
        <rFont val="Arial"/>
        <family val="2"/>
      </rPr>
      <t>HK</t>
    </r>
    <phoneticPr fontId="3"/>
  </si>
  <si>
    <t>KYL-T24371</t>
    <phoneticPr fontId="3"/>
  </si>
  <si>
    <t xml:space="preserve">Lace Trim  Base 100% Nylon, Front &amp; Back yarn 100% Cotton </t>
    <phoneticPr fontId="3"/>
  </si>
  <si>
    <t>DTM Pink lace #12-1708TPG</t>
    <phoneticPr fontId="3"/>
  </si>
  <si>
    <t>DTM Spring sky  #13-4809TPX</t>
    <phoneticPr fontId="3"/>
  </si>
  <si>
    <t>e</t>
    <phoneticPr fontId="3"/>
  </si>
  <si>
    <t>HL-EO7/25/23</t>
    <phoneticPr fontId="3"/>
  </si>
  <si>
    <t>Cut Fee for shipping sample</t>
    <phoneticPr fontId="3"/>
  </si>
  <si>
    <r>
      <t xml:space="preserve">PO-02910(7/26/23) </t>
    </r>
    <r>
      <rPr>
        <sz val="12"/>
        <color indexed="30"/>
        <rFont val="Arial"/>
        <family val="2"/>
      </rPr>
      <t>BLING HANDS</t>
    </r>
    <phoneticPr fontId="3"/>
  </si>
  <si>
    <t>SO23053</t>
    <phoneticPr fontId="3"/>
  </si>
  <si>
    <t>W&amp;I Bridal (Anne Barge)</t>
    <phoneticPr fontId="3"/>
  </si>
  <si>
    <t xml:space="preserve"># A9   </t>
    <phoneticPr fontId="3"/>
  </si>
  <si>
    <t>2220 (8/1/23)</t>
    <phoneticPr fontId="3"/>
  </si>
  <si>
    <t xml:space="preserve">SUN 080223 (8/2/23) NY </t>
    <phoneticPr fontId="3"/>
  </si>
  <si>
    <t>011034</t>
    <phoneticPr fontId="3"/>
  </si>
  <si>
    <t># 1 White</t>
    <phoneticPr fontId="3"/>
  </si>
  <si>
    <t># 9 Ivory</t>
    <phoneticPr fontId="3"/>
  </si>
  <si>
    <t># 31 Black</t>
    <phoneticPr fontId="3"/>
  </si>
  <si>
    <t># 52 Fatigue Khaki</t>
    <phoneticPr fontId="3"/>
  </si>
  <si>
    <t># 62 Light Fatigue Khaki</t>
    <phoneticPr fontId="3"/>
  </si>
  <si>
    <t># 53 Army Green</t>
    <phoneticPr fontId="3"/>
  </si>
  <si>
    <t>T&amp;L-EO 8/3/23</t>
    <phoneticPr fontId="3"/>
  </si>
  <si>
    <t>Tom &amp; Linda</t>
    <phoneticPr fontId="3"/>
  </si>
  <si>
    <t>Organdy Ribbon  Nylon 100%</t>
    <phoneticPr fontId="3"/>
  </si>
  <si>
    <t># 35</t>
    <phoneticPr fontId="3"/>
  </si>
  <si>
    <t># 12</t>
    <phoneticPr fontId="3"/>
  </si>
  <si>
    <t># 1</t>
    <phoneticPr fontId="3"/>
  </si>
  <si>
    <t># 11</t>
    <phoneticPr fontId="3"/>
  </si>
  <si>
    <t># 41</t>
    <phoneticPr fontId="3"/>
  </si>
  <si>
    <t>Silk Satin Ribbons (Double Face)   Silk 100%</t>
    <phoneticPr fontId="3"/>
  </si>
  <si>
    <t># 48</t>
    <phoneticPr fontId="3"/>
  </si>
  <si>
    <t xml:space="preserve"> 3115</t>
    <phoneticPr fontId="3"/>
  </si>
  <si>
    <t># 13</t>
    <phoneticPr fontId="3"/>
  </si>
  <si>
    <t># 307</t>
    <phoneticPr fontId="3"/>
  </si>
  <si>
    <t>DL-EO8/7/23</t>
    <phoneticPr fontId="3"/>
  </si>
  <si>
    <t>FWL-21937 S</t>
  </si>
  <si>
    <t>FWL-71307</t>
  </si>
  <si>
    <t>FWL-41182 S</t>
  </si>
  <si>
    <t>通常単価</t>
    <rPh sb="0" eb="2">
      <t>ツウジョウ</t>
    </rPh>
    <rPh sb="2" eb="4">
      <t>タンカ</t>
    </rPh>
    <phoneticPr fontId="3"/>
  </si>
  <si>
    <r>
      <t>AO-EO8/9/23</t>
    </r>
    <r>
      <rPr>
        <sz val="12"/>
        <rFont val="ＭＳ Ｐゴシック"/>
        <family val="3"/>
        <charset val="128"/>
      </rPr>
      <t>　</t>
    </r>
    <r>
      <rPr>
        <sz val="12"/>
        <rFont val="Arial"/>
        <family val="2"/>
      </rPr>
      <t>HK</t>
    </r>
    <phoneticPr fontId="3"/>
  </si>
  <si>
    <t>Mill's Black</t>
    <phoneticPr fontId="3"/>
  </si>
  <si>
    <t>KYL-24219-19</t>
    <phoneticPr fontId="3"/>
  </si>
  <si>
    <t>#329 off-white</t>
    <phoneticPr fontId="3"/>
  </si>
  <si>
    <t>080823 (8/8/23)</t>
    <phoneticPr fontId="3"/>
  </si>
  <si>
    <t>Polyester Petersham Ribbon   Polyester-100%</t>
    <phoneticPr fontId="3"/>
  </si>
  <si>
    <t>SU0817 (8/17/23)</t>
    <phoneticPr fontId="3"/>
  </si>
  <si>
    <t>貿易単価</t>
    <rPh sb="0" eb="2">
      <t>ボウエキ</t>
    </rPh>
    <rPh sb="2" eb="4">
      <t>タンカ</t>
    </rPh>
    <phoneticPr fontId="3"/>
  </si>
  <si>
    <t>通常単価</t>
    <rPh sb="0" eb="4">
      <t>ツウジョウタンカ</t>
    </rPh>
    <phoneticPr fontId="3"/>
  </si>
  <si>
    <t># 8 Black</t>
    <phoneticPr fontId="3"/>
  </si>
  <si>
    <t>Set-up fee for #M766 WAX</t>
    <phoneticPr fontId="3"/>
  </si>
  <si>
    <t>Set-up fee for # L808 WAX</t>
    <phoneticPr fontId="3"/>
  </si>
  <si>
    <r>
      <t>PO-02989</t>
    </r>
    <r>
      <rPr>
        <sz val="12"/>
        <rFont val="ＭＳ Ｐゴシック"/>
        <family val="3"/>
        <charset val="128"/>
      </rPr>
      <t>（</t>
    </r>
    <r>
      <rPr>
        <sz val="12"/>
        <rFont val="Arial"/>
        <family val="2"/>
      </rPr>
      <t>8/21/23</t>
    </r>
    <r>
      <rPr>
        <sz val="12"/>
        <rFont val="ＭＳ Ｐゴシック"/>
        <family val="3"/>
        <charset val="128"/>
      </rPr>
      <t>）</t>
    </r>
    <r>
      <rPr>
        <sz val="12"/>
        <rFont val="Arial"/>
        <family val="2"/>
      </rPr>
      <t xml:space="preserve"> </t>
    </r>
    <r>
      <rPr>
        <sz val="12"/>
        <color indexed="30"/>
        <rFont val="Arial"/>
        <family val="2"/>
      </rPr>
      <t>BLING HANDS</t>
    </r>
    <phoneticPr fontId="3"/>
  </si>
  <si>
    <t>2045(8/18/23)</t>
    <phoneticPr fontId="3"/>
  </si>
  <si>
    <t>2046 (8/22/23)</t>
    <phoneticPr fontId="3"/>
  </si>
  <si>
    <t>Lace Trim 94% Cotton 6% Pu</t>
    <phoneticPr fontId="3"/>
  </si>
  <si>
    <t>DTM Black</t>
    <phoneticPr fontId="3"/>
  </si>
  <si>
    <t>DTM Timber</t>
    <phoneticPr fontId="3"/>
  </si>
  <si>
    <t>DL-EO8/22/23</t>
    <phoneticPr fontId="3"/>
  </si>
  <si>
    <t xml:space="preserve">DTM Fee </t>
    <phoneticPr fontId="3"/>
  </si>
  <si>
    <t>e</t>
    <phoneticPr fontId="3"/>
  </si>
  <si>
    <t>FWL-41182S</t>
    <phoneticPr fontId="3"/>
  </si>
  <si>
    <t>SUN082823 (8/28/23)</t>
    <phoneticPr fontId="3"/>
  </si>
  <si>
    <t>Striped Grosgrain Ribbon   Nylon-100%</t>
    <phoneticPr fontId="3"/>
  </si>
  <si>
    <t># 14</t>
    <phoneticPr fontId="3"/>
  </si>
  <si>
    <t>011172</t>
    <phoneticPr fontId="3"/>
  </si>
  <si>
    <t># C66 STONE</t>
    <phoneticPr fontId="3"/>
  </si>
  <si>
    <t># 31 BLACK</t>
    <phoneticPr fontId="3"/>
  </si>
  <si>
    <t># C24 ADMIRAL GREY</t>
    <phoneticPr fontId="3"/>
  </si>
  <si>
    <t>HU-23F-050 (9/6/23)</t>
    <phoneticPr fontId="3"/>
  </si>
  <si>
    <t>2240 (9/7/23)</t>
    <phoneticPr fontId="3"/>
  </si>
  <si>
    <t># 009 Black</t>
    <phoneticPr fontId="3"/>
  </si>
  <si>
    <t># 661 Coral</t>
    <phoneticPr fontId="3"/>
  </si>
  <si>
    <t># GP1 Blush</t>
    <phoneticPr fontId="3"/>
  </si>
  <si>
    <t># 610 Silver</t>
    <phoneticPr fontId="3"/>
  </si>
  <si>
    <t># 009 Black</t>
    <phoneticPr fontId="3"/>
  </si>
  <si>
    <t>011172 Dup (9/12/23)</t>
    <phoneticPr fontId="3"/>
  </si>
  <si>
    <t>MO-EO9/22/23</t>
    <phoneticPr fontId="3"/>
  </si>
  <si>
    <t>FWL-22520</t>
    <phoneticPr fontId="3"/>
  </si>
  <si>
    <t xml:space="preserve">20230927 Helmut Lang </t>
    <phoneticPr fontId="3"/>
  </si>
  <si>
    <t>EXW JAPAN /m</t>
    <phoneticPr fontId="3"/>
  </si>
  <si>
    <t>仕入単価</t>
    <rPh sb="0" eb="2">
      <t>シイレ</t>
    </rPh>
    <rPh sb="2" eb="4">
      <t>タンカ</t>
    </rPh>
    <phoneticPr fontId="3"/>
  </si>
  <si>
    <t># 9000 ( Washable synthetic leather)</t>
    <phoneticPr fontId="3"/>
  </si>
  <si>
    <t>Flat cut tape 38mm</t>
    <phoneticPr fontId="3"/>
  </si>
  <si>
    <t>abt 25m/roll</t>
    <phoneticPr fontId="3"/>
  </si>
  <si>
    <t># 3000 ( Eco Blue leather)</t>
    <phoneticPr fontId="3"/>
  </si>
  <si>
    <t>abt 20m/roll</t>
    <phoneticPr fontId="3"/>
  </si>
  <si>
    <t># 5000 (Mayfair)</t>
    <phoneticPr fontId="3"/>
  </si>
  <si>
    <t>*There may be a joint on each roll, therefore 1 roll can be 2 pieces.</t>
    <phoneticPr fontId="3"/>
  </si>
  <si>
    <t>20230927 Alexander Wang</t>
    <phoneticPr fontId="3"/>
  </si>
  <si>
    <t xml:space="preserve">Cord Stopper Pattern# 2006 (SFMO-Marine Star) </t>
    <phoneticPr fontId="3"/>
  </si>
  <si>
    <t>MS119 / MS104</t>
    <phoneticPr fontId="3"/>
  </si>
  <si>
    <t>100pcs /col</t>
    <phoneticPr fontId="3"/>
  </si>
  <si>
    <t xml:space="preserve">Cord Stopper Pattern# 2772 (SFMO-Marine Star) </t>
    <phoneticPr fontId="3"/>
  </si>
  <si>
    <t xml:space="preserve">Cord Stopper Pattern# 3659 (SFMO-Marine Star) </t>
    <phoneticPr fontId="3"/>
  </si>
  <si>
    <t xml:space="preserve">Cord Stopper Pattern# 2046 (SFMO-Marine Star) </t>
    <phoneticPr fontId="3"/>
  </si>
  <si>
    <t>EXW JAPAN /pc</t>
    <phoneticPr fontId="3"/>
  </si>
  <si>
    <t xml:space="preserve">*These items are made to order, therefore L/T varies depending on each order qty. </t>
    <phoneticPr fontId="3"/>
  </si>
  <si>
    <t>Synthetic Leather trimming  SURFACE: Polyurethane-100%, REVERSE: Recycled Polyester-100%</t>
    <phoneticPr fontId="3"/>
  </si>
  <si>
    <t># 3019 Black</t>
    <phoneticPr fontId="3"/>
  </si>
  <si>
    <t>Synthetic Leather trimming  SURFACE: Polyurethane-100%, REVERSE: Cupro-80%, Nylon-20%</t>
    <phoneticPr fontId="3"/>
  </si>
  <si>
    <t># 5019 Black</t>
    <phoneticPr fontId="3"/>
  </si>
  <si>
    <t>013454 (9/28/23)</t>
    <phoneticPr fontId="3"/>
  </si>
  <si>
    <t>MO-EO9/28/23</t>
    <phoneticPr fontId="3"/>
  </si>
  <si>
    <t>FWL-22518</t>
    <phoneticPr fontId="3"/>
  </si>
  <si>
    <t>Dye fee for Mill's Black</t>
    <phoneticPr fontId="3"/>
  </si>
  <si>
    <t>e</t>
    <phoneticPr fontId="3"/>
  </si>
  <si>
    <t># 1596 (Mayfair #5000)</t>
    <phoneticPr fontId="3"/>
  </si>
  <si>
    <t>M-05</t>
    <phoneticPr fontId="3"/>
  </si>
  <si>
    <t>20230929 Helmut Lang Bulk price</t>
    <phoneticPr fontId="3"/>
  </si>
  <si>
    <t>EXW JAPAN /m for 1,000m</t>
    <phoneticPr fontId="3"/>
  </si>
  <si>
    <t>EO 9/29/23</t>
    <phoneticPr fontId="3"/>
  </si>
  <si>
    <r>
      <t>Velvet Fabric    P:Rayon100</t>
    </r>
    <r>
      <rPr>
        <sz val="12"/>
        <rFont val="ＭＳ Ｐゴシック"/>
        <family val="3"/>
        <charset val="128"/>
      </rPr>
      <t>％</t>
    </r>
    <r>
      <rPr>
        <sz val="12"/>
        <rFont val="Arial"/>
        <family val="2"/>
      </rPr>
      <t xml:space="preserve"> G:Polyester100</t>
    </r>
    <r>
      <rPr>
        <sz val="12"/>
        <rFont val="ＭＳ Ｐゴシック"/>
        <family val="3"/>
        <charset val="128"/>
      </rPr>
      <t>％</t>
    </r>
    <phoneticPr fontId="3"/>
  </si>
  <si>
    <t xml:space="preserve">SAG-1400-086 D#R3289 </t>
    <phoneticPr fontId="3"/>
  </si>
  <si>
    <r>
      <t>110/112</t>
    </r>
    <r>
      <rPr>
        <sz val="12"/>
        <rFont val="Arial"/>
        <family val="2"/>
      </rPr>
      <t>cm</t>
    </r>
    <phoneticPr fontId="3"/>
  </si>
  <si>
    <t>Col. Black</t>
    <phoneticPr fontId="3"/>
  </si>
  <si>
    <r>
      <rPr>
        <sz val="12"/>
        <rFont val="ＭＳ Ｐゴシック"/>
        <family val="3"/>
        <charset val="128"/>
      </rPr>
      <t>ミニマム未満小口代</t>
    </r>
    <r>
      <rPr>
        <sz val="12"/>
        <rFont val="Arial"/>
        <family val="2"/>
      </rPr>
      <t>+300</t>
    </r>
    <rPh sb="4" eb="6">
      <t>ミマン</t>
    </rPh>
    <rPh sb="6" eb="8">
      <t>コグチ</t>
    </rPh>
    <rPh sb="8" eb="9">
      <t>ダイ</t>
    </rPh>
    <phoneticPr fontId="3"/>
  </si>
  <si>
    <t>Mill's Black (piece dyed)</t>
    <phoneticPr fontId="3"/>
  </si>
  <si>
    <t>HL-230928 (X60207)</t>
    <phoneticPr fontId="3"/>
  </si>
  <si>
    <t>DTM Red #17-1558TPX (piece dyed)</t>
    <phoneticPr fontId="3"/>
  </si>
  <si>
    <t>Dye fee for DTM Red</t>
    <phoneticPr fontId="3"/>
  </si>
  <si>
    <t>EB-EO10/3/23</t>
    <phoneticPr fontId="3"/>
  </si>
  <si>
    <t>BH-EO 10/3/23</t>
    <phoneticPr fontId="3"/>
  </si>
  <si>
    <t>TRL-TP291884</t>
    <phoneticPr fontId="3"/>
  </si>
  <si>
    <t>Mill's Black (piece dye)</t>
    <phoneticPr fontId="3"/>
  </si>
  <si>
    <t>8763 (10/5/23)</t>
    <phoneticPr fontId="3"/>
  </si>
  <si>
    <t>CREACT(Samuel Lim)</t>
    <phoneticPr fontId="3"/>
  </si>
  <si>
    <t>007605 (10/10/23)</t>
    <phoneticPr fontId="3"/>
  </si>
  <si>
    <t>#31 Nude</t>
    <phoneticPr fontId="3"/>
  </si>
  <si>
    <t>007609 (10/12/23)</t>
    <phoneticPr fontId="3"/>
  </si>
  <si>
    <t>#81 Light Suede</t>
    <phoneticPr fontId="3"/>
  </si>
  <si>
    <t>011410</t>
    <phoneticPr fontId="3"/>
  </si>
  <si>
    <t># 17 ROOSEVELT KHAKI</t>
    <phoneticPr fontId="3"/>
  </si>
  <si>
    <t># 47 MIDNIGHT</t>
    <phoneticPr fontId="3"/>
  </si>
  <si>
    <t xml:space="preserve"># 73 BROWN </t>
    <phoneticPr fontId="3"/>
  </si>
  <si>
    <t>8300F</t>
    <phoneticPr fontId="3"/>
  </si>
  <si>
    <t># 15 MIDNIGHT</t>
    <phoneticPr fontId="3"/>
  </si>
  <si>
    <t xml:space="preserve"> # 17 ROOSEVELT KHAKI</t>
    <phoneticPr fontId="3"/>
  </si>
  <si>
    <t># 23 BROWN</t>
    <phoneticPr fontId="3"/>
  </si>
  <si>
    <t># 280 SUNSHINE YELLOW</t>
    <phoneticPr fontId="3"/>
  </si>
  <si>
    <t># 187-BLUSH</t>
    <phoneticPr fontId="3"/>
  </si>
  <si>
    <t># 137-LILAC</t>
    <phoneticPr fontId="3"/>
  </si>
  <si>
    <t># KW-WHITE</t>
    <phoneticPr fontId="3"/>
  </si>
  <si>
    <t>PO-03074</t>
    <phoneticPr fontId="3"/>
  </si>
  <si>
    <t xml:space="preserve">Elastic Tape with Custom Silicon Logo  Composition -Tape : Polyester 84% Pu 16% / Silicone Logo </t>
    <phoneticPr fontId="3"/>
  </si>
  <si>
    <r>
      <rPr>
        <sz val="11"/>
        <rFont val="MS UI Gothic"/>
        <family val="3"/>
        <charset val="128"/>
      </rPr>
      <t>福井県越前市千原町</t>
    </r>
    <r>
      <rPr>
        <sz val="11"/>
        <rFont val="Times New Roman"/>
        <family val="1"/>
      </rPr>
      <t>2-6</t>
    </r>
    <phoneticPr fontId="3"/>
  </si>
  <si>
    <t>5007332 (10/13/23)</t>
    <phoneticPr fontId="3"/>
  </si>
  <si>
    <t xml:space="preserve">Off White Elastic x Black Print </t>
    <phoneticPr fontId="3"/>
  </si>
  <si>
    <t>サンプル代一式</t>
    <rPh sb="4" eb="5">
      <t>ダイ</t>
    </rPh>
    <rPh sb="5" eb="7">
      <t>イッシキ</t>
    </rPh>
    <phoneticPr fontId="3"/>
  </si>
  <si>
    <t>MO-EO10/18/23</t>
    <phoneticPr fontId="3"/>
  </si>
  <si>
    <t>DTM Off White (piece dyed)</t>
    <phoneticPr fontId="3"/>
  </si>
  <si>
    <t>Dye fee for DTM Off White</t>
    <phoneticPr fontId="3"/>
  </si>
  <si>
    <r>
      <t xml:space="preserve">11149 (10/21/23) </t>
    </r>
    <r>
      <rPr>
        <sz val="12"/>
        <color indexed="10"/>
        <rFont val="Arial"/>
        <family val="2"/>
      </rPr>
      <t>AFENG CHINA</t>
    </r>
    <phoneticPr fontId="3"/>
  </si>
  <si>
    <t xml:space="preserve"> #39C TIMBER</t>
    <phoneticPr fontId="3"/>
  </si>
  <si>
    <t xml:space="preserve">#48C ASPHALT </t>
    <phoneticPr fontId="3"/>
  </si>
  <si>
    <r>
      <t xml:space="preserve">PO-03110 </t>
    </r>
    <r>
      <rPr>
        <sz val="12"/>
        <color rgb="FF0070C0"/>
        <rFont val="Arial"/>
        <family val="2"/>
      </rPr>
      <t>Tak Fat</t>
    </r>
    <phoneticPr fontId="3"/>
  </si>
  <si>
    <r>
      <t xml:space="preserve">PO-03111 </t>
    </r>
    <r>
      <rPr>
        <sz val="12"/>
        <color rgb="FF0070C0"/>
        <rFont val="Arial"/>
        <family val="2"/>
      </rPr>
      <t>Malhinter</t>
    </r>
    <phoneticPr fontId="3"/>
  </si>
  <si>
    <r>
      <t xml:space="preserve">PO-03112 </t>
    </r>
    <r>
      <rPr>
        <sz val="12"/>
        <color rgb="FF0070C0"/>
        <rFont val="Arial"/>
        <family val="2"/>
      </rPr>
      <t>Mesura</t>
    </r>
    <phoneticPr fontId="3"/>
  </si>
  <si>
    <t>NL-EO10/23/23</t>
    <phoneticPr fontId="3"/>
  </si>
  <si>
    <t># 58</t>
    <phoneticPr fontId="3"/>
  </si>
  <si>
    <t>9046 (10/24/23)</t>
    <phoneticPr fontId="3"/>
  </si>
  <si>
    <t># 142</t>
    <phoneticPr fontId="3"/>
  </si>
  <si>
    <r>
      <t xml:space="preserve">PO-03113 </t>
    </r>
    <r>
      <rPr>
        <sz val="12"/>
        <color rgb="FF0070C0"/>
        <rFont val="Arial"/>
        <family val="2"/>
      </rPr>
      <t>Wing tai</t>
    </r>
    <phoneticPr fontId="3"/>
  </si>
  <si>
    <t># 83NT Deep Slate</t>
    <phoneticPr fontId="3"/>
  </si>
  <si>
    <t>23CFMZXY055 (10/26/23)</t>
    <phoneticPr fontId="3"/>
  </si>
  <si>
    <t>MO-EO10/27/23 (10/27/23)</t>
    <phoneticPr fontId="3"/>
  </si>
  <si>
    <t>5007383 (10/27/23)</t>
    <phoneticPr fontId="3"/>
  </si>
  <si>
    <t>SAG 7570</t>
    <phoneticPr fontId="3"/>
  </si>
  <si>
    <t>5007387 (10/30/23)</t>
    <phoneticPr fontId="3"/>
  </si>
  <si>
    <t>Col. B2 BURGUNDY</t>
    <phoneticPr fontId="3"/>
  </si>
  <si>
    <t>Col. 12 BLACK</t>
    <phoneticPr fontId="3"/>
  </si>
  <si>
    <t>Velvet Fabric    P:Rayon100% G:Cupro95%,polyurethane5%</t>
    <phoneticPr fontId="3"/>
  </si>
  <si>
    <t>AC-EO11/6/23</t>
    <phoneticPr fontId="3"/>
  </si>
  <si>
    <t>112/115cm</t>
    <phoneticPr fontId="3"/>
  </si>
  <si>
    <t>FUT9978 D#2</t>
    <phoneticPr fontId="3"/>
  </si>
  <si>
    <t xml:space="preserve">Col. 6 Black </t>
    <phoneticPr fontId="3"/>
  </si>
  <si>
    <t># 77 Indigo</t>
    <phoneticPr fontId="3"/>
  </si>
  <si>
    <t>23210 (11/8/23)</t>
    <phoneticPr fontId="3"/>
  </si>
  <si>
    <t>FUT3536F3Y-W</t>
    <phoneticPr fontId="3"/>
  </si>
  <si>
    <t># 11E</t>
    <phoneticPr fontId="3"/>
  </si>
  <si>
    <t># 53E</t>
    <phoneticPr fontId="3"/>
  </si>
  <si>
    <t xml:space="preserve"># 46E </t>
    <phoneticPr fontId="3"/>
  </si>
  <si>
    <t xml:space="preserve"># 10E </t>
    <phoneticPr fontId="3"/>
  </si>
  <si>
    <t xml:space="preserve">Recycled Polyester tulle   100% Recycled Polyester </t>
  </si>
  <si>
    <t xml:space="preserve">Recycled Polyester tulle   100% Recycled Polyester </t>
    <phoneticPr fontId="3"/>
  </si>
  <si>
    <t>FUT3321F3Y-W</t>
    <phoneticPr fontId="3"/>
  </si>
  <si>
    <t>145/150cm</t>
    <phoneticPr fontId="3"/>
  </si>
  <si>
    <t># 127E</t>
    <phoneticPr fontId="3"/>
  </si>
  <si>
    <t xml:space="preserve">Recycle Palette Organza   100% Recycled Polyester </t>
    <phoneticPr fontId="3"/>
  </si>
  <si>
    <t># 329 (OF)</t>
    <phoneticPr fontId="3"/>
  </si>
  <si>
    <t>Recycled Polyester Petersham Ribbon   Recycled  Polyester-100%</t>
    <phoneticPr fontId="3"/>
  </si>
  <si>
    <t>5007435 (11/10/23)</t>
    <phoneticPr fontId="3"/>
  </si>
  <si>
    <t>#KW White</t>
  </si>
  <si>
    <t>#137 Lilac</t>
  </si>
  <si>
    <t>#187 Blush</t>
  </si>
  <si>
    <t>PO-03113 Wing tai</t>
    <phoneticPr fontId="3"/>
  </si>
  <si>
    <r>
      <t xml:space="preserve">Handling Fee ( </t>
    </r>
    <r>
      <rPr>
        <sz val="12"/>
        <color rgb="FF7030A0"/>
        <rFont val="ＭＳ Ｐゴシック"/>
        <family val="3"/>
        <charset val="128"/>
      </rPr>
      <t>袋詰め）</t>
    </r>
    <rPh sb="15" eb="17">
      <t>フクロヅ</t>
    </rPh>
    <phoneticPr fontId="3"/>
  </si>
  <si>
    <r>
      <t xml:space="preserve">PO-03109 </t>
    </r>
    <r>
      <rPr>
        <sz val="12"/>
        <color rgb="FFFF0000"/>
        <rFont val="Arial"/>
        <family val="2"/>
      </rPr>
      <t xml:space="preserve"> </t>
    </r>
    <phoneticPr fontId="3"/>
  </si>
  <si>
    <t>2188 (11/13/23)</t>
    <phoneticPr fontId="3"/>
  </si>
  <si>
    <t>AG-EO 11/13/23</t>
  </si>
  <si>
    <t>AG-EO 11/13/23</t>
    <phoneticPr fontId="3"/>
  </si>
  <si>
    <t>RA-EO 11/16/23</t>
    <phoneticPr fontId="3"/>
  </si>
  <si>
    <t>011578</t>
    <phoneticPr fontId="3"/>
  </si>
  <si>
    <t># 55 Uniform green</t>
    <phoneticPr fontId="3"/>
  </si>
  <si>
    <t>5007489 (11/18/23)</t>
    <phoneticPr fontId="3"/>
  </si>
  <si>
    <t>72189</t>
    <phoneticPr fontId="3"/>
  </si>
  <si>
    <t xml:space="preserve">Calvelex-(Nili Lotan/Tribeca Design Studio) </t>
    <phoneticPr fontId="3"/>
  </si>
  <si>
    <t>11268 (11/28/23)</t>
    <phoneticPr fontId="3"/>
  </si>
  <si>
    <t>0503 (12/11/23)</t>
    <phoneticPr fontId="3"/>
  </si>
  <si>
    <t>FWL-22499</t>
    <phoneticPr fontId="3"/>
  </si>
  <si>
    <t>MO-EO 12/14/23</t>
    <phoneticPr fontId="3"/>
  </si>
  <si>
    <t>DTM Monse's Off White (piece dyed)</t>
    <phoneticPr fontId="3"/>
  </si>
  <si>
    <t>SU1214 (12/14/23) to China</t>
    <phoneticPr fontId="3"/>
  </si>
  <si>
    <t>0506 (12/15/23)</t>
    <phoneticPr fontId="3"/>
  </si>
  <si>
    <t>#1 white</t>
    <phoneticPr fontId="3"/>
  </si>
  <si>
    <t>2011 (12/15/23)</t>
    <phoneticPr fontId="3"/>
  </si>
  <si>
    <t># 661 Charcoal</t>
    <phoneticPr fontId="3"/>
  </si>
  <si>
    <t>AB-EO 12/15/23</t>
    <phoneticPr fontId="3"/>
  </si>
  <si>
    <t># LF001</t>
    <phoneticPr fontId="3"/>
  </si>
  <si>
    <t>CD-EO 12/20/23</t>
    <phoneticPr fontId="3"/>
  </si>
  <si>
    <t>100% Polyester tulle</t>
    <phoneticPr fontId="3"/>
  </si>
  <si>
    <t xml:space="preserve">FUT6622 </t>
    <phoneticPr fontId="3"/>
  </si>
  <si>
    <t>108/112cm</t>
    <phoneticPr fontId="3"/>
  </si>
  <si>
    <t>#11 off-white</t>
    <phoneticPr fontId="3"/>
  </si>
  <si>
    <t>23CFMZXY073 (12/22/23)</t>
    <phoneticPr fontId="3"/>
  </si>
  <si>
    <t>011761 (12/21/23)</t>
    <phoneticPr fontId="3"/>
  </si>
  <si>
    <t>011815 (1/4/24)</t>
    <phoneticPr fontId="3"/>
  </si>
  <si>
    <t># 9 off-white</t>
    <phoneticPr fontId="3"/>
  </si>
  <si>
    <r>
      <t xml:space="preserve">PO-03249 </t>
    </r>
    <r>
      <rPr>
        <sz val="12"/>
        <color rgb="FF0070C0"/>
        <rFont val="Arial"/>
        <family val="2"/>
      </rPr>
      <t>Tak Fat</t>
    </r>
    <phoneticPr fontId="3"/>
  </si>
  <si>
    <r>
      <t xml:space="preserve">PO-03251 </t>
    </r>
    <r>
      <rPr>
        <sz val="12"/>
        <color rgb="FF0070C0"/>
        <rFont val="Arial"/>
        <family val="2"/>
      </rPr>
      <t>Mesura Textile</t>
    </r>
    <phoneticPr fontId="3"/>
  </si>
  <si>
    <r>
      <t xml:space="preserve">PO-03250 </t>
    </r>
    <r>
      <rPr>
        <sz val="12"/>
        <color rgb="FF0070C0"/>
        <rFont val="Arial"/>
        <family val="2"/>
      </rPr>
      <t>A &amp; FENG</t>
    </r>
    <phoneticPr fontId="3"/>
  </si>
  <si>
    <t>FLR-55432</t>
    <phoneticPr fontId="3"/>
  </si>
  <si>
    <t>TRR-89180</t>
    <phoneticPr fontId="3"/>
  </si>
  <si>
    <t>TRR-89043</t>
    <phoneticPr fontId="3"/>
  </si>
  <si>
    <t>TRR-89094</t>
    <phoneticPr fontId="3"/>
  </si>
  <si>
    <t>TRR-11395</t>
    <phoneticPr fontId="3"/>
  </si>
  <si>
    <t>AG-EO 1/17/24</t>
    <phoneticPr fontId="3"/>
  </si>
  <si>
    <t>1038 (1/17/24)</t>
    <phoneticPr fontId="3"/>
  </si>
  <si>
    <t>Varca Bridal</t>
    <phoneticPr fontId="3"/>
  </si>
  <si>
    <t>100% Nylon tulle</t>
    <phoneticPr fontId="3"/>
  </si>
  <si>
    <t>FUT3335</t>
    <phoneticPr fontId="3"/>
  </si>
  <si>
    <t>105/110cm</t>
    <phoneticPr fontId="3"/>
  </si>
  <si>
    <t># 118 Off White</t>
    <phoneticPr fontId="3"/>
  </si>
  <si>
    <t>011624 (1/17/24)</t>
    <phoneticPr fontId="3"/>
  </si>
  <si>
    <t>PO SUN1228 (1/26/24)</t>
    <phoneticPr fontId="3"/>
  </si>
  <si>
    <t>SMF-EO1/31/24</t>
    <phoneticPr fontId="3"/>
  </si>
  <si>
    <t>袋詰め</t>
    <rPh sb="0" eb="2">
      <t>フクロヅ</t>
    </rPh>
    <phoneticPr fontId="3"/>
  </si>
  <si>
    <t xml:space="preserve">Paypal </t>
    <phoneticPr fontId="3"/>
  </si>
  <si>
    <t xml:space="preserve">White Elastic x Black Print </t>
    <phoneticPr fontId="3"/>
  </si>
  <si>
    <r>
      <t xml:space="preserve">PO-03289 (2/12/24) </t>
    </r>
    <r>
      <rPr>
        <sz val="12"/>
        <color rgb="FF0070C0"/>
        <rFont val="Arial"/>
        <family val="2"/>
      </rPr>
      <t>Turkey</t>
    </r>
    <phoneticPr fontId="3"/>
  </si>
  <si>
    <r>
      <t xml:space="preserve">PO-03290 (2/12/24) </t>
    </r>
    <r>
      <rPr>
        <sz val="12"/>
        <color rgb="FF0070C0"/>
        <rFont val="Arial"/>
        <family val="2"/>
      </rPr>
      <t>Portugal</t>
    </r>
    <phoneticPr fontId="3"/>
  </si>
  <si>
    <t>Article No. / Color</t>
    <phoneticPr fontId="184"/>
  </si>
  <si>
    <t>EXW JAPAN /m 
based on 6 rolls/col</t>
    <phoneticPr fontId="184"/>
  </si>
  <si>
    <r>
      <t xml:space="preserve">EXW JAPAN /m 
based on 1 roll (13.7m) sample 
</t>
    </r>
    <r>
      <rPr>
        <b/>
        <sz val="10"/>
        <color rgb="FF000000"/>
        <rFont val="ＭＳ Ｐゴシック"/>
        <family val="3"/>
        <charset val="128"/>
      </rPr>
      <t>⇒</t>
    </r>
    <r>
      <rPr>
        <b/>
        <sz val="10"/>
        <color rgb="FF000000"/>
        <rFont val="Arial  "/>
        <family val="2"/>
      </rPr>
      <t>Regular price x 1.5</t>
    </r>
    <phoneticPr fontId="184"/>
  </si>
  <si>
    <r>
      <t xml:space="preserve">EXW JAPAN /m 
based on 10m sample
</t>
    </r>
    <r>
      <rPr>
        <b/>
        <sz val="10"/>
        <color rgb="FF000000"/>
        <rFont val="ＭＳ Ｐゴシック"/>
        <family val="3"/>
        <charset val="128"/>
      </rPr>
      <t>⇒</t>
    </r>
    <r>
      <rPr>
        <b/>
        <sz val="10"/>
        <color rgb="FF000000"/>
        <rFont val="Arial  "/>
        <family val="2"/>
      </rPr>
      <t>Regular price x 2</t>
    </r>
    <phoneticPr fontId="184"/>
  </si>
  <si>
    <r>
      <t xml:space="preserve">EXW JAPAN /m 
based on 4.5m sample
</t>
    </r>
    <r>
      <rPr>
        <b/>
        <sz val="10"/>
        <color rgb="FF000000"/>
        <rFont val="ＭＳ Ｐゴシック"/>
        <family val="3"/>
        <charset val="128"/>
      </rPr>
      <t>⇒</t>
    </r>
    <r>
      <rPr>
        <b/>
        <sz val="10"/>
        <color rgb="FF000000"/>
        <rFont val="Arial  "/>
        <family val="2"/>
      </rPr>
      <t>Regular price x 2</t>
    </r>
    <phoneticPr fontId="184"/>
  </si>
  <si>
    <t>利益率</t>
  </si>
  <si>
    <t>レート</t>
  </si>
  <si>
    <t>FLR-85053 (as is) / Mill's Off White</t>
    <phoneticPr fontId="3"/>
  </si>
  <si>
    <t>Production Minimum</t>
    <phoneticPr fontId="184"/>
  </si>
  <si>
    <r>
      <t>DYED COTTON LACE</t>
    </r>
    <r>
      <rPr>
        <sz val="10"/>
        <color rgb="FFFF0000"/>
        <rFont val="ＭＳ Ｐゴシック"/>
        <family val="3"/>
        <charset val="128"/>
      </rPr>
      <t/>
    </r>
  </si>
  <si>
    <r>
      <t>6</t>
    </r>
    <r>
      <rPr>
        <sz val="10"/>
        <color rgb="FFFF0000"/>
        <rFont val="ＭＳ Ｐゴシック"/>
        <family val="3"/>
        <charset val="128"/>
      </rPr>
      <t>～</t>
    </r>
    <r>
      <rPr>
        <sz val="10"/>
        <color rgb="FFFF0000"/>
        <rFont val="Arial  "/>
        <family val="2"/>
      </rPr>
      <t>10 ROLLS/COL</t>
    </r>
    <phoneticPr fontId="184"/>
  </si>
  <si>
    <r>
      <rPr>
        <sz val="10"/>
        <color rgb="FFFF0000"/>
        <rFont val="ＭＳ Ｐゴシック"/>
        <family val="3"/>
        <charset val="128"/>
      </rPr>
      <t>＠</t>
    </r>
    <r>
      <rPr>
        <sz val="10"/>
        <color rgb="FFFF0000"/>
        <rFont val="Arial  "/>
        <family val="2"/>
      </rPr>
      <t>560/m up</t>
    </r>
  </si>
  <si>
    <r>
      <t>11</t>
    </r>
    <r>
      <rPr>
        <sz val="10"/>
        <color rgb="FFFF0000"/>
        <rFont val="ＭＳ Ｐゴシック"/>
        <family val="3"/>
        <charset val="128"/>
      </rPr>
      <t>～</t>
    </r>
    <r>
      <rPr>
        <sz val="10"/>
        <color rgb="FFFF0000"/>
        <rFont val="Arial  "/>
        <family val="2"/>
      </rPr>
      <t>30 ROLLS/COL</t>
    </r>
    <phoneticPr fontId="184"/>
  </si>
  <si>
    <r>
      <rPr>
        <sz val="10"/>
        <color rgb="FFFF0000"/>
        <rFont val="ＭＳ Ｐゴシック"/>
        <family val="3"/>
        <charset val="128"/>
      </rPr>
      <t>＠</t>
    </r>
    <r>
      <rPr>
        <sz val="10"/>
        <color rgb="FFFF0000"/>
        <rFont val="Arial  "/>
        <family val="2"/>
      </rPr>
      <t>370/m up</t>
    </r>
  </si>
  <si>
    <r>
      <t>31</t>
    </r>
    <r>
      <rPr>
        <sz val="10"/>
        <color rgb="FFFF0000"/>
        <rFont val="ＭＳ Ｐゴシック"/>
        <family val="3"/>
        <charset val="128"/>
      </rPr>
      <t>～</t>
    </r>
    <r>
      <rPr>
        <sz val="10"/>
        <color rgb="FFFF0000"/>
        <rFont val="Arial  "/>
        <family val="2"/>
      </rPr>
      <t>ROLLS/COL</t>
    </r>
    <phoneticPr fontId="184"/>
  </si>
  <si>
    <r>
      <rPr>
        <sz val="10"/>
        <color rgb="FFFF0000"/>
        <rFont val="ＭＳ Ｐゴシック"/>
        <family val="3"/>
        <charset val="128"/>
      </rPr>
      <t>＠</t>
    </r>
    <r>
      <rPr>
        <sz val="10"/>
        <color rgb="FFFF0000"/>
        <rFont val="Arial  "/>
        <family val="2"/>
      </rPr>
      <t>230/m up</t>
    </r>
  </si>
  <si>
    <t>Dye qty</t>
    <phoneticPr fontId="3"/>
  </si>
  <si>
    <t>Dye surcharge per meter</t>
    <phoneticPr fontId="3"/>
  </si>
  <si>
    <r>
      <t>6</t>
    </r>
    <r>
      <rPr>
        <sz val="10"/>
        <rFont val="ＭＳ Ｐゴシック"/>
        <family val="3"/>
        <charset val="128"/>
      </rPr>
      <t>～</t>
    </r>
    <r>
      <rPr>
        <sz val="10"/>
        <rFont val="Arial  "/>
        <family val="2"/>
      </rPr>
      <t>10 ROLLS/COL</t>
    </r>
    <phoneticPr fontId="184"/>
  </si>
  <si>
    <t>(Custom color)</t>
    <phoneticPr fontId="3"/>
  </si>
  <si>
    <r>
      <t>11</t>
    </r>
    <r>
      <rPr>
        <sz val="10"/>
        <rFont val="ＭＳ Ｐゴシック"/>
        <family val="3"/>
        <charset val="128"/>
      </rPr>
      <t>～</t>
    </r>
    <r>
      <rPr>
        <sz val="10"/>
        <rFont val="Arial  "/>
        <family val="2"/>
      </rPr>
      <t>30 ROLLS/COL</t>
    </r>
    <phoneticPr fontId="184"/>
  </si>
  <si>
    <r>
      <t>31</t>
    </r>
    <r>
      <rPr>
        <sz val="10"/>
        <rFont val="ＭＳ Ｐゴシック"/>
        <family val="3"/>
        <charset val="128"/>
      </rPr>
      <t>～</t>
    </r>
    <r>
      <rPr>
        <sz val="10"/>
        <rFont val="Arial  "/>
        <family val="2"/>
      </rPr>
      <t>ROLLS/COL</t>
    </r>
    <phoneticPr fontId="184"/>
  </si>
  <si>
    <t>FLR-72552  / Navy x Black x Blue</t>
  </si>
  <si>
    <t>FLR-72552 /  White x Black</t>
  </si>
  <si>
    <r>
      <rPr>
        <b/>
        <sz val="10"/>
        <color rgb="FFFF00FF"/>
        <rFont val="ＭＳ Ｐゴシック"/>
        <family val="3"/>
        <charset val="128"/>
      </rPr>
      <t>通常単価</t>
    </r>
    <r>
      <rPr>
        <b/>
        <sz val="10"/>
        <color rgb="FFFF00FF"/>
        <rFont val="Arial  "/>
        <family val="2"/>
      </rPr>
      <t>/m</t>
    </r>
    <rPh sb="0" eb="2">
      <t>ツウジョウ</t>
    </rPh>
    <phoneticPr fontId="184"/>
  </si>
  <si>
    <r>
      <t>FLR-03842 ( 1300VV )</t>
    </r>
    <r>
      <rPr>
        <sz val="10"/>
        <color rgb="FF000000"/>
        <rFont val="ＭＳ Ｐゴシック"/>
        <family val="3"/>
        <charset val="128"/>
      </rPr>
      <t xml:space="preserve">　
</t>
    </r>
    <r>
      <rPr>
        <sz val="10"/>
        <color rgb="FF000000"/>
        <rFont val="Arial  "/>
        <family val="2"/>
      </rPr>
      <t>Color : # Black x # 5138BK Gold(Alpure)</t>
    </r>
    <phoneticPr fontId="3"/>
  </si>
  <si>
    <t>ODLR 20240213</t>
    <phoneticPr fontId="3"/>
  </si>
  <si>
    <t>MOQ:6 rolls(82.2m) / col 
(made to order)</t>
    <phoneticPr fontId="3"/>
  </si>
  <si>
    <t xml:space="preserve">SAG6660 Mill's standard colors </t>
    <phoneticPr fontId="3"/>
  </si>
  <si>
    <t xml:space="preserve">SAG6660 Mill's standard colors </t>
    <phoneticPr fontId="3"/>
  </si>
  <si>
    <t>SAG6660 Custom colors</t>
    <phoneticPr fontId="3"/>
  </si>
  <si>
    <t>Order condition</t>
    <phoneticPr fontId="3"/>
  </si>
  <si>
    <t>価格</t>
    <rPh sb="0" eb="2">
      <t>カカク</t>
    </rPh>
    <phoneticPr fontId="3"/>
  </si>
  <si>
    <t>110/112cm×abt.44m</t>
    <phoneticPr fontId="3"/>
  </si>
  <si>
    <t xml:space="preserve">by roll ( abt 44m/roll) </t>
    <phoneticPr fontId="3"/>
  </si>
  <si>
    <t>Sample cut (when in stock)</t>
    <phoneticPr fontId="3"/>
  </si>
  <si>
    <t>MOQ : 6 rolls /col -</t>
    <phoneticPr fontId="3"/>
  </si>
  <si>
    <r>
      <t xml:space="preserve">below MOQ </t>
    </r>
    <r>
      <rPr>
        <sz val="10"/>
        <rFont val="ＭＳ Ｐゴシック"/>
        <family val="3"/>
        <charset val="128"/>
      </rPr>
      <t>→</t>
    </r>
    <r>
      <rPr>
        <sz val="10"/>
        <rFont val="Arial  "/>
        <family val="2"/>
      </rPr>
      <t>1 - 5 rolls / col</t>
    </r>
    <phoneticPr fontId="3"/>
  </si>
  <si>
    <t>For  FLR-85053  (Cotton lace) / DTM color</t>
    <phoneticPr fontId="3"/>
  </si>
  <si>
    <t>014081 (2/13/24)</t>
    <phoneticPr fontId="3"/>
  </si>
  <si>
    <t># 9 BLACK</t>
    <phoneticPr fontId="3"/>
  </si>
  <si>
    <t># 26 NAVY</t>
    <phoneticPr fontId="3"/>
  </si>
  <si>
    <t># 38 FOREST</t>
    <phoneticPr fontId="3"/>
  </si>
  <si>
    <t>Article No. / Color</t>
  </si>
  <si>
    <t>Production Minimum</t>
  </si>
  <si>
    <t>EXW JAPAN /m 
based on 6 rolls/col</t>
  </si>
  <si>
    <t>FLR-85053 (as is) / Mill's Off White</t>
  </si>
  <si>
    <t>MOQ:6 rolls(82.2m) / col 
(made to order)</t>
  </si>
  <si>
    <t>MOQ:6 rolls(82.2m) / col 
(made to order)</t>
    <phoneticPr fontId="3"/>
  </si>
  <si>
    <t>-</t>
    <phoneticPr fontId="3"/>
  </si>
  <si>
    <r>
      <t xml:space="preserve">ODLR </t>
    </r>
    <r>
      <rPr>
        <sz val="10"/>
        <rFont val="ＭＳ Ｐゴシック"/>
        <family val="3"/>
        <charset val="128"/>
      </rPr>
      <t>東さん報告用</t>
    </r>
    <rPh sb="5" eb="6">
      <t>ヒガシ</t>
    </rPh>
    <rPh sb="8" eb="10">
      <t>ホウコク</t>
    </rPh>
    <rPh sb="10" eb="11">
      <t>ヨウ</t>
    </rPh>
    <phoneticPr fontId="3"/>
  </si>
  <si>
    <r>
      <t>FLR-03842 ( 1300VV )</t>
    </r>
    <r>
      <rPr>
        <sz val="10"/>
        <rFont val="ＭＳ Ｐゴシック"/>
        <family val="3"/>
        <charset val="128"/>
      </rPr>
      <t xml:space="preserve">　
</t>
    </r>
    <r>
      <rPr>
        <sz val="10"/>
        <rFont val="Arial  "/>
        <family val="2"/>
      </rPr>
      <t>Color : # Black x # 5138BK Gold(Alpure)</t>
    </r>
  </si>
  <si>
    <t>FLR-85053 (as is) / DTM</t>
    <phoneticPr fontId="3"/>
  </si>
  <si>
    <t>11658 (2/14/24)</t>
    <phoneticPr fontId="3"/>
  </si>
  <si>
    <t># A10 Blue Lavender</t>
    <phoneticPr fontId="3"/>
  </si>
  <si>
    <t>1054 (2/15/24)</t>
    <phoneticPr fontId="3"/>
  </si>
  <si>
    <t>Danielle Frankel</t>
    <phoneticPr fontId="3"/>
  </si>
  <si>
    <t xml:space="preserve">Air Fabric Color-sputtering  100% Polyester </t>
    <phoneticPr fontId="3"/>
  </si>
  <si>
    <t>NN-007CSP</t>
    <phoneticPr fontId="3"/>
  </si>
  <si>
    <t># 329 light ivory</t>
    <phoneticPr fontId="3"/>
  </si>
  <si>
    <t># 5 Blue Taupe</t>
    <phoneticPr fontId="3"/>
  </si>
  <si>
    <t>2341 (2/15/24)</t>
    <phoneticPr fontId="3"/>
  </si>
  <si>
    <t>EXW JAPAN /m 
based on 2 rolls/col or 4 rolls/col</t>
    <phoneticPr fontId="184"/>
  </si>
  <si>
    <t>2 ROLLS/COL</t>
    <phoneticPr fontId="184"/>
  </si>
  <si>
    <t>4 ROLLS/COL</t>
    <phoneticPr fontId="184"/>
  </si>
  <si>
    <r>
      <rPr>
        <sz val="10"/>
        <color rgb="FFFF0000"/>
        <rFont val="ＭＳ Ｐゴシック"/>
        <family val="3"/>
        <charset val="128"/>
      </rPr>
      <t>＠</t>
    </r>
    <r>
      <rPr>
        <sz val="10"/>
        <color rgb="FFFF0000"/>
        <rFont val="Arial  "/>
        <family val="2"/>
      </rPr>
      <t>1050/m up</t>
    </r>
    <phoneticPr fontId="3"/>
  </si>
  <si>
    <r>
      <rPr>
        <sz val="10"/>
        <color rgb="FFFF0000"/>
        <rFont val="ＭＳ Ｐゴシック"/>
        <family val="3"/>
        <charset val="128"/>
      </rPr>
      <t>＠</t>
    </r>
    <r>
      <rPr>
        <sz val="10"/>
        <color rgb="FFFF0000"/>
        <rFont val="Arial  "/>
        <family val="2"/>
      </rPr>
      <t>720/m up</t>
    </r>
    <phoneticPr fontId="3"/>
  </si>
  <si>
    <t xml:space="preserve">For  FLR-85053 in double scale </t>
    <phoneticPr fontId="3"/>
  </si>
  <si>
    <t xml:space="preserve">Development  fee </t>
    <phoneticPr fontId="3"/>
  </si>
  <si>
    <t xml:space="preserve">Pruduction price </t>
    <phoneticPr fontId="3"/>
  </si>
  <si>
    <r>
      <rPr>
        <sz val="12"/>
        <rFont val="ＭＳ Ｐゴシック"/>
        <family val="3"/>
        <charset val="128"/>
      </rPr>
      <t>パンチ代</t>
    </r>
    <r>
      <rPr>
        <sz val="12"/>
        <rFont val="Arial  "/>
        <family val="2"/>
      </rPr>
      <t xml:space="preserve"> 15000 - 20000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>/</t>
    </r>
    <r>
      <rPr>
        <sz val="12"/>
        <rFont val="ＭＳ Ｐゴシック"/>
        <family val="3"/>
        <charset val="128"/>
      </rPr>
      <t>柄</t>
    </r>
    <r>
      <rPr>
        <sz val="12"/>
        <rFont val="Arial  "/>
        <family val="2"/>
      </rPr>
      <t/>
    </r>
    <phoneticPr fontId="3"/>
  </si>
  <si>
    <t>仕入金額</t>
    <rPh sb="0" eb="2">
      <t>シイレ</t>
    </rPh>
    <rPh sb="2" eb="4">
      <t>キンガク</t>
    </rPh>
    <phoneticPr fontId="3"/>
  </si>
  <si>
    <t>5007737</t>
    <phoneticPr fontId="3"/>
  </si>
  <si>
    <t>5437</t>
    <phoneticPr fontId="3"/>
  </si>
  <si>
    <t>OVERDUE</t>
  </si>
  <si>
    <t>5468</t>
    <phoneticPr fontId="3"/>
  </si>
  <si>
    <t>5640</t>
    <phoneticPr fontId="3"/>
  </si>
  <si>
    <t>5794</t>
    <phoneticPr fontId="3"/>
  </si>
  <si>
    <t xml:space="preserve">Dion Lee open invoice </t>
    <phoneticPr fontId="3"/>
  </si>
  <si>
    <t>Invoice No</t>
    <phoneticPr fontId="3"/>
  </si>
  <si>
    <t>Invoice Date</t>
    <phoneticPr fontId="3"/>
  </si>
  <si>
    <t>Due Date</t>
    <phoneticPr fontId="3"/>
  </si>
  <si>
    <t>Over Due</t>
    <phoneticPr fontId="3"/>
  </si>
  <si>
    <t>BH-EO 2/8/24</t>
    <phoneticPr fontId="3"/>
  </si>
  <si>
    <t># 661</t>
    <phoneticPr fontId="3"/>
  </si>
  <si>
    <t># 329 Ivory</t>
    <phoneticPr fontId="3"/>
  </si>
  <si>
    <t># AP128</t>
    <phoneticPr fontId="3"/>
  </si>
  <si>
    <t># A1  </t>
    <phoneticPr fontId="3"/>
  </si>
  <si>
    <t>011998 (2/21/24)</t>
    <phoneticPr fontId="3"/>
  </si>
  <si>
    <t># 30 Black</t>
    <phoneticPr fontId="3"/>
  </si>
  <si>
    <t>Cinq a Sept</t>
    <phoneticPr fontId="3"/>
  </si>
  <si>
    <r>
      <t xml:space="preserve">64172 </t>
    </r>
    <r>
      <rPr>
        <sz val="12"/>
        <color rgb="FF0070C0"/>
        <rFont val="Arial"/>
        <family val="2"/>
      </rPr>
      <t>ship to Lever</t>
    </r>
  </si>
  <si>
    <t># 132 black</t>
    <phoneticPr fontId="3"/>
  </si>
  <si>
    <t># 108 burgundy</t>
    <phoneticPr fontId="3"/>
  </si>
  <si>
    <r>
      <t xml:space="preserve">64173 </t>
    </r>
    <r>
      <rPr>
        <sz val="12"/>
        <color rgb="FF0070C0"/>
        <rFont val="Arial"/>
        <family val="2"/>
      </rPr>
      <t>ship to East Concept</t>
    </r>
    <phoneticPr fontId="3"/>
  </si>
  <si>
    <r>
      <t xml:space="preserve">PO-03322 (2/26/24) </t>
    </r>
    <r>
      <rPr>
        <sz val="12"/>
        <color rgb="FF0070C0"/>
        <rFont val="Arial"/>
        <family val="2"/>
      </rPr>
      <t>Wing Tai Fashion</t>
    </r>
    <phoneticPr fontId="3"/>
  </si>
  <si>
    <t>CL138152 (2/28/24)</t>
    <phoneticPr fontId="3"/>
  </si>
  <si>
    <t># A9 Lavender</t>
    <phoneticPr fontId="3"/>
  </si>
  <si>
    <t># 142 Lavender</t>
    <phoneticPr fontId="3"/>
  </si>
  <si>
    <r>
      <t xml:space="preserve">11979 (3/1/24) </t>
    </r>
    <r>
      <rPr>
        <sz val="12"/>
        <color rgb="FF0070C0"/>
        <rFont val="Arial"/>
        <family val="2"/>
      </rPr>
      <t>to FIH</t>
    </r>
  </si>
  <si>
    <r>
      <t xml:space="preserve">11979 (3/1/24) </t>
    </r>
    <r>
      <rPr>
        <sz val="12"/>
        <color rgb="FF0070C0"/>
        <rFont val="Arial"/>
        <family val="2"/>
      </rPr>
      <t>to Atlanta</t>
    </r>
    <phoneticPr fontId="3"/>
  </si>
  <si>
    <t>1062 (3/4/24)</t>
    <phoneticPr fontId="3"/>
  </si>
  <si>
    <t>FUT2203</t>
    <phoneticPr fontId="3"/>
  </si>
  <si>
    <t>100% Polyester Memory Taffeta</t>
    <phoneticPr fontId="3"/>
  </si>
  <si>
    <t>PO-03351 (3/5/24)</t>
    <phoneticPr fontId="3"/>
  </si>
  <si>
    <r>
      <t xml:space="preserve">64172 </t>
    </r>
    <r>
      <rPr>
        <sz val="12"/>
        <color rgb="FF0070C0"/>
        <rFont val="Arial"/>
        <family val="2"/>
      </rPr>
      <t>ship to Lever</t>
    </r>
    <phoneticPr fontId="3"/>
  </si>
  <si>
    <t xml:space="preserve">Acrylic Cords  100% Acrylic   </t>
    <phoneticPr fontId="3"/>
  </si>
  <si>
    <t># 33 Grey</t>
    <phoneticPr fontId="3"/>
  </si>
  <si>
    <t>AG-EO3/7/24</t>
    <phoneticPr fontId="3"/>
  </si>
  <si>
    <t>100% POLYESTER ORGANZA</t>
    <phoneticPr fontId="3"/>
  </si>
  <si>
    <t>FUT5115</t>
    <phoneticPr fontId="3"/>
  </si>
  <si>
    <t>118/120cm</t>
    <phoneticPr fontId="3"/>
  </si>
  <si>
    <r>
      <t xml:space="preserve">64366 (3/6/24) </t>
    </r>
    <r>
      <rPr>
        <sz val="12"/>
        <color rgb="FF0070C0"/>
        <rFont val="Arial"/>
        <family val="2"/>
      </rPr>
      <t>ship to Lever</t>
    </r>
  </si>
  <si>
    <t>DF-EO3/8/24</t>
    <phoneticPr fontId="3"/>
  </si>
  <si>
    <t xml:space="preserve">Micro Wide Chiffon  100% Polyester </t>
    <phoneticPr fontId="3"/>
  </si>
  <si>
    <t># SO</t>
    <phoneticPr fontId="3"/>
  </si>
  <si>
    <t>CG5000</t>
    <phoneticPr fontId="3"/>
  </si>
  <si>
    <t>100% Polyester Lace</t>
  </si>
  <si>
    <r>
      <t xml:space="preserve">AB-EO3/14/24 </t>
    </r>
    <r>
      <rPr>
        <sz val="12"/>
        <color rgb="FF0070C0"/>
        <rFont val="Arial"/>
        <family val="2"/>
      </rPr>
      <t>to FIH</t>
    </r>
    <phoneticPr fontId="3"/>
  </si>
  <si>
    <t>EB-EO3/15/24</t>
    <phoneticPr fontId="3"/>
  </si>
  <si>
    <t>10100 (3/18/24)</t>
    <phoneticPr fontId="3"/>
  </si>
  <si>
    <t xml:space="preserve">Glass Organza Color-sputtering  100% Polyester </t>
    <phoneticPr fontId="3"/>
  </si>
  <si>
    <t>T2023-CSP</t>
    <phoneticPr fontId="3"/>
  </si>
  <si>
    <t>NN007-CSP</t>
    <phoneticPr fontId="3"/>
  </si>
  <si>
    <r>
      <t xml:space="preserve">12371 (3/22/24) </t>
    </r>
    <r>
      <rPr>
        <sz val="12"/>
        <color rgb="FF0070C0"/>
        <rFont val="Arial"/>
        <family val="2"/>
      </rPr>
      <t>to FIH</t>
    </r>
    <phoneticPr fontId="3"/>
  </si>
  <si>
    <t xml:space="preserve">PO 005315 </t>
    <phoneticPr fontId="3"/>
  </si>
  <si>
    <t>Marchesa</t>
    <phoneticPr fontId="3"/>
  </si>
  <si>
    <t>2020A-WS</t>
    <phoneticPr fontId="3"/>
  </si>
  <si>
    <t>#FB Black</t>
    <phoneticPr fontId="3"/>
  </si>
  <si>
    <t># FB Black</t>
    <phoneticPr fontId="3"/>
  </si>
  <si>
    <t>5007914 (4/1/24)</t>
    <phoneticPr fontId="3"/>
  </si>
  <si>
    <r>
      <t xml:space="preserve">SUN040124 (4/2/24) </t>
    </r>
    <r>
      <rPr>
        <sz val="12"/>
        <color indexed="10"/>
        <rFont val="Arial"/>
        <family val="2"/>
      </rPr>
      <t>NY</t>
    </r>
    <phoneticPr fontId="3"/>
  </si>
  <si>
    <t>NL-EO4/4/24</t>
    <phoneticPr fontId="3"/>
  </si>
  <si>
    <t>RS-EO 4/8/24</t>
    <phoneticPr fontId="3"/>
  </si>
  <si>
    <t>Rebecca Schoneveld</t>
    <phoneticPr fontId="3"/>
  </si>
  <si>
    <t>KFUT5116  D#F3431</t>
    <phoneticPr fontId="3"/>
  </si>
  <si>
    <t># 118 OW</t>
    <phoneticPr fontId="3"/>
  </si>
  <si>
    <t># 9 LA</t>
    <phoneticPr fontId="3"/>
  </si>
  <si>
    <t>#50C BLACK</t>
    <phoneticPr fontId="3"/>
  </si>
  <si>
    <r>
      <t xml:space="preserve">PO-03461 (4/8/24) </t>
    </r>
    <r>
      <rPr>
        <sz val="12"/>
        <color rgb="FF0070C0"/>
        <rFont val="Arial"/>
        <family val="2"/>
      </rPr>
      <t>Tak Fat</t>
    </r>
    <phoneticPr fontId="3"/>
  </si>
  <si>
    <t xml:space="preserve">Black Elastic x White Print </t>
    <phoneticPr fontId="3"/>
  </si>
  <si>
    <t>Flock Printed Organza  Base fabric : 100% Polyester    Flock:  100% Rayon</t>
    <phoneticPr fontId="3"/>
  </si>
  <si>
    <t>Surcharge for below MOQ</t>
    <phoneticPr fontId="3"/>
  </si>
  <si>
    <t>e</t>
    <phoneticPr fontId="3"/>
  </si>
  <si>
    <r>
      <t xml:space="preserve">PO-03462 (4/8/24) </t>
    </r>
    <r>
      <rPr>
        <sz val="12"/>
        <color rgb="FF0070C0"/>
        <rFont val="Arial"/>
        <family val="2"/>
      </rPr>
      <t>China Feng</t>
    </r>
    <phoneticPr fontId="3"/>
  </si>
  <si>
    <r>
      <t xml:space="preserve">PO-03463 (4/8/24) </t>
    </r>
    <r>
      <rPr>
        <sz val="12"/>
        <color rgb="FF0070C0"/>
        <rFont val="Arial"/>
        <family val="2"/>
      </rPr>
      <t xml:space="preserve">Malhinter </t>
    </r>
    <phoneticPr fontId="3"/>
  </si>
  <si>
    <r>
      <t xml:space="preserve">SUN040924 (4/9/24) </t>
    </r>
    <r>
      <rPr>
        <sz val="12"/>
        <color indexed="10"/>
        <rFont val="Arial"/>
        <family val="2"/>
      </rPr>
      <t>NY</t>
    </r>
    <phoneticPr fontId="3"/>
  </si>
  <si>
    <r>
      <t xml:space="preserve">PO-03508 </t>
    </r>
    <r>
      <rPr>
        <sz val="12"/>
        <color rgb="FF0070C0"/>
        <rFont val="Arial"/>
        <family val="2"/>
      </rPr>
      <t>Wing</t>
    </r>
    <phoneticPr fontId="3"/>
  </si>
  <si>
    <t>EO4/11/24</t>
    <phoneticPr fontId="3"/>
  </si>
  <si>
    <t>1067 (4/15/24)</t>
    <phoneticPr fontId="3"/>
  </si>
  <si>
    <t># 516 LIGHT BLUE</t>
    <phoneticPr fontId="3"/>
  </si>
  <si>
    <t>SHENZHEN TAI FENG LAI COMPUTER EMBROIDERY CO., LTD. (3.1 PL)</t>
    <phoneticPr fontId="3"/>
  </si>
  <si>
    <t>Rayon Piping  Rayon-100%</t>
    <phoneticPr fontId="3"/>
  </si>
  <si>
    <t xml:space="preserve">SIC 9508 </t>
    <phoneticPr fontId="3"/>
  </si>
  <si>
    <t># 31 Oak</t>
    <phoneticPr fontId="3"/>
  </si>
  <si>
    <t>SHENZHEN MAOHUA  FASHION CO., LTD (3.1 PL)</t>
    <phoneticPr fontId="3"/>
  </si>
  <si>
    <t xml:space="preserve"> # 142 Brown</t>
    <phoneticPr fontId="3"/>
  </si>
  <si>
    <t>014381 (4/17/24)</t>
    <phoneticPr fontId="3"/>
  </si>
  <si>
    <r>
      <t>JYG20240417005 (</t>
    </r>
    <r>
      <rPr>
        <sz val="12"/>
        <color rgb="FF0070C0"/>
        <rFont val="Arial"/>
        <family val="2"/>
      </rPr>
      <t>4/17/24)</t>
    </r>
    <phoneticPr fontId="3"/>
  </si>
  <si>
    <t>SHENZHEN MAOHUA FASHION CO., LTD (Cinq a Sept)</t>
    <phoneticPr fontId="3"/>
  </si>
  <si>
    <r>
      <t xml:space="preserve">PO-03460 (4/16/24) </t>
    </r>
    <r>
      <rPr>
        <sz val="12"/>
        <color rgb="FF0070C0"/>
        <rFont val="Arial"/>
        <family val="2"/>
      </rPr>
      <t>Wing Tai Fashion</t>
    </r>
  </si>
  <si>
    <r>
      <t xml:space="preserve">PO-03460 (4/16/24) </t>
    </r>
    <r>
      <rPr>
        <sz val="12"/>
        <color rgb="FF0070C0"/>
        <rFont val="Arial"/>
        <family val="2"/>
      </rPr>
      <t>Wing Tai Fashion</t>
    </r>
    <phoneticPr fontId="3"/>
  </si>
  <si>
    <t>#07C RUST</t>
    <phoneticPr fontId="3"/>
  </si>
  <si>
    <t>#05C AMBER</t>
    <phoneticPr fontId="3"/>
  </si>
  <si>
    <t>#51C IRON</t>
    <phoneticPr fontId="3"/>
  </si>
  <si>
    <t>EC20240405 (4/17/24)</t>
    <phoneticPr fontId="3"/>
  </si>
  <si>
    <t>MP2404017001-MO22006  (4/17/24)</t>
    <phoneticPr fontId="3"/>
  </si>
  <si>
    <t xml:space="preserve">Air Fabric  100% Polyester </t>
    <phoneticPr fontId="3"/>
  </si>
  <si>
    <t>NN007</t>
    <phoneticPr fontId="3"/>
  </si>
  <si>
    <t># FB</t>
    <phoneticPr fontId="3"/>
  </si>
  <si>
    <t>Sub-total</t>
    <phoneticPr fontId="3"/>
  </si>
  <si>
    <t xml:space="preserve">Total Amount </t>
    <phoneticPr fontId="3"/>
  </si>
  <si>
    <t>64841 (4/16/24)</t>
    <phoneticPr fontId="3"/>
  </si>
  <si>
    <t>輸出単価</t>
    <rPh sb="0" eb="2">
      <t>ユシュツ</t>
    </rPh>
    <rPh sb="2" eb="4">
      <t>タンカ</t>
    </rPh>
    <phoneticPr fontId="3"/>
  </si>
  <si>
    <t>10303 (4/19/24)</t>
    <phoneticPr fontId="3"/>
  </si>
  <si>
    <t>2471 (4/17/24)</t>
    <phoneticPr fontId="3"/>
  </si>
  <si>
    <t>5008032 (5/14/24)</t>
    <phoneticPr fontId="3"/>
  </si>
  <si>
    <t>#SO off white</t>
  </si>
  <si>
    <t>charge</t>
    <phoneticPr fontId="3"/>
  </si>
  <si>
    <t>Polyester Memory Twill fabric  100% Polyester</t>
    <phoneticPr fontId="3"/>
  </si>
  <si>
    <t xml:space="preserve">FUT2251-W </t>
    <phoneticPr fontId="3"/>
  </si>
  <si>
    <t>128/130cm</t>
    <phoneticPr fontId="3"/>
  </si>
  <si>
    <t>#11 white</t>
    <phoneticPr fontId="3"/>
  </si>
  <si>
    <t>Eileen Bae</t>
    <phoneticPr fontId="3"/>
  </si>
  <si>
    <t>EB-EO 5/21/24</t>
    <phoneticPr fontId="3"/>
  </si>
  <si>
    <t>LAPOINTE</t>
    <phoneticPr fontId="3"/>
  </si>
  <si>
    <t xml:space="preserve">3mm Glued tape
(# WSO) </t>
    <phoneticPr fontId="3"/>
  </si>
  <si>
    <t># 5409</t>
    <phoneticPr fontId="3"/>
  </si>
  <si>
    <t>SP25-DEV-03 (5/23/24)</t>
    <phoneticPr fontId="3"/>
  </si>
  <si>
    <t>Coach 20240524</t>
    <phoneticPr fontId="3"/>
  </si>
  <si>
    <t>4141</t>
    <phoneticPr fontId="3"/>
  </si>
  <si>
    <t>E3721</t>
    <phoneticPr fontId="3"/>
  </si>
  <si>
    <t>仕入れ価格</t>
    <rPh sb="0" eb="2">
      <t>シイ</t>
    </rPh>
    <rPh sb="3" eb="5">
      <t>カカク</t>
    </rPh>
    <phoneticPr fontId="3"/>
  </si>
  <si>
    <t>TI-7150</t>
    <phoneticPr fontId="3"/>
  </si>
  <si>
    <t>1 roll (30m/roll)</t>
    <phoneticPr fontId="3"/>
  </si>
  <si>
    <t>1 roll (20m/roll)</t>
    <phoneticPr fontId="3"/>
  </si>
  <si>
    <t>TI-1034</t>
    <phoneticPr fontId="3"/>
  </si>
  <si>
    <t>VMS240070B (5/28/24)</t>
    <phoneticPr fontId="3"/>
  </si>
  <si>
    <t>LEVER STYLE LIMITED (Cinq a Sept)</t>
    <phoneticPr fontId="3"/>
  </si>
  <si>
    <t>#108 burgundy</t>
    <phoneticPr fontId="3"/>
  </si>
  <si>
    <t>SF-NY240529</t>
    <phoneticPr fontId="3"/>
  </si>
  <si>
    <t>Sun Fashion America</t>
    <phoneticPr fontId="3"/>
  </si>
  <si>
    <t xml:space="preserve">Sample Fee </t>
    <phoneticPr fontId="3"/>
  </si>
  <si>
    <t>DF-EO 5/30/24</t>
    <phoneticPr fontId="3"/>
  </si>
  <si>
    <t>KFUT5116  D#F3407 Lily</t>
    <phoneticPr fontId="3"/>
  </si>
  <si>
    <t>1076 (6/4/24)</t>
    <phoneticPr fontId="3"/>
  </si>
  <si>
    <t># 329 Light Ivory</t>
    <phoneticPr fontId="3"/>
  </si>
  <si>
    <t>AG-SF001(6/5/24)</t>
    <phoneticPr fontId="3"/>
  </si>
  <si>
    <t>EC-EO 6/6/24</t>
    <phoneticPr fontId="3"/>
  </si>
  <si>
    <t xml:space="preserve">Herringbone Tape 100% Polyester </t>
    <phoneticPr fontId="3"/>
  </si>
  <si>
    <t>SIC-198</t>
    <phoneticPr fontId="3"/>
  </si>
  <si>
    <t>サンプルカット</t>
    <phoneticPr fontId="3"/>
  </si>
  <si>
    <t>EC-MO2406001 (6/18/24)</t>
    <phoneticPr fontId="3"/>
  </si>
  <si>
    <t>KHT-PO EO6/20/24</t>
    <phoneticPr fontId="3"/>
  </si>
  <si>
    <t>Khaite</t>
    <phoneticPr fontId="3"/>
  </si>
  <si>
    <t>SIC-100</t>
    <phoneticPr fontId="3"/>
  </si>
  <si>
    <t># 135 White</t>
    <phoneticPr fontId="3"/>
  </si>
  <si>
    <t>Air Fabric  100% Polyester with Custom Print</t>
    <phoneticPr fontId="3"/>
  </si>
  <si>
    <t># OF(used as PFP) for custom print</t>
    <phoneticPr fontId="3"/>
  </si>
  <si>
    <t xml:space="preserve"># 09 BLACK </t>
    <phoneticPr fontId="3"/>
  </si>
  <si>
    <t xml:space="preserve"># A1 NUDE </t>
    <phoneticPr fontId="3"/>
  </si>
  <si>
    <t># GP1 ROSE</t>
    <phoneticPr fontId="3"/>
  </si>
  <si>
    <t xml:space="preserve"># 618 NUDE </t>
    <phoneticPr fontId="3"/>
  </si>
  <si>
    <t xml:space="preserve"># 307 PURPLE BLUE </t>
    <phoneticPr fontId="3"/>
  </si>
  <si>
    <t xml:space="preserve"># 132 PINK </t>
    <phoneticPr fontId="3"/>
  </si>
  <si>
    <t>2350-REV(6/26/24)</t>
    <phoneticPr fontId="3"/>
  </si>
  <si>
    <r>
      <t xml:space="preserve">11753(6/26/24) </t>
    </r>
    <r>
      <rPr>
        <sz val="12"/>
        <color rgb="FF0070C0"/>
        <rFont val="Arial"/>
        <family val="2"/>
      </rPr>
      <t>ship to A</t>
    </r>
    <r>
      <rPr>
        <sz val="12"/>
        <color rgb="FF0070C0"/>
        <rFont val="Yu Gothic"/>
        <family val="2"/>
        <charset val="128"/>
      </rPr>
      <t>＆</t>
    </r>
    <r>
      <rPr>
        <sz val="12"/>
        <color rgb="FF0070C0"/>
        <rFont val="Arial"/>
        <family val="2"/>
      </rPr>
      <t>Feng</t>
    </r>
    <phoneticPr fontId="3"/>
  </si>
  <si>
    <r>
      <t>SF002</t>
    </r>
    <r>
      <rPr>
        <sz val="12"/>
        <rFont val="ＭＳ Ｐゴシック"/>
        <family val="2"/>
        <charset val="128"/>
      </rPr>
      <t>　（</t>
    </r>
    <r>
      <rPr>
        <sz val="12"/>
        <rFont val="Arial"/>
        <family val="2"/>
      </rPr>
      <t>6/27/24</t>
    </r>
    <r>
      <rPr>
        <sz val="12"/>
        <rFont val="ＭＳ Ｐゴシック"/>
        <family val="2"/>
        <charset val="128"/>
      </rPr>
      <t>）</t>
    </r>
    <phoneticPr fontId="3"/>
  </si>
  <si>
    <t>E3703</t>
    <phoneticPr fontId="3"/>
  </si>
  <si>
    <t># 174 LAWN GREEN</t>
    <phoneticPr fontId="3"/>
  </si>
  <si>
    <t># 158 ULTRAMARINE</t>
    <phoneticPr fontId="3"/>
  </si>
  <si>
    <t># 35 DELPHINIUM</t>
    <phoneticPr fontId="3"/>
  </si>
  <si>
    <t>Print Strike-off (6/29/24)</t>
    <phoneticPr fontId="3"/>
  </si>
  <si>
    <r>
      <t xml:space="preserve">5008166 (6/28/24) </t>
    </r>
    <r>
      <rPr>
        <sz val="12"/>
        <color rgb="FF0070C0"/>
        <rFont val="Arial"/>
        <family val="2"/>
      </rPr>
      <t>ship to FULLIN</t>
    </r>
    <phoneticPr fontId="3"/>
  </si>
  <si>
    <r>
      <t xml:space="preserve">5008167 (6/28/24) </t>
    </r>
    <r>
      <rPr>
        <sz val="12"/>
        <color rgb="FF0070C0"/>
        <rFont val="Arial"/>
        <family val="2"/>
      </rPr>
      <t>ship to NY</t>
    </r>
    <phoneticPr fontId="3"/>
  </si>
  <si>
    <r>
      <t xml:space="preserve">014755 (7/1/24)  </t>
    </r>
    <r>
      <rPr>
        <sz val="12"/>
        <color rgb="FF0070C0"/>
        <rFont val="Arial"/>
        <family val="2"/>
      </rPr>
      <t>ship to Senda</t>
    </r>
    <phoneticPr fontId="3"/>
  </si>
  <si>
    <r>
      <t xml:space="preserve">014756  (7/1/24)  </t>
    </r>
    <r>
      <rPr>
        <sz val="12"/>
        <color rgb="FF0070C0"/>
        <rFont val="Arial"/>
        <family val="2"/>
      </rPr>
      <t>ship to B.K. Studio</t>
    </r>
    <phoneticPr fontId="3"/>
  </si>
  <si>
    <t>14355(7/2/24)</t>
    <phoneticPr fontId="3"/>
  </si>
  <si>
    <r>
      <t># A9</t>
    </r>
    <r>
      <rPr>
        <sz val="12"/>
        <rFont val="ＭＳ Ｐゴシック"/>
        <family val="2"/>
        <charset val="128"/>
      </rPr>
      <t>　</t>
    </r>
    <r>
      <rPr>
        <sz val="12"/>
        <rFont val="Arial"/>
        <family val="2"/>
      </rPr>
      <t>Lavender</t>
    </r>
    <phoneticPr fontId="3"/>
  </si>
  <si>
    <t xml:space="preserve">Tulle Lace    Base: 100% Nylon / Front yarn : 100% Rayon /  Back yarn : 100% Cotton </t>
    <phoneticPr fontId="3"/>
  </si>
  <si>
    <t>KYL-T27037</t>
    <phoneticPr fontId="3"/>
  </si>
  <si>
    <t>TRL-TRR11665</t>
    <phoneticPr fontId="3"/>
  </si>
  <si>
    <t>FLR-79102</t>
    <phoneticPr fontId="3"/>
  </si>
  <si>
    <t>FLR-56377</t>
    <phoneticPr fontId="3"/>
  </si>
  <si>
    <t>FLR-56627</t>
    <phoneticPr fontId="3"/>
  </si>
  <si>
    <t>PO 0674 (7/9/24)</t>
    <phoneticPr fontId="3"/>
  </si>
  <si>
    <t># 132 Black</t>
    <phoneticPr fontId="3"/>
  </si>
  <si>
    <t>PO 70324 (7/9/24)</t>
    <phoneticPr fontId="3"/>
  </si>
  <si>
    <t>EO 7/11/24</t>
    <phoneticPr fontId="3"/>
  </si>
  <si>
    <t>#170</t>
  </si>
  <si>
    <t>#32</t>
  </si>
  <si>
    <t>012864(7/17/24)</t>
    <phoneticPr fontId="3"/>
  </si>
  <si>
    <t># C24 Grey</t>
    <phoneticPr fontId="3"/>
  </si>
  <si>
    <t># 76 Taupe grey</t>
    <phoneticPr fontId="3"/>
  </si>
  <si>
    <t># C66</t>
    <phoneticPr fontId="3"/>
  </si>
  <si>
    <t>col. 118</t>
    <phoneticPr fontId="3"/>
  </si>
  <si>
    <t xml:space="preserve">2392(7/19/24) </t>
    <phoneticPr fontId="3"/>
  </si>
  <si>
    <t>Prabal Gurung</t>
    <phoneticPr fontId="3"/>
  </si>
  <si>
    <t># 19</t>
    <phoneticPr fontId="3"/>
  </si>
  <si>
    <r>
      <t xml:space="preserve">012863 (7/22/24) </t>
    </r>
    <r>
      <rPr>
        <sz val="12"/>
        <color rgb="FF0070C0"/>
        <rFont val="Arial"/>
        <family val="2"/>
      </rPr>
      <t xml:space="preserve">ship to Spain </t>
    </r>
    <phoneticPr fontId="3"/>
  </si>
  <si>
    <r>
      <t xml:space="preserve">SUN0724 </t>
    </r>
    <r>
      <rPr>
        <sz val="12"/>
        <color rgb="FF0070C0"/>
        <rFont val="Arial"/>
        <family val="2"/>
      </rPr>
      <t>ship to HK</t>
    </r>
    <phoneticPr fontId="3"/>
  </si>
  <si>
    <t>10169 (7/26/24)</t>
    <phoneticPr fontId="3"/>
  </si>
  <si>
    <t xml:space="preserve"># 6 black blue iridescentt </t>
    <phoneticPr fontId="3"/>
  </si>
  <si>
    <r>
      <t xml:space="preserve">RS-EO 7/29/24 </t>
    </r>
    <r>
      <rPr>
        <sz val="12"/>
        <color rgb="FF0070C0"/>
        <rFont val="Arial"/>
        <family val="2"/>
      </rPr>
      <t>ship to India</t>
    </r>
    <phoneticPr fontId="3"/>
  </si>
  <si>
    <t xml:space="preserve"> #53 GREEN</t>
    <phoneticPr fontId="3"/>
  </si>
  <si>
    <t xml:space="preserve"> #31 BLUSH</t>
    <phoneticPr fontId="3"/>
  </si>
  <si>
    <r>
      <t xml:space="preserve">SUN072924 (7/29/24) </t>
    </r>
    <r>
      <rPr>
        <sz val="12"/>
        <color rgb="FF0070C0"/>
        <rFont val="Arial"/>
        <family val="2"/>
      </rPr>
      <t>ship to NY</t>
    </r>
    <phoneticPr fontId="3"/>
  </si>
  <si>
    <t>企画用</t>
    <rPh sb="0" eb="1">
      <t>キカク</t>
    </rPh>
    <rPh sb="1" eb="2">
      <t>ヨウ</t>
    </rPh>
    <phoneticPr fontId="3"/>
  </si>
  <si>
    <t>E3030</t>
    <phoneticPr fontId="3"/>
  </si>
  <si>
    <t>Recycled Polyester Satin Ribbons (Double Face)   Recycled  Polyester-100%</t>
    <phoneticPr fontId="3"/>
  </si>
  <si>
    <t>E2250 card</t>
    <phoneticPr fontId="3"/>
  </si>
  <si>
    <t>E3703 card</t>
    <phoneticPr fontId="3"/>
  </si>
  <si>
    <t>企画用</t>
    <rPh sb="0" eb="2">
      <t>キカク</t>
    </rPh>
    <rPh sb="2" eb="3">
      <t>ヨウ</t>
    </rPh>
    <phoneticPr fontId="3"/>
  </si>
  <si>
    <t>一式</t>
    <rPh sb="0" eb="2">
      <t>イッシキ</t>
    </rPh>
    <phoneticPr fontId="3"/>
  </si>
  <si>
    <t>FWL-23284</t>
    <phoneticPr fontId="3"/>
  </si>
  <si>
    <t>FWL-3154</t>
    <phoneticPr fontId="3"/>
  </si>
  <si>
    <t>FWL-21050</t>
    <phoneticPr fontId="3"/>
  </si>
  <si>
    <r>
      <t xml:space="preserve">014912 (8/2/24)  </t>
    </r>
    <r>
      <rPr>
        <sz val="12"/>
        <color rgb="FF0070C0"/>
        <rFont val="Arial"/>
        <family val="2"/>
      </rPr>
      <t>ship to NY</t>
    </r>
    <phoneticPr fontId="3"/>
  </si>
  <si>
    <t>#329 ivory</t>
  </si>
  <si>
    <t>#131 nude</t>
  </si>
  <si>
    <t>66083 (8/2/24)</t>
    <phoneticPr fontId="3"/>
  </si>
  <si>
    <t>66085 (8/2/24)</t>
    <phoneticPr fontId="3"/>
  </si>
  <si>
    <t>Lace Trim 100% Rayon / mock-up sample</t>
    <phoneticPr fontId="3"/>
  </si>
  <si>
    <r>
      <t xml:space="preserve">66083 (8/2/24) </t>
    </r>
    <r>
      <rPr>
        <sz val="12"/>
        <color rgb="FF00B050"/>
        <rFont val="Arial"/>
        <family val="2"/>
      </rPr>
      <t>Lever</t>
    </r>
    <phoneticPr fontId="3"/>
  </si>
  <si>
    <r>
      <t>66084 (8/2/24)</t>
    </r>
    <r>
      <rPr>
        <sz val="12"/>
        <color rgb="FF00B050"/>
        <rFont val="Arial"/>
        <family val="2"/>
      </rPr>
      <t xml:space="preserve"> Lever</t>
    </r>
    <phoneticPr fontId="3"/>
  </si>
  <si>
    <r>
      <t xml:space="preserve">66085 (8/2/24) </t>
    </r>
    <r>
      <rPr>
        <sz val="12"/>
        <color rgb="FF00B050"/>
        <rFont val="Arial"/>
        <family val="2"/>
      </rPr>
      <t>Lever</t>
    </r>
    <phoneticPr fontId="3"/>
  </si>
  <si>
    <r>
      <t xml:space="preserve">66084 (8/2/24) </t>
    </r>
    <r>
      <rPr>
        <sz val="12"/>
        <color rgb="FF0070C0"/>
        <rFont val="Arial"/>
        <family val="2"/>
      </rPr>
      <t>High Fashion</t>
    </r>
    <r>
      <rPr>
        <sz val="12"/>
        <rFont val="Arial"/>
        <family val="2"/>
      </rPr>
      <t>(Dongguan)</t>
    </r>
    <phoneticPr fontId="3"/>
  </si>
  <si>
    <t>5008285 (8/6/24)</t>
    <phoneticPr fontId="3"/>
  </si>
  <si>
    <t>J Mendel</t>
    <phoneticPr fontId="3"/>
  </si>
  <si>
    <t>100% Cotton Fabric</t>
    <phoneticPr fontId="3"/>
  </si>
  <si>
    <t>FLR-72540</t>
    <phoneticPr fontId="3"/>
  </si>
  <si>
    <t>Mill's Off White</t>
    <phoneticPr fontId="3"/>
  </si>
  <si>
    <t>Metallic Velvet Ribbon   Nylon-100%</t>
    <phoneticPr fontId="3"/>
  </si>
  <si>
    <t xml:space="preserve">94560(8/7/24)  </t>
    <phoneticPr fontId="3"/>
  </si>
  <si>
    <t>66159 (8/9/24)</t>
    <phoneticPr fontId="3"/>
  </si>
  <si>
    <t>66160 (8/9/24)</t>
    <phoneticPr fontId="3"/>
  </si>
  <si>
    <t>66161 (8/9/24)</t>
    <phoneticPr fontId="3"/>
  </si>
  <si>
    <r>
      <t>custom rayon # 3088 (cherry rose)</t>
    </r>
    <r>
      <rPr>
        <sz val="12"/>
        <rFont val="游ゴシック"/>
        <family val="2"/>
        <charset val="128"/>
      </rPr>
      <t>　</t>
    </r>
    <phoneticPr fontId="3"/>
  </si>
  <si>
    <r>
      <t>custom rayon # 3136 (bordeaux)</t>
    </r>
    <r>
      <rPr>
        <sz val="12"/>
        <rFont val="游ゴシック"/>
        <family val="2"/>
        <charset val="128"/>
      </rPr>
      <t>　</t>
    </r>
    <phoneticPr fontId="3"/>
  </si>
  <si>
    <r>
      <t xml:space="preserve">custom rayon # </t>
    </r>
    <r>
      <rPr>
        <sz val="12"/>
        <rFont val="ＭＳ Ｐゴシック"/>
        <family val="2"/>
        <charset val="128"/>
      </rPr>
      <t>晒</t>
    </r>
    <r>
      <rPr>
        <sz val="12"/>
        <rFont val="Arial"/>
        <family val="2"/>
      </rPr>
      <t xml:space="preserve"> (bright White)</t>
    </r>
    <rPh sb="15" eb="16">
      <t>サラシ</t>
    </rPh>
    <phoneticPr fontId="3"/>
  </si>
  <si>
    <t>HONOR</t>
    <phoneticPr fontId="3"/>
  </si>
  <si>
    <t>KYL-24386-T15</t>
  </si>
  <si>
    <t>KYL-24386-19</t>
  </si>
  <si>
    <t>KYL-24223</t>
  </si>
  <si>
    <t>KYL-T24051</t>
  </si>
  <si>
    <t>KYL-T24051-19</t>
  </si>
  <si>
    <t>Mill's Off White</t>
    <phoneticPr fontId="3"/>
  </si>
  <si>
    <t>Mill's Black</t>
    <phoneticPr fontId="3"/>
  </si>
  <si>
    <t xml:space="preserve">Tulle Lace Trim   Base: 100% Nylon / Front yarn : 100% Rayon /  Back yarn : 100% Cotton </t>
    <phoneticPr fontId="3"/>
  </si>
  <si>
    <t>HON-EO-8/12/24</t>
    <phoneticPr fontId="3"/>
  </si>
  <si>
    <t>081624 (8/16/24)</t>
    <phoneticPr fontId="3"/>
  </si>
  <si>
    <t xml:space="preserve"> #106  OATMILK</t>
    <phoneticPr fontId="3"/>
  </si>
  <si>
    <t xml:space="preserve"> #38  KHAKI</t>
    <phoneticPr fontId="3"/>
  </si>
  <si>
    <t>Lever Style Ltd. (Cinq a Sept)</t>
    <phoneticPr fontId="3"/>
  </si>
  <si>
    <t>810PA038849-SF023(8/19/24)</t>
    <phoneticPr fontId="3"/>
  </si>
  <si>
    <t xml:space="preserve">Tulle Lace Trim   Base: 100% Nylon / Front &amp;  Back yarn : 100% Cotton </t>
    <phoneticPr fontId="3"/>
  </si>
  <si>
    <t>HON-EO 8/22/24</t>
    <phoneticPr fontId="3"/>
  </si>
  <si>
    <t>KYL-24386</t>
    <phoneticPr fontId="3"/>
  </si>
  <si>
    <t>1086 (8/28/24)</t>
    <phoneticPr fontId="3"/>
  </si>
  <si>
    <t xml:space="preserve">Polyester Fabric   100% Polyester </t>
    <phoneticPr fontId="3"/>
  </si>
  <si>
    <t xml:space="preserve">152cm </t>
    <phoneticPr fontId="3"/>
  </si>
  <si>
    <t xml:space="preserve"># SO   </t>
    <phoneticPr fontId="3"/>
  </si>
  <si>
    <t>AG-EO 8/29/24</t>
    <phoneticPr fontId="3"/>
  </si>
  <si>
    <t>810PA039457(8/30/24)</t>
    <phoneticPr fontId="3"/>
  </si>
  <si>
    <t>FWL-92882 (FWL-23284-Rayon version)</t>
    <phoneticPr fontId="3"/>
  </si>
  <si>
    <t>FWL-92882 (FWL-23284-Rayon mock-up)</t>
    <phoneticPr fontId="3"/>
  </si>
  <si>
    <t>FWL-92883 (FWL-3154-Rayon version)</t>
    <phoneticPr fontId="3"/>
  </si>
  <si>
    <t>FWL-92883 (FWL-3154-Rayon mock-up)</t>
    <phoneticPr fontId="3"/>
  </si>
  <si>
    <t>FWL-92881 (FWL-21050-Rayon version)</t>
    <phoneticPr fontId="3"/>
  </si>
  <si>
    <t>FWL-92881 (FWL-21050-Rayon mock-up)</t>
    <phoneticPr fontId="3"/>
  </si>
  <si>
    <t>HON-EO 9/9/24</t>
    <phoneticPr fontId="3"/>
  </si>
  <si>
    <t>DTM Mill's Black</t>
    <phoneticPr fontId="3"/>
  </si>
  <si>
    <t>e</t>
    <phoneticPr fontId="3"/>
  </si>
  <si>
    <r>
      <t xml:space="preserve">66563 (9/11/24) </t>
    </r>
    <r>
      <rPr>
        <sz val="12"/>
        <color rgb="FF0070C0"/>
        <rFont val="Arial"/>
        <family val="2"/>
      </rPr>
      <t>ship to Lever</t>
    </r>
    <phoneticPr fontId="3"/>
  </si>
  <si>
    <t xml:space="preserve"># 5 BLACK    </t>
    <phoneticPr fontId="3"/>
  </si>
  <si>
    <t xml:space="preserve"># 11 FLORAL BLUSH    </t>
    <phoneticPr fontId="3"/>
  </si>
  <si>
    <t xml:space="preserve"> # 40 GARDENIA   </t>
    <phoneticPr fontId="3"/>
  </si>
  <si>
    <t xml:space="preserve"># 23 RED SAPPHIRE </t>
    <phoneticPr fontId="3"/>
  </si>
  <si>
    <t>PO 091224 (9/12/24)</t>
    <phoneticPr fontId="3"/>
  </si>
  <si>
    <t>2796 (9/12/24)</t>
    <phoneticPr fontId="3"/>
  </si>
  <si>
    <t>#174 Lawn green</t>
    <phoneticPr fontId="3"/>
  </si>
  <si>
    <t>D/#</t>
    <phoneticPr fontId="3"/>
  </si>
  <si>
    <t>Color</t>
    <phoneticPr fontId="3"/>
  </si>
  <si>
    <t>RU20-21</t>
  </si>
  <si>
    <t xml:space="preserve">4568DIA </t>
    <phoneticPr fontId="3"/>
  </si>
  <si>
    <t xml:space="preserve">7110-quilting </t>
    <phoneticPr fontId="3"/>
  </si>
  <si>
    <t xml:space="preserve">90Box-xx </t>
    <phoneticPr fontId="3"/>
  </si>
  <si>
    <t>7110-quilting</t>
    <phoneticPr fontId="3"/>
  </si>
  <si>
    <t xml:space="preserve">90Box  </t>
    <phoneticPr fontId="3"/>
  </si>
  <si>
    <t>1380-silk quilting</t>
    <phoneticPr fontId="3"/>
  </si>
  <si>
    <t>Dia shirring silver thread</t>
    <phoneticPr fontId="3"/>
  </si>
  <si>
    <t>MC2403</t>
    <phoneticPr fontId="3"/>
  </si>
  <si>
    <t>1380-815</t>
    <phoneticPr fontId="3"/>
  </si>
  <si>
    <t>1380-quilting (silk)</t>
    <phoneticPr fontId="3"/>
  </si>
  <si>
    <t>QT</t>
    <phoneticPr fontId="3"/>
  </si>
  <si>
    <t>7500JS</t>
    <phoneticPr fontId="3"/>
  </si>
  <si>
    <t>7500SS</t>
    <phoneticPr fontId="3"/>
  </si>
  <si>
    <t>7500-006</t>
    <phoneticPr fontId="3"/>
  </si>
  <si>
    <t>Bordaux</t>
    <phoneticPr fontId="3"/>
  </si>
  <si>
    <t>7120NP→(=7120)</t>
    <phoneticPr fontId="3"/>
  </si>
  <si>
    <t>QT-2</t>
    <phoneticPr fontId="3"/>
  </si>
  <si>
    <t>5008405 (9/13/24)</t>
    <phoneticPr fontId="3"/>
  </si>
  <si>
    <t>GAP-EO9/24/24</t>
    <phoneticPr fontId="3"/>
  </si>
  <si>
    <t>GAP</t>
    <phoneticPr fontId="3"/>
  </si>
  <si>
    <t># A2</t>
    <phoneticPr fontId="3"/>
  </si>
  <si>
    <t># 320</t>
    <phoneticPr fontId="3"/>
  </si>
  <si>
    <t># A1</t>
    <phoneticPr fontId="3"/>
  </si>
  <si>
    <t>1092 (9/30/24)</t>
    <phoneticPr fontId="3"/>
  </si>
  <si>
    <t>66826 (9/30/24)</t>
    <phoneticPr fontId="3"/>
  </si>
  <si>
    <t>Lace Trim 100% Rayon</t>
    <phoneticPr fontId="3"/>
  </si>
  <si>
    <r>
      <t>custom rayon # 3042 cherry rose</t>
    </r>
    <r>
      <rPr>
        <sz val="12"/>
        <rFont val="游ゴシック"/>
        <family val="2"/>
        <charset val="128"/>
      </rPr>
      <t>　</t>
    </r>
    <phoneticPr fontId="3"/>
  </si>
  <si>
    <r>
      <t>custom rayon # 3086 red sapphire</t>
    </r>
    <r>
      <rPr>
        <sz val="12"/>
        <rFont val="游ゴシック"/>
        <family val="2"/>
        <charset val="128"/>
      </rPr>
      <t>　</t>
    </r>
    <phoneticPr fontId="3"/>
  </si>
  <si>
    <r>
      <t xml:space="preserve">custom rayon # </t>
    </r>
    <r>
      <rPr>
        <sz val="12"/>
        <rFont val="游ゴシック"/>
        <family val="2"/>
        <charset val="128"/>
      </rPr>
      <t>生成</t>
    </r>
    <r>
      <rPr>
        <sz val="12"/>
        <rFont val="Arial"/>
        <family val="2"/>
      </rPr>
      <t xml:space="preserve"> ivory</t>
    </r>
    <r>
      <rPr>
        <sz val="12"/>
        <rFont val="游ゴシック"/>
        <family val="2"/>
        <charset val="128"/>
      </rPr>
      <t>　</t>
    </r>
    <phoneticPr fontId="3"/>
  </si>
  <si>
    <t>Surcharge for below minimum for FWL-92883</t>
    <phoneticPr fontId="3"/>
  </si>
  <si>
    <t>66827 (9/30/24)</t>
    <phoneticPr fontId="3"/>
  </si>
  <si>
    <t>Surcharge for below minimum for FWL-92881</t>
    <phoneticPr fontId="3"/>
  </si>
  <si>
    <r>
      <t xml:space="preserve">66826 (9/30/24) </t>
    </r>
    <r>
      <rPr>
        <sz val="12"/>
        <color rgb="FF0070C0"/>
        <rFont val="Arial"/>
        <family val="2"/>
      </rPr>
      <t>to High Fashion</t>
    </r>
    <phoneticPr fontId="3"/>
  </si>
  <si>
    <r>
      <t xml:space="preserve">66826 (9/30/24) </t>
    </r>
    <r>
      <rPr>
        <sz val="12"/>
        <color rgb="FF0070C0"/>
        <rFont val="Arial"/>
        <family val="2"/>
      </rPr>
      <t>to NY</t>
    </r>
    <phoneticPr fontId="3"/>
  </si>
  <si>
    <r>
      <t xml:space="preserve">66827 (9/30/24) </t>
    </r>
    <r>
      <rPr>
        <sz val="12"/>
        <color rgb="FF0070C0"/>
        <rFont val="Arial"/>
        <family val="2"/>
      </rPr>
      <t>to High Fashion</t>
    </r>
    <phoneticPr fontId="3"/>
  </si>
  <si>
    <r>
      <t xml:space="preserve">66827 (9/30/24) </t>
    </r>
    <r>
      <rPr>
        <sz val="12"/>
        <color rgb="FF0070C0"/>
        <rFont val="Arial"/>
        <family val="2"/>
      </rPr>
      <t>to NY</t>
    </r>
    <phoneticPr fontId="3"/>
  </si>
  <si>
    <t>#14 red</t>
    <phoneticPr fontId="3"/>
  </si>
  <si>
    <t>#30 black</t>
  </si>
  <si>
    <t>#30 black</t>
    <phoneticPr fontId="3"/>
  </si>
  <si>
    <t>#5 black</t>
  </si>
  <si>
    <t>#11 Floral blush</t>
  </si>
  <si>
    <t>#40 Gardenia</t>
  </si>
  <si>
    <t>#23 red sapphire</t>
  </si>
  <si>
    <t>#135 ivory</t>
  </si>
  <si>
    <t>66874(10/2/24)</t>
    <phoneticPr fontId="3"/>
  </si>
  <si>
    <t>通常</t>
    <rPh sb="0" eb="2">
      <t>ツウジョウ</t>
    </rPh>
    <phoneticPr fontId="3"/>
  </si>
  <si>
    <r>
      <t>66873(10/2/24)</t>
    </r>
    <r>
      <rPr>
        <sz val="12"/>
        <color rgb="FF0070C0"/>
        <rFont val="Arial"/>
        <family val="2"/>
      </rPr>
      <t xml:space="preserve"> to High Fashion</t>
    </r>
    <phoneticPr fontId="3"/>
  </si>
  <si>
    <r>
      <t xml:space="preserve">66872(10/2/24) </t>
    </r>
    <r>
      <rPr>
        <sz val="12"/>
        <color rgb="FF0070C0"/>
        <rFont val="Arial"/>
        <family val="2"/>
      </rPr>
      <t>to Lever</t>
    </r>
    <phoneticPr fontId="3"/>
  </si>
  <si>
    <r>
      <t>66842(10/2/24)</t>
    </r>
    <r>
      <rPr>
        <sz val="12"/>
        <color rgb="FF0070C0"/>
        <rFont val="Arial"/>
        <family val="2"/>
      </rPr>
      <t xml:space="preserve"> to Lever</t>
    </r>
    <phoneticPr fontId="3"/>
  </si>
  <si>
    <r>
      <t xml:space="preserve">66839(10/2/24) </t>
    </r>
    <r>
      <rPr>
        <sz val="12"/>
        <color rgb="FF0070C0"/>
        <rFont val="Arial"/>
        <family val="2"/>
      </rPr>
      <t>to comfortex</t>
    </r>
    <phoneticPr fontId="3"/>
  </si>
  <si>
    <r>
      <t xml:space="preserve">66874(10/2/24) </t>
    </r>
    <r>
      <rPr>
        <sz val="12"/>
        <color rgb="FF0070C0"/>
        <rFont val="Arial"/>
        <family val="2"/>
      </rPr>
      <t>to NY</t>
    </r>
    <phoneticPr fontId="3"/>
  </si>
  <si>
    <r>
      <t xml:space="preserve">66840(10/2/24) </t>
    </r>
    <r>
      <rPr>
        <sz val="12"/>
        <color rgb="FF0070C0"/>
        <rFont val="Arial"/>
        <family val="2"/>
      </rPr>
      <t>to High Fashion</t>
    </r>
    <phoneticPr fontId="3"/>
  </si>
  <si>
    <t>NL-EO 10/4/24</t>
    <phoneticPr fontId="3"/>
  </si>
  <si>
    <t xml:space="preserve">2560(10/9/24) </t>
    <phoneticPr fontId="3"/>
  </si>
  <si>
    <r>
      <t xml:space="preserve">CAS-EO 10/10/24 </t>
    </r>
    <r>
      <rPr>
        <sz val="12"/>
        <color rgb="FF0070C0"/>
        <rFont val="Arial"/>
        <family val="2"/>
      </rPr>
      <t>to Lever</t>
    </r>
    <phoneticPr fontId="3"/>
  </si>
  <si>
    <t>#140 Bordeaux</t>
  </si>
  <si>
    <t>#106 blush dune</t>
  </si>
  <si>
    <t># 9 black</t>
    <phoneticPr fontId="3"/>
  </si>
  <si>
    <t>5008569 (10/15/24)</t>
    <phoneticPr fontId="3"/>
  </si>
  <si>
    <t xml:space="preserve">2560(10/14/24) </t>
    <phoneticPr fontId="3"/>
  </si>
  <si>
    <t># 9 Black</t>
    <phoneticPr fontId="3"/>
  </si>
  <si>
    <t># 407 Red</t>
    <phoneticPr fontId="3"/>
  </si>
  <si>
    <t>5008586 (10/16/24)</t>
    <phoneticPr fontId="3"/>
  </si>
  <si>
    <t>#280 sunshine yellow</t>
    <phoneticPr fontId="3"/>
  </si>
  <si>
    <r>
      <t xml:space="preserve">67111(10/18/24) </t>
    </r>
    <r>
      <rPr>
        <sz val="12"/>
        <color rgb="FF0070C0"/>
        <rFont val="Arial"/>
        <family val="2"/>
      </rPr>
      <t>to SHANGHAI MINGYANG</t>
    </r>
    <phoneticPr fontId="3"/>
  </si>
  <si>
    <t>#3 brown sandstone</t>
    <phoneticPr fontId="3"/>
  </si>
  <si>
    <t>#111 sugar cane</t>
    <phoneticPr fontId="3"/>
  </si>
  <si>
    <t xml:space="preserve">2591(10/18/24) </t>
    <phoneticPr fontId="3"/>
  </si>
  <si>
    <r>
      <t># 118</t>
    </r>
    <r>
      <rPr>
        <sz val="12"/>
        <rFont val="ＭＳ Ｐゴシック"/>
        <family val="2"/>
        <charset val="128"/>
      </rPr>
      <t>　</t>
    </r>
    <r>
      <rPr>
        <sz val="12"/>
        <rFont val="Arial"/>
        <family val="2"/>
      </rPr>
      <t>Light Nude</t>
    </r>
    <phoneticPr fontId="3"/>
  </si>
  <si>
    <t>KYL-24223R-T15</t>
    <phoneticPr fontId="3"/>
  </si>
  <si>
    <t>1098 (10/28/2024)</t>
    <phoneticPr fontId="3"/>
  </si>
  <si>
    <t>5008618 (10/25/24)</t>
    <phoneticPr fontId="3"/>
  </si>
  <si>
    <t># 171</t>
    <phoneticPr fontId="3"/>
  </si>
  <si>
    <t>2392(10/25/24)</t>
    <phoneticPr fontId="3"/>
  </si>
  <si>
    <t xml:space="preserve"># 661 CHARCOAL </t>
    <phoneticPr fontId="3"/>
  </si>
  <si>
    <t># 417  BROWN</t>
    <phoneticPr fontId="3"/>
  </si>
  <si>
    <t xml:space="preserve"># 605 PLUM </t>
    <phoneticPr fontId="3"/>
  </si>
  <si>
    <t>2393(10/25/24)</t>
    <phoneticPr fontId="3"/>
  </si>
  <si>
    <t xml:space="preserve"># 9 BLACK </t>
    <phoneticPr fontId="3"/>
  </si>
  <si>
    <t>111-0052</t>
    <phoneticPr fontId="3"/>
  </si>
  <si>
    <r>
      <rPr>
        <sz val="11"/>
        <rFont val="MS UI Gothic"/>
        <family val="3"/>
        <charset val="128"/>
      </rPr>
      <t>東京都台東区柳橋</t>
    </r>
    <r>
      <rPr>
        <sz val="11"/>
        <rFont val="Times New Roman"/>
        <family val="3"/>
      </rPr>
      <t>2-16-14</t>
    </r>
    <r>
      <rPr>
        <sz val="11"/>
        <rFont val="游ゴシック"/>
        <family val="3"/>
        <charset val="128"/>
      </rPr>
      <t>バッグ会館</t>
    </r>
    <r>
      <rPr>
        <sz val="11"/>
        <rFont val="Times New Roman"/>
        <family val="3"/>
      </rPr>
      <t>5</t>
    </r>
    <r>
      <rPr>
        <sz val="11"/>
        <rFont val="游ゴシック"/>
        <family val="3"/>
        <charset val="128"/>
      </rPr>
      <t>階</t>
    </r>
    <phoneticPr fontId="3"/>
  </si>
  <si>
    <t>PG-EO 11/6/24</t>
    <phoneticPr fontId="3"/>
  </si>
  <si>
    <r>
      <t>Satin Velveteen Ribbons  Rayon</t>
    </r>
    <r>
      <rPr>
        <sz val="12"/>
        <rFont val="游ゴシック"/>
        <family val="2"/>
        <charset val="128"/>
      </rPr>
      <t>：</t>
    </r>
    <r>
      <rPr>
        <sz val="12"/>
        <rFont val="Arial"/>
        <family val="2"/>
      </rPr>
      <t>55%</t>
    </r>
    <r>
      <rPr>
        <sz val="12"/>
        <rFont val="游ゴシック"/>
        <family val="2"/>
        <charset val="128"/>
      </rPr>
      <t>，</t>
    </r>
    <r>
      <rPr>
        <sz val="12"/>
        <rFont val="Arial"/>
        <family val="2"/>
      </rPr>
      <t>Polyester</t>
    </r>
    <r>
      <rPr>
        <sz val="12"/>
        <rFont val="游ゴシック"/>
        <family val="2"/>
        <charset val="128"/>
      </rPr>
      <t>：</t>
    </r>
    <r>
      <rPr>
        <sz val="12"/>
        <rFont val="Arial"/>
        <family val="2"/>
      </rPr>
      <t>45%</t>
    </r>
    <phoneticPr fontId="3"/>
  </si>
  <si>
    <t># 4</t>
    <phoneticPr fontId="3"/>
  </si>
  <si>
    <t>Article / Qty</t>
    <phoneticPr fontId="3"/>
  </si>
  <si>
    <t>仕入れ単価 price valid : March 31st 2025</t>
    <rPh sb="0" eb="2">
      <t>シイ</t>
    </rPh>
    <rPh sb="3" eb="5">
      <t>タンカ</t>
    </rPh>
    <phoneticPr fontId="3"/>
  </si>
  <si>
    <r>
      <t>KFUT5116 D#F3445 (Mill's color) 
Sample cut price (</t>
    </r>
    <r>
      <rPr>
        <sz val="10"/>
        <rFont val="ＭＳ Ｐゴシック"/>
        <family val="2"/>
        <charset val="128"/>
      </rPr>
      <t>～</t>
    </r>
    <r>
      <rPr>
        <sz val="10"/>
        <rFont val="Arial  "/>
        <family val="2"/>
      </rPr>
      <t>2.9m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</si>
  <si>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t xml:space="preserve">梱包費用 +30 </t>
    <rPh sb="0" eb="2">
      <t>コンポウ</t>
    </rPh>
    <rPh sb="2" eb="4">
      <t>ヒヨウ</t>
    </rPh>
    <phoneticPr fontId="3"/>
  </si>
  <si>
    <t xml:space="preserve">20241111 3.1 PL   20% レート120 </t>
    <phoneticPr fontId="3"/>
  </si>
  <si>
    <t>KFUT5116 D#F3445 (Mill's color) 
based on Regular price</t>
    <phoneticPr fontId="3"/>
  </si>
  <si>
    <t>KFUT5116 D#F3445 (Mill's color) 
based on 1000m/order</t>
    <phoneticPr fontId="3"/>
  </si>
  <si>
    <t>KFUT5116 D#F3445 (Mill's color) 
based on 2000m/order</t>
    <phoneticPr fontId="3"/>
  </si>
  <si>
    <t>KFUT5116 D#F3445 (Mill's color) 
based on 3000m/order</t>
    <phoneticPr fontId="3"/>
  </si>
  <si>
    <t>EXW JAPAN /m (price valid : March 25th 2025)</t>
    <phoneticPr fontId="3"/>
  </si>
  <si>
    <t>5008688 (11/12/2024)</t>
    <phoneticPr fontId="3"/>
  </si>
  <si>
    <t>2401(11/13/24)</t>
    <phoneticPr fontId="3"/>
  </si>
  <si>
    <t># 610 silver blue</t>
    <phoneticPr fontId="3"/>
  </si>
  <si>
    <t># AP128 brown</t>
    <phoneticPr fontId="3"/>
  </si>
  <si>
    <r>
      <t xml:space="preserve">67521(11/13/24) </t>
    </r>
    <r>
      <rPr>
        <sz val="12"/>
        <color rgb="FF0070C0"/>
        <rFont val="Arial"/>
        <family val="2"/>
      </rPr>
      <t>to SHANGHAI MINGYANG</t>
    </r>
    <phoneticPr fontId="3"/>
  </si>
  <si>
    <t>#193 brown suger</t>
  </si>
  <si>
    <t>#181 light blue</t>
  </si>
  <si>
    <r>
      <t xml:space="preserve">12032(11/14/24) </t>
    </r>
    <r>
      <rPr>
        <sz val="12"/>
        <color rgb="FF0070C0"/>
        <rFont val="Arial"/>
        <family val="2"/>
      </rPr>
      <t>ship to A&amp;Feng</t>
    </r>
    <phoneticPr fontId="3"/>
  </si>
  <si>
    <t>KFUT5116 D#F3445</t>
    <phoneticPr fontId="3"/>
  </si>
  <si>
    <t># 20BK Black</t>
    <phoneticPr fontId="3"/>
  </si>
  <si>
    <t># 118OW White</t>
    <phoneticPr fontId="3"/>
  </si>
  <si>
    <t>PO 2796-addition (11/20/24)</t>
    <phoneticPr fontId="3"/>
  </si>
  <si>
    <t>-</t>
    <phoneticPr fontId="3"/>
  </si>
  <si>
    <t>DF-EO 11/25/24</t>
    <phoneticPr fontId="3"/>
  </si>
  <si>
    <t>100% Polyester Satin fabric</t>
    <phoneticPr fontId="3"/>
  </si>
  <si>
    <t>FUT9826-58</t>
    <phoneticPr fontId="3"/>
  </si>
  <si>
    <r>
      <t xml:space="preserve">12071 (11/26/24) </t>
    </r>
    <r>
      <rPr>
        <sz val="12"/>
        <color indexed="10"/>
        <rFont val="Arial"/>
        <family val="2"/>
      </rPr>
      <t>East Concept</t>
    </r>
    <phoneticPr fontId="3"/>
  </si>
  <si>
    <t>TRICOLUM</t>
    <phoneticPr fontId="3"/>
  </si>
  <si>
    <t>M20932-2</t>
    <phoneticPr fontId="3"/>
  </si>
  <si>
    <t>P20932-P7</t>
    <phoneticPr fontId="3"/>
  </si>
  <si>
    <t>R300-1</t>
    <phoneticPr fontId="3"/>
  </si>
  <si>
    <t>M21175-1</t>
    <phoneticPr fontId="3"/>
  </si>
  <si>
    <t>M174-2</t>
    <phoneticPr fontId="3"/>
  </si>
  <si>
    <r>
      <rPr>
        <sz val="11"/>
        <rFont val="ＭＳ Ｐゴシック"/>
        <family val="1"/>
        <charset val="128"/>
      </rPr>
      <t>加栄レース株式会社</t>
    </r>
    <phoneticPr fontId="3"/>
  </si>
  <si>
    <t>376-0013</t>
    <phoneticPr fontId="3"/>
  </si>
  <si>
    <r>
      <rPr>
        <sz val="11"/>
        <rFont val="ＭＳ Ｐゴシック"/>
        <family val="1"/>
        <charset val="128"/>
      </rPr>
      <t>群馬県桐生市広沢町</t>
    </r>
    <r>
      <rPr>
        <sz val="11"/>
        <rFont val="Times New Roman"/>
        <family val="1"/>
      </rPr>
      <t>7-5281-1</t>
    </r>
    <phoneticPr fontId="3"/>
  </si>
  <si>
    <t>0277-52-5652</t>
    <phoneticPr fontId="3"/>
  </si>
  <si>
    <t>0277-52-5651</t>
    <phoneticPr fontId="3"/>
  </si>
  <si>
    <t>Black x Gold</t>
    <phoneticPr fontId="3"/>
  </si>
  <si>
    <t xml:space="preserve">Black x Spiral print </t>
    <phoneticPr fontId="3"/>
  </si>
  <si>
    <t>Black x Silver</t>
    <phoneticPr fontId="3"/>
  </si>
  <si>
    <t>6019</t>
    <phoneticPr fontId="3"/>
  </si>
  <si>
    <r>
      <t>Amount (</t>
    </r>
    <r>
      <rPr>
        <sz val="11"/>
        <rFont val="ＭＳ Ｐゴシック"/>
        <family val="2"/>
        <charset val="128"/>
      </rPr>
      <t>顧客請求）</t>
    </r>
    <rPh sb="8" eb="10">
      <t>コキャク</t>
    </rPh>
    <rPh sb="10" eb="12">
      <t>セイキュウ</t>
    </rPh>
    <phoneticPr fontId="3"/>
  </si>
  <si>
    <r>
      <t>Cost (Osaka</t>
    </r>
    <r>
      <rPr>
        <sz val="11"/>
        <rFont val="游ゴシック Medium"/>
        <family val="3"/>
        <charset val="128"/>
      </rPr>
      <t>→</t>
    </r>
    <r>
      <rPr>
        <sz val="11"/>
        <rFont val="Arial  "/>
        <family val="2"/>
      </rPr>
      <t xml:space="preserve">SF USA) </t>
    </r>
    <phoneticPr fontId="3"/>
  </si>
  <si>
    <r>
      <rPr>
        <sz val="11"/>
        <rFont val="游ゴシック Medium"/>
        <family val="3"/>
        <charset val="128"/>
      </rPr>
      <t>仕入金額
（合計）</t>
    </r>
    <rPh sb="0" eb="2">
      <t>シイレ</t>
    </rPh>
    <rPh sb="2" eb="4">
      <t>キンガク</t>
    </rPh>
    <rPh sb="6" eb="8">
      <t>ゴウケイ</t>
    </rPh>
    <phoneticPr fontId="3"/>
  </si>
  <si>
    <r>
      <rPr>
        <sz val="11"/>
        <rFont val="ＭＳ Ｐゴシック"/>
        <family val="3"/>
        <charset val="128"/>
      </rPr>
      <t>出荷保留分合計</t>
    </r>
    <rPh sb="0" eb="2">
      <t>シュッカ</t>
    </rPh>
    <rPh sb="2" eb="4">
      <t>ホリュウ</t>
    </rPh>
    <rPh sb="4" eb="5">
      <t>ブン</t>
    </rPh>
    <rPh sb="5" eb="7">
      <t>ゴウケイ</t>
    </rPh>
    <phoneticPr fontId="3"/>
  </si>
  <si>
    <t>(出荷保留分ロゴ別注)</t>
    <rPh sb="1" eb="3">
      <t>シュッカ</t>
    </rPh>
    <rPh sb="3" eb="5">
      <t>ホリュウ</t>
    </rPh>
    <rPh sb="5" eb="6">
      <t>ブン</t>
    </rPh>
    <rPh sb="8" eb="10">
      <t>ベッチュウ</t>
    </rPh>
    <phoneticPr fontId="3"/>
  </si>
  <si>
    <t>KS9315</t>
  </si>
  <si>
    <t>Knit Tape</t>
  </si>
  <si>
    <t>Polyester-100%</t>
  </si>
  <si>
    <t>20241204 Coach</t>
    <phoneticPr fontId="3"/>
  </si>
  <si>
    <t>KS-9625</t>
    <phoneticPr fontId="3"/>
  </si>
  <si>
    <t>1 roll (=50m/roll)</t>
    <phoneticPr fontId="3"/>
  </si>
  <si>
    <t>1 roll (=30m/roll)</t>
    <phoneticPr fontId="3"/>
  </si>
  <si>
    <t>Wool Knit Tapes</t>
    <phoneticPr fontId="3"/>
  </si>
  <si>
    <t>Wool-100%</t>
    <phoneticPr fontId="3"/>
  </si>
  <si>
    <t>1 roll (=15m/roll)</t>
    <phoneticPr fontId="3"/>
  </si>
  <si>
    <t>Knit Stretch Binder Tapes</t>
    <phoneticPr fontId="3"/>
  </si>
  <si>
    <t>Polyester-100%</t>
    <phoneticPr fontId="3"/>
  </si>
  <si>
    <r>
      <t>Polyester-90%</t>
    </r>
    <r>
      <rPr>
        <sz val="10"/>
        <rFont val="ＭＳ Ｐゴシック"/>
        <family val="3"/>
        <charset val="128"/>
      </rPr>
      <t>，</t>
    </r>
    <r>
      <rPr>
        <sz val="10"/>
        <rFont val="Arial  "/>
        <family val="2"/>
      </rPr>
      <t>Polyurethane-10%</t>
    </r>
    <phoneticPr fontId="3"/>
  </si>
  <si>
    <r>
      <t>20mm(10mm×2</t>
    </r>
    <r>
      <rPr>
        <sz val="10"/>
        <rFont val="ＭＳ Ｐゴシック"/>
        <family val="3"/>
        <charset val="128"/>
      </rPr>
      <t>）</t>
    </r>
    <phoneticPr fontId="3"/>
  </si>
  <si>
    <r>
      <t>24mm(12mm×2</t>
    </r>
    <r>
      <rPr>
        <sz val="10"/>
        <rFont val="ＭＳ Ｐゴシック"/>
        <family val="3"/>
        <charset val="128"/>
      </rPr>
      <t>）</t>
    </r>
    <phoneticPr fontId="3"/>
  </si>
  <si>
    <r>
      <t>30mm(15mm×2</t>
    </r>
    <r>
      <rPr>
        <sz val="10"/>
        <rFont val="ＭＳ Ｐゴシック"/>
        <family val="3"/>
        <charset val="128"/>
      </rPr>
      <t>）</t>
    </r>
    <phoneticPr fontId="3"/>
  </si>
  <si>
    <t>24CFMYN001 (12/5/24)</t>
    <phoneticPr fontId="3"/>
  </si>
  <si>
    <t># 92NT Olympic</t>
    <phoneticPr fontId="3"/>
  </si>
  <si>
    <t>Based on Qty below</t>
    <phoneticPr fontId="3"/>
  </si>
  <si>
    <t>EXW JAPAN price/m</t>
    <phoneticPr fontId="3"/>
  </si>
  <si>
    <t>NOTE</t>
    <phoneticPr fontId="3"/>
  </si>
  <si>
    <t>仕入</t>
    <rPh sb="0" eb="2">
      <t>シイレ</t>
    </rPh>
    <phoneticPr fontId="3"/>
  </si>
  <si>
    <t>利益率</t>
    <rPh sb="0" eb="3">
      <t>リエキリツ</t>
    </rPh>
    <phoneticPr fontId="3"/>
  </si>
  <si>
    <t>sample cut( when in stock)</t>
    <phoneticPr fontId="3"/>
  </si>
  <si>
    <t>アップチャージ +300円/m</t>
    <rPh sb="12" eb="13">
      <t>エン</t>
    </rPh>
    <phoneticPr fontId="3"/>
  </si>
  <si>
    <t>20241211 Carolina Herrera</t>
    <phoneticPr fontId="3"/>
  </si>
  <si>
    <t>SAG-7570 Mill's Standard color</t>
    <phoneticPr fontId="3"/>
  </si>
  <si>
    <t>SAG-7540 Mill's Standard color</t>
    <phoneticPr fontId="3"/>
  </si>
  <si>
    <t>105/108cm</t>
    <phoneticPr fontId="3"/>
  </si>
  <si>
    <t>Width</t>
    <phoneticPr fontId="3"/>
  </si>
  <si>
    <t>92/95cm</t>
    <phoneticPr fontId="3"/>
  </si>
  <si>
    <t xml:space="preserve">1 roll/col (abt 44m/col) - </t>
    <phoneticPr fontId="3"/>
  </si>
  <si>
    <t>P20932</t>
    <phoneticPr fontId="3"/>
  </si>
  <si>
    <t>Custom Logo</t>
    <phoneticPr fontId="3"/>
  </si>
  <si>
    <t>Custom Logo Print set-up fee</t>
    <phoneticPr fontId="3"/>
  </si>
  <si>
    <t>合計金額</t>
    <rPh sb="0" eb="2">
      <t>ゴウケイ</t>
    </rPh>
    <rPh sb="2" eb="4">
      <t>キンガク</t>
    </rPh>
    <phoneticPr fontId="3"/>
  </si>
  <si>
    <t>P20932-2</t>
    <phoneticPr fontId="3"/>
  </si>
  <si>
    <t>P20932-1</t>
    <phoneticPr fontId="3"/>
  </si>
  <si>
    <t>20241213 Erik Barshai</t>
    <phoneticPr fontId="3"/>
  </si>
  <si>
    <t>バルクミニマム：4 roll/col (abt 84m/col)</t>
    <phoneticPr fontId="3"/>
  </si>
  <si>
    <t>SAG-7120NP</t>
    <phoneticPr fontId="3"/>
  </si>
  <si>
    <t xml:space="preserve">FUT9936 D#3 </t>
    <phoneticPr fontId="3"/>
  </si>
  <si>
    <t xml:space="preserve">1 roll/col (abt 50m/col) - </t>
    <phoneticPr fontId="3"/>
  </si>
  <si>
    <r>
      <t xml:space="preserve">Sample cut up to 10m ( less than </t>
    </r>
    <r>
      <rPr>
        <sz val="10"/>
        <rFont val="Arial  "/>
        <family val="2"/>
      </rPr>
      <t>2.9m</t>
    </r>
    <r>
      <rPr>
        <sz val="10"/>
        <rFont val="Arial  "/>
        <family val="2"/>
        <charset val="128"/>
      </rPr>
      <t>→</t>
    </r>
    <r>
      <rPr>
        <sz val="10"/>
        <rFont val="Arial  "/>
        <family val="2"/>
      </rPr>
      <t xml:space="preserve"> + US$15/cut)</t>
    </r>
    <phoneticPr fontId="3"/>
  </si>
  <si>
    <t>Made to order : 1 roll/col (abt 21m/col)</t>
    <phoneticPr fontId="3"/>
  </si>
  <si>
    <t>Made to order : 4 roll/col (abt 84m/col)</t>
    <phoneticPr fontId="3"/>
  </si>
  <si>
    <t>FLR-72586</t>
    <phoneticPr fontId="3"/>
  </si>
  <si>
    <t>Made to order : 6 rolls/col (abt 82.2m/col)</t>
    <phoneticPr fontId="3"/>
  </si>
  <si>
    <t>Made to order : 1 roll/col (abt 13.7m/col)</t>
    <phoneticPr fontId="3"/>
  </si>
  <si>
    <t>5008808 (12/18/2024)</t>
    <phoneticPr fontId="3"/>
  </si>
  <si>
    <t>SAG-7570</t>
    <phoneticPr fontId="3"/>
  </si>
  <si>
    <t xml:space="preserve">20241219 Kelly Faetanini   20% レート120 </t>
    <phoneticPr fontId="3"/>
  </si>
  <si>
    <r>
      <t>KFUT5116 (Mill's color) 
Sample cut price (</t>
    </r>
    <r>
      <rPr>
        <sz val="10"/>
        <rFont val="ＭＳ Ｐゴシック"/>
        <family val="2"/>
        <charset val="128"/>
      </rPr>
      <t>～</t>
    </r>
    <r>
      <rPr>
        <sz val="10"/>
        <rFont val="Arial  "/>
        <family val="2"/>
      </rPr>
      <t>2.9m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</si>
  <si>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t>*D#F3444 &amp; D#F3407 &amp; D#F3431</t>
    <phoneticPr fontId="3"/>
  </si>
  <si>
    <t>EXW JAPAN /m (price valid : February 15th,2025)</t>
    <phoneticPr fontId="3"/>
  </si>
  <si>
    <t xml:space="preserve">仕入れ単価 </t>
    <rPh sb="0" eb="2">
      <t>シイ</t>
    </rPh>
    <rPh sb="3" eb="5">
      <t>タンカ</t>
    </rPh>
    <phoneticPr fontId="3"/>
  </si>
  <si>
    <t>EO 12/23/24</t>
    <phoneticPr fontId="3"/>
  </si>
  <si>
    <r>
      <t xml:space="preserve">EO 12/23/24 </t>
    </r>
    <r>
      <rPr>
        <sz val="12"/>
        <color rgb="FF0070C0"/>
        <rFont val="Arial"/>
        <family val="2"/>
      </rPr>
      <t>ship to NY</t>
    </r>
    <phoneticPr fontId="3"/>
  </si>
  <si>
    <r>
      <t xml:space="preserve">EO 12/23/24 </t>
    </r>
    <r>
      <rPr>
        <sz val="12"/>
        <color rgb="FFFF0000"/>
        <rFont val="Arial"/>
        <family val="2"/>
      </rPr>
      <t>ship to Chicago</t>
    </r>
    <phoneticPr fontId="3"/>
  </si>
  <si>
    <t>Col. 329 (Light Ivory)</t>
    <phoneticPr fontId="3"/>
  </si>
  <si>
    <r>
      <t xml:space="preserve">1112 (12/30/2024) </t>
    </r>
    <r>
      <rPr>
        <sz val="12"/>
        <color rgb="FF0070C0"/>
        <rFont val="Arial"/>
        <family val="2"/>
      </rPr>
      <t>ship to NY</t>
    </r>
    <phoneticPr fontId="3"/>
  </si>
  <si>
    <r>
      <t xml:space="preserve">1112 (12/30/2024) </t>
    </r>
    <r>
      <rPr>
        <sz val="12"/>
        <color rgb="FF0070C0"/>
        <rFont val="Arial"/>
        <family val="2"/>
      </rPr>
      <t>ship to Chicago</t>
    </r>
    <phoneticPr fontId="3"/>
  </si>
  <si>
    <t>STUDIO OBLIVION LLC (Grace Fu)</t>
    <phoneticPr fontId="3"/>
  </si>
  <si>
    <t>DTM Fee</t>
    <phoneticPr fontId="3"/>
  </si>
  <si>
    <t>e</t>
    <phoneticPr fontId="3"/>
  </si>
  <si>
    <t>PO003 (1/6/25)</t>
    <phoneticPr fontId="3"/>
  </si>
  <si>
    <t>KYL-24246</t>
    <phoneticPr fontId="3"/>
  </si>
  <si>
    <t xml:space="preserve">2718(01/06/25) </t>
    <phoneticPr fontId="3"/>
  </si>
  <si>
    <t>COL. 9-BLACK</t>
    <phoneticPr fontId="3"/>
  </si>
  <si>
    <t xml:space="preserve">015532(01/08/25) </t>
    <phoneticPr fontId="3"/>
  </si>
  <si>
    <t># 0 White</t>
    <phoneticPr fontId="3"/>
  </si>
  <si>
    <t>0758 (JANUARY 14th, 2025)</t>
    <phoneticPr fontId="3"/>
  </si>
  <si>
    <r>
      <t>FUT3536F3Y-W (Mill's color) 
Sample cut price (</t>
    </r>
    <r>
      <rPr>
        <sz val="10"/>
        <rFont val="ＭＳ Ｐゴシック"/>
        <family val="2"/>
        <charset val="128"/>
      </rPr>
      <t>～</t>
    </r>
    <r>
      <rPr>
        <sz val="10"/>
        <rFont val="Arial  "/>
        <family val="2"/>
      </rPr>
      <t>2.9m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</si>
  <si>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t>FUT3536F3Y-W (Mill's color) 
based on Regular price</t>
    <phoneticPr fontId="3"/>
  </si>
  <si>
    <r>
      <t xml:space="preserve">5008925 (01/24/2025) </t>
    </r>
    <r>
      <rPr>
        <sz val="12"/>
        <color rgb="FF0070C0"/>
        <rFont val="Arial"/>
        <family val="2"/>
      </rPr>
      <t>ship to Italy</t>
    </r>
    <phoneticPr fontId="3"/>
  </si>
  <si>
    <r>
      <t xml:space="preserve">5008926 (01/24/2025) </t>
    </r>
    <r>
      <rPr>
        <sz val="12"/>
        <color rgb="FF0070C0"/>
        <rFont val="Arial"/>
        <family val="2"/>
      </rPr>
      <t>ship to NY</t>
    </r>
    <phoneticPr fontId="3"/>
  </si>
  <si>
    <t>T9000</t>
  </si>
  <si>
    <t>160×50</t>
  </si>
  <si>
    <t>Varca Bridal 20250127</t>
    <phoneticPr fontId="3"/>
  </si>
  <si>
    <r>
      <rPr>
        <b/>
        <sz val="10"/>
        <color theme="1"/>
        <rFont val="Malgun Gothic"/>
        <family val="2"/>
        <charset val="129"/>
      </rPr>
      <t>仕入金額</t>
    </r>
    <r>
      <rPr>
        <b/>
        <sz val="10"/>
        <color theme="1"/>
        <rFont val="Arial  "/>
        <family val="2"/>
      </rPr>
      <t>(</t>
    </r>
    <r>
      <rPr>
        <b/>
        <sz val="10"/>
        <color theme="1"/>
        <rFont val="Malgun Gothic"/>
        <family val="2"/>
        <charset val="129"/>
      </rPr>
      <t>輸出梱包費用</t>
    </r>
    <r>
      <rPr>
        <b/>
        <sz val="10"/>
        <color theme="1"/>
        <rFont val="Arial  "/>
        <family val="2"/>
      </rPr>
      <t>30</t>
    </r>
    <r>
      <rPr>
        <b/>
        <sz val="10"/>
        <color theme="1"/>
        <rFont val="Malgun Gothic"/>
        <family val="2"/>
        <charset val="129"/>
      </rPr>
      <t>円</t>
    </r>
    <r>
      <rPr>
        <b/>
        <sz val="10"/>
        <color theme="1"/>
        <rFont val="Microsoft JhengHei"/>
        <family val="2"/>
        <charset val="136"/>
      </rPr>
      <t>込）</t>
    </r>
    <rPh sb="0" eb="4">
      <t>シイレキンガク</t>
    </rPh>
    <rPh sb="5" eb="7">
      <t>ユシュツ</t>
    </rPh>
    <rPh sb="7" eb="9">
      <t>コンポウ</t>
    </rPh>
    <rPh sb="9" eb="11">
      <t>ヒヨウ</t>
    </rPh>
    <rPh sb="13" eb="14">
      <t>エン</t>
    </rPh>
    <rPh sb="14" eb="15">
      <t>コ</t>
    </rPh>
    <phoneticPr fontId="3"/>
  </si>
  <si>
    <t>T9000RE</t>
    <phoneticPr fontId="3"/>
  </si>
  <si>
    <t>150×50</t>
    <phoneticPr fontId="3"/>
  </si>
  <si>
    <r>
      <t>FUT3341 D/#2 (Mill's color) 
Sample cut price (</t>
    </r>
    <r>
      <rPr>
        <sz val="10"/>
        <rFont val="ＭＳ Ｐゴシック"/>
        <family val="2"/>
        <charset val="128"/>
      </rPr>
      <t>～</t>
    </r>
    <r>
      <rPr>
        <sz val="10"/>
        <rFont val="Arial  "/>
        <family val="2"/>
      </rPr>
      <t>2.9m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</si>
  <si>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t>FUT3341 D/#2 (Mill's color)  
based on Regular price</t>
    <phoneticPr fontId="3"/>
  </si>
  <si>
    <t>105/110×50</t>
    <phoneticPr fontId="3"/>
  </si>
  <si>
    <t>Up to 25m with 
Cut Fee : US$ 12/cut</t>
    <phoneticPr fontId="184"/>
  </si>
  <si>
    <t>up to TBC</t>
    <phoneticPr fontId="3"/>
  </si>
  <si>
    <t>-</t>
    <phoneticPr fontId="3"/>
  </si>
  <si>
    <r>
      <t>POLYESTER 100</t>
    </r>
    <r>
      <rPr>
        <sz val="10"/>
        <color rgb="FF000000"/>
        <rFont val="ＭＳ Ｐゴシック"/>
        <family val="3"/>
        <charset val="128"/>
      </rPr>
      <t>％</t>
    </r>
  </si>
  <si>
    <r>
      <t>RECYCLED POLYESTER 100</t>
    </r>
    <r>
      <rPr>
        <sz val="10"/>
        <color rgb="FF000000"/>
        <rFont val="ＭＳ Ｐゴシック"/>
        <family val="3"/>
        <charset val="128"/>
      </rPr>
      <t>％</t>
    </r>
    <phoneticPr fontId="3"/>
  </si>
  <si>
    <r>
      <t>NYLON 100</t>
    </r>
    <r>
      <rPr>
        <sz val="10"/>
        <color rgb="FF000000"/>
        <rFont val="ＭＳ Ｐゴシック"/>
        <family val="3"/>
        <charset val="128"/>
      </rPr>
      <t>％</t>
    </r>
    <phoneticPr fontId="3"/>
  </si>
  <si>
    <t>FUT9361-58 D#1</t>
    <phoneticPr fontId="3"/>
  </si>
  <si>
    <t>Dyed Polyester Scalloped Raschel Lace  Polyester-100%</t>
    <phoneticPr fontId="3"/>
  </si>
  <si>
    <t># 235</t>
    <phoneticPr fontId="3"/>
  </si>
  <si>
    <r>
      <t xml:space="preserve">SUN0129 (2025/1/29) </t>
    </r>
    <r>
      <rPr>
        <sz val="12"/>
        <color rgb="FF0070C0"/>
        <rFont val="Arial"/>
        <family val="2"/>
      </rPr>
      <t>ship to NY</t>
    </r>
    <phoneticPr fontId="3"/>
  </si>
  <si>
    <t>008193 (01/29/25)</t>
    <phoneticPr fontId="3"/>
  </si>
  <si>
    <t>JASON WU COLLECTIONS LLC D/B/A JASON WU1</t>
    <phoneticPr fontId="3"/>
  </si>
  <si>
    <t># Y610</t>
    <phoneticPr fontId="3"/>
  </si>
  <si>
    <t>SF003 (1/31/2025)</t>
    <phoneticPr fontId="3"/>
  </si>
  <si>
    <t>3110 (1/31/25)</t>
    <phoneticPr fontId="3"/>
  </si>
  <si>
    <t>濵田</t>
    <rPh sb="0" eb="1">
      <t>ハマ</t>
    </rPh>
    <rPh sb="1" eb="2">
      <t>タ</t>
    </rPh>
    <phoneticPr fontId="3"/>
  </si>
  <si>
    <r>
      <t>2440</t>
    </r>
    <r>
      <rPr>
        <sz val="10"/>
        <rFont val="ＭＳ Ｐゴシック"/>
        <family val="2"/>
        <charset val="128"/>
      </rPr>
      <t>　在庫抜取</t>
    </r>
    <rPh sb="5" eb="7">
      <t>ザイコ</t>
    </rPh>
    <rPh sb="7" eb="8">
      <t>ヌ</t>
    </rPh>
    <rPh sb="8" eb="9">
      <t>ト</t>
    </rPh>
    <phoneticPr fontId="3"/>
  </si>
  <si>
    <r>
      <t>2440</t>
    </r>
    <r>
      <rPr>
        <sz val="10"/>
        <rFont val="ＭＳ Ｐゴシック"/>
        <family val="2"/>
        <charset val="128"/>
      </rPr>
      <t>　新規生産</t>
    </r>
    <rPh sb="5" eb="7">
      <t>シンキ</t>
    </rPh>
    <rPh sb="7" eb="9">
      <t>セイサン</t>
    </rPh>
    <phoneticPr fontId="3"/>
  </si>
  <si>
    <r>
      <t>5521</t>
    </r>
    <r>
      <rPr>
        <sz val="10"/>
        <rFont val="ＭＳ Ｐゴシック"/>
        <family val="2"/>
        <charset val="128"/>
      </rPr>
      <t>　新規生産分</t>
    </r>
    <rPh sb="5" eb="7">
      <t>シンキ</t>
    </rPh>
    <rPh sb="7" eb="9">
      <t>セイサン</t>
    </rPh>
    <rPh sb="9" eb="10">
      <t>ブン</t>
    </rPh>
    <phoneticPr fontId="3"/>
  </si>
  <si>
    <r>
      <t xml:space="preserve">5521 </t>
    </r>
    <r>
      <rPr>
        <sz val="10"/>
        <rFont val="ＭＳ Ｐゴシック"/>
        <family val="2"/>
        <charset val="128"/>
      </rPr>
      <t>在庫抜取</t>
    </r>
    <rPh sb="5" eb="7">
      <t>ザイコ</t>
    </rPh>
    <rPh sb="7" eb="9">
      <t>ヌキトリ</t>
    </rPh>
    <phoneticPr fontId="3"/>
  </si>
  <si>
    <t>Vera Wang 20250203</t>
    <phoneticPr fontId="3"/>
  </si>
  <si>
    <t>6120-FT</t>
    <phoneticPr fontId="3"/>
  </si>
  <si>
    <t>145×58</t>
    <phoneticPr fontId="3"/>
  </si>
  <si>
    <t>POLYESTER 100％</t>
    <phoneticPr fontId="3"/>
  </si>
  <si>
    <t>Cut Fee : US$ 12/cut</t>
    <phoneticPr fontId="184"/>
  </si>
  <si>
    <t>2440 (stock)</t>
    <phoneticPr fontId="3"/>
  </si>
  <si>
    <t>5521(stock)</t>
    <phoneticPr fontId="3"/>
  </si>
  <si>
    <t>5521(new production)</t>
    <phoneticPr fontId="3"/>
  </si>
  <si>
    <r>
      <t xml:space="preserve">SUN0205 (2025/2/5) </t>
    </r>
    <r>
      <rPr>
        <sz val="12"/>
        <color rgb="FF0070C0"/>
        <rFont val="Arial"/>
        <family val="2"/>
      </rPr>
      <t>ship to NY</t>
    </r>
    <phoneticPr fontId="3"/>
  </si>
  <si>
    <t>b</t>
    <phoneticPr fontId="3"/>
  </si>
  <si>
    <t>2418(FEB 6TH, 2025)</t>
    <phoneticPr fontId="3"/>
  </si>
  <si>
    <t>COL. 650</t>
    <phoneticPr fontId="3"/>
  </si>
  <si>
    <t>COL. 618</t>
    <phoneticPr fontId="3"/>
  </si>
  <si>
    <t>COL. 661</t>
    <phoneticPr fontId="3"/>
  </si>
  <si>
    <t>COL. GP1</t>
    <phoneticPr fontId="3"/>
  </si>
  <si>
    <t>COL. 329</t>
    <phoneticPr fontId="3"/>
  </si>
  <si>
    <t>COL. AP128</t>
    <phoneticPr fontId="3"/>
  </si>
  <si>
    <t>COL. A1</t>
    <phoneticPr fontId="3"/>
  </si>
  <si>
    <t>021025 (2/10/2025)</t>
    <phoneticPr fontId="3"/>
  </si>
  <si>
    <t xml:space="preserve">   package</t>
    <phoneticPr fontId="3"/>
  </si>
  <si>
    <t xml:space="preserve">    x    x    cm</t>
    <phoneticPr fontId="3"/>
  </si>
  <si>
    <t xml:space="preserve">    KG</t>
    <phoneticPr fontId="3"/>
  </si>
  <si>
    <t>Danielle Frankel  20250214</t>
    <phoneticPr fontId="3"/>
  </si>
  <si>
    <t>PO EO2/17/25</t>
    <phoneticPr fontId="3"/>
  </si>
  <si>
    <t xml:space="preserve">Chambray Crepe Georgette  100% Polyester </t>
    <phoneticPr fontId="3"/>
  </si>
  <si>
    <t># SI</t>
    <phoneticPr fontId="3"/>
  </si>
  <si>
    <t># 1 white</t>
    <phoneticPr fontId="3"/>
  </si>
  <si>
    <t># 127 oxford blue</t>
    <phoneticPr fontId="3"/>
  </si>
  <si>
    <t>013860 (02/19/25)</t>
    <phoneticPr fontId="3"/>
  </si>
  <si>
    <r>
      <t xml:space="preserve">5009008 (02/19/2025) </t>
    </r>
    <r>
      <rPr>
        <sz val="12"/>
        <color rgb="FF0070C0"/>
        <rFont val="Arial"/>
        <family val="2"/>
      </rPr>
      <t>ship to Italy</t>
    </r>
    <phoneticPr fontId="3"/>
  </si>
  <si>
    <r>
      <t xml:space="preserve">5009009 (02/19/2025) </t>
    </r>
    <r>
      <rPr>
        <sz val="12"/>
        <color rgb="FF0070C0"/>
        <rFont val="Arial"/>
        <family val="2"/>
      </rPr>
      <t>ship to NY</t>
    </r>
    <phoneticPr fontId="3"/>
  </si>
  <si>
    <r>
      <t>68477 (2025/2/19)</t>
    </r>
    <r>
      <rPr>
        <sz val="12"/>
        <color rgb="FF0070C0"/>
        <rFont val="Arial"/>
        <family val="2"/>
      </rPr>
      <t xml:space="preserve"> ship to Lever</t>
    </r>
    <phoneticPr fontId="3"/>
  </si>
  <si>
    <t>Mill's Off White (undyed)</t>
    <phoneticPr fontId="3"/>
  </si>
  <si>
    <r>
      <t>20250225  3.1 PL 40% 120</t>
    </r>
    <r>
      <rPr>
        <b/>
        <sz val="10"/>
        <rFont val="ＭＳ Ｐゴシック"/>
        <family val="3"/>
        <charset val="128"/>
      </rPr>
      <t>円</t>
    </r>
    <rPh sb="24" eb="25">
      <t>エン</t>
    </rPh>
    <phoneticPr fontId="3"/>
  </si>
  <si>
    <t>FWL-21404</t>
    <phoneticPr fontId="3"/>
  </si>
  <si>
    <t>FWL-22055</t>
    <phoneticPr fontId="3"/>
  </si>
  <si>
    <t>FWL-21963</t>
    <phoneticPr fontId="3"/>
  </si>
  <si>
    <t>FWL-21907</t>
    <phoneticPr fontId="3"/>
  </si>
  <si>
    <t>FWL-21571</t>
    <phoneticPr fontId="3"/>
  </si>
  <si>
    <t>FWL-21967</t>
    <phoneticPr fontId="3"/>
  </si>
  <si>
    <t>KYL-25172</t>
    <phoneticPr fontId="3"/>
  </si>
  <si>
    <t>MOQ/col</t>
    <phoneticPr fontId="3"/>
  </si>
  <si>
    <t>DTM (piece dye)</t>
    <phoneticPr fontId="3"/>
  </si>
  <si>
    <t>-</t>
    <phoneticPr fontId="3"/>
  </si>
  <si>
    <r>
      <rPr>
        <b/>
        <sz val="10"/>
        <rFont val="ＭＳ Ｐゴシック"/>
        <family val="3"/>
        <charset val="128"/>
      </rPr>
      <t>単価</t>
    </r>
    <rPh sb="0" eb="2">
      <t>タンカ</t>
    </rPh>
    <phoneticPr fontId="3"/>
  </si>
  <si>
    <r>
      <t>DTM (piece dye)</t>
    </r>
    <r>
      <rPr>
        <sz val="10"/>
        <rFont val="ＭＳ Ｐゴシック"/>
        <family val="2"/>
        <charset val="128"/>
      </rPr>
      <t>　別注色</t>
    </r>
    <rPh sb="16" eb="19">
      <t>ベッチュウイロ</t>
    </rPh>
    <phoneticPr fontId="3"/>
  </si>
  <si>
    <r>
      <t>Mill's Off White (undyed)</t>
    </r>
    <r>
      <rPr>
        <sz val="10"/>
        <rFont val="ＭＳ Ｐゴシック"/>
        <family val="2"/>
        <charset val="128"/>
      </rPr>
      <t>　オフ白</t>
    </r>
    <rPh sb="28" eb="29">
      <t>シロ</t>
    </rPh>
    <phoneticPr fontId="3"/>
  </si>
  <si>
    <t>現在庫</t>
    <rPh sb="0" eb="1">
      <t>ゲン</t>
    </rPh>
    <rPh sb="1" eb="3">
      <t>ザイコ</t>
    </rPh>
    <phoneticPr fontId="3"/>
  </si>
  <si>
    <t>染色代？</t>
    <rPh sb="0" eb="3">
      <t>センショクダイ</t>
    </rPh>
    <phoneticPr fontId="3"/>
  </si>
  <si>
    <t>FWL-21975</t>
    <phoneticPr fontId="3"/>
  </si>
  <si>
    <t>染色代 80</t>
    <rPh sb="0" eb="3">
      <t>センショクダイ</t>
    </rPh>
    <phoneticPr fontId="3"/>
  </si>
  <si>
    <t>染色代 90</t>
    <phoneticPr fontId="3"/>
  </si>
  <si>
    <t>染色代 70</t>
    <phoneticPr fontId="3"/>
  </si>
  <si>
    <t>染色代 80</t>
    <phoneticPr fontId="3"/>
  </si>
  <si>
    <t>-</t>
    <phoneticPr fontId="3"/>
  </si>
  <si>
    <t>1,000m</t>
    <phoneticPr fontId="3"/>
  </si>
  <si>
    <t>200m</t>
    <phoneticPr fontId="3"/>
  </si>
  <si>
    <t>1,100m</t>
    <phoneticPr fontId="3"/>
  </si>
  <si>
    <t>2,000m</t>
    <phoneticPr fontId="3"/>
  </si>
  <si>
    <t>1,200m</t>
    <phoneticPr fontId="3"/>
  </si>
  <si>
    <t>137m</t>
  </si>
  <si>
    <t>137m</t>
    <phoneticPr fontId="3"/>
  </si>
  <si>
    <r>
      <rPr>
        <sz val="10"/>
        <rFont val="ＭＳ ゴシック"/>
        <family val="3"/>
        <charset val="128"/>
      </rPr>
      <t>染色代</t>
    </r>
    <r>
      <rPr>
        <sz val="10"/>
        <rFont val="Arial  "/>
        <family val="2"/>
      </rPr>
      <t xml:space="preserve"> 40</t>
    </r>
    <phoneticPr fontId="3"/>
  </si>
  <si>
    <t>13.7m</t>
    <phoneticPr fontId="3"/>
  </si>
  <si>
    <t>Stock in Mill's Off White as of Feb 25th, 2025</t>
    <phoneticPr fontId="3"/>
  </si>
  <si>
    <r>
      <rPr>
        <sz val="10"/>
        <rFont val="ＭＳ Ｐゴシック"/>
        <family val="3"/>
        <charset val="128"/>
      </rPr>
      <t>染色小口代</t>
    </r>
    <r>
      <rPr>
        <sz val="10"/>
        <rFont val="Arial"/>
        <family val="2"/>
      </rPr>
      <t xml:space="preserve"> 7000 </t>
    </r>
    <r>
      <rPr>
        <sz val="10"/>
        <rFont val="ＭＳ Ｐゴシック"/>
        <family val="3"/>
        <charset val="128"/>
      </rPr>
      <t>～</t>
    </r>
    <r>
      <rPr>
        <sz val="10"/>
        <rFont val="Arial"/>
        <family val="2"/>
      </rPr>
      <t>12000</t>
    </r>
    <r>
      <rPr>
        <sz val="10"/>
        <rFont val="ＭＳ Ｐゴシック"/>
        <family val="3"/>
        <charset val="128"/>
      </rPr>
      <t>円→</t>
    </r>
    <r>
      <rPr>
        <sz val="10"/>
        <rFont val="Arial"/>
        <family val="2"/>
      </rPr>
      <t>$ 75 - $ 125 per art&amp;col&amp;order</t>
    </r>
    <rPh sb="0" eb="2">
      <t>センショク</t>
    </rPh>
    <rPh sb="2" eb="4">
      <t>コグチ</t>
    </rPh>
    <rPh sb="4" eb="5">
      <t>ダイ</t>
    </rPh>
    <rPh sb="17" eb="18">
      <t>エン</t>
    </rPh>
    <phoneticPr fontId="3"/>
  </si>
  <si>
    <t>0783 (FEBRUARY 25th, 2025)</t>
    <phoneticPr fontId="3"/>
  </si>
  <si>
    <t>20250226 Morilee   20% レート</t>
    <phoneticPr fontId="3"/>
  </si>
  <si>
    <r>
      <rPr>
        <b/>
        <sz val="10"/>
        <color theme="1"/>
        <rFont val="Malgun Gothic"/>
        <family val="2"/>
        <charset val="129"/>
      </rPr>
      <t>仕入金額</t>
    </r>
    <r>
      <rPr>
        <b/>
        <sz val="10"/>
        <color theme="1"/>
        <rFont val="Arial  "/>
        <family val="2"/>
      </rPr>
      <t>(</t>
    </r>
    <r>
      <rPr>
        <b/>
        <sz val="10"/>
        <color theme="1"/>
        <rFont val="Malgun Gothic"/>
        <family val="2"/>
        <charset val="129"/>
      </rPr>
      <t>輸出梱包費用</t>
    </r>
    <r>
      <rPr>
        <b/>
        <sz val="10"/>
        <color theme="1"/>
        <rFont val="Arial  "/>
        <family val="2"/>
      </rPr>
      <t>30</t>
    </r>
    <r>
      <rPr>
        <b/>
        <sz val="10"/>
        <color theme="1"/>
        <rFont val="Malgun Gothic"/>
        <family val="2"/>
        <charset val="129"/>
      </rPr>
      <t>円</t>
    </r>
    <r>
      <rPr>
        <b/>
        <sz val="10"/>
        <color theme="1"/>
        <rFont val="Microsoft JhengHei"/>
        <family val="2"/>
        <charset val="136"/>
      </rPr>
      <t xml:space="preserve">込）
</t>
    </r>
    <rPh sb="0" eb="4">
      <t>シイレキンガク</t>
    </rPh>
    <rPh sb="5" eb="7">
      <t>ユシュツ</t>
    </rPh>
    <rPh sb="7" eb="9">
      <t>コンポウ</t>
    </rPh>
    <rPh sb="9" eb="11">
      <t>ヒヨウ</t>
    </rPh>
    <rPh sb="13" eb="14">
      <t>エン</t>
    </rPh>
    <rPh sb="14" eb="15">
      <t>コ</t>
    </rPh>
    <phoneticPr fontId="3"/>
  </si>
  <si>
    <r>
      <t>KFUT5116 D#F3431 (Mill's color) 
Sample cut price (</t>
    </r>
    <r>
      <rPr>
        <sz val="10"/>
        <rFont val="ＭＳ Ｐゴシック"/>
        <family val="2"/>
        <charset val="128"/>
      </rPr>
      <t>～</t>
    </r>
    <r>
      <rPr>
        <sz val="10"/>
        <rFont val="Arial  "/>
        <family val="2"/>
      </rPr>
      <t>2.9m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</si>
  <si>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t>KFUT5116 D#F3431 (Mill's color) 
based on Regular price</t>
    <phoneticPr fontId="3"/>
  </si>
  <si>
    <t>US$31.57/m + US$12/cut</t>
    <phoneticPr fontId="3"/>
  </si>
  <si>
    <t>NN007-CB (Mill's color)  
based on Regular price</t>
    <phoneticPr fontId="3"/>
  </si>
  <si>
    <t>NN007-CB (Mill's color)  
sample cut</t>
    <phoneticPr fontId="3"/>
  </si>
  <si>
    <t>KLS-M20932-2
sample cut price</t>
    <phoneticPr fontId="3"/>
  </si>
  <si>
    <t>US$25/m + US$5/cut</t>
    <phoneticPr fontId="3"/>
  </si>
  <si>
    <t>KLS-M20932-2 (*1)
Production price based on 180m/col</t>
    <phoneticPr fontId="3"/>
  </si>
  <si>
    <t>*1→Due to the use of Lame thread, the rayon parts are dyed with direct dyes. As a result, the wet rubbing fastness for dark colors is rated as Grade 2-3.</t>
    <phoneticPr fontId="3"/>
  </si>
  <si>
    <r>
      <t xml:space="preserve">414 (24.02.2025) </t>
    </r>
    <r>
      <rPr>
        <sz val="12"/>
        <color rgb="FF0070C0"/>
        <rFont val="Arial"/>
        <family val="2"/>
      </rPr>
      <t>ship to Portugal</t>
    </r>
    <phoneticPr fontId="3"/>
  </si>
  <si>
    <t>CALVELEX - S.A. (Nili Lotan)</t>
    <phoneticPr fontId="3"/>
  </si>
  <si>
    <t># 30 black</t>
    <phoneticPr fontId="3"/>
  </si>
  <si>
    <t># 49 Rebel Sand</t>
    <phoneticPr fontId="3"/>
  </si>
  <si>
    <r>
      <t xml:space="preserve">1140 (02/26/2025) </t>
    </r>
    <r>
      <rPr>
        <sz val="12"/>
        <color rgb="FF0070C0"/>
        <rFont val="Arial"/>
        <family val="2"/>
      </rPr>
      <t>ship to NY</t>
    </r>
    <phoneticPr fontId="3"/>
  </si>
  <si>
    <t>FG-PO25010358 (2/27/25)</t>
    <phoneticPr fontId="3"/>
  </si>
  <si>
    <t>High Fashion Garments International Co.,Ltd (Cinq a Sept)</t>
    <phoneticPr fontId="3"/>
  </si>
  <si>
    <t>6120-FT</t>
    <phoneticPr fontId="3"/>
  </si>
  <si>
    <t>3.1 PL 20250303</t>
    <phoneticPr fontId="3"/>
  </si>
  <si>
    <t>5009071 (03/04/2025)</t>
    <phoneticPr fontId="3"/>
  </si>
  <si>
    <t>バルクプライス</t>
    <phoneticPr fontId="3"/>
  </si>
  <si>
    <t>order qty</t>
    <phoneticPr fontId="3"/>
  </si>
  <si>
    <t>58m/col</t>
    <phoneticPr fontId="3"/>
  </si>
  <si>
    <t>580m/col</t>
    <phoneticPr fontId="3"/>
  </si>
  <si>
    <t>1,160m/col</t>
    <phoneticPr fontId="3"/>
  </si>
  <si>
    <t>2,800m/col</t>
    <phoneticPr fontId="3"/>
  </si>
  <si>
    <t># 64 CLOUD</t>
    <phoneticPr fontId="3"/>
  </si>
  <si>
    <t># 31 OFF WHITE</t>
    <phoneticPr fontId="3"/>
  </si>
  <si>
    <t>12272 (03/11/25)</t>
    <phoneticPr fontId="3"/>
  </si>
  <si>
    <r>
      <t xml:space="preserve">12272 (03/11/25) </t>
    </r>
    <r>
      <rPr>
        <sz val="12"/>
        <color rgb="FF0070C0"/>
        <rFont val="Arial"/>
        <family val="2"/>
      </rPr>
      <t>ship to Maxwell</t>
    </r>
    <phoneticPr fontId="3"/>
  </si>
  <si>
    <r>
      <t xml:space="preserve">12272 (03/11/25) </t>
    </r>
    <r>
      <rPr>
        <sz val="12"/>
        <color rgb="FF0070C0"/>
        <rFont val="Arial"/>
        <family val="2"/>
      </rPr>
      <t>ship to NY</t>
    </r>
    <phoneticPr fontId="3"/>
  </si>
  <si>
    <t>PO# / ship to</t>
    <phoneticPr fontId="3"/>
  </si>
  <si>
    <r>
      <t xml:space="preserve">12272 (03/11/25) </t>
    </r>
    <r>
      <rPr>
        <sz val="12"/>
        <color rgb="FF0070C0"/>
        <rFont val="Arial"/>
        <family val="2"/>
      </rPr>
      <t>ship to HK</t>
    </r>
    <phoneticPr fontId="3"/>
  </si>
  <si>
    <t>REF# / ship to</t>
    <phoneticPr fontId="3"/>
  </si>
  <si>
    <t>2797 (03/11/25)</t>
    <phoneticPr fontId="3"/>
  </si>
  <si>
    <t># 4 Deep Red x Deep Red</t>
    <phoneticPr fontId="3"/>
  </si>
  <si>
    <r>
      <t>2798 (03/11/25)</t>
    </r>
    <r>
      <rPr>
        <sz val="12"/>
        <color rgb="FF0070C0"/>
        <rFont val="Arial"/>
        <family val="2"/>
      </rPr>
      <t xml:space="preserve"> </t>
    </r>
    <phoneticPr fontId="3"/>
  </si>
  <si>
    <t># 6 Black  x Black</t>
    <phoneticPr fontId="3"/>
  </si>
  <si>
    <t>810PA042916 (2025/3/12)</t>
    <phoneticPr fontId="3"/>
  </si>
  <si>
    <t># 26 navy</t>
    <phoneticPr fontId="3"/>
  </si>
  <si>
    <t>0808 (3/19/25)</t>
    <phoneticPr fontId="3"/>
  </si>
  <si>
    <r>
      <t>KYL-T25109-1</t>
    </r>
    <r>
      <rPr>
        <sz val="11"/>
        <rFont val="ＭＳ Ｐ明朝"/>
        <family val="1"/>
        <charset val="128"/>
      </rPr>
      <t>　→</t>
    </r>
    <r>
      <rPr>
        <sz val="11"/>
        <rFont val="Times New Roman"/>
        <family val="1"/>
      </rPr>
      <t>special dye fee $</t>
    </r>
    <r>
      <rPr>
        <sz val="11"/>
        <rFont val="ＭＳ Ｐ明朝"/>
        <family val="1"/>
        <charset val="128"/>
      </rPr>
      <t>　125 → $ 95</t>
    </r>
    <phoneticPr fontId="3"/>
  </si>
  <si>
    <r>
      <t>FWL-21571→special dye fee $</t>
    </r>
    <r>
      <rPr>
        <sz val="10"/>
        <rFont val="ＭＳ Ｐ明朝"/>
        <family val="3"/>
        <charset val="128"/>
      </rPr>
      <t>　85</t>
    </r>
    <r>
      <rPr>
        <sz val="10"/>
        <rFont val="Arial"/>
        <family val="3"/>
        <charset val="128"/>
      </rPr>
      <t xml:space="preserve"> → $ 65</t>
    </r>
    <phoneticPr fontId="3"/>
  </si>
  <si>
    <r>
      <t xml:space="preserve">20250319 </t>
    </r>
    <r>
      <rPr>
        <sz val="10"/>
        <rFont val="ＭＳ Ｐゴシック"/>
        <family val="3"/>
        <charset val="128"/>
      </rPr>
      <t>提案</t>
    </r>
    <rPh sb="9" eb="11">
      <t>テイアン</t>
    </rPh>
    <phoneticPr fontId="3"/>
  </si>
  <si>
    <t>12316 (03/20/25)</t>
    <phoneticPr fontId="3"/>
  </si>
  <si>
    <t>20250321更新</t>
    <rPh sb="8" eb="10">
      <t>コウシン</t>
    </rPh>
    <phoneticPr fontId="3"/>
  </si>
  <si>
    <r>
      <t xml:space="preserve">KFUT5116 D#F3445 (Mill's color) 
based on 2850m/order </t>
    </r>
    <r>
      <rPr>
        <sz val="10"/>
        <rFont val="ＭＳ Ｐゴシック"/>
        <family val="2"/>
        <charset val="128"/>
      </rPr>
      <t>確定数量</t>
    </r>
    <rPh sb="54" eb="56">
      <t>カクテイ</t>
    </rPh>
    <rPh sb="56" eb="58">
      <t>スウリョウ</t>
    </rPh>
    <phoneticPr fontId="3"/>
  </si>
  <si>
    <t>特価・輸出梱包費用30円込み</t>
    <rPh sb="0" eb="2">
      <t>トッカ</t>
    </rPh>
    <rPh sb="3" eb="5">
      <t>ユシュツ</t>
    </rPh>
    <rPh sb="5" eb="7">
      <t>コンポウ</t>
    </rPh>
    <rPh sb="7" eb="9">
      <t>ヒヨウ</t>
    </rPh>
    <rPh sb="11" eb="12">
      <t>エン</t>
    </rPh>
    <rPh sb="12" eb="13">
      <t>コ</t>
    </rPh>
    <phoneticPr fontId="3"/>
  </si>
  <si>
    <t>Pattern#</t>
  </si>
  <si>
    <t>WIDTHCM</t>
  </si>
  <si>
    <t>inch</t>
  </si>
  <si>
    <t>ZKC2061</t>
  </si>
  <si>
    <t>Nylon:100%</t>
  </si>
  <si>
    <t>over 10m</t>
    <phoneticPr fontId="3"/>
  </si>
  <si>
    <t>over 100m</t>
    <phoneticPr fontId="3"/>
  </si>
  <si>
    <t>over 300m</t>
    <phoneticPr fontId="3"/>
  </si>
  <si>
    <t>over 1000m</t>
    <phoneticPr fontId="3"/>
  </si>
  <si>
    <r>
      <rPr>
        <b/>
        <i/>
        <sz val="12"/>
        <rFont val="ＭＳ Ｐゴシック"/>
        <family val="2"/>
        <scheme val="minor"/>
      </rPr>
      <t>USD (FOB)</t>
    </r>
    <r>
      <rPr>
        <b/>
        <sz val="12"/>
        <rFont val="ＭＳ Ｐゴシック"/>
        <family val="2"/>
        <scheme val="minor"/>
      </rPr>
      <t xml:space="preserve">  Per </t>
    </r>
    <r>
      <rPr>
        <b/>
        <u/>
        <sz val="12"/>
        <rFont val="ＭＳ Ｐゴシック"/>
        <family val="2"/>
        <scheme val="minor"/>
      </rPr>
      <t>METER</t>
    </r>
    <r>
      <rPr>
        <b/>
        <sz val="12"/>
        <rFont val="ＭＳ Ｐゴシック"/>
        <family val="2"/>
        <scheme val="minor"/>
      </rPr>
      <t xml:space="preserve"> </t>
    </r>
    <phoneticPr fontId="3"/>
  </si>
  <si>
    <r>
      <t>N2040</t>
    </r>
    <r>
      <rPr>
        <sz val="12"/>
        <color theme="1"/>
        <rFont val="ＭＳ Ｐゴシック"/>
        <family val="3"/>
        <charset val="128"/>
      </rPr>
      <t>（</t>
    </r>
    <r>
      <rPr>
        <sz val="12"/>
        <color theme="1"/>
        <rFont val="Arial"/>
        <family val="2"/>
      </rPr>
      <t>2440WIDE</t>
    </r>
    <r>
      <rPr>
        <sz val="12"/>
        <color theme="1"/>
        <rFont val="ＭＳ Ｐゴシック"/>
        <family val="3"/>
        <charset val="128"/>
      </rPr>
      <t>）</t>
    </r>
    <r>
      <rPr>
        <sz val="12"/>
        <color theme="1"/>
        <rFont val="Arial"/>
        <family val="3"/>
      </rPr>
      <t>New production</t>
    </r>
    <phoneticPr fontId="3"/>
  </si>
  <si>
    <t>20250321 Monse  20% レート</t>
    <phoneticPr fontId="3"/>
  </si>
  <si>
    <r>
      <t>FUT3428 D/#1 (Mill's color) 
Sample cut price (up tp 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</si>
  <si>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r>
      <t xml:space="preserve">FUT3428 D/#1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50m)</t>
    </r>
    <phoneticPr fontId="3"/>
  </si>
  <si>
    <r>
      <t xml:space="preserve">GS-NS3472T (Mill's Off &amp; Black) 
Based on 1 roll </t>
    </r>
    <r>
      <rPr>
        <sz val="10"/>
        <color rgb="FF000000"/>
        <rFont val="ＭＳ ゴシック"/>
        <family val="3"/>
        <charset val="128"/>
      </rPr>
      <t>～</t>
    </r>
    <r>
      <rPr>
        <sz val="10"/>
        <color rgb="FF000000"/>
        <rFont val="Arial  "/>
        <family val="2"/>
      </rPr>
      <t xml:space="preserve"> (1 roll=abt 50m)</t>
    </r>
    <phoneticPr fontId="3"/>
  </si>
  <si>
    <t>135/138cm×abt 50m</t>
    <phoneticPr fontId="3"/>
  </si>
  <si>
    <t>140/145cm×abt 50m</t>
    <phoneticPr fontId="3"/>
  </si>
  <si>
    <t>209 (03/21/2025)</t>
    <phoneticPr fontId="3"/>
  </si>
  <si>
    <t xml:space="preserve">GEOMETRIC FISHNET 100% Polyester   </t>
    <phoneticPr fontId="3"/>
  </si>
  <si>
    <t>FUT3428 D/#1</t>
    <phoneticPr fontId="3"/>
  </si>
  <si>
    <t>135/138cm</t>
    <phoneticPr fontId="3"/>
  </si>
  <si>
    <t>Col. 20 Black</t>
    <phoneticPr fontId="3"/>
  </si>
  <si>
    <t>カット代 400円/m 込み</t>
    <rPh sb="3" eb="4">
      <t>ダイ</t>
    </rPh>
    <rPh sb="8" eb="9">
      <t>エン</t>
    </rPh>
    <rPh sb="12" eb="13">
      <t>コ</t>
    </rPh>
    <phoneticPr fontId="3"/>
  </si>
  <si>
    <t xml:space="preserve">CHEVRON FISHNET 100% Polyester   </t>
    <phoneticPr fontId="3"/>
  </si>
  <si>
    <t>GS-NS3472T</t>
    <phoneticPr fontId="3"/>
  </si>
  <si>
    <t>140/145cm</t>
    <phoneticPr fontId="3"/>
  </si>
  <si>
    <t>カット代 100円/m 込み</t>
    <rPh sb="3" eb="4">
      <t>ダイ</t>
    </rPh>
    <rPh sb="8" eb="9">
      <t>エン</t>
    </rPh>
    <rPh sb="12" eb="13">
      <t>コ</t>
    </rPh>
    <phoneticPr fontId="3"/>
  </si>
  <si>
    <r>
      <rPr>
        <sz val="12"/>
        <rFont val="Arial"/>
        <family val="2"/>
      </rPr>
      <t>PL-250325</t>
    </r>
    <r>
      <rPr>
        <sz val="12"/>
        <color indexed="10"/>
        <rFont val="Arial"/>
        <family val="2"/>
      </rPr>
      <t xml:space="preserve">  </t>
    </r>
    <r>
      <rPr>
        <sz val="12"/>
        <color rgb="FF0070C0"/>
        <rFont val="Arial"/>
        <family val="2"/>
      </rPr>
      <t xml:space="preserve">ship to A &amp; FENG </t>
    </r>
    <phoneticPr fontId="3"/>
  </si>
  <si>
    <t>DTM STONE#12-4301TCX</t>
    <phoneticPr fontId="3"/>
  </si>
  <si>
    <t>DTM OXFORD BLUE#16-4030TCX</t>
    <phoneticPr fontId="3"/>
  </si>
  <si>
    <t>DTM MIDNIGHT#19-4015TCX</t>
    <phoneticPr fontId="3"/>
  </si>
  <si>
    <r>
      <rPr>
        <sz val="12"/>
        <rFont val="ＭＳ Ｐゴシック"/>
        <family val="2"/>
        <charset val="128"/>
      </rPr>
      <t>染色代 80円/</t>
    </r>
    <r>
      <rPr>
        <sz val="12"/>
        <rFont val="Arial"/>
        <family val="2"/>
      </rPr>
      <t xml:space="preserve">m </t>
    </r>
    <r>
      <rPr>
        <sz val="12"/>
        <rFont val="Yu Gothic"/>
        <family val="2"/>
        <charset val="128"/>
      </rPr>
      <t>込み</t>
    </r>
    <rPh sb="0" eb="2">
      <t>センショク</t>
    </rPh>
    <rPh sb="2" eb="3">
      <t>ダイ</t>
    </rPh>
    <rPh sb="6" eb="7">
      <t>エン</t>
    </rPh>
    <rPh sb="10" eb="11">
      <t>コ</t>
    </rPh>
    <phoneticPr fontId="3"/>
  </si>
  <si>
    <r>
      <t xml:space="preserve">GS-NS3472T (Mill's Off &amp; Black) 
Sample cut price (up to </t>
    </r>
    <r>
      <rPr>
        <sz val="10"/>
        <color rgb="FF000000"/>
        <rFont val="Arial  "/>
        <family val="2"/>
      </rPr>
      <t>10m</t>
    </r>
    <r>
      <rPr>
        <sz val="10"/>
        <color rgb="FF000000"/>
        <rFont val="Arial  "/>
        <family val="2"/>
        <charset val="1"/>
      </rPr>
      <t>→</t>
    </r>
    <r>
      <rPr>
        <sz val="10"/>
        <color rgb="FF000000"/>
        <rFont val="Arial  "/>
        <family val="2"/>
      </rPr>
      <t>US$10/cut)</t>
    </r>
    <phoneticPr fontId="3"/>
  </si>
  <si>
    <t>PRICE (BULK):</t>
  </si>
  <si>
    <t>0-100 YDS/MTS:</t>
  </si>
  <si>
    <t> JPY810/m</t>
  </si>
  <si>
    <t>100-300 YRDS/MTS</t>
  </si>
  <si>
    <t>300-500 YDS/MTS:</t>
  </si>
  <si>
    <t> JPY790/m　</t>
  </si>
  <si>
    <t>500-1K YDS/MTS:</t>
  </si>
  <si>
    <t> JPY760/m　</t>
  </si>
  <si>
    <t>20250325 バルク見積もり FUT3428</t>
    <rPh sb="12" eb="14">
      <t>ミツ</t>
    </rPh>
    <phoneticPr fontId="3"/>
  </si>
  <si>
    <t>20250325 バルク見積もり GS-NS3472T</t>
    <rPh sb="12" eb="14">
      <t>ミツ</t>
    </rPh>
    <phoneticPr fontId="3"/>
  </si>
  <si>
    <t>通常単価@580円/mでのキバタ生産ロットは20反です。
1〜9反での生産は@100円/mアップ
10〜19反だと@50円/mアップとなります。</t>
    <phoneticPr fontId="3"/>
  </si>
  <si>
    <t>EO3/26/25</t>
    <phoneticPr fontId="3"/>
  </si>
  <si>
    <t>High Able Investment Ltd (Monse)</t>
    <phoneticPr fontId="3"/>
  </si>
  <si>
    <t>0822 (MARCH 27th, 2025)</t>
    <phoneticPr fontId="3"/>
  </si>
  <si>
    <t>#5 black</t>
    <phoneticPr fontId="3"/>
  </si>
  <si>
    <t xml:space="preserve"># 9 ivory </t>
    <phoneticPr fontId="3"/>
  </si>
  <si>
    <t>キナリ# 9単価</t>
    <rPh sb="6" eb="8">
      <t>タンカ</t>
    </rPh>
    <phoneticPr fontId="3"/>
  </si>
  <si>
    <t xml:space="preserve">PL-250331 </t>
    <phoneticPr fontId="3"/>
  </si>
  <si>
    <t># 20BK Black / # 118OW White</t>
    <phoneticPr fontId="3"/>
  </si>
  <si>
    <t>Monique Lhuillier Inc.</t>
    <phoneticPr fontId="3"/>
  </si>
  <si>
    <r>
      <t>PO</t>
    </r>
    <r>
      <rPr>
        <sz val="24"/>
        <color indexed="8"/>
        <rFont val="ＭＳ Ｐゴシック"/>
        <family val="3"/>
        <charset val="128"/>
      </rPr>
      <t>　</t>
    </r>
    <r>
      <rPr>
        <sz val="24"/>
        <color indexed="8"/>
        <rFont val="Arial"/>
        <family val="2"/>
      </rPr>
      <t>No.</t>
    </r>
    <phoneticPr fontId="3"/>
  </si>
  <si>
    <t>228614  ship to LA&amp;228710 LA</t>
    <phoneticPr fontId="3"/>
  </si>
  <si>
    <t>Article No. :</t>
  </si>
  <si>
    <t>T3500C</t>
  </si>
  <si>
    <t>Country of Origin : China</t>
    <phoneticPr fontId="3"/>
  </si>
  <si>
    <t>Carton NO. 1</t>
    <phoneticPr fontId="3"/>
  </si>
  <si>
    <t>228701 LA</t>
    <phoneticPr fontId="3"/>
  </si>
  <si>
    <t>Country of Origin : Japan</t>
    <phoneticPr fontId="3"/>
  </si>
  <si>
    <t>Carton NO. 2</t>
    <phoneticPr fontId="3"/>
  </si>
  <si>
    <t>抜き取り単価 @ 1,420/m</t>
  </si>
  <si>
    <t>1k/order@1340/m</t>
  </si>
  <si>
    <t>2k/order@1290/m </t>
  </si>
  <si>
    <t>3k/order@1210/m</t>
  </si>
  <si>
    <t xml:space="preserve">20250401 Morilee   20% レート120 </t>
    <phoneticPr fontId="3"/>
  </si>
  <si>
    <t>KF4005 D#F-3407</t>
    <phoneticPr fontId="3"/>
  </si>
  <si>
    <r>
      <t xml:space="preserve">KFUT5116 D#F3407 (Mill's color) 
Based on 1 roll </t>
    </r>
    <r>
      <rPr>
        <sz val="10"/>
        <rFont val="游ゴシック"/>
        <family val="2"/>
        <charset val="128"/>
      </rPr>
      <t>～</t>
    </r>
    <r>
      <rPr>
        <sz val="10"/>
        <rFont val="Arial"/>
        <family val="2"/>
      </rPr>
      <t xml:space="preserve"> (1 roll=abt 58m)</t>
    </r>
    <phoneticPr fontId="3"/>
  </si>
  <si>
    <t>KFUT5116 D#F3407 (Mill's color) 
based on 1000m/order</t>
    <phoneticPr fontId="3"/>
  </si>
  <si>
    <t>KFUT5116 D#F3407 (Mill's color) 
based on 2000m/order</t>
    <phoneticPr fontId="3"/>
  </si>
  <si>
    <t>KFUT5116 D#F3407 (Mill's color) 
based on 3000m/order</t>
    <phoneticPr fontId="3"/>
  </si>
  <si>
    <t>数量別単価 (※厳しければご相談ください/ 単価オファー期限 2025/8/31迄)</t>
    <phoneticPr fontId="3"/>
  </si>
  <si>
    <t>仕入れ単価 単価オファー期限 2025/8/31迄</t>
    <rPh sb="0" eb="2">
      <t>シイ</t>
    </rPh>
    <rPh sb="3" eb="5">
      <t>タンカ</t>
    </rPh>
    <phoneticPr fontId="3"/>
  </si>
  <si>
    <t>EXW JAPAN /m (price valid : End of June, 2025)</t>
    <phoneticPr fontId="3"/>
  </si>
  <si>
    <t>KFUT5116 D#F-3407 (Mill's color) 
Sample cut price (up to 2m→US$15/cut)</t>
    <phoneticPr fontId="3"/>
  </si>
  <si>
    <t>col.118OW - 1反(56m) + 7m(要検尺小反) ございます。</t>
    <phoneticPr fontId="3"/>
  </si>
  <si>
    <r>
      <t>Inside Belt (Soft Type)  Polyester</t>
    </r>
    <r>
      <rPr>
        <sz val="12"/>
        <rFont val="ＭＳ Ｐゴシック"/>
        <family val="2"/>
        <charset val="128"/>
      </rPr>
      <t>：</t>
    </r>
    <r>
      <rPr>
        <sz val="12"/>
        <rFont val="Arial"/>
        <family val="2"/>
      </rPr>
      <t>75%</t>
    </r>
    <r>
      <rPr>
        <sz val="12"/>
        <rFont val="ＭＳ Ｐゴシック"/>
        <family val="2"/>
        <charset val="128"/>
      </rPr>
      <t>，</t>
    </r>
    <r>
      <rPr>
        <sz val="12"/>
        <rFont val="Arial"/>
        <family val="2"/>
      </rPr>
      <t>Polyurethane</t>
    </r>
    <r>
      <rPr>
        <sz val="12"/>
        <rFont val="ＭＳ Ｐゴシック"/>
        <family val="2"/>
        <charset val="128"/>
      </rPr>
      <t>：</t>
    </r>
    <r>
      <rPr>
        <sz val="12"/>
        <rFont val="Arial"/>
        <family val="2"/>
      </rPr>
      <t>25%</t>
    </r>
    <phoneticPr fontId="3"/>
  </si>
  <si>
    <t>Valentina Kova</t>
    <phoneticPr fontId="3"/>
  </si>
  <si>
    <t>VK-EO 4/3/25</t>
    <phoneticPr fontId="3"/>
  </si>
  <si>
    <t>Be a Bride</t>
    <phoneticPr fontId="3"/>
  </si>
  <si>
    <t xml:space="preserve">2020A-WS  </t>
    <phoneticPr fontId="184"/>
  </si>
  <si>
    <t xml:space="preserve">ONMA035  </t>
    <phoneticPr fontId="184"/>
  </si>
  <si>
    <t xml:space="preserve">Col.OF </t>
    <phoneticPr fontId="3"/>
  </si>
  <si>
    <t>Col.OF</t>
    <phoneticPr fontId="3"/>
  </si>
  <si>
    <t>3468A-2</t>
    <phoneticPr fontId="184"/>
  </si>
  <si>
    <r>
      <t>Polyester Fabric  POLYESTER 100</t>
    </r>
    <r>
      <rPr>
        <sz val="12"/>
        <rFont val="游ゴシック"/>
        <family val="2"/>
        <charset val="128"/>
      </rPr>
      <t>％</t>
    </r>
    <phoneticPr fontId="3"/>
  </si>
  <si>
    <t>Silk Mix Fabric  POLYESTER 90%, SILK 100%</t>
    <phoneticPr fontId="3"/>
  </si>
  <si>
    <r>
      <t>Polyester Fabric  POLYESTER 100</t>
    </r>
    <r>
      <rPr>
        <sz val="10"/>
        <rFont val="游ゴシック"/>
        <family val="2"/>
        <charset val="128"/>
      </rPr>
      <t>％</t>
    </r>
    <phoneticPr fontId="3"/>
  </si>
  <si>
    <t>Sub total</t>
    <phoneticPr fontId="3"/>
  </si>
  <si>
    <t>BAB-250407</t>
  </si>
  <si>
    <t>BAB-250407</t>
    <phoneticPr fontId="3"/>
  </si>
  <si>
    <t>Silk Mix Fabric  POLYESTER 90%, SILK 10%</t>
    <phoneticPr fontId="3"/>
  </si>
  <si>
    <t>梱包費用込みの単価に合わせて計算</t>
    <rPh sb="0" eb="2">
      <t>コンポウ</t>
    </rPh>
    <rPh sb="2" eb="4">
      <t>ヒヨウ</t>
    </rPh>
    <rPh sb="4" eb="5">
      <t>コ</t>
    </rPh>
    <rPh sb="7" eb="9">
      <t>タンカ</t>
    </rPh>
    <rPh sb="10" eb="11">
      <t>ア</t>
    </rPh>
    <rPh sb="14" eb="16">
      <t>ケイサン</t>
    </rPh>
    <phoneticPr fontId="3"/>
  </si>
  <si>
    <t>BAB-250407</t>
    <phoneticPr fontId="3"/>
  </si>
  <si>
    <r>
      <t>20250411  Tory Burch 40% 120</t>
    </r>
    <r>
      <rPr>
        <b/>
        <sz val="10"/>
        <rFont val="ＭＳ Ｐゴシック"/>
        <family val="3"/>
        <charset val="128"/>
      </rPr>
      <t>円</t>
    </r>
    <rPh sb="28" eb="29">
      <t>エン</t>
    </rPh>
    <phoneticPr fontId="3"/>
  </si>
  <si>
    <t>FWL-22510</t>
    <phoneticPr fontId="3"/>
  </si>
  <si>
    <r>
      <rPr>
        <b/>
        <sz val="10"/>
        <rFont val="ＭＳ Ｐゴシック"/>
        <family val="3"/>
        <charset val="128"/>
      </rPr>
      <t>仕入れ</t>
    </r>
    <rPh sb="0" eb="2">
      <t>シイ</t>
    </rPh>
    <phoneticPr fontId="3"/>
  </si>
  <si>
    <t>1,800m</t>
    <phoneticPr fontId="3"/>
  </si>
  <si>
    <t>Stock in Mill's Off White as of April 10th, 2025</t>
    <phoneticPr fontId="3"/>
  </si>
  <si>
    <r>
      <rPr>
        <sz val="12"/>
        <rFont val="Arial"/>
        <family val="2"/>
      </rPr>
      <t>TBHKO-250414</t>
    </r>
    <r>
      <rPr>
        <sz val="12"/>
        <color indexed="10"/>
        <rFont val="Arial"/>
        <family val="2"/>
      </rPr>
      <t xml:space="preserve">  </t>
    </r>
    <r>
      <rPr>
        <sz val="12"/>
        <color rgb="FF0070C0"/>
        <rFont val="Arial"/>
        <family val="2"/>
      </rPr>
      <t>ship to Hangzhou HS Fashion</t>
    </r>
    <phoneticPr fontId="3"/>
  </si>
  <si>
    <t>TORY BURCH HK</t>
    <phoneticPr fontId="3"/>
  </si>
  <si>
    <t>FUT0336  D/#1</t>
    <phoneticPr fontId="3"/>
  </si>
  <si>
    <t>20250422 Edgardo Bonilla  20% レート</t>
    <phoneticPr fontId="3"/>
  </si>
  <si>
    <r>
      <t>FUT0336 D/#1 (Mill's color) 
Sample cut price (up tp 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</si>
  <si>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r>
      <t xml:space="preserve">FUT0336 D/#1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50m)</t>
    </r>
    <phoneticPr fontId="3"/>
  </si>
  <si>
    <r>
      <t>FUT3428 D#1 D/#1 (Mill's color) 
Sample cut price (up tp 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</si>
  <si>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r>
      <t xml:space="preserve">FUT3428 D#1 D/#1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50m)</t>
    </r>
    <phoneticPr fontId="3"/>
  </si>
  <si>
    <t>Col. 11</t>
    <phoneticPr fontId="3"/>
  </si>
  <si>
    <t>カット代+400円</t>
    <rPh sb="3" eb="4">
      <t>ダイ</t>
    </rPh>
    <rPh sb="8" eb="9">
      <t>エン</t>
    </rPh>
    <phoneticPr fontId="3"/>
  </si>
  <si>
    <t>b</t>
    <phoneticPr fontId="3"/>
  </si>
  <si>
    <t>FUT3428  D/#1</t>
    <phoneticPr fontId="3"/>
  </si>
  <si>
    <t>135/138cm</t>
    <phoneticPr fontId="3"/>
  </si>
  <si>
    <t>041725 (4/17/2025)</t>
    <phoneticPr fontId="3"/>
  </si>
  <si>
    <t>KFUT5116 D#F-3407</t>
    <phoneticPr fontId="3"/>
  </si>
  <si>
    <t>ML-250421</t>
    <phoneticPr fontId="3"/>
  </si>
  <si>
    <t>Morilee</t>
    <phoneticPr fontId="3"/>
  </si>
  <si>
    <t>12316 (03/20/25) CTN-1</t>
    <phoneticPr fontId="3"/>
  </si>
  <si>
    <t>12316 (03/20/25) CTN-2</t>
    <phoneticPr fontId="3"/>
  </si>
  <si>
    <t>12316 (03/20/25) CTN-3</t>
    <phoneticPr fontId="3"/>
  </si>
  <si>
    <t>12316 (03/20/25) CTN-4</t>
    <phoneticPr fontId="3"/>
  </si>
  <si>
    <t>12316 (03/20/25) CTN-5</t>
    <phoneticPr fontId="3"/>
  </si>
  <si>
    <t>12316 (03/20/25) CTN-6</t>
    <phoneticPr fontId="3"/>
  </si>
  <si>
    <t>12316 (03/20/25) CTN-7</t>
    <phoneticPr fontId="3"/>
  </si>
  <si>
    <t>12316 (03/20/25) CTN-8</t>
    <phoneticPr fontId="3"/>
  </si>
  <si>
    <t>Import duty charge</t>
    <phoneticPr fontId="3"/>
  </si>
  <si>
    <t>Import duty charge for Invoice #  6593</t>
    <phoneticPr fontId="3"/>
  </si>
  <si>
    <t>BM-Duty charge</t>
    <phoneticPr fontId="3"/>
  </si>
  <si>
    <r>
      <t>20250422 Tory Burch 40% 120</t>
    </r>
    <r>
      <rPr>
        <b/>
        <sz val="10"/>
        <rFont val="ＭＳ Ｐゴシック"/>
        <family val="3"/>
        <charset val="128"/>
      </rPr>
      <t>円</t>
    </r>
    <rPh sb="27" eb="28">
      <t>エン</t>
    </rPh>
    <phoneticPr fontId="3"/>
  </si>
  <si>
    <t>FWL-23803</t>
    <phoneticPr fontId="3"/>
  </si>
  <si>
    <t>FWL-21507</t>
    <phoneticPr fontId="3"/>
  </si>
  <si>
    <t>FWL-22508</t>
    <phoneticPr fontId="3"/>
  </si>
  <si>
    <t>FWL-69023</t>
    <phoneticPr fontId="3"/>
  </si>
  <si>
    <t>Mill's Standard colors</t>
    <phoneticPr fontId="3"/>
  </si>
  <si>
    <t>Stock in Mill's Off White as of April 23rd, 2025</t>
    <phoneticPr fontId="3"/>
  </si>
  <si>
    <r>
      <rPr>
        <b/>
        <sz val="10"/>
        <rFont val="ＭＳ Ｐゴシック"/>
        <family val="3"/>
        <charset val="128"/>
      </rPr>
      <t>仕入れ</t>
    </r>
    <r>
      <rPr>
        <b/>
        <sz val="10"/>
        <rFont val="Arial"/>
        <family val="2"/>
      </rPr>
      <t xml:space="preserve"> (</t>
    </r>
    <r>
      <rPr>
        <b/>
        <sz val="10"/>
        <rFont val="ＭＳ Ｐゴシック"/>
        <family val="2"/>
        <charset val="128"/>
      </rPr>
      <t>円/</t>
    </r>
    <r>
      <rPr>
        <b/>
        <sz val="10"/>
        <rFont val="Arial"/>
        <family val="2"/>
      </rPr>
      <t>m)</t>
    </r>
    <rPh sb="0" eb="2">
      <t>シイ</t>
    </rPh>
    <rPh sb="5" eb="6">
      <t>エン</t>
    </rPh>
    <phoneticPr fontId="3"/>
  </si>
  <si>
    <t>??</t>
    <phoneticPr fontId="3"/>
  </si>
  <si>
    <t xml:space="preserve">Mill's 3 Standard colors
ecru / ecru x 402 green / 
ecru x 160 light green </t>
    <phoneticPr fontId="3"/>
  </si>
  <si>
    <t>1,800m</t>
    <phoneticPr fontId="3"/>
  </si>
  <si>
    <t>200m</t>
    <phoneticPr fontId="3"/>
  </si>
  <si>
    <t>500m</t>
    <phoneticPr fontId="3"/>
  </si>
  <si>
    <t>2,000m</t>
    <phoneticPr fontId="3"/>
  </si>
  <si>
    <t>only sample swatches</t>
    <phoneticPr fontId="3"/>
  </si>
  <si>
    <r>
      <t xml:space="preserve">414 (24.02.2025)-add </t>
    </r>
    <r>
      <rPr>
        <sz val="12"/>
        <color rgb="FF0070C0"/>
        <rFont val="Arial"/>
        <family val="2"/>
      </rPr>
      <t>ship to Portugal</t>
    </r>
    <phoneticPr fontId="3"/>
  </si>
  <si>
    <t># C30(green)</t>
    <phoneticPr fontId="3"/>
  </si>
  <si>
    <t>Twist Cord   Rayon-100%</t>
    <phoneticPr fontId="3"/>
  </si>
  <si>
    <t># 10</t>
    <phoneticPr fontId="3"/>
  </si>
  <si>
    <t># 15</t>
    <phoneticPr fontId="3"/>
  </si>
  <si>
    <t>5356</t>
  </si>
  <si>
    <t>20250429 Tory Burch</t>
    <phoneticPr fontId="3"/>
  </si>
  <si>
    <t>5009248 (04/30/2025)</t>
    <phoneticPr fontId="3"/>
  </si>
  <si>
    <r>
      <t xml:space="preserve">5009254 (05/01/2025) </t>
    </r>
    <r>
      <rPr>
        <sz val="12"/>
        <color rgb="FF0070C0"/>
        <rFont val="Arial"/>
        <family val="2"/>
      </rPr>
      <t>ship to NY</t>
    </r>
    <phoneticPr fontId="3"/>
  </si>
  <si>
    <t>TB-250507</t>
    <phoneticPr fontId="3"/>
  </si>
  <si>
    <t>Size</t>
    <phoneticPr fontId="3"/>
  </si>
  <si>
    <t>TB-250502</t>
    <phoneticPr fontId="3"/>
  </si>
  <si>
    <t xml:space="preserve">HON-EO5/7/25 </t>
    <phoneticPr fontId="3"/>
  </si>
  <si>
    <t>T1500</t>
    <phoneticPr fontId="3"/>
  </si>
  <si>
    <t>#OF</t>
    <phoneticPr fontId="3"/>
  </si>
  <si>
    <t>#BK</t>
    <phoneticPr fontId="3"/>
  </si>
  <si>
    <t xml:space="preserve"> FWL-22559 </t>
    <phoneticPr fontId="3"/>
  </si>
  <si>
    <r>
      <t xml:space="preserve">1175(5/8/25) </t>
    </r>
    <r>
      <rPr>
        <sz val="12"/>
        <color rgb="FF0070C0"/>
        <rFont val="Arial"/>
        <family val="2"/>
      </rPr>
      <t>ship to Portugal</t>
    </r>
    <phoneticPr fontId="3"/>
  </si>
  <si>
    <t>VK-EO 5/8/25</t>
    <phoneticPr fontId="3"/>
  </si>
  <si>
    <t>80m</t>
    <phoneticPr fontId="3"/>
  </si>
  <si>
    <t>Stock in Mill's Off White as of May 9th, 2025</t>
    <phoneticPr fontId="3"/>
  </si>
  <si>
    <r>
      <t>20250509  Tory Burch 40% 120</t>
    </r>
    <r>
      <rPr>
        <b/>
        <sz val="10"/>
        <rFont val="ＭＳ Ｐゴシック"/>
        <family val="3"/>
        <charset val="128"/>
      </rPr>
      <t>円</t>
    </r>
    <rPh sb="28" eb="29">
      <t>エン</t>
    </rPh>
    <phoneticPr fontId="3"/>
  </si>
  <si>
    <r>
      <t>20250509  3.1 Phillip Lim 40% 120</t>
    </r>
    <r>
      <rPr>
        <b/>
        <sz val="10"/>
        <rFont val="ＭＳ Ｐゴシック"/>
        <family val="3"/>
        <charset val="128"/>
      </rPr>
      <t>円</t>
    </r>
    <rPh sb="33" eb="34">
      <t>エン</t>
    </rPh>
    <phoneticPr fontId="3"/>
  </si>
  <si>
    <t>FWL-71194</t>
    <phoneticPr fontId="3"/>
  </si>
  <si>
    <t>100 m/ art&amp;col&amp;order</t>
    <phoneticPr fontId="3"/>
  </si>
  <si>
    <r>
      <t>200</t>
    </r>
    <r>
      <rPr>
        <sz val="10"/>
        <rFont val="游ゴシック"/>
        <family val="2"/>
        <charset val="128"/>
      </rPr>
      <t>ｍ</t>
    </r>
    <phoneticPr fontId="3"/>
  </si>
  <si>
    <t>FWL-71097</t>
    <phoneticPr fontId="3"/>
  </si>
  <si>
    <t>only sample qty(abt 10m)</t>
    <phoneticPr fontId="3"/>
  </si>
  <si>
    <r>
      <rPr>
        <sz val="12"/>
        <rFont val="Arial"/>
        <family val="2"/>
      </rPr>
      <t>PL-250512</t>
    </r>
    <r>
      <rPr>
        <sz val="12"/>
        <color indexed="10"/>
        <rFont val="Arial"/>
        <family val="2"/>
      </rPr>
      <t xml:space="preserve">  </t>
    </r>
    <r>
      <rPr>
        <sz val="12"/>
        <color rgb="FF0070C0"/>
        <rFont val="Arial"/>
        <family val="2"/>
      </rPr>
      <t xml:space="preserve">ship to A &amp; FENG </t>
    </r>
    <phoneticPr fontId="3"/>
  </si>
  <si>
    <r>
      <rPr>
        <sz val="12"/>
        <rFont val="Arial"/>
        <family val="2"/>
      </rPr>
      <t>PL-250512</t>
    </r>
    <r>
      <rPr>
        <sz val="12"/>
        <color indexed="10"/>
        <rFont val="Arial"/>
        <family val="2"/>
      </rPr>
      <t xml:space="preserve">  </t>
    </r>
    <r>
      <rPr>
        <sz val="12"/>
        <color rgb="FF0070C0"/>
        <rFont val="Arial"/>
        <family val="2"/>
      </rPr>
      <t>ship to NY</t>
    </r>
    <phoneticPr fontId="3"/>
  </si>
  <si>
    <t xml:space="preserve">FWL-71194 </t>
    <phoneticPr fontId="3"/>
  </si>
  <si>
    <t>Ship to</t>
    <phoneticPr fontId="3"/>
  </si>
  <si>
    <t xml:space="preserve">ship to A &amp; FENG </t>
    <phoneticPr fontId="3"/>
  </si>
  <si>
    <t>ship to NY</t>
    <phoneticPr fontId="3"/>
  </si>
  <si>
    <r>
      <t xml:space="preserve">1149 (05/12/2025) </t>
    </r>
    <r>
      <rPr>
        <sz val="12"/>
        <color rgb="FF0070C0"/>
        <rFont val="Arial"/>
        <family val="2"/>
      </rPr>
      <t>ship to Sia Apparel</t>
    </r>
    <phoneticPr fontId="3"/>
  </si>
  <si>
    <t>94596 (5/16/2025)</t>
    <phoneticPr fontId="3"/>
  </si>
  <si>
    <r>
      <t>20250519 Tory Burch 40% 120</t>
    </r>
    <r>
      <rPr>
        <b/>
        <sz val="10"/>
        <rFont val="ＭＳ Ｐゴシック"/>
        <family val="3"/>
        <charset val="128"/>
      </rPr>
      <t>円</t>
    </r>
    <rPh sb="27" eb="28">
      <t>エン</t>
    </rPh>
    <phoneticPr fontId="3"/>
  </si>
  <si>
    <t>1,800m</t>
    <phoneticPr fontId="3"/>
  </si>
  <si>
    <t>1,000m</t>
    <phoneticPr fontId="3"/>
  </si>
  <si>
    <t>120m</t>
    <phoneticPr fontId="3"/>
  </si>
  <si>
    <t>200m</t>
    <phoneticPr fontId="3"/>
  </si>
  <si>
    <t>400m</t>
    <phoneticPr fontId="3"/>
  </si>
  <si>
    <t>750m</t>
    <phoneticPr fontId="3"/>
  </si>
  <si>
    <t>2,000m</t>
    <phoneticPr fontId="3"/>
  </si>
  <si>
    <t>500m</t>
    <phoneticPr fontId="3"/>
  </si>
  <si>
    <t>600m</t>
    <phoneticPr fontId="3"/>
  </si>
  <si>
    <t>FWL-21510</t>
    <phoneticPr fontId="3"/>
  </si>
  <si>
    <t>FWL-21506</t>
    <phoneticPr fontId="3"/>
  </si>
  <si>
    <t>FWL-24019</t>
    <phoneticPr fontId="3"/>
  </si>
  <si>
    <t>FWL-24014</t>
    <phoneticPr fontId="3"/>
  </si>
  <si>
    <t>FWL-22785</t>
    <phoneticPr fontId="3"/>
  </si>
  <si>
    <t>FWL-23604</t>
    <phoneticPr fontId="3"/>
  </si>
  <si>
    <t>FWL-2509</t>
    <phoneticPr fontId="3"/>
  </si>
  <si>
    <t>FWL-21524</t>
    <phoneticPr fontId="3"/>
  </si>
  <si>
    <t>FWL-21503</t>
    <phoneticPr fontId="3"/>
  </si>
  <si>
    <t>FWL-23166</t>
    <phoneticPr fontId="3"/>
  </si>
  <si>
    <t>Stock in Mill's Off White as of May 19, 2025</t>
    <phoneticPr fontId="3"/>
  </si>
  <si>
    <t>FWL-22559</t>
    <phoneticPr fontId="3"/>
  </si>
  <si>
    <t>DTM Buttery Yellow (piece dye)</t>
    <phoneticPr fontId="3"/>
  </si>
  <si>
    <t>TB-250520</t>
    <phoneticPr fontId="3"/>
  </si>
  <si>
    <t xml:space="preserve">TORY BURCH </t>
    <phoneticPr fontId="3"/>
  </si>
  <si>
    <t>5009306 (05/20/2025)</t>
    <phoneticPr fontId="3"/>
  </si>
  <si>
    <t>3215(05/20/2025)</t>
    <phoneticPr fontId="3"/>
  </si>
  <si>
    <t>Belle Atelier</t>
    <phoneticPr fontId="3"/>
  </si>
  <si>
    <t>810PA044091(2025/5/17)</t>
    <phoneticPr fontId="3"/>
  </si>
  <si>
    <t># 33 (GREY)</t>
    <phoneticPr fontId="3"/>
  </si>
  <si>
    <t xml:space="preserve">Art Description </t>
    <phoneticPr fontId="3"/>
  </si>
  <si>
    <r>
      <t xml:space="preserve">SIZE
</t>
    </r>
    <r>
      <rPr>
        <b/>
        <sz val="10"/>
        <rFont val="ＭＳ Ｐゴシック"/>
        <family val="3"/>
        <charset val="128"/>
      </rPr>
      <t/>
    </r>
    <phoneticPr fontId="3"/>
  </si>
  <si>
    <t>MOQ for Mill's 
Standard colors</t>
    <phoneticPr fontId="3"/>
  </si>
  <si>
    <t>EXW JAPAN USD /m for Mill's Standard colors</t>
    <phoneticPr fontId="3"/>
  </si>
  <si>
    <t>14552</t>
    <phoneticPr fontId="3"/>
  </si>
  <si>
    <t>Petersham Ribbon</t>
  </si>
  <si>
    <t xml:space="preserve">20250521 Cinq a Sept vendor </t>
    <phoneticPr fontId="3"/>
  </si>
  <si>
    <t>SHANGHAI MINGYANG INDUSTRIAL DEVELOPMENT CO;LTD (Cinq a Sept)</t>
    <phoneticPr fontId="3"/>
  </si>
  <si>
    <t>FWL-93000</t>
    <phoneticPr fontId="3"/>
  </si>
  <si>
    <t>Polyester x Lame Col. 10 Black</t>
    <phoneticPr fontId="3"/>
  </si>
  <si>
    <t>25FW-MF018 (2025/5/23)</t>
    <phoneticPr fontId="3"/>
  </si>
  <si>
    <t># 193 Brown Suger</t>
    <phoneticPr fontId="3"/>
  </si>
  <si>
    <t>Lame lace trim  Development fee</t>
    <phoneticPr fontId="3"/>
  </si>
  <si>
    <t>TB-250526</t>
    <phoneticPr fontId="3"/>
  </si>
  <si>
    <t>Total Amount</t>
    <phoneticPr fontId="3"/>
  </si>
  <si>
    <t>0848 (MAY 22nd, 2025)</t>
    <phoneticPr fontId="3"/>
  </si>
  <si>
    <t xml:space="preserve"># 0 white </t>
    <phoneticPr fontId="3"/>
  </si>
  <si>
    <t>EXW(JAPAN) /m</t>
  </si>
  <si>
    <t>MOQ / sample when fabric in stock </t>
    <phoneticPr fontId="3"/>
  </si>
  <si>
    <r>
      <rPr>
        <b/>
        <sz val="10"/>
        <rFont val="ＭＳ Ｐゴシック"/>
        <family val="3"/>
        <charset val="128"/>
      </rPr>
      <t>梱包費用</t>
    </r>
    <r>
      <rPr>
        <b/>
        <sz val="10"/>
        <rFont val="Arial  "/>
        <family val="2"/>
      </rPr>
      <t>+10</t>
    </r>
    <r>
      <rPr>
        <b/>
        <sz val="10"/>
        <rFont val="ＭＳ Ｐゴシック"/>
        <family val="3"/>
        <charset val="128"/>
      </rPr>
      <t>円?　30円？</t>
    </r>
    <rPh sb="0" eb="2">
      <t>コンポウ</t>
    </rPh>
    <rPh sb="2" eb="4">
      <t>ヒヨウ</t>
    </rPh>
    <rPh sb="7" eb="8">
      <t>エン</t>
    </rPh>
    <rPh sb="12" eb="13">
      <t>エン</t>
    </rPh>
    <phoneticPr fontId="3"/>
  </si>
  <si>
    <t xml:space="preserve">20250529 NEVAEH INTIMATES </t>
    <phoneticPr fontId="3"/>
  </si>
  <si>
    <t>SV-7052</t>
    <phoneticPr fontId="3"/>
  </si>
  <si>
    <r>
      <t xml:space="preserve">MOQ : 1 roll (abt 55-57m/roll) -
*sample cut available </t>
    </r>
    <r>
      <rPr>
        <sz val="10"/>
        <rFont val="ＭＳ Ｐゴシック"/>
        <family val="3"/>
        <charset val="128"/>
      </rPr>
      <t xml:space="preserve">→
</t>
    </r>
    <r>
      <rPr>
        <sz val="10"/>
        <rFont val="Arial"/>
        <family val="2"/>
      </rPr>
      <t xml:space="preserve"> 1M up to 20M with cut fee 
US$ 25/cut </t>
    </r>
    <phoneticPr fontId="3"/>
  </si>
  <si>
    <t>COL. 09 (black)</t>
    <phoneticPr fontId="3"/>
  </si>
  <si>
    <t>COL. 618 (nude)</t>
    <phoneticPr fontId="3"/>
  </si>
  <si>
    <t>COL. 329 (Ivory)</t>
    <phoneticPr fontId="3"/>
  </si>
  <si>
    <t>Hangzhou HS Fashion Corporation Ltd. (TORY BURCH)</t>
    <phoneticPr fontId="3"/>
  </si>
  <si>
    <t>HHSF-250529</t>
    <phoneticPr fontId="3"/>
  </si>
  <si>
    <t>Status</t>
    <phoneticPr fontId="3"/>
  </si>
  <si>
    <t>Tory Burch: Pre-book 100m in process (50m will be allocated to you ) 
Currently revising the color based on TB's comment</t>
    <phoneticPr fontId="3"/>
  </si>
  <si>
    <t xml:space="preserve">In process, will be ready around June 11th </t>
    <phoneticPr fontId="3"/>
  </si>
  <si>
    <t xml:space="preserve">in stock </t>
    <phoneticPr fontId="3"/>
  </si>
  <si>
    <t>PG-EO 5/30/25</t>
    <phoneticPr fontId="3"/>
  </si>
  <si>
    <t>COL. GP1 (Blush)</t>
    <phoneticPr fontId="3"/>
  </si>
  <si>
    <t>2443(2/6/2025)</t>
    <phoneticPr fontId="3"/>
  </si>
  <si>
    <t>BA-EO 6/3/25</t>
    <phoneticPr fontId="3"/>
  </si>
  <si>
    <t>TB-250520-NY</t>
    <phoneticPr fontId="3"/>
  </si>
  <si>
    <t>20250609 Claudia Li  20% レート</t>
    <phoneticPr fontId="3"/>
  </si>
  <si>
    <r>
      <t xml:space="preserve">CUT995-W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50m)</t>
    </r>
    <phoneticPr fontId="3"/>
  </si>
  <si>
    <t>T3000 (Mill's color)  
sample cut</t>
    <phoneticPr fontId="3"/>
  </si>
  <si>
    <r>
      <t xml:space="preserve">T3000 (Mill's color)  
Based on 1 roll </t>
    </r>
    <r>
      <rPr>
        <sz val="10"/>
        <color rgb="FF000000"/>
        <rFont val="ＭＳ ゴシック"/>
        <family val="3"/>
        <charset val="128"/>
      </rPr>
      <t>～</t>
    </r>
    <r>
      <rPr>
        <sz val="10"/>
        <color rgb="FF000000"/>
        <rFont val="Arial"/>
        <family val="2"/>
      </rPr>
      <t xml:space="preserve"> (1 roll=abt 50m)</t>
    </r>
    <phoneticPr fontId="3"/>
  </si>
  <si>
    <t>US$4.73/m + US$12/cut</t>
    <phoneticPr fontId="3"/>
  </si>
  <si>
    <r>
      <t xml:space="preserve">CUT995-W (Mill's color) 
Sample cut price ( up to </t>
    </r>
    <r>
      <rPr>
        <sz val="10"/>
        <rFont val="Arial"/>
        <family val="2"/>
      </rPr>
      <t>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</si>
  <si>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t>810PA044463(2025/6/6)</t>
    <phoneticPr fontId="3"/>
  </si>
  <si>
    <t>CLAUDIA LI</t>
    <phoneticPr fontId="3"/>
  </si>
  <si>
    <t xml:space="preserve"># 641 (Pastel Mint) </t>
    <phoneticPr fontId="3"/>
  </si>
  <si>
    <t># 642 (Pastel Peach)</t>
    <phoneticPr fontId="3"/>
  </si>
  <si>
    <t># 9(BK) Black</t>
    <phoneticPr fontId="3"/>
  </si>
  <si>
    <t># 12 (Cream)</t>
    <phoneticPr fontId="3"/>
  </si>
  <si>
    <t xml:space="preserve">CUT995-W </t>
    <phoneticPr fontId="3"/>
  </si>
  <si>
    <t>154/156cm</t>
    <phoneticPr fontId="3"/>
  </si>
  <si>
    <t># 11 (Ivory)</t>
    <phoneticPr fontId="3"/>
  </si>
  <si>
    <t># 20 (Black)</t>
    <phoneticPr fontId="3"/>
  </si>
  <si>
    <r>
      <t>CLPO-SS23DEV-F-20250612(6/12/25)</t>
    </r>
    <r>
      <rPr>
        <sz val="12"/>
        <color rgb="FF0070C0"/>
        <rFont val="Arial"/>
        <family val="2"/>
      </rPr>
      <t xml:space="preserve"> to NY</t>
    </r>
    <phoneticPr fontId="3"/>
  </si>
  <si>
    <r>
      <t xml:space="preserve">CLPO-SS23DEV-F-20250613(6/12/25) </t>
    </r>
    <r>
      <rPr>
        <sz val="12"/>
        <color rgb="FF0070C0"/>
        <rFont val="Arial"/>
        <family val="2"/>
      </rPr>
      <t>to NZ</t>
    </r>
    <phoneticPr fontId="3"/>
  </si>
  <si>
    <t>PO SF007 (6/12/25)</t>
    <phoneticPr fontId="3"/>
  </si>
  <si>
    <t>3236 (06/17/2025)</t>
    <phoneticPr fontId="3"/>
  </si>
  <si>
    <t>20250620 Coach  20% レート</t>
    <phoneticPr fontId="3"/>
  </si>
  <si>
    <r>
      <t xml:space="preserve">GS-NS7-195T , GS-NS3464T
GS-NS19-207T , GS-NS14-204TJ
 (Mill's Off &amp; Mill's Black) 
Sample cut price (up to </t>
    </r>
    <r>
      <rPr>
        <sz val="10"/>
        <color rgb="FF000000"/>
        <rFont val="Arial  "/>
        <family val="2"/>
      </rPr>
      <t>10m</t>
    </r>
    <r>
      <rPr>
        <sz val="10"/>
        <color rgb="FF000000"/>
        <rFont val="Arial  "/>
        <family val="2"/>
        <charset val="1"/>
      </rPr>
      <t>→</t>
    </r>
    <r>
      <rPr>
        <sz val="10"/>
        <color rgb="FF000000"/>
        <rFont val="Arial  "/>
        <family val="2"/>
      </rPr>
      <t>US$10/cut)</t>
    </r>
    <phoneticPr fontId="3"/>
  </si>
  <si>
    <r>
      <t xml:space="preserve">GS-NS7-195T , GS-NS3464T
GS-NS19-207T , GS-NS14-204TJ
 (Mill's Off &amp; Mill's Black) 
Based on 1 roll </t>
    </r>
    <r>
      <rPr>
        <sz val="10"/>
        <color rgb="FF000000"/>
        <rFont val="ＭＳ ゴシック"/>
        <family val="3"/>
        <charset val="128"/>
      </rPr>
      <t>～</t>
    </r>
    <r>
      <rPr>
        <sz val="10"/>
        <color rgb="FF000000"/>
        <rFont val="Arial  "/>
        <family val="2"/>
      </rPr>
      <t xml:space="preserve"> (1 roll=abt 50m)</t>
    </r>
    <phoneticPr fontId="3"/>
  </si>
  <si>
    <t>Size &amp; Composition</t>
    <phoneticPr fontId="3"/>
  </si>
  <si>
    <t>140/145cm×abt 50m
Recycled Polyester 100%</t>
    <phoneticPr fontId="3"/>
  </si>
  <si>
    <r>
      <t xml:space="preserve">GS-NS5-145T2 (Mill's Off &amp; Mill's Black) 
Sample cut price (up to </t>
    </r>
    <r>
      <rPr>
        <sz val="10"/>
        <color rgb="FF000000"/>
        <rFont val="Arial  "/>
        <family val="2"/>
      </rPr>
      <t>10m</t>
    </r>
    <r>
      <rPr>
        <sz val="10"/>
        <color rgb="FF000000"/>
        <rFont val="Arial  "/>
        <family val="2"/>
        <charset val="1"/>
      </rPr>
      <t>→</t>
    </r>
    <r>
      <rPr>
        <sz val="10"/>
        <color rgb="FF000000"/>
        <rFont val="Arial  "/>
        <family val="2"/>
      </rPr>
      <t>US$10/cut)</t>
    </r>
    <phoneticPr fontId="3"/>
  </si>
  <si>
    <r>
      <t xml:space="preserve">GS-NS5-145T2 (Mill's Off &amp; Mill's Black) 
Based on 1 roll </t>
    </r>
    <r>
      <rPr>
        <sz val="10"/>
        <color rgb="FF000000"/>
        <rFont val="ＭＳ ゴシック"/>
        <family val="3"/>
        <charset val="128"/>
      </rPr>
      <t>～</t>
    </r>
    <r>
      <rPr>
        <sz val="10"/>
        <color rgb="FF000000"/>
        <rFont val="Arial  "/>
        <family val="2"/>
      </rPr>
      <t xml:space="preserve"> (1 roll=abt 50m)</t>
    </r>
    <phoneticPr fontId="3"/>
  </si>
  <si>
    <t xml:space="preserve">DB5200   </t>
    <phoneticPr fontId="3"/>
  </si>
  <si>
    <t>FWL-71140</t>
  </si>
  <si>
    <t>FWL-41070S</t>
  </si>
  <si>
    <t>FWL-63014S</t>
  </si>
  <si>
    <t>FWL-66193S</t>
  </si>
  <si>
    <t>FWL-22418S</t>
  </si>
  <si>
    <t>FWL-81164S</t>
  </si>
  <si>
    <t>FWL-22349S</t>
  </si>
  <si>
    <t>FWL-81195S</t>
  </si>
  <si>
    <t>FWL-81194S</t>
  </si>
  <si>
    <t>FWL-81723</t>
  </si>
  <si>
    <t>CLEAR/GREIGE</t>
  </si>
  <si>
    <t>SUN FASHION ORDER 6-25-25</t>
    <phoneticPr fontId="3"/>
  </si>
  <si>
    <t>KYL-25266</t>
    <phoneticPr fontId="3"/>
  </si>
  <si>
    <t>KYL-25284</t>
    <phoneticPr fontId="3"/>
  </si>
  <si>
    <t>?</t>
    <phoneticPr fontId="3"/>
  </si>
  <si>
    <t xml:space="preserve">Trim Lace  94% Cotton, 6% Polyurethane </t>
    <phoneticPr fontId="3"/>
  </si>
  <si>
    <t xml:space="preserve">Trim Lace  68% Rayon, 32% N.P </t>
    <phoneticPr fontId="3"/>
  </si>
  <si>
    <t xml:space="preserve">Trim Lace  88% Rayon, 12% N.P </t>
    <phoneticPr fontId="3"/>
  </si>
  <si>
    <t xml:space="preserve">Trim Lace  80% Nylon, 20% N.P </t>
    <phoneticPr fontId="3"/>
  </si>
  <si>
    <t>Trim Lace  81% Cotton, 19% R.P</t>
    <phoneticPr fontId="3"/>
  </si>
  <si>
    <t>Trim Lace  57% Rayon, 40% Cotton, 3% Polyurethane</t>
    <phoneticPr fontId="3"/>
  </si>
  <si>
    <t>FWL-22350S</t>
    <phoneticPr fontId="3"/>
  </si>
  <si>
    <t xml:space="preserve">Trim Lace  70% Cotton, 30% N.P </t>
    <phoneticPr fontId="3"/>
  </si>
  <si>
    <t>Trim Lace  50% Cotton, 45% Polyester, 5% R.P</t>
    <phoneticPr fontId="3"/>
  </si>
  <si>
    <t>MILL'S OFF-WHITE/ # 695 BLUE</t>
    <phoneticPr fontId="3"/>
  </si>
  <si>
    <t>MILL'S OFF-WHITE/# 84 GREEN</t>
    <phoneticPr fontId="3"/>
  </si>
  <si>
    <t>MILL'S OFF-WHITE ??</t>
    <phoneticPr fontId="3"/>
  </si>
  <si>
    <t>Trim Lace  60% Cotton, 35% Polyester, 5% R.P</t>
    <phoneticPr fontId="3"/>
  </si>
  <si>
    <t>TORY BURCH 20250626</t>
    <phoneticPr fontId="3"/>
  </si>
  <si>
    <t>品番・混率</t>
    <rPh sb="0" eb="2">
      <t>ヒンバン</t>
    </rPh>
    <rPh sb="3" eb="5">
      <t>コンリツ</t>
    </rPh>
    <phoneticPr fontId="3"/>
  </si>
  <si>
    <r>
      <t>FWL-</t>
    </r>
    <r>
      <rPr>
        <sz val="10"/>
        <color rgb="FF0070C0"/>
        <rFont val="Yu Gothic"/>
        <family val="2"/>
        <charset val="128"/>
      </rPr>
      <t>63013</t>
    </r>
    <r>
      <rPr>
        <sz val="10"/>
        <color rgb="FF0070C0"/>
        <rFont val="Arial"/>
        <family val="2"/>
      </rPr>
      <t xml:space="preserve">S </t>
    </r>
    <phoneticPr fontId="3"/>
  </si>
  <si>
    <t>カラー</t>
    <phoneticPr fontId="3"/>
  </si>
  <si>
    <t>GREIGE (undyed)</t>
    <phoneticPr fontId="3"/>
  </si>
  <si>
    <t>数量</t>
    <rPh sb="0" eb="2">
      <t>スウリョウ</t>
    </rPh>
    <phoneticPr fontId="3"/>
  </si>
  <si>
    <t xml:space="preserve">単価（円)/m </t>
    <rPh sb="0" eb="2">
      <t>タンカ</t>
    </rPh>
    <rPh sb="3" eb="4">
      <t>エン</t>
    </rPh>
    <phoneticPr fontId="3"/>
  </si>
  <si>
    <t>Stock Colour Price</t>
  </si>
  <si>
    <t>Custom Colour Price</t>
  </si>
  <si>
    <t>Surcharge (if any)</t>
  </si>
  <si>
    <t>MOQ</t>
  </si>
  <si>
    <t>Leadtime</t>
  </si>
  <si>
    <t>Ready Date</t>
  </si>
  <si>
    <t>Comments (if any)</t>
  </si>
  <si>
    <t>染色条件（ミニマム・染色代・小口代）</t>
    <rPh sb="0" eb="2">
      <t>センショク</t>
    </rPh>
    <rPh sb="2" eb="4">
      <t>ジョウケン</t>
    </rPh>
    <rPh sb="10" eb="12">
      <t>センショク</t>
    </rPh>
    <rPh sb="12" eb="13">
      <t>ダイ</t>
    </rPh>
    <rPh sb="14" eb="17">
      <t>コグチダイ</t>
    </rPh>
    <phoneticPr fontId="3"/>
  </si>
  <si>
    <r>
      <t xml:space="preserve">Trim Lace  </t>
    </r>
    <r>
      <rPr>
        <sz val="10"/>
        <color rgb="FFFF0000"/>
        <rFont val="ＭＳ Ｐゴシック"/>
        <family val="2"/>
        <charset val="128"/>
      </rPr>
      <t>（混率？）</t>
    </r>
    <rPh sb="12" eb="14">
      <t>コンリツ</t>
    </rPh>
    <phoneticPr fontId="3"/>
  </si>
  <si>
    <t>FWL-81164S</t>
    <phoneticPr fontId="3"/>
  </si>
  <si>
    <t>MILL'S OFF-WHITE x ??</t>
    <phoneticPr fontId="3"/>
  </si>
  <si>
    <t>Stock in Mill's Colors as of 
June 26th, 2025</t>
    <phoneticPr fontId="3"/>
  </si>
  <si>
    <r>
      <t>染色代（</t>
    </r>
    <r>
      <rPr>
        <sz val="10"/>
        <color rgb="FF1F497D"/>
        <rFont val="Arial"/>
        <family val="2"/>
      </rPr>
      <t>7</t>
    </r>
    <r>
      <rPr>
        <sz val="10"/>
        <color rgb="FF1F497D"/>
        <rFont val="ＭＳ ゴシック"/>
        <family val="3"/>
        <charset val="128"/>
      </rPr>
      <t>月より</t>
    </r>
    <r>
      <rPr>
        <sz val="10"/>
        <color rgb="FF1F497D"/>
        <rFont val="Arial"/>
        <family val="2"/>
      </rPr>
      <t>1</t>
    </r>
    <r>
      <rPr>
        <sz val="10"/>
        <color rgb="FF1F497D"/>
        <rFont val="ＭＳ ゴシック"/>
        <family val="3"/>
        <charset val="128"/>
      </rPr>
      <t>釜料金が値上がりします。）</t>
    </r>
  </si>
  <si>
    <r>
      <t>1</t>
    </r>
    <r>
      <rPr>
        <sz val="10"/>
        <color rgb="FF1F497D"/>
        <rFont val="ＭＳ ゴシック"/>
        <family val="3"/>
        <charset val="128"/>
      </rPr>
      <t>～</t>
    </r>
    <r>
      <rPr>
        <sz val="10"/>
        <color rgb="FF1F497D"/>
        <rFont val="Arial"/>
        <family val="2"/>
      </rPr>
      <t>100m</t>
    </r>
    <r>
      <rPr>
        <sz val="10"/>
        <color rgb="FF1F497D"/>
        <rFont val="ＭＳ ゴシック"/>
        <family val="3"/>
        <charset val="128"/>
      </rPr>
      <t>　　＠</t>
    </r>
    <r>
      <rPr>
        <sz val="10"/>
        <color rgb="FF1F497D"/>
        <rFont val="Arial"/>
        <family val="2"/>
      </rPr>
      <t>12,000</t>
    </r>
    <r>
      <rPr>
        <sz val="10"/>
        <color rgb="FF1F497D"/>
        <rFont val="ＭＳ ゴシック"/>
        <family val="3"/>
        <charset val="128"/>
      </rPr>
      <t>円</t>
    </r>
    <r>
      <rPr>
        <sz val="10"/>
        <color rgb="FF1F497D"/>
        <rFont val="Arial"/>
        <family val="2"/>
      </rPr>
      <t>/</t>
    </r>
    <r>
      <rPr>
        <sz val="10"/>
        <color rgb="FF1F497D"/>
        <rFont val="ＭＳ ゴシック"/>
        <family val="3"/>
        <charset val="128"/>
      </rPr>
      <t>釜代</t>
    </r>
  </si>
  <si>
    <r>
      <t>101</t>
    </r>
    <r>
      <rPr>
        <sz val="10"/>
        <color rgb="FF1F497D"/>
        <rFont val="ＭＳ ゴシック"/>
        <family val="3"/>
        <charset val="128"/>
      </rPr>
      <t>～</t>
    </r>
    <r>
      <rPr>
        <sz val="10"/>
        <color rgb="FF1F497D"/>
        <rFont val="Arial"/>
        <family val="2"/>
      </rPr>
      <t>375m</t>
    </r>
    <r>
      <rPr>
        <sz val="10"/>
        <color rgb="FF1F497D"/>
        <rFont val="ＭＳ ゴシック"/>
        <family val="3"/>
        <charset val="128"/>
      </rPr>
      <t>　＠</t>
    </r>
    <r>
      <rPr>
        <sz val="10"/>
        <color rgb="FF1F497D"/>
        <rFont val="Arial"/>
        <family val="2"/>
      </rPr>
      <t>15,000</t>
    </r>
    <r>
      <rPr>
        <sz val="10"/>
        <color rgb="FF1F497D"/>
        <rFont val="ＭＳ ゴシック"/>
        <family val="3"/>
        <charset val="128"/>
      </rPr>
      <t>円</t>
    </r>
    <r>
      <rPr>
        <sz val="10"/>
        <color rgb="FF1F497D"/>
        <rFont val="Arial"/>
        <family val="2"/>
      </rPr>
      <t>/</t>
    </r>
    <r>
      <rPr>
        <sz val="10"/>
        <color rgb="FF1F497D"/>
        <rFont val="ＭＳ ゴシック"/>
        <family val="3"/>
        <charset val="128"/>
      </rPr>
      <t>釜代</t>
    </r>
  </si>
  <si>
    <r>
      <t>376m</t>
    </r>
    <r>
      <rPr>
        <sz val="10"/>
        <color rgb="FF1F497D"/>
        <rFont val="ＭＳ ゴシック"/>
        <family val="3"/>
        <charset val="128"/>
      </rPr>
      <t>～　　　＠</t>
    </r>
    <r>
      <rPr>
        <sz val="10"/>
        <color rgb="FF1F497D"/>
        <rFont val="Arial"/>
        <family val="2"/>
      </rPr>
      <t>40</t>
    </r>
    <r>
      <rPr>
        <sz val="10"/>
        <color rgb="FF1F497D"/>
        <rFont val="ＭＳ ゴシック"/>
        <family val="3"/>
        <charset val="128"/>
      </rPr>
      <t>円</t>
    </r>
    <r>
      <rPr>
        <sz val="10"/>
        <color rgb="FF1F497D"/>
        <rFont val="Arial"/>
        <family val="2"/>
      </rPr>
      <t>/m</t>
    </r>
  </si>
  <si>
    <t>協和レース</t>
    <rPh sb="0" eb="2">
      <t>キョウワ</t>
    </rPh>
    <phoneticPr fontId="3"/>
  </si>
  <si>
    <t>1,900m</t>
    <phoneticPr fontId="3"/>
  </si>
  <si>
    <t>3,500m</t>
    <phoneticPr fontId="3"/>
  </si>
  <si>
    <t>600m</t>
    <phoneticPr fontId="3"/>
  </si>
  <si>
    <t xml:space="preserve">FWL-63013S </t>
    <phoneticPr fontId="3"/>
  </si>
  <si>
    <t>Trim Lace  77% Cotton,  23% Nylon</t>
    <phoneticPr fontId="3"/>
  </si>
  <si>
    <t>3,600m</t>
    <phoneticPr fontId="3"/>
  </si>
  <si>
    <t>400m</t>
    <phoneticPr fontId="3"/>
  </si>
  <si>
    <t>200m</t>
    <phoneticPr fontId="3"/>
  </si>
  <si>
    <t>60m</t>
    <phoneticPr fontId="3"/>
  </si>
  <si>
    <r>
      <t>no stock, L/T</t>
    </r>
    <r>
      <rPr>
        <sz val="10"/>
        <rFont val="ＭＳ Ｐゴシック"/>
        <family val="2"/>
        <charset val="128"/>
      </rPr>
      <t>→</t>
    </r>
    <r>
      <rPr>
        <sz val="10"/>
        <rFont val="Arial"/>
        <family val="2"/>
      </rPr>
      <t>abt 10 working days</t>
    </r>
    <phoneticPr fontId="3"/>
  </si>
  <si>
    <t>80m</t>
    <phoneticPr fontId="3"/>
  </si>
  <si>
    <t>10m</t>
    <phoneticPr fontId="3"/>
  </si>
  <si>
    <t>Blue 200m, Green 300m, Pink 150m</t>
    <phoneticPr fontId="3"/>
  </si>
  <si>
    <t>40m</t>
    <phoneticPr fontId="3"/>
  </si>
  <si>
    <r>
      <rPr>
        <sz val="10"/>
        <rFont val="ＭＳ Ｐゴシック"/>
        <family val="3"/>
        <charset val="128"/>
      </rPr>
      <t>染色小口代</t>
    </r>
    <r>
      <rPr>
        <sz val="10"/>
        <rFont val="Arial"/>
        <family val="2"/>
      </rPr>
      <t xml:space="preserve"> 8000 </t>
    </r>
    <r>
      <rPr>
        <sz val="10"/>
        <rFont val="ＭＳ Ｐゴシック"/>
        <family val="3"/>
        <charset val="128"/>
      </rPr>
      <t>～</t>
    </r>
    <r>
      <rPr>
        <sz val="10"/>
        <rFont val="Arial"/>
        <family val="2"/>
      </rPr>
      <t>15000</t>
    </r>
    <r>
      <rPr>
        <sz val="10"/>
        <rFont val="ＭＳ Ｐゴシック"/>
        <family val="3"/>
        <charset val="128"/>
      </rPr>
      <t>円→</t>
    </r>
    <r>
      <rPr>
        <sz val="10"/>
        <rFont val="Arial"/>
        <family val="2"/>
      </rPr>
      <t>US$ 85 – 160 per art&amp;col&amp;order (varies by article)</t>
    </r>
    <rPh sb="0" eb="2">
      <t>センショク</t>
    </rPh>
    <rPh sb="2" eb="4">
      <t>コグチ</t>
    </rPh>
    <rPh sb="4" eb="5">
      <t>ダイ</t>
    </rPh>
    <rPh sb="15" eb="16">
      <t>エン</t>
    </rPh>
    <phoneticPr fontId="3"/>
  </si>
  <si>
    <r>
      <t>FWL-</t>
    </r>
    <r>
      <rPr>
        <sz val="10"/>
        <rFont val="Arial  "/>
        <family val="2"/>
      </rPr>
      <t>63013S</t>
    </r>
    <phoneticPr fontId="3"/>
  </si>
  <si>
    <t xml:space="preserve">2991(06/27/25) </t>
    <phoneticPr fontId="3"/>
  </si>
  <si>
    <t>EO 6/27/25</t>
    <phoneticPr fontId="3"/>
  </si>
  <si>
    <t>E2250 color card</t>
    <phoneticPr fontId="3"/>
  </si>
  <si>
    <t>2440W</t>
    <phoneticPr fontId="3"/>
  </si>
  <si>
    <t>FH26 RTW Embellishments</t>
    <phoneticPr fontId="3"/>
  </si>
  <si>
    <t>FWL-23803</t>
  </si>
  <si>
    <t>FWL-24089</t>
  </si>
  <si>
    <t>FWL-21525</t>
  </si>
  <si>
    <t>FWL-24238</t>
  </si>
  <si>
    <t>FWL-23406</t>
  </si>
  <si>
    <t>FWL-23218</t>
  </si>
  <si>
    <t>FWL-22504</t>
  </si>
  <si>
    <t>FWL-71675</t>
  </si>
  <si>
    <t>FWL-22231</t>
  </si>
  <si>
    <t>FWL-22236S</t>
  </si>
  <si>
    <t>FWL-23539</t>
  </si>
  <si>
    <t>FWL-2679</t>
  </si>
  <si>
    <t>FWL-92904 x E3703</t>
  </si>
  <si>
    <t>FWL-75083</t>
  </si>
  <si>
    <t>FWL-71177</t>
  </si>
  <si>
    <t>FWL-71030</t>
  </si>
  <si>
    <t>FWL-21242S</t>
  </si>
  <si>
    <t>FWL-23109</t>
  </si>
  <si>
    <t>FWL-69051S</t>
  </si>
  <si>
    <t>FWL-81150S</t>
  </si>
  <si>
    <t>FWL-69135S</t>
  </si>
  <si>
    <t>FWL-81789</t>
  </si>
  <si>
    <t>MILL'S OFF WHITE/#5BLK</t>
  </si>
  <si>
    <t>690 BLUE/GREIGE</t>
  </si>
  <si>
    <t>BLACK/GOLD</t>
  </si>
  <si>
    <t>GREIGE/GREIGE</t>
  </si>
  <si>
    <t>CLEAR/AW269 BEIGE</t>
  </si>
  <si>
    <t xml:space="preserve">Trim Lace  96% Cotton, 3% Rayon, 1% Polyurethane </t>
    <phoneticPr fontId="3"/>
  </si>
  <si>
    <t xml:space="preserve">Trim Lace  93% Cotton, 5% Rayon, 2% Polyurethane </t>
    <phoneticPr fontId="3"/>
  </si>
  <si>
    <t>Trim Lace  92% Polyester, 5% Nylon, 3% Polyurethane</t>
    <phoneticPr fontId="3"/>
  </si>
  <si>
    <t>Trim Lace  44% Acrylic, 29% Nylon, 12% Wool, 10% Cupro, 4% Polyester, 1% Polyurethane</t>
    <phoneticPr fontId="3"/>
  </si>
  <si>
    <t xml:space="preserve">Trim Lace  67% Nylon66, 31% Rayon, 1% Nylon, 1% Polyurethane </t>
    <phoneticPr fontId="3"/>
  </si>
  <si>
    <t>84 x 70 GREEN</t>
    <phoneticPr fontId="3"/>
  </si>
  <si>
    <t>Trim Lace  97% Polyester, 2% Rayon, 1% Polyurethane</t>
    <phoneticPr fontId="3"/>
  </si>
  <si>
    <t xml:space="preserve">Trim Tulle Lace  Base: 100% Nylon /  Front &amp; Back yarn :  100% Cotton </t>
    <phoneticPr fontId="3"/>
  </si>
  <si>
    <t>Trim Lace  100% Silk</t>
    <phoneticPr fontId="3"/>
  </si>
  <si>
    <t>FWL-92879 x 12740</t>
    <phoneticPr fontId="3"/>
  </si>
  <si>
    <t>Lace Trim with Ribbon insertion 100% Polyester</t>
    <phoneticPr fontId="3"/>
  </si>
  <si>
    <t>Lace Trim with Ribbon insertion 100% Cotton lace x  100% Nylon Ribbon</t>
    <phoneticPr fontId="3"/>
  </si>
  <si>
    <t>FWL-81400S</t>
    <phoneticPr fontId="3"/>
  </si>
  <si>
    <t>KYL-24219</t>
    <phoneticPr fontId="3"/>
  </si>
  <si>
    <t>KYL-25266</t>
    <phoneticPr fontId="3"/>
  </si>
  <si>
    <t>KYL-25431</t>
    <phoneticPr fontId="3"/>
  </si>
  <si>
    <t>KYL-25343</t>
    <phoneticPr fontId="3"/>
  </si>
  <si>
    <r>
      <t>FWL-</t>
    </r>
    <r>
      <rPr>
        <sz val="12"/>
        <rFont val="Yu Gothic"/>
        <family val="2"/>
        <charset val="128"/>
      </rPr>
      <t>63013</t>
    </r>
    <r>
      <rPr>
        <sz val="12"/>
        <rFont val="Arial"/>
        <family val="2"/>
      </rPr>
      <t xml:space="preserve">S </t>
    </r>
    <phoneticPr fontId="3"/>
  </si>
  <si>
    <t>Stock in Mill's Colors as of 
July 1st, 2025</t>
    <phoneticPr fontId="3"/>
  </si>
  <si>
    <t>600m</t>
    <phoneticPr fontId="3"/>
  </si>
  <si>
    <t>900m</t>
    <phoneticPr fontId="3"/>
  </si>
  <si>
    <t>1,000m</t>
    <phoneticPr fontId="3"/>
  </si>
  <si>
    <t>only sample yds,  1,500m will be replenished in the End of July</t>
    <phoneticPr fontId="3"/>
  </si>
  <si>
    <t>2,300m</t>
    <phoneticPr fontId="3"/>
  </si>
  <si>
    <t>PO 6/30/25</t>
    <phoneticPr fontId="3"/>
  </si>
  <si>
    <t>Colleen Allen</t>
    <phoneticPr fontId="3"/>
  </si>
  <si>
    <t>FWL-71558</t>
    <phoneticPr fontId="3"/>
  </si>
  <si>
    <t>JAPAN</t>
    <phoneticPr fontId="3"/>
  </si>
  <si>
    <t>JAPAN</t>
    <phoneticPr fontId="3"/>
  </si>
  <si>
    <t>Trim Lace  63% Nylon, 26%Acrylic,11% Wool</t>
    <phoneticPr fontId="3"/>
  </si>
  <si>
    <t>FWL-75083</t>
    <phoneticPr fontId="3"/>
  </si>
  <si>
    <t>only sample yds, made to order</t>
    <phoneticPr fontId="3"/>
  </si>
  <si>
    <t>200m</t>
    <phoneticPr fontId="3"/>
  </si>
  <si>
    <t>20m</t>
    <phoneticPr fontId="3"/>
  </si>
  <si>
    <t>2,100m</t>
    <phoneticPr fontId="3"/>
  </si>
  <si>
    <t>1,000m</t>
    <phoneticPr fontId="3"/>
  </si>
  <si>
    <t>300m</t>
    <phoneticPr fontId="3"/>
  </si>
  <si>
    <t>1,700m</t>
    <phoneticPr fontId="3"/>
  </si>
  <si>
    <t>30m</t>
    <phoneticPr fontId="3"/>
  </si>
  <si>
    <t>50m</t>
    <phoneticPr fontId="3"/>
  </si>
  <si>
    <t>500m</t>
    <phoneticPr fontId="3"/>
  </si>
  <si>
    <t>350m</t>
    <phoneticPr fontId="3"/>
  </si>
  <si>
    <t>600m</t>
    <phoneticPr fontId="3"/>
  </si>
  <si>
    <t>60m</t>
    <phoneticPr fontId="3"/>
  </si>
  <si>
    <t>2,200m</t>
    <phoneticPr fontId="3"/>
  </si>
  <si>
    <t>2m</t>
    <phoneticPr fontId="3"/>
  </si>
  <si>
    <t>100m</t>
    <phoneticPr fontId="3"/>
  </si>
  <si>
    <t>40m</t>
    <phoneticPr fontId="3"/>
  </si>
  <si>
    <t>TORY BURCH  20250702</t>
    <phoneticPr fontId="3"/>
  </si>
  <si>
    <t>FWL-71164</t>
    <phoneticPr fontId="3"/>
  </si>
  <si>
    <t>2025_07.01_FH26 PROTO_EMB RTW_SUN FASHION(2025/7/1)-NYO</t>
    <phoneticPr fontId="3"/>
  </si>
  <si>
    <t>FWL-71164</t>
    <phoneticPr fontId="3"/>
  </si>
  <si>
    <t>Stock in Mill's Colors as of 
July 2nd, 2025</t>
    <phoneticPr fontId="3"/>
  </si>
  <si>
    <t>2025_07.01_FH26 PROTO_EMB RTW_SUN FASHION(2025/7/1) India</t>
    <phoneticPr fontId="3"/>
  </si>
  <si>
    <t>Natural (undyed)</t>
    <phoneticPr fontId="3"/>
  </si>
  <si>
    <t>PO 070325 (7/3/25)</t>
    <phoneticPr fontId="3"/>
  </si>
  <si>
    <t>DB5200</t>
    <phoneticPr fontId="3"/>
  </si>
  <si>
    <t>Total Amount</t>
    <phoneticPr fontId="3"/>
  </si>
  <si>
    <t>Email order  7/7/25</t>
    <phoneticPr fontId="3"/>
  </si>
  <si>
    <t>5009499(07/09/2025)</t>
    <phoneticPr fontId="3"/>
  </si>
  <si>
    <t>1813(07/11/2025)</t>
    <phoneticPr fontId="3"/>
  </si>
  <si>
    <t>P.O. #: 0867 (JULY 16, 2025)</t>
    <phoneticPr fontId="3"/>
  </si>
  <si>
    <t># 0 WHITE</t>
    <phoneticPr fontId="3"/>
  </si>
  <si>
    <t># 5 BLACK</t>
    <phoneticPr fontId="3"/>
  </si>
  <si>
    <t>Ulla Johnson 20250722</t>
    <phoneticPr fontId="3"/>
  </si>
  <si>
    <t>2040RE-FT</t>
    <phoneticPr fontId="3"/>
  </si>
  <si>
    <t xml:space="preserve">2440(W) </t>
    <phoneticPr fontId="3"/>
  </si>
  <si>
    <t>014631(07/22/25)</t>
    <phoneticPr fontId="3"/>
  </si>
  <si>
    <t>20250725 Claudia Li  20% レート</t>
    <phoneticPr fontId="3"/>
  </si>
  <si>
    <r>
      <t xml:space="preserve">FUT0496-W (Mill's color) 
Sample cut price ( up to </t>
    </r>
    <r>
      <rPr>
        <sz val="10"/>
        <rFont val="Arial"/>
        <family val="2"/>
      </rPr>
      <t>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</si>
  <si>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r>
      <t xml:space="preserve">FUT0496-W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50m)</t>
    </r>
    <phoneticPr fontId="3"/>
  </si>
  <si>
    <t>CL-250725 to NY</t>
    <phoneticPr fontId="3"/>
  </si>
  <si>
    <t>FUT0496-W</t>
    <phoneticPr fontId="3"/>
  </si>
  <si>
    <t>128cm</t>
    <phoneticPr fontId="3"/>
  </si>
  <si>
    <t>Col. 12 (Camel)</t>
    <phoneticPr fontId="3"/>
  </si>
  <si>
    <t>??</t>
    <phoneticPr fontId="3"/>
  </si>
  <si>
    <t>70052 (2025/7/25)</t>
    <phoneticPr fontId="3"/>
  </si>
  <si>
    <t>FWL-71549</t>
    <phoneticPr fontId="3"/>
  </si>
  <si>
    <t>20250730 Claudia Li  20% レート</t>
    <phoneticPr fontId="3"/>
  </si>
  <si>
    <r>
      <t xml:space="preserve">CUT219-W with C6 (Mill's color) 
Sample cut price ( up to </t>
    </r>
    <r>
      <rPr>
        <sz val="10"/>
        <rFont val="Arial"/>
        <family val="2"/>
      </rPr>
      <t>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</si>
  <si>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r>
      <t xml:space="preserve">CUT219-W with C6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50m)</t>
    </r>
    <phoneticPr fontId="3"/>
  </si>
  <si>
    <t>CUT219-W with C0 - PFAS FREE (Mill's color) 
Based on 300m/col</t>
    <phoneticPr fontId="3"/>
  </si>
  <si>
    <t>CUT219-W with C0 - PFAS FREE (Mill's color) 
Based on 500m/col</t>
    <phoneticPr fontId="3"/>
  </si>
  <si>
    <t>Cotton x Polyester Gabardine fabric 75% Cotton, 25% Polyester</t>
    <phoneticPr fontId="3"/>
  </si>
  <si>
    <t>CUT219-W with C6</t>
    <phoneticPr fontId="3"/>
  </si>
  <si>
    <t>144/146cm</t>
    <phoneticPr fontId="3"/>
  </si>
  <si>
    <t>Col. 230 (Camel)</t>
    <phoneticPr fontId="3"/>
  </si>
  <si>
    <t>Col. 20 (Black)</t>
    <phoneticPr fontId="3"/>
  </si>
  <si>
    <r>
      <t>KKC108-W with C0</t>
    </r>
    <r>
      <rPr>
        <b/>
        <u/>
        <sz val="10"/>
        <rFont val="BIZ UDPゴシック"/>
        <family val="3"/>
        <charset val="128"/>
      </rPr>
      <t>撥水バージョン</t>
    </r>
  </si>
  <si>
    <t>試験 MOQ : 20m/col</t>
  </si>
  <si>
    <t>試験単価 : \1,980/m </t>
  </si>
  <si>
    <t>納期：お盆前の指図条件で９中アップ予定（急ぎであれば納期頑張ってつめます！）</t>
  </si>
  <si>
    <t>バルクMOQ ; 500m/col </t>
  </si>
  <si>
    <t>バルク単価 : \1,680/m</t>
  </si>
  <si>
    <t>納期 : about 8 weeks</t>
  </si>
  <si>
    <t>バルクMOQ以下 (*100mは加工工程の問題上進行不可)</t>
  </si>
  <si>
    <t>300m/col : \1,780/m</t>
    <phoneticPr fontId="3"/>
  </si>
  <si>
    <t>CUT219-W with C0 - PFAS FREE (Mill's color) 
Test sample MOQ 20m/col</t>
    <phoneticPr fontId="3"/>
  </si>
  <si>
    <t>Lead time</t>
    <phoneticPr fontId="3"/>
  </si>
  <si>
    <t>abt 8 weeks based on working days in JAPAN</t>
    <phoneticPr fontId="3"/>
  </si>
  <si>
    <r>
      <t xml:space="preserve">FUT8822-58 with NO water-repellent (Mill's color) 
Sample cut price ( up to </t>
    </r>
    <r>
      <rPr>
        <sz val="10"/>
        <rFont val="Arial"/>
        <family val="2"/>
      </rPr>
      <t>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</si>
  <si>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r>
      <t xml:space="preserve">FUT8822-58 with NO water-repellent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45m)</t>
    </r>
    <phoneticPr fontId="3"/>
  </si>
  <si>
    <t>キャンセル</t>
    <phoneticPr fontId="3"/>
  </si>
  <si>
    <t>CA-EO7/30/25</t>
    <phoneticPr fontId="3"/>
  </si>
  <si>
    <t>FWL-24255 cat</t>
    <phoneticPr fontId="3"/>
  </si>
  <si>
    <t>FWL-24253 dog</t>
    <phoneticPr fontId="3"/>
  </si>
  <si>
    <t>1930(30.07.2025)</t>
    <phoneticPr fontId="3"/>
  </si>
  <si>
    <t>M21257-1</t>
    <phoneticPr fontId="3"/>
  </si>
  <si>
    <t>KL-0326-1</t>
    <phoneticPr fontId="3"/>
  </si>
  <si>
    <t>KL-0231</t>
    <phoneticPr fontId="3"/>
  </si>
  <si>
    <t>White x Silver</t>
    <phoneticPr fontId="3"/>
  </si>
  <si>
    <t>KL-0285-2</t>
    <phoneticPr fontId="3"/>
  </si>
  <si>
    <t xml:space="preserve">Trim Lace  84% Rayon, 9% Nylon, 7% Polyurethane </t>
    <phoneticPr fontId="3"/>
  </si>
  <si>
    <t>FWL-63014s</t>
    <phoneticPr fontId="3"/>
  </si>
  <si>
    <t xml:space="preserve">Trim Lace  72% Rayon, 17% Nylon, 11% Polyurethane </t>
    <phoneticPr fontId="3"/>
  </si>
  <si>
    <t xml:space="preserve">Trim Lace  70% Nylon66, 18% Nylon, 12% Polyurethane </t>
    <phoneticPr fontId="3"/>
  </si>
  <si>
    <t>FWL-66193s</t>
    <phoneticPr fontId="3"/>
  </si>
  <si>
    <t>FWL-31019s</t>
    <phoneticPr fontId="3"/>
  </si>
  <si>
    <t xml:space="preserve">Trim Lace  77% Wool, 13% Nylon, 10% Polyurethane </t>
    <phoneticPr fontId="3"/>
  </si>
  <si>
    <t>FWL-24020</t>
  </si>
  <si>
    <t>FWL-24085</t>
  </si>
  <si>
    <t>FWL-22395</t>
  </si>
  <si>
    <t>TORY BURCH 20250807</t>
    <phoneticPr fontId="3"/>
  </si>
  <si>
    <t>Stock in Mill's Colors as of 
August 7th, 2025</t>
    <phoneticPr fontId="3"/>
  </si>
  <si>
    <t>1,300m</t>
    <phoneticPr fontId="3"/>
  </si>
  <si>
    <t>SP26 RUNWAY SUN FASHION ORDER 8-7-25</t>
    <phoneticPr fontId="3"/>
  </si>
  <si>
    <t xml:space="preserve">FWL-63013s </t>
    <phoneticPr fontId="3"/>
  </si>
  <si>
    <t>-</t>
    <phoneticPr fontId="3"/>
  </si>
  <si>
    <t>L'INDIGENE</t>
    <phoneticPr fontId="3"/>
  </si>
  <si>
    <t># 5 black</t>
    <phoneticPr fontId="3"/>
  </si>
  <si>
    <t>WR26-24 (8/18/25)</t>
    <phoneticPr fontId="3"/>
  </si>
  <si>
    <t>3967 (08/20/25)</t>
    <phoneticPr fontId="3"/>
  </si>
  <si>
    <t>PO EO8/20/25</t>
    <phoneticPr fontId="3"/>
  </si>
  <si>
    <t>Goli June</t>
    <phoneticPr fontId="3"/>
  </si>
  <si>
    <t xml:space="preserve"># 12 </t>
    <phoneticPr fontId="3"/>
  </si>
  <si>
    <t>0889 (2025/8/21)</t>
    <phoneticPr fontId="3"/>
  </si>
  <si>
    <t>20250901 Vera Wang  20% レート</t>
    <phoneticPr fontId="3"/>
  </si>
  <si>
    <r>
      <t xml:space="preserve">FUT8822-58 (Mill's color) 
Sample cut price ( up to </t>
    </r>
    <r>
      <rPr>
        <sz val="10"/>
        <rFont val="Arial"/>
        <family val="2"/>
      </rPr>
      <t>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</si>
  <si>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r>
      <t xml:space="preserve">FUT8822-58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45m)</t>
    </r>
    <phoneticPr fontId="3"/>
  </si>
  <si>
    <r>
      <t xml:space="preserve">FUT7222-58 (Mill's color) 
Sample cut price ( up to </t>
    </r>
    <r>
      <rPr>
        <sz val="10"/>
        <rFont val="Arial"/>
        <family val="2"/>
      </rPr>
      <t>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</si>
  <si>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t>Size/Composition/Weight</t>
    <phoneticPr fontId="3"/>
  </si>
  <si>
    <t>146/148cm x approx. 45m
100% Polyester, abt 141g/m2</t>
    <phoneticPr fontId="3"/>
  </si>
  <si>
    <t>148cm x approx. 50m
60% Cotton x 40% Polyester, 
abt 147g/m2</t>
    <phoneticPr fontId="3"/>
  </si>
  <si>
    <r>
      <t xml:space="preserve">SUT3897K (Mill's color) 
Sample cut price ( up to </t>
    </r>
    <r>
      <rPr>
        <sz val="10"/>
        <rFont val="Arial"/>
        <family val="2"/>
      </rPr>
      <t>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</si>
  <si>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t>112/114cm x approx. 46m
70% Cotton x 30% Silk, 
abt 128g/m2</t>
    <phoneticPr fontId="3"/>
  </si>
  <si>
    <r>
      <t xml:space="preserve">SUT3897K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46m)</t>
    </r>
    <phoneticPr fontId="3"/>
  </si>
  <si>
    <r>
      <t xml:space="preserve">FUT7222-58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50m)</t>
    </r>
    <phoneticPr fontId="3"/>
  </si>
  <si>
    <t>1167 (09/10/2025)</t>
    <phoneticPr fontId="3"/>
  </si>
  <si>
    <t>Col 329 (light ivory)</t>
    <phoneticPr fontId="3"/>
  </si>
  <si>
    <t>22604s</t>
  </si>
  <si>
    <t>3147s</t>
  </si>
  <si>
    <t>22382s</t>
  </si>
  <si>
    <t>41032s</t>
  </si>
  <si>
    <t>41102s</t>
  </si>
  <si>
    <t>41142s</t>
  </si>
  <si>
    <t>41064s</t>
  </si>
  <si>
    <t>41099s</t>
  </si>
  <si>
    <t>202509011 出張用サンプル依頼</t>
    <rPh sb="10" eb="12">
      <t>シュッチョウ</t>
    </rPh>
    <rPh sb="12" eb="13">
      <t>ヨウ</t>
    </rPh>
    <rPh sb="17" eb="19">
      <t>イライ</t>
    </rPh>
    <phoneticPr fontId="3"/>
  </si>
  <si>
    <r>
      <rPr>
        <sz val="10"/>
        <rFont val="ＭＳ Ｐゴシック"/>
        <family val="3"/>
        <charset val="128"/>
      </rPr>
      <t>単価</t>
    </r>
    <rPh sb="0" eb="2">
      <t>タンカ</t>
    </rPh>
    <phoneticPr fontId="3"/>
  </si>
  <si>
    <t>2m 小計</t>
    <rPh sb="3" eb="5">
      <t>ショウケイ</t>
    </rPh>
    <phoneticPr fontId="3"/>
  </si>
  <si>
    <r>
      <rPr>
        <sz val="10"/>
        <rFont val="ＭＳ Ｐゴシック"/>
        <family val="3"/>
        <charset val="128"/>
      </rPr>
      <t>品番</t>
    </r>
    <r>
      <rPr>
        <sz val="10"/>
        <rFont val="Arial  "/>
      </rPr>
      <t xml:space="preserve"> FWL-</t>
    </r>
    <rPh sb="0" eb="2">
      <t>ヒンバン</t>
    </rPh>
    <phoneticPr fontId="3"/>
  </si>
  <si>
    <t>T8074-1</t>
  </si>
  <si>
    <t>T23217-1</t>
  </si>
  <si>
    <t>T8333-1</t>
  </si>
  <si>
    <t>T23419-1</t>
  </si>
  <si>
    <t>62284-1</t>
  </si>
  <si>
    <t>62454-1</t>
  </si>
  <si>
    <t>8258-1</t>
    <phoneticPr fontId="3"/>
  </si>
  <si>
    <r>
      <rPr>
        <sz val="10"/>
        <rFont val="ＭＳ Ｐゴシック"/>
        <family val="3"/>
        <charset val="128"/>
      </rPr>
      <t>品番</t>
    </r>
    <r>
      <rPr>
        <sz val="10"/>
        <rFont val="Arial  "/>
        <family val="2"/>
      </rPr>
      <t xml:space="preserve"> KYL-</t>
    </r>
    <rPh sb="0" eb="2">
      <t>ヒンバン</t>
    </rPh>
    <phoneticPr fontId="3"/>
  </si>
  <si>
    <r>
      <t xml:space="preserve">2m </t>
    </r>
    <r>
      <rPr>
        <sz val="10"/>
        <rFont val="Arial  "/>
      </rPr>
      <t>小計</t>
    </r>
    <rPh sb="3" eb="5">
      <t>ショウケイ</t>
    </rPh>
    <phoneticPr fontId="3"/>
  </si>
  <si>
    <r>
      <rPr>
        <sz val="10"/>
        <rFont val="ＭＳ Ｐゴシック"/>
        <family val="3"/>
        <charset val="128"/>
      </rPr>
      <t>品番</t>
    </r>
    <r>
      <rPr>
        <sz val="10"/>
        <rFont val="Arial  "/>
        <family val="2"/>
      </rPr>
      <t xml:space="preserve"> OL-</t>
    </r>
    <rPh sb="0" eb="2">
      <t>ヒンバン</t>
    </rPh>
    <phoneticPr fontId="3"/>
  </si>
  <si>
    <t>Ulla Johnson 20250912</t>
    <phoneticPr fontId="3"/>
  </si>
  <si>
    <t xml:space="preserve">T4100 </t>
    <phoneticPr fontId="3"/>
  </si>
  <si>
    <t xml:space="preserve">T1500 </t>
    <phoneticPr fontId="3"/>
  </si>
  <si>
    <t>Jason Wu 20250916 FDS 用バルク単価</t>
    <rPh sb="22" eb="23">
      <t>ヨウ</t>
    </rPh>
    <rPh sb="26" eb="28">
      <t>タンカ</t>
    </rPh>
    <phoneticPr fontId="3"/>
  </si>
  <si>
    <r>
      <rPr>
        <b/>
        <sz val="10"/>
        <color theme="1"/>
        <rFont val="Malgun Gothic"/>
        <family val="2"/>
        <charset val="129"/>
      </rPr>
      <t>仕入金額</t>
    </r>
    <r>
      <rPr>
        <b/>
        <sz val="10"/>
        <color theme="1"/>
        <rFont val="Arial  "/>
        <family val="2"/>
      </rPr>
      <t>(</t>
    </r>
    <r>
      <rPr>
        <b/>
        <sz val="10"/>
        <color theme="1"/>
        <rFont val="Malgun Gothic"/>
        <family val="2"/>
        <charset val="129"/>
      </rPr>
      <t>輸出梱包費用</t>
    </r>
    <r>
      <rPr>
        <b/>
        <sz val="10"/>
        <color theme="1"/>
        <rFont val="Arial  "/>
        <family val="2"/>
        <charset val="128"/>
      </rPr>
      <t>15円</t>
    </r>
    <r>
      <rPr>
        <b/>
        <sz val="10"/>
        <color theme="1"/>
        <rFont val="Microsoft JhengHei"/>
        <family val="2"/>
        <charset val="136"/>
      </rPr>
      <t>込）</t>
    </r>
    <rPh sb="0" eb="4">
      <t>シイレキンガク</t>
    </rPh>
    <rPh sb="5" eb="7">
      <t>ユシュツ</t>
    </rPh>
    <rPh sb="7" eb="9">
      <t>コンポウ</t>
    </rPh>
    <rPh sb="9" eb="11">
      <t>ヒヨウ</t>
    </rPh>
    <rPh sb="13" eb="14">
      <t>エン</t>
    </rPh>
    <rPh sb="14" eb="15">
      <t>コ</t>
    </rPh>
    <phoneticPr fontId="3"/>
  </si>
  <si>
    <t>T3500C (based on 1 roll/color - )</t>
    <phoneticPr fontId="3"/>
  </si>
  <si>
    <t xml:space="preserve">T3500C (based on 12 rolls/color - ) </t>
    <phoneticPr fontId="3"/>
  </si>
  <si>
    <t>FWL-22395</t>
    <phoneticPr fontId="3"/>
  </si>
  <si>
    <t>200 m/ art&amp;col&amp;order</t>
    <phoneticPr fontId="3"/>
  </si>
  <si>
    <t>Stock in Mill's Colors as of 
September 18th, 2025</t>
    <phoneticPr fontId="3"/>
  </si>
  <si>
    <t>FWL-22418S</t>
    <phoneticPr fontId="3"/>
  </si>
  <si>
    <t>FWL-71030</t>
    <phoneticPr fontId="3"/>
  </si>
  <si>
    <t>Development fee</t>
    <phoneticPr fontId="3"/>
  </si>
  <si>
    <t>DTM (piece-dye)</t>
    <phoneticPr fontId="3"/>
  </si>
  <si>
    <t>Mill's Black (yarn-dye)</t>
    <phoneticPr fontId="3"/>
  </si>
  <si>
    <t>Mill's Off White (undyed) or Mill's Black (yarn-dye)</t>
    <phoneticPr fontId="3"/>
  </si>
  <si>
    <t>Trim Lace  85% Cotton, 10% Rayon, 5% Polyurethane</t>
    <phoneticPr fontId="3"/>
  </si>
  <si>
    <t>Mill's Black (yarn-dyed)</t>
    <phoneticPr fontId="3"/>
  </si>
  <si>
    <r>
      <t>Polyester Elastic Braids  Polyester</t>
    </r>
    <r>
      <rPr>
        <sz val="12"/>
        <rFont val="Yu Gothic"/>
        <family val="2"/>
        <charset val="128"/>
      </rPr>
      <t>：</t>
    </r>
    <r>
      <rPr>
        <sz val="12"/>
        <rFont val="Arial"/>
        <family val="2"/>
      </rPr>
      <t>75%</t>
    </r>
    <r>
      <rPr>
        <sz val="12"/>
        <rFont val="Yu Gothic"/>
        <family val="2"/>
        <charset val="128"/>
      </rPr>
      <t>，</t>
    </r>
    <r>
      <rPr>
        <sz val="12"/>
        <rFont val="Arial"/>
        <family val="2"/>
      </rPr>
      <t>Polyurethane</t>
    </r>
    <r>
      <rPr>
        <sz val="12"/>
        <rFont val="Yu Gothic"/>
        <family val="2"/>
        <charset val="128"/>
      </rPr>
      <t>：</t>
    </r>
    <r>
      <rPr>
        <sz val="12"/>
        <rFont val="Arial"/>
        <family val="2"/>
      </rPr>
      <t>25%</t>
    </r>
    <phoneticPr fontId="3"/>
  </si>
  <si>
    <t>3544 Lycra</t>
    <phoneticPr fontId="3"/>
  </si>
  <si>
    <t>4 CORD</t>
    <phoneticPr fontId="3"/>
  </si>
  <si>
    <t># 7 ivory</t>
    <phoneticPr fontId="3"/>
  </si>
  <si>
    <t>0900 (2025/9/19)</t>
    <phoneticPr fontId="3"/>
  </si>
  <si>
    <t>4092 (09/19/25)</t>
    <phoneticPr fontId="3"/>
  </si>
  <si>
    <t>FWL-22418S</t>
    <phoneticPr fontId="3"/>
  </si>
  <si>
    <r>
      <t xml:space="preserve">2025_09.19_SP26_PR_SUN FASHION </t>
    </r>
    <r>
      <rPr>
        <sz val="12"/>
        <color rgb="FF0070C0"/>
        <rFont val="Arial"/>
        <family val="2"/>
      </rPr>
      <t>(NYO)</t>
    </r>
    <phoneticPr fontId="3"/>
  </si>
  <si>
    <t>PO 82925 (9/25/25)</t>
    <phoneticPr fontId="3"/>
  </si>
  <si>
    <t xml:space="preserve">Trim Lace  Front Yarn 100% Rayon, Back Yarn 100% Cotton </t>
    <phoneticPr fontId="3"/>
  </si>
  <si>
    <t>KYL-25192</t>
    <phoneticPr fontId="3"/>
  </si>
  <si>
    <t>8444 (9/29/25)</t>
  </si>
  <si>
    <t>8444 (9/29/25)</t>
    <phoneticPr fontId="3"/>
  </si>
  <si>
    <t>8444 (9/29/25) to Chinamine</t>
    <phoneticPr fontId="3"/>
  </si>
  <si>
    <t>8444 (9/29/25) to Litus</t>
    <phoneticPr fontId="3"/>
  </si>
  <si>
    <t># Y604 CALICO</t>
    <phoneticPr fontId="3"/>
  </si>
  <si>
    <t>#SO CHALK</t>
    <phoneticPr fontId="3"/>
  </si>
  <si>
    <t>#A17 LIGHT AQUA</t>
    <phoneticPr fontId="3"/>
  </si>
  <si>
    <t>#69 ULTRA NAVY</t>
    <phoneticPr fontId="3"/>
  </si>
  <si>
    <t>TUT5117F3Y-W D#DW</t>
    <phoneticPr fontId="3"/>
  </si>
  <si>
    <t>#1010</t>
    <phoneticPr fontId="3"/>
  </si>
  <si>
    <t>カット代400円込み</t>
    <rPh sb="3" eb="4">
      <t>ダイ</t>
    </rPh>
    <rPh sb="7" eb="8">
      <t>エン</t>
    </rPh>
    <rPh sb="8" eb="9">
      <t>コ</t>
    </rPh>
    <phoneticPr fontId="3"/>
  </si>
  <si>
    <t>AG-EO 10/1/25</t>
    <phoneticPr fontId="3"/>
  </si>
  <si>
    <t>GAP-EO 10/1/25</t>
    <phoneticPr fontId="3"/>
  </si>
  <si>
    <t>AG-EO 10/2/25</t>
    <phoneticPr fontId="3"/>
  </si>
  <si>
    <t>015078(10/06/25)</t>
  </si>
  <si>
    <t>015078(10/06/25)</t>
    <phoneticPr fontId="3"/>
  </si>
  <si>
    <t>Cotton Cords  Cotton-100%</t>
    <phoneticPr fontId="3"/>
  </si>
  <si>
    <t># 16 Taupe</t>
    <phoneticPr fontId="3"/>
  </si>
  <si>
    <t xml:space="preserve"># 44 Olive </t>
    <phoneticPr fontId="3"/>
  </si>
  <si>
    <t># 64 Navy</t>
    <phoneticPr fontId="3"/>
  </si>
  <si>
    <t xml:space="preserve"># 8 Black </t>
    <phoneticPr fontId="3"/>
  </si>
  <si>
    <t>FWL-93065(FWL-71030 with fringe on one side)</t>
    <phoneticPr fontId="3"/>
  </si>
  <si>
    <t>Minimum surcharge for below yarn-dyed black minimum (yarn-dye)</t>
    <phoneticPr fontId="3"/>
  </si>
  <si>
    <t>e</t>
    <phoneticPr fontId="3"/>
  </si>
  <si>
    <t xml:space="preserve">PO# / SHIP TO </t>
    <phoneticPr fontId="3"/>
  </si>
  <si>
    <r>
      <t>2025_10.07_SP26_PR_SUN FASHION</t>
    </r>
    <r>
      <rPr>
        <b/>
        <sz val="12"/>
        <rFont val="Arial"/>
        <family val="2"/>
      </rPr>
      <t>(NYO)</t>
    </r>
    <phoneticPr fontId="3"/>
  </si>
  <si>
    <r>
      <t>2025_10.07_SP26_PR_SUN FASHION</t>
    </r>
    <r>
      <rPr>
        <b/>
        <sz val="12"/>
        <rFont val="Arial"/>
        <family val="2"/>
      </rPr>
      <t>(Factory)</t>
    </r>
    <phoneticPr fontId="3"/>
  </si>
  <si>
    <t>2025_09.19_SP26_PR_SUN FASHION (NYO)</t>
    <phoneticPr fontId="3"/>
  </si>
  <si>
    <t>lace trim  Development fee</t>
    <phoneticPr fontId="3"/>
  </si>
  <si>
    <t>Lace trim  Development fee</t>
    <phoneticPr fontId="3"/>
  </si>
  <si>
    <t>2025_10.07_SP26_PR_SUN FASHION_RVSD(NYO)</t>
    <phoneticPr fontId="3"/>
  </si>
  <si>
    <t>10998</t>
    <phoneticPr fontId="3"/>
  </si>
  <si>
    <t># 01 Ivory</t>
    <phoneticPr fontId="3"/>
  </si>
  <si>
    <t># 163 Peachy Nude</t>
    <phoneticPr fontId="3"/>
  </si>
  <si>
    <t>EO 10/14/25</t>
    <phoneticPr fontId="3"/>
  </si>
  <si>
    <t>SHINDO</t>
  </si>
  <si>
    <r>
      <rPr>
        <b/>
        <sz val="10"/>
        <rFont val="BIZ UDPゴシック"/>
        <family val="3"/>
        <charset val="128"/>
      </rPr>
      <t>生地系</t>
    </r>
  </si>
  <si>
    <r>
      <rPr>
        <sz val="10"/>
        <rFont val="BIZ UDPゴシック"/>
        <family val="3"/>
        <charset val="128"/>
      </rPr>
      <t>栄レース</t>
    </r>
  </si>
  <si>
    <r>
      <rPr>
        <sz val="10"/>
        <rFont val="BIZ UDPゴシック"/>
        <family val="3"/>
        <charset val="128"/>
      </rPr>
      <t>サンコロナ</t>
    </r>
  </si>
  <si>
    <r>
      <rPr>
        <sz val="10"/>
        <rFont val="BIZ UDPゴシック"/>
        <family val="3"/>
        <charset val="128"/>
      </rPr>
      <t>アゲハラベルベット</t>
    </r>
  </si>
  <si>
    <r>
      <rPr>
        <sz val="10"/>
        <rFont val="BIZ UDPゴシック"/>
        <family val="3"/>
        <charset val="128"/>
      </rPr>
      <t>宇仁繊維</t>
    </r>
    <r>
      <rPr>
        <sz val="10"/>
        <rFont val="Arial  "/>
        <family val="2"/>
      </rPr>
      <t>(</t>
    </r>
    <r>
      <rPr>
        <sz val="10"/>
        <rFont val="BIZ UDPゴシック"/>
        <family val="3"/>
        <charset val="128"/>
      </rPr>
      <t>品番振替・カード作り替えで販促しています</t>
    </r>
    <r>
      <rPr>
        <sz val="10"/>
        <rFont val="Arial  "/>
        <family val="2"/>
      </rPr>
      <t>)</t>
    </r>
  </si>
  <si>
    <r>
      <rPr>
        <sz val="10"/>
        <rFont val="BIZ UDPゴシック"/>
        <family val="3"/>
        <charset val="128"/>
      </rPr>
      <t>加栄レース</t>
    </r>
    <r>
      <rPr>
        <sz val="10"/>
        <rFont val="Arial  "/>
        <family val="2"/>
      </rPr>
      <t> </t>
    </r>
  </si>
  <si>
    <r>
      <rPr>
        <b/>
        <sz val="10"/>
        <rFont val="BIZ UDPゴシック"/>
        <family val="3"/>
        <charset val="128"/>
      </rPr>
      <t>レーストリム系</t>
    </r>
  </si>
  <si>
    <r>
      <rPr>
        <sz val="10"/>
        <rFont val="BIZ UDPゴシック"/>
        <family val="3"/>
        <charset val="128"/>
      </rPr>
      <t>二渡レース</t>
    </r>
  </si>
  <si>
    <r>
      <rPr>
        <sz val="10"/>
        <rFont val="BIZ UDPゴシック"/>
        <family val="3"/>
        <charset val="128"/>
      </rPr>
      <t>協和レース</t>
    </r>
  </si>
  <si>
    <r>
      <rPr>
        <sz val="10"/>
        <rFont val="BIZ UDPゴシック"/>
        <family val="3"/>
        <charset val="128"/>
      </rPr>
      <t>落合レース</t>
    </r>
  </si>
  <si>
    <r>
      <rPr>
        <sz val="10"/>
        <rFont val="BIZ UDPゴシック"/>
        <family val="3"/>
        <charset val="128"/>
      </rPr>
      <t>ファニー</t>
    </r>
  </si>
  <si>
    <r>
      <rPr>
        <b/>
        <sz val="10"/>
        <rFont val="BIZ UDPゴシック"/>
        <family val="3"/>
        <charset val="128"/>
      </rPr>
      <t>リボン系</t>
    </r>
  </si>
  <si>
    <r>
      <rPr>
        <sz val="10"/>
        <rFont val="BIZ UDPゴシック"/>
        <family val="3"/>
        <charset val="128"/>
      </rPr>
      <t>高島リボン</t>
    </r>
  </si>
  <si>
    <r>
      <rPr>
        <sz val="10"/>
        <rFont val="BIZ UDPゴシック"/>
        <family val="3"/>
        <charset val="128"/>
      </rPr>
      <t>井上リボン</t>
    </r>
  </si>
  <si>
    <r>
      <rPr>
        <sz val="10"/>
        <rFont val="BIZ UDPゴシック"/>
        <family val="3"/>
        <charset val="128"/>
      </rPr>
      <t>他多数　</t>
    </r>
  </si>
  <si>
    <t>Hanger #</t>
  </si>
  <si>
    <t>Piece Length</t>
  </si>
  <si>
    <t>Weaving min.</t>
  </si>
  <si>
    <t>X Stock color</t>
  </si>
  <si>
    <t>X Dye to match</t>
  </si>
  <si>
    <t>Vera Wang 20251016</t>
    <phoneticPr fontId="3"/>
  </si>
  <si>
    <t>ZES0194</t>
  </si>
  <si>
    <t>A1958</t>
  </si>
  <si>
    <t>Cotton:65%,Nylon:35%</t>
  </si>
  <si>
    <t>ZES0063</t>
  </si>
  <si>
    <t>AX341</t>
  </si>
  <si>
    <t>Cotton:70%,Nylon:30%</t>
  </si>
  <si>
    <t>ZEG2331</t>
  </si>
  <si>
    <t>A1092</t>
  </si>
  <si>
    <t>Cotton:60%,Nylon:40%</t>
  </si>
  <si>
    <t>ZES2422</t>
  </si>
  <si>
    <t>ZES0053</t>
  </si>
  <si>
    <t>Nylon 39% Cotton 61%</t>
  </si>
  <si>
    <t>ZES0073</t>
  </si>
  <si>
    <t>AX342</t>
  </si>
  <si>
    <t>ZES0152</t>
  </si>
  <si>
    <t>AX378</t>
  </si>
  <si>
    <t>ZE10732</t>
  </si>
  <si>
    <t>AX257</t>
  </si>
  <si>
    <t>ZE96532</t>
  </si>
  <si>
    <t>AX309</t>
  </si>
  <si>
    <t>ZET2641</t>
  </si>
  <si>
    <t>A1354</t>
  </si>
  <si>
    <t>ZET5601</t>
  </si>
  <si>
    <t>A1898</t>
  </si>
  <si>
    <t>ZUT6362</t>
  </si>
  <si>
    <t>A2102</t>
  </si>
  <si>
    <t>ZEK0331</t>
  </si>
  <si>
    <t>ZMT6551</t>
  </si>
  <si>
    <t>Nylon 100%</t>
  </si>
  <si>
    <t>ZKC8101</t>
  </si>
  <si>
    <t>P224</t>
  </si>
  <si>
    <t>Nylon:90%,Cationic Polyester:10%</t>
  </si>
  <si>
    <t>ZET4351</t>
  </si>
  <si>
    <t>P165</t>
  </si>
  <si>
    <t>ZE95522</t>
  </si>
  <si>
    <t>A1601</t>
  </si>
  <si>
    <t>Nylon:55%,Rayon:45%</t>
  </si>
  <si>
    <t>ZE11221</t>
  </si>
  <si>
    <t>AX242</t>
  </si>
  <si>
    <t>ZEA4042</t>
  </si>
  <si>
    <t>P239</t>
  </si>
  <si>
    <t>ZE11231</t>
  </si>
  <si>
    <t>AX243</t>
  </si>
  <si>
    <t>ZEK0061</t>
  </si>
  <si>
    <t>A1906</t>
  </si>
  <si>
    <r>
      <rPr>
        <b/>
        <i/>
        <sz val="10"/>
        <rFont val="Arial  "/>
        <family val="2"/>
      </rPr>
      <t>USD (FOB)</t>
    </r>
    <r>
      <rPr>
        <b/>
        <sz val="10"/>
        <rFont val="Arial  "/>
        <family val="2"/>
      </rPr>
      <t xml:space="preserve">  Per </t>
    </r>
    <r>
      <rPr>
        <b/>
        <u/>
        <sz val="10"/>
        <rFont val="Arial  "/>
        <family val="2"/>
      </rPr>
      <t>METER</t>
    </r>
    <r>
      <rPr>
        <b/>
        <sz val="10"/>
        <rFont val="Arial  "/>
        <family val="2"/>
      </rPr>
      <t xml:space="preserve"> OR </t>
    </r>
    <r>
      <rPr>
        <b/>
        <u/>
        <sz val="10"/>
        <rFont val="Arial  "/>
        <family val="2"/>
      </rPr>
      <t>PIECE</t>
    </r>
    <r>
      <rPr>
        <b/>
        <sz val="10"/>
        <rFont val="Arial  "/>
        <family val="2"/>
      </rPr>
      <t xml:space="preserve"> in USD</t>
    </r>
    <phoneticPr fontId="3"/>
  </si>
  <si>
    <t>over 10m</t>
    <phoneticPr fontId="3"/>
  </si>
  <si>
    <t>over 100m</t>
    <phoneticPr fontId="3"/>
  </si>
  <si>
    <t>over 300m</t>
    <phoneticPr fontId="3"/>
  </si>
  <si>
    <t>over 1000m</t>
    <phoneticPr fontId="3"/>
  </si>
  <si>
    <t>REF# 22227-5889 based on your inspiration images</t>
    <phoneticPr fontId="3"/>
  </si>
  <si>
    <t>REF# 22227-5889 the other selections</t>
    <phoneticPr fontId="3"/>
  </si>
  <si>
    <t>008480 (10/17/25)  to Litus</t>
    <phoneticPr fontId="3"/>
  </si>
  <si>
    <t># 276 PÊCHE</t>
    <phoneticPr fontId="3"/>
  </si>
  <si>
    <t>Tory Burch(NYO)</t>
    <phoneticPr fontId="3"/>
  </si>
  <si>
    <t>6789</t>
    <phoneticPr fontId="3"/>
  </si>
  <si>
    <t>6972</t>
    <phoneticPr fontId="3"/>
  </si>
  <si>
    <t>6980</t>
    <phoneticPr fontId="3"/>
  </si>
  <si>
    <t>Invoice No</t>
  </si>
  <si>
    <t xml:space="preserve">Total Payment Amount </t>
    <phoneticPr fontId="3"/>
  </si>
  <si>
    <r>
      <t>20251028  Tory Burch 40% 120</t>
    </r>
    <r>
      <rPr>
        <b/>
        <sz val="10"/>
        <rFont val="ＭＳ Ｐゴシック"/>
        <family val="3"/>
        <charset val="128"/>
      </rPr>
      <t>円</t>
    </r>
    <rPh sb="28" eb="29">
      <t>エン</t>
    </rPh>
    <phoneticPr fontId="3"/>
  </si>
  <si>
    <t>FWL-23740</t>
    <phoneticPr fontId="3"/>
  </si>
  <si>
    <t>FWL-23806</t>
    <phoneticPr fontId="3"/>
  </si>
  <si>
    <t>-</t>
    <phoneticPr fontId="3"/>
  </si>
  <si>
    <t>Stock in Mill's Off White as of 
October 28th, 2025</t>
    <phoneticPr fontId="3"/>
  </si>
  <si>
    <t>50m</t>
    <phoneticPr fontId="3"/>
  </si>
  <si>
    <t>FWL-71287(100/3 version of FWL-71030)</t>
    <phoneticPr fontId="3"/>
  </si>
  <si>
    <t>Art. #</t>
    <phoneticPr fontId="280"/>
  </si>
  <si>
    <t xml:space="preserve">Size </t>
    <phoneticPr fontId="280"/>
  </si>
  <si>
    <t>Art description</t>
    <phoneticPr fontId="3"/>
  </si>
  <si>
    <t>MOQ for Mill's Standard colors</t>
    <phoneticPr fontId="3"/>
  </si>
  <si>
    <t>TI-5400-WH</t>
    <phoneticPr fontId="184"/>
  </si>
  <si>
    <t>Knit Grip</t>
  </si>
  <si>
    <t>Polyester-52.5%/Polyurethane-47.5%</t>
  </si>
  <si>
    <t>Polyester-53.5%/Polyurethane-46.5%</t>
  </si>
  <si>
    <t>TI-5400-BK</t>
    <phoneticPr fontId="184"/>
  </si>
  <si>
    <t>TI-1410</t>
    <phoneticPr fontId="184"/>
  </si>
  <si>
    <t>Chiffon Stretch Tape</t>
  </si>
  <si>
    <t>Polyurethane-55%/Nylon-45%</t>
  </si>
  <si>
    <t>Polyurethane-56%/Nylon-44%</t>
  </si>
  <si>
    <t>Polyurethane-59%/Nylon-41%</t>
  </si>
  <si>
    <t>Polyurethane-60%/Nylon-40%</t>
  </si>
  <si>
    <t>Polyurethane-51.5%/Nylon-48.5%</t>
  </si>
  <si>
    <t>Polyurethane-50%/Nylon-50%</t>
  </si>
  <si>
    <t>Fine Grip Tape</t>
  </si>
  <si>
    <t>Polyester-72%/Nylon-28%</t>
  </si>
  <si>
    <t>Polyester-71.5%/Nylon-28.5%</t>
  </si>
  <si>
    <t>Polyester-70.5%/Nylon-29.5%</t>
  </si>
  <si>
    <r>
      <t>20251029  Vera Wang 45% 120</t>
    </r>
    <r>
      <rPr>
        <b/>
        <sz val="10"/>
        <rFont val="ＭＳ Ｐゴシック"/>
        <family val="3"/>
        <charset val="128"/>
      </rPr>
      <t>円</t>
    </r>
    <rPh sb="27" eb="28">
      <t>エン</t>
    </rPh>
    <phoneticPr fontId="3"/>
  </si>
  <si>
    <t>EXW JAPAN US$ / meter</t>
    <phoneticPr fontId="3"/>
  </si>
  <si>
    <r>
      <t xml:space="preserve">2025_10.07_SP26_PR_SUN FASHION_RVSD(NYO) </t>
    </r>
    <r>
      <rPr>
        <sz val="12"/>
        <color rgb="FF0070C0"/>
        <rFont val="Arial"/>
        <family val="2"/>
      </rPr>
      <t>ship to SGS</t>
    </r>
    <phoneticPr fontId="3"/>
  </si>
  <si>
    <t xml:space="preserve">Color </t>
  </si>
  <si>
    <t>Mill's Black (yarn-dye)</t>
  </si>
  <si>
    <t>FWL-71287(100/3 version of FWL-71030)</t>
  </si>
  <si>
    <t>FWL-93065(FWL-71030 with fringe on one side)</t>
  </si>
  <si>
    <t xml:space="preserve">ship to TBNYO </t>
    <phoneticPr fontId="3"/>
  </si>
  <si>
    <t>FWL-22418S</t>
    <phoneticPr fontId="3"/>
  </si>
  <si>
    <t>Testing sample</t>
    <phoneticPr fontId="3"/>
  </si>
  <si>
    <t>6m already shipped</t>
    <phoneticPr fontId="3"/>
  </si>
  <si>
    <t>10m to be shipped</t>
    <phoneticPr fontId="3"/>
  </si>
  <si>
    <t>20m to be shipped</t>
    <phoneticPr fontId="3"/>
  </si>
  <si>
    <t>ship to HS Fashion ( Jessie/Chid/Maggie)</t>
    <phoneticPr fontId="3"/>
  </si>
  <si>
    <t>we may have to reproduce this, checking with Jessie(TBNY)</t>
    <phoneticPr fontId="3"/>
  </si>
  <si>
    <t>44m left</t>
    <phoneticPr fontId="3"/>
  </si>
  <si>
    <t>74m left</t>
    <phoneticPr fontId="3"/>
  </si>
  <si>
    <t>44m  left</t>
    <phoneticPr fontId="3"/>
  </si>
  <si>
    <t>Style# 1458R-185849</t>
    <phoneticPr fontId="3"/>
  </si>
  <si>
    <t>Hangzhou HS Fashion Corporation Ltd (Tory Burch)</t>
    <phoneticPr fontId="3"/>
  </si>
  <si>
    <t>FWL-93065(FWL-71030 with fringe on one side*hand-cut)</t>
    <phoneticPr fontId="3"/>
  </si>
  <si>
    <t>Stock in Mill's Off White 
as of October 30th, 2025</t>
    <phoneticPr fontId="3"/>
  </si>
  <si>
    <r>
      <t>20251030  Tory Burch 40% 120</t>
    </r>
    <r>
      <rPr>
        <b/>
        <sz val="10"/>
        <rFont val="ＭＳ Ｐゴシック"/>
        <family val="3"/>
        <charset val="128"/>
      </rPr>
      <t>円</t>
    </r>
    <rPh sb="28" eb="29">
      <t>エン</t>
    </rPh>
    <phoneticPr fontId="3"/>
  </si>
  <si>
    <t>FWL-71140</t>
    <phoneticPr fontId="3"/>
  </si>
  <si>
    <t>FWL-71287 (updated from FWL-71030)</t>
    <phoneticPr fontId="3"/>
  </si>
  <si>
    <t>FWL-24086</t>
    <phoneticPr fontId="3"/>
  </si>
  <si>
    <t>FWL-24238</t>
    <phoneticPr fontId="3"/>
  </si>
  <si>
    <t>FFWL- 21525</t>
    <phoneticPr fontId="3"/>
  </si>
  <si>
    <t>FWL- 22510</t>
    <phoneticPr fontId="3"/>
  </si>
  <si>
    <t>2025_10.07_SP26_PR_SUN FASHION_RVSD-Style# 1458R-185849(Factory)</t>
    <phoneticPr fontId="3"/>
  </si>
  <si>
    <t>CA_SS26B_SUN01(10/30/25)</t>
    <phoneticPr fontId="3"/>
  </si>
  <si>
    <t>2025_10.07_SP26_PR_SUN FASHION_RVSD(NYO) ship to SGS</t>
    <phoneticPr fontId="3"/>
  </si>
  <si>
    <t>Total qty to HS Fashion</t>
  </si>
  <si>
    <t>Total qty to HS Fashion</t>
    <phoneticPr fontId="3"/>
  </si>
  <si>
    <t>85 m</t>
  </si>
  <si>
    <t>44 m</t>
  </si>
  <si>
    <t>FWL-93065(FWL-71030 with fringe on one side*hand-cut)</t>
  </si>
  <si>
    <t>115 m</t>
  </si>
  <si>
    <t>Mill's Off White (undyed)</t>
  </si>
  <si>
    <t>194 m</t>
  </si>
  <si>
    <t>390 m</t>
  </si>
  <si>
    <t>166 m</t>
  </si>
  <si>
    <t>527 m</t>
  </si>
  <si>
    <t>Status</t>
    <phoneticPr fontId="3"/>
  </si>
  <si>
    <t>44 m including Maggie’s sample</t>
    <phoneticPr fontId="3"/>
  </si>
  <si>
    <t>10m for Maggie will be ready on Nov.7th, and the balance will be ready on the 1st week of December</t>
    <phoneticPr fontId="3"/>
  </si>
  <si>
    <t xml:space="preserve">Under packing, will be ready early next week </t>
    <phoneticPr fontId="3"/>
  </si>
  <si>
    <t>Will be ready on the 1st week of December</t>
    <phoneticPr fontId="3"/>
  </si>
  <si>
    <t>9957</t>
    <phoneticPr fontId="3"/>
  </si>
  <si>
    <t>Vera Wang</t>
    <phoneticPr fontId="3"/>
  </si>
  <si>
    <t>Knit Grip  Polyester 52.5%  Polyurethane 47.5%</t>
    <phoneticPr fontId="3"/>
  </si>
  <si>
    <t>TI-5400</t>
    <phoneticPr fontId="3"/>
  </si>
  <si>
    <t># 01 White</t>
    <phoneticPr fontId="3"/>
  </si>
  <si>
    <t>Chiffon Stretch Tape</t>
    <phoneticPr fontId="3"/>
  </si>
  <si>
    <t>Chiffon Stretch Tape Nylon  45%  Polyurethane 55%</t>
    <phoneticPr fontId="3"/>
  </si>
  <si>
    <t>TI-1410</t>
    <phoneticPr fontId="3"/>
  </si>
  <si>
    <t>Chiffon Stretch Tape Nylon  41%  Polyurethane 59%</t>
    <phoneticPr fontId="3"/>
  </si>
  <si>
    <t>Chiffon Stretch Tape Nylon  48.5%  Polyurethane 51.5%</t>
    <phoneticPr fontId="3"/>
  </si>
  <si>
    <t>Chiffon Stretch Tape Nylon  50%  Polyurethane 50%</t>
    <phoneticPr fontId="3"/>
  </si>
  <si>
    <t>TI-1420</t>
    <phoneticPr fontId="3"/>
  </si>
  <si>
    <t xml:space="preserve">Fine Grip  Polyurethane 72% Nylon  28% </t>
    <phoneticPr fontId="3"/>
  </si>
  <si>
    <t xml:space="preserve">Fine Grip  Polyurethane 70.5% Nylon  29.5% </t>
    <phoneticPr fontId="3"/>
  </si>
  <si>
    <t># 652 NAVY</t>
    <phoneticPr fontId="3"/>
  </si>
  <si>
    <t xml:space="preserve"># 628 BURGUNDY </t>
    <phoneticPr fontId="3"/>
  </si>
  <si>
    <t xml:space="preserve"># 652 NAVY </t>
    <phoneticPr fontId="3"/>
  </si>
  <si>
    <t># 329  IVORY</t>
    <phoneticPr fontId="3"/>
  </si>
  <si>
    <t>2486(OCT 31ST, 2025) India</t>
    <phoneticPr fontId="3"/>
  </si>
  <si>
    <t xml:space="preserve">2487(OCT 31ST, 2025) NY </t>
    <phoneticPr fontId="3"/>
  </si>
  <si>
    <t xml:space="preserve">008500 (11/04/25)  </t>
    <phoneticPr fontId="3"/>
  </si>
  <si>
    <t># 782 PEONY</t>
    <phoneticPr fontId="3"/>
  </si>
  <si>
    <t>20251105 Carolina Herrera</t>
    <phoneticPr fontId="3"/>
  </si>
  <si>
    <t># 20BK</t>
    <phoneticPr fontId="3"/>
  </si>
  <si>
    <t>RSEO-251107</t>
    <phoneticPr fontId="3"/>
  </si>
  <si>
    <t>015344(11/06/25)</t>
    <phoneticPr fontId="3"/>
  </si>
  <si>
    <t>8200F</t>
    <phoneticPr fontId="3"/>
  </si>
  <si>
    <t>110725(11/7/2025)</t>
    <phoneticPr fontId="3"/>
  </si>
  <si>
    <t>20251110 Claudia Li   20% レート</t>
    <phoneticPr fontId="3"/>
  </si>
  <si>
    <r>
      <t xml:space="preserve">CUT737-W (Mill's color) 
Sample cut price ( up to </t>
    </r>
    <r>
      <rPr>
        <sz val="10"/>
        <rFont val="Arial"/>
        <family val="2"/>
      </rPr>
      <t>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</si>
  <si>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r>
      <t xml:space="preserve">CUT737-W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50m)</t>
    </r>
    <phoneticPr fontId="3"/>
  </si>
  <si>
    <t>145/147cm x approx. 50m
100% Cotton 
abt 114g/m2</t>
    <phoneticPr fontId="3"/>
  </si>
  <si>
    <t xml:space="preserve">MOQ / col for standard colors </t>
  </si>
  <si>
    <t>abt 25m/roll</t>
  </si>
  <si>
    <t>NOTE:</t>
  </si>
  <si>
    <t>-There may be a joint on each roll, therefore 1 roll can be 2 pieces.</t>
  </si>
  <si>
    <t xml:space="preserve">-Inland Freight Charge in Japan will be added </t>
  </si>
  <si>
    <t>-The term of validity: end of November, 2023</t>
  </si>
  <si>
    <t>Double-fold flat cut tape : finished 30mm</t>
    <phoneticPr fontId="3"/>
  </si>
  <si>
    <t># 5000 (Mayfair) / non-metallic colors</t>
    <phoneticPr fontId="3"/>
  </si>
  <si>
    <t># 5000 (Mayfair) / metallic colors</t>
    <phoneticPr fontId="3"/>
  </si>
  <si>
    <t>レート</t>
    <phoneticPr fontId="3"/>
  </si>
  <si>
    <t>3.1 Phillip Lim  20251114  ３５% 120円</t>
    <rPh sb="34" eb="35">
      <t>エン</t>
    </rPh>
    <phoneticPr fontId="3"/>
  </si>
  <si>
    <r>
      <t>SF</t>
    </r>
    <r>
      <rPr>
        <b/>
        <sz val="11"/>
        <color rgb="FFFF0000"/>
        <rFont val="ＭＳ Ｐゴシック"/>
        <family val="2"/>
        <charset val="128"/>
      </rPr>
      <t>控え</t>
    </r>
    <rPh sb="2" eb="3">
      <t>ヒカ</t>
    </rPh>
    <phoneticPr fontId="3"/>
  </si>
  <si>
    <t>20251117   20% レート</t>
    <phoneticPr fontId="3"/>
  </si>
  <si>
    <t>NN007 (Mill's color)  
sample cut</t>
    <phoneticPr fontId="3"/>
  </si>
  <si>
    <t>NN007 (Mill's color)  
based on Regular price</t>
    <phoneticPr fontId="3"/>
  </si>
  <si>
    <t>US$24.28/m + US$12/cut</t>
    <phoneticPr fontId="3"/>
  </si>
  <si>
    <t>利益率(regular)</t>
    <rPh sb="0" eb="2">
      <t>リエキ</t>
    </rPh>
    <rPh sb="2" eb="3">
      <t>リツ</t>
    </rPh>
    <phoneticPr fontId="3"/>
  </si>
  <si>
    <r>
      <rPr>
        <b/>
        <sz val="12"/>
        <color rgb="FF0070C0"/>
        <rFont val="ＭＳ Ｐゴシック"/>
        <family val="3"/>
        <charset val="128"/>
      </rPr>
      <t>レート</t>
    </r>
    <phoneticPr fontId="3"/>
  </si>
  <si>
    <t>E2250</t>
    <phoneticPr fontId="3"/>
  </si>
  <si>
    <t>E3030</t>
  </si>
  <si>
    <t xml:space="preserve">Jenny Yoo 20251118 50% </t>
    <phoneticPr fontId="3"/>
  </si>
  <si>
    <t>EXW JAPAN US$ / meter 
Regular Price</t>
    <phoneticPr fontId="3"/>
  </si>
  <si>
    <t>仕入メーター単価</t>
    <rPh sb="0" eb="2">
      <t>シイレ</t>
    </rPh>
    <rPh sb="6" eb="8">
      <t>タンカ</t>
    </rPh>
    <phoneticPr fontId="3"/>
  </si>
  <si>
    <t>015428(11/19/25)</t>
    <phoneticPr fontId="3"/>
  </si>
  <si>
    <t>Cotton Satin Ribbons (Double Face)   Cotton-100%</t>
    <phoneticPr fontId="3"/>
  </si>
  <si>
    <t>COL. 1 IVORY</t>
    <phoneticPr fontId="3"/>
  </si>
  <si>
    <t>COL. 58 BLACK</t>
    <phoneticPr fontId="3"/>
  </si>
  <si>
    <t>Elst Cord (Soft Type)   Rubber-76%/Polyester-24%</t>
    <phoneticPr fontId="3"/>
  </si>
  <si>
    <t>M size</t>
    <phoneticPr fontId="3"/>
  </si>
  <si>
    <t># 84 BLACK</t>
    <phoneticPr fontId="3"/>
  </si>
  <si>
    <t>キャンセル</t>
    <phoneticPr fontId="3"/>
  </si>
  <si>
    <r>
      <t>SF008</t>
    </r>
    <r>
      <rPr>
        <sz val="12"/>
        <rFont val="ＭＳ Ｐゴシック"/>
        <family val="2"/>
        <charset val="128"/>
      </rPr>
      <t>（</t>
    </r>
    <r>
      <rPr>
        <sz val="12"/>
        <rFont val="Arial"/>
        <family val="2"/>
      </rPr>
      <t>11/20/2025</t>
    </r>
    <r>
      <rPr>
        <sz val="12"/>
        <rFont val="ＭＳ Ｐゴシック"/>
        <family val="2"/>
        <charset val="128"/>
      </rPr>
      <t>）</t>
    </r>
    <phoneticPr fontId="3"/>
  </si>
  <si>
    <t>20251121 Honor   20% レート</t>
    <phoneticPr fontId="3"/>
  </si>
  <si>
    <r>
      <t xml:space="preserve">FUT5110-W (Mill's color) 
Sample cut price ( up to </t>
    </r>
    <r>
      <rPr>
        <sz val="10"/>
        <rFont val="Arial"/>
        <family val="2"/>
      </rPr>
      <t>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</si>
  <si>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t>140cm x approx. 46m
100% Polyester
abt 16g/m2</t>
    <phoneticPr fontId="3"/>
  </si>
  <si>
    <r>
      <t xml:space="preserve">FUT5110-W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46m)</t>
    </r>
    <phoneticPr fontId="3"/>
  </si>
  <si>
    <t>5009938(11/21/2025)</t>
    <phoneticPr fontId="3"/>
  </si>
  <si>
    <t>COL. 184 CLOUDY BLUE</t>
    <phoneticPr fontId="3"/>
  </si>
  <si>
    <t>MO-EO 251130</t>
    <phoneticPr fontId="3"/>
  </si>
  <si>
    <t>L size</t>
    <phoneticPr fontId="3"/>
  </si>
  <si>
    <t>CO-CCF01A</t>
    <phoneticPr fontId="3"/>
  </si>
  <si>
    <t xml:space="preserve">Col.10C </t>
    <phoneticPr fontId="3"/>
  </si>
  <si>
    <t>Col.51C</t>
    <phoneticPr fontId="3"/>
  </si>
  <si>
    <t>Col.50C</t>
    <phoneticPr fontId="3"/>
  </si>
  <si>
    <t>AG-EO 251204</t>
    <phoneticPr fontId="3"/>
  </si>
  <si>
    <t>008517 (12/04/25)</t>
    <phoneticPr fontId="3"/>
  </si>
  <si>
    <t>008517 (12/04/25) to Chinamine</t>
    <phoneticPr fontId="3"/>
  </si>
  <si>
    <t># 709 CHARCOAL</t>
    <phoneticPr fontId="3"/>
  </si>
  <si>
    <t>#187 PÊCHE</t>
    <phoneticPr fontId="3"/>
  </si>
  <si>
    <t>008517 (12/04/25)  to Litus</t>
    <phoneticPr fontId="3"/>
  </si>
  <si>
    <t xml:space="preserve">008517 (12/04/25) </t>
    <phoneticPr fontId="3"/>
  </si>
  <si>
    <t xml:space="preserve">PO# / ship to </t>
    <phoneticPr fontId="3"/>
  </si>
  <si>
    <r>
      <t>20251208  Tory Burch 40% 120</t>
    </r>
    <r>
      <rPr>
        <b/>
        <sz val="10"/>
        <rFont val="ＭＳ Ｐゴシック"/>
        <family val="3"/>
        <charset val="128"/>
      </rPr>
      <t>円</t>
    </r>
    <rPh sb="28" eb="29">
      <t>エン</t>
    </rPh>
    <phoneticPr fontId="3"/>
  </si>
  <si>
    <t>Stock in Mill's Off White 
as of December 8th, 2025</t>
    <phoneticPr fontId="3"/>
  </si>
  <si>
    <t xml:space="preserve"> By T/T or ACH only (Check:N/A)</t>
    <phoneticPr fontId="3"/>
  </si>
  <si>
    <t xml:space="preserve">20251209 Alexander Wang </t>
    <phoneticPr fontId="3"/>
  </si>
  <si>
    <t>ZE11812</t>
  </si>
  <si>
    <t>A1788</t>
  </si>
  <si>
    <t>ZET4602</t>
  </si>
  <si>
    <t>P238</t>
  </si>
  <si>
    <t>ZE11843</t>
  </si>
  <si>
    <t>AX258</t>
  </si>
  <si>
    <t>ZMT3391</t>
  </si>
  <si>
    <t>P98</t>
  </si>
  <si>
    <t>ZEG0284</t>
  </si>
  <si>
    <t>A647</t>
  </si>
  <si>
    <t>ZET3152</t>
  </si>
  <si>
    <t>A2080</t>
  </si>
  <si>
    <t>Cotton:55%,Polyester:45%</t>
  </si>
  <si>
    <t>ZEG0485</t>
  </si>
  <si>
    <t>AX277</t>
  </si>
  <si>
    <t>ZET0082</t>
  </si>
  <si>
    <t>AX362</t>
  </si>
  <si>
    <t>ZET4281</t>
  </si>
  <si>
    <t>P164</t>
  </si>
  <si>
    <t>AX415</t>
  </si>
  <si>
    <t>Nylon:65%,Cationic Polyester:35%</t>
  </si>
  <si>
    <t>ZMT2401</t>
  </si>
  <si>
    <t>P1</t>
  </si>
  <si>
    <t>ZKC2262</t>
  </si>
  <si>
    <t>A1819</t>
  </si>
  <si>
    <t>Nylon:60%,Cationic Polyester:40%</t>
  </si>
  <si>
    <t>ZMA3841</t>
  </si>
  <si>
    <t>AX439</t>
  </si>
  <si>
    <r>
      <rPr>
        <b/>
        <i/>
        <sz val="10"/>
        <rFont val="Arial  "/>
        <family val="2"/>
      </rPr>
      <t>USD (FOB) Thailand or China</t>
    </r>
    <r>
      <rPr>
        <b/>
        <sz val="10"/>
        <rFont val="Arial  "/>
        <family val="2"/>
      </rPr>
      <t xml:space="preserve">  Per </t>
    </r>
    <r>
      <rPr>
        <b/>
        <u/>
        <sz val="10"/>
        <rFont val="Arial  "/>
        <family val="2"/>
      </rPr>
      <t>METER</t>
    </r>
    <phoneticPr fontId="3"/>
  </si>
  <si>
    <t>7400</t>
    <phoneticPr fontId="3"/>
  </si>
  <si>
    <t>3950</t>
    <phoneticPr fontId="3"/>
  </si>
  <si>
    <t>Coach 20251211</t>
    <phoneticPr fontId="3"/>
  </si>
  <si>
    <t>2021/10</t>
  </si>
  <si>
    <t>2018/12</t>
  </si>
  <si>
    <t>カット制限あり
25Mまで</t>
    <rPh sb="3" eb="5">
      <t>セイゲン</t>
    </rPh>
    <phoneticPr fontId="3"/>
  </si>
  <si>
    <t>5049</t>
    <phoneticPr fontId="3"/>
  </si>
  <si>
    <t xml:space="preserve">152cm×abt 50m (1roll= abt 50m) </t>
    <phoneticPr fontId="3"/>
  </si>
  <si>
    <t xml:space="preserve">160cm×abt 50m (1roll= abt 50m) </t>
    <phoneticPr fontId="3"/>
  </si>
  <si>
    <t xml:space="preserve">148cm×abt 46m  (1roll= abt 46m) </t>
    <phoneticPr fontId="3"/>
  </si>
  <si>
    <t>Comment</t>
    <phoneticPr fontId="3"/>
  </si>
  <si>
    <t>Made in China</t>
    <phoneticPr fontId="3"/>
  </si>
  <si>
    <t>Made in Japan</t>
    <phoneticPr fontId="3"/>
  </si>
  <si>
    <t>Made in China, sample cut up to 25m</t>
    <phoneticPr fontId="3"/>
  </si>
  <si>
    <t>VK-EO 251216</t>
    <phoneticPr fontId="3"/>
  </si>
  <si>
    <t>仕入れ単価 単価</t>
    <rPh sb="0" eb="2">
      <t>シイ</t>
    </rPh>
    <rPh sb="3" eb="5">
      <t>タンカ</t>
    </rPh>
    <phoneticPr fontId="3"/>
  </si>
  <si>
    <t xml:space="preserve">20251217 Varca Bridal  20% レート120 </t>
    <phoneticPr fontId="3"/>
  </si>
  <si>
    <t>2440W ( art.# updated, wider version of 2440 ) Mill's color 
sample cut</t>
    <phoneticPr fontId="3"/>
  </si>
  <si>
    <r>
      <t xml:space="preserve">2440W ( art.# updated, wider version of 2440 ) Mill's color 
Based on 1 roll </t>
    </r>
    <r>
      <rPr>
        <sz val="10"/>
        <rFont val="Arial"/>
        <family val="2"/>
      </rPr>
      <t xml:space="preserve"> (1 roll=abt 58m)</t>
    </r>
    <phoneticPr fontId="3"/>
  </si>
  <si>
    <t>US$3.88/m + US$12/cut</t>
    <phoneticPr fontId="3"/>
  </si>
  <si>
    <t xml:space="preserve">20251218 Danielle Franlel  20% レート120 </t>
    <phoneticPr fontId="3"/>
  </si>
  <si>
    <t>NOTES</t>
    <phoneticPr fontId="3"/>
  </si>
  <si>
    <t>MOQ : 1 roll 
Sample cut : plus $ 4.20 per meter (up to 2m→US$15/cut)</t>
    <phoneticPr fontId="3"/>
  </si>
  <si>
    <t xml:space="preserve">FUT5148-58 (Mill's color) </t>
    <phoneticPr fontId="3"/>
  </si>
  <si>
    <t xml:space="preserve">FUT5115 (Mill's color) </t>
    <phoneticPr fontId="3"/>
  </si>
  <si>
    <t xml:space="preserve">FUT5110-W (Mill's color) </t>
    <phoneticPr fontId="3"/>
  </si>
  <si>
    <t xml:space="preserve">FUT2181-W (Mill's color) </t>
    <phoneticPr fontId="3"/>
  </si>
  <si>
    <t xml:space="preserve">FUT9793BTZ (Mill's color) </t>
    <phoneticPr fontId="3"/>
  </si>
  <si>
    <t xml:space="preserve">2020RE-WS  (Mill's color) </t>
    <phoneticPr fontId="3"/>
  </si>
  <si>
    <t>MOQ : 1 roll 
Sample cut : US$15/cut</t>
    <phoneticPr fontId="3"/>
  </si>
  <si>
    <t>4415(12/18/25)</t>
    <phoneticPr fontId="3"/>
  </si>
  <si>
    <t># SI - IVORY</t>
    <phoneticPr fontId="3"/>
  </si>
  <si>
    <t>FUT9793BTZ</t>
    <phoneticPr fontId="3"/>
  </si>
  <si>
    <t>124/126cm</t>
    <phoneticPr fontId="3"/>
  </si>
  <si>
    <t xml:space="preserve">Polyester fabric 100% Polyester </t>
    <phoneticPr fontId="3"/>
  </si>
  <si>
    <t>FUT2181-W</t>
    <phoneticPr fontId="3"/>
  </si>
  <si>
    <t># 2 - IVORY</t>
    <phoneticPr fontId="3"/>
  </si>
  <si>
    <t># 21- IVORY</t>
    <phoneticPr fontId="3"/>
  </si>
  <si>
    <t xml:space="preserve">
148cm</t>
    <phoneticPr fontId="3"/>
  </si>
  <si>
    <t xml:space="preserve">
118/120cm</t>
    <phoneticPr fontId="3"/>
  </si>
  <si>
    <t># 118 - IVORY</t>
    <phoneticPr fontId="3"/>
  </si>
  <si>
    <t>148cm</t>
    <phoneticPr fontId="3"/>
  </si>
  <si>
    <t>118/120cm</t>
    <phoneticPr fontId="3"/>
  </si>
  <si>
    <t>008534 (12/19/25) Litus</t>
    <phoneticPr fontId="3"/>
  </si>
  <si>
    <t># SO  CHALK</t>
    <phoneticPr fontId="3"/>
  </si>
  <si>
    <t># 69  ULTRA NAVY</t>
    <phoneticPr fontId="3"/>
  </si>
  <si>
    <t>11189 (12/19/25)</t>
    <phoneticPr fontId="3"/>
  </si>
  <si>
    <t># 03</t>
    <phoneticPr fontId="3"/>
  </si>
  <si>
    <t># 37</t>
    <phoneticPr fontId="3"/>
  </si>
  <si>
    <t>14552 (regular price)</t>
    <phoneticPr fontId="3"/>
  </si>
  <si>
    <t>14552 (bulk price based on your bulk qty)</t>
    <phoneticPr fontId="3"/>
  </si>
  <si>
    <t># SO  CHALK (cut)</t>
    <phoneticPr fontId="3"/>
  </si>
  <si>
    <t># A17  LIGHT AQUA (cut)</t>
    <phoneticPr fontId="3"/>
  </si>
  <si>
    <t># 321  LIGHT PEONY (cut)</t>
    <phoneticPr fontId="3"/>
  </si>
  <si>
    <t>2497 (DEC 26TH, 2025)</t>
    <phoneticPr fontId="3"/>
  </si>
  <si>
    <t># 009 BLACK</t>
    <phoneticPr fontId="3"/>
  </si>
  <si>
    <t xml:space="preserve">Varca Bridal </t>
    <phoneticPr fontId="3"/>
  </si>
  <si>
    <t>100% Polyester Organza Fabric</t>
    <phoneticPr fontId="3"/>
  </si>
  <si>
    <t>c/#118 OW</t>
    <phoneticPr fontId="3"/>
  </si>
  <si>
    <t>c/# 26BK</t>
    <phoneticPr fontId="3"/>
  </si>
  <si>
    <t>1175 (01/03/2026) ship to Chicago</t>
    <phoneticPr fontId="3"/>
  </si>
  <si>
    <t>1176 (01/03/2026) ship to NY</t>
    <phoneticPr fontId="3"/>
  </si>
  <si>
    <t xml:space="preserve">PO# </t>
    <phoneticPr fontId="3"/>
  </si>
  <si>
    <t xml:space="preserve">comments </t>
    <phoneticPr fontId="3"/>
  </si>
  <si>
    <t>in stock</t>
    <phoneticPr fontId="3"/>
  </si>
  <si>
    <t>in stock, *26BK=brown organza x black flock</t>
    <phoneticPr fontId="3"/>
  </si>
  <si>
    <t xml:space="preserve">no stock, 250m will be replenished in the Mid of January </t>
    <phoneticPr fontId="3"/>
  </si>
  <si>
    <t>in stock, 1roll=58m, we'll arrange 40m with a cutting fee</t>
    <phoneticPr fontId="3"/>
  </si>
  <si>
    <t>c/# 26BK (brown organza x black flock)</t>
    <phoneticPr fontId="3"/>
  </si>
  <si>
    <t>4442 (01/06/26)</t>
    <phoneticPr fontId="3"/>
  </si>
  <si>
    <t>cinq a sept 2026 January</t>
    <phoneticPr fontId="3"/>
  </si>
  <si>
    <t>cinq a sept 20260107</t>
    <phoneticPr fontId="3"/>
  </si>
  <si>
    <t>Danielle Frankel 20260107</t>
    <phoneticPr fontId="3"/>
  </si>
  <si>
    <t>5521 (stock)</t>
    <phoneticPr fontId="3"/>
  </si>
  <si>
    <t>5521 (Bulk new production)</t>
    <phoneticPr fontId="3"/>
  </si>
  <si>
    <r>
      <rPr>
        <b/>
        <sz val="10"/>
        <rFont val="ＭＳ Ｐゴシック"/>
        <family val="3"/>
        <charset val="128"/>
      </rPr>
      <t>仕入れ単価</t>
    </r>
    <r>
      <rPr>
        <b/>
        <sz val="10"/>
        <rFont val="Arial  "/>
        <family val="2"/>
      </rPr>
      <t xml:space="preserve"> </t>
    </r>
    <r>
      <rPr>
        <b/>
        <sz val="10"/>
        <rFont val="ＭＳ Ｐゴシック"/>
        <family val="3"/>
        <charset val="128"/>
      </rPr>
      <t>単価</t>
    </r>
    <rPh sb="0" eb="2">
      <t>シイ</t>
    </rPh>
    <rPh sb="3" eb="5">
      <t>タンカ</t>
    </rPh>
    <phoneticPr fontId="3"/>
  </si>
  <si>
    <t>4451 (01/07/26)</t>
    <phoneticPr fontId="3"/>
  </si>
  <si>
    <t>輸出梱包+15</t>
    <rPh sb="0" eb="2">
      <t>ユシュツ</t>
    </rPh>
    <rPh sb="2" eb="4">
      <t>コンポウ</t>
    </rPh>
    <phoneticPr fontId="3"/>
  </si>
  <si>
    <t>010826 (1/8/2026)</t>
    <phoneticPr fontId="3"/>
  </si>
  <si>
    <t>VK-EO 260109</t>
    <phoneticPr fontId="3"/>
  </si>
  <si>
    <t>TB-260109</t>
    <phoneticPr fontId="3"/>
  </si>
  <si>
    <t>Suite 716, 15 West 38th Street,</t>
    <phoneticPr fontId="3"/>
  </si>
  <si>
    <t>Megumi Chiba</t>
    <phoneticPr fontId="3"/>
  </si>
  <si>
    <r>
      <t>20260113  Colleen Allen 40% 120</t>
    </r>
    <r>
      <rPr>
        <b/>
        <sz val="10"/>
        <rFont val="ＭＳ Ｐゴシック"/>
        <family val="3"/>
        <charset val="128"/>
      </rPr>
      <t>円</t>
    </r>
    <rPh sb="31" eb="32">
      <t>エン</t>
    </rPh>
    <phoneticPr fontId="3"/>
  </si>
  <si>
    <t>FWL-77061(organic cotton)</t>
    <phoneticPr fontId="3"/>
  </si>
  <si>
    <t>140m</t>
    <phoneticPr fontId="3"/>
  </si>
  <si>
    <t>Stock as of January 13th, 2026</t>
    <phoneticPr fontId="3"/>
  </si>
  <si>
    <t>FWL-77062(organic cotton)</t>
    <phoneticPr fontId="3"/>
  </si>
  <si>
    <t>FWL-77025(organic cotton)</t>
    <phoneticPr fontId="3"/>
  </si>
  <si>
    <t>FWL-77040(organic cotton)</t>
    <phoneticPr fontId="3"/>
  </si>
  <si>
    <t>no stock</t>
    <phoneticPr fontId="3"/>
  </si>
  <si>
    <t>10m in stock</t>
    <phoneticPr fontId="3"/>
  </si>
  <si>
    <t>270m</t>
    <phoneticPr fontId="3"/>
  </si>
  <si>
    <t>Hangzhou HS Fashion Corporation Ltd.(TORY BURCH)</t>
    <phoneticPr fontId="3"/>
  </si>
  <si>
    <t>CA-260113</t>
    <phoneticPr fontId="3"/>
  </si>
  <si>
    <r>
      <rPr>
        <b/>
        <sz val="12"/>
        <rFont val="Times New Roman"/>
        <family val="1"/>
      </rPr>
      <t>SUN FASHION AMERICA, INC.</t>
    </r>
    <r>
      <rPr>
        <sz val="10"/>
        <rFont val="Times New Roman"/>
        <family val="1"/>
      </rPr>
      <t xml:space="preserve">
Suite 716, 15 West 38th Street,
New York, NY 10018, U.S.A.
TEL: 81-80-4860-0203
&lt;Shipper: Sun Fashion Corp. in Japan&gt;</t>
    </r>
    <phoneticPr fontId="3"/>
  </si>
  <si>
    <t>CA_F26_SF_01</t>
    <phoneticPr fontId="3"/>
  </si>
  <si>
    <t>FWL-71216</t>
    <phoneticPr fontId="3"/>
  </si>
  <si>
    <t xml:space="preserve">20260115 Danielle Franlel  20% レート120 </t>
    <phoneticPr fontId="3"/>
  </si>
  <si>
    <t xml:space="preserve">FUT3771 (Mill's color) </t>
    <phoneticPr fontId="3"/>
  </si>
  <si>
    <t>MOQ : 1 roll  =abt 44m
Sample cut : plus $ 4.20 per meter (up to 2m→US$15/cut)</t>
    <phoneticPr fontId="3"/>
  </si>
  <si>
    <t>??</t>
    <phoneticPr fontId="3"/>
  </si>
  <si>
    <t>LR-260108</t>
    <phoneticPr fontId="3"/>
  </si>
  <si>
    <t>Loeffler Randall</t>
    <phoneticPr fontId="3"/>
  </si>
  <si>
    <t># 329 IVORY</t>
    <phoneticPr fontId="3"/>
  </si>
  <si>
    <t># 163 Prosecco</t>
    <phoneticPr fontId="3"/>
  </si>
  <si>
    <t>11233 (01/15/26) China</t>
    <phoneticPr fontId="3"/>
  </si>
  <si>
    <t>FWL-93151 Custom Swan Grid Lace Artwork B</t>
    <phoneticPr fontId="3"/>
  </si>
  <si>
    <t>FWL-93150 Custom Swan Grid Lace Artwork A</t>
    <phoneticPr fontId="3"/>
  </si>
  <si>
    <t>High Fashion Garments International Co.,Ltd (JAYA APPAREL-Cinq a Sept)</t>
    <phoneticPr fontId="3"/>
  </si>
  <si>
    <t>FG-PO26010609</t>
    <phoneticPr fontId="3"/>
  </si>
  <si>
    <t>株式会社SHINDO</t>
  </si>
  <si>
    <t># 31</t>
  </si>
  <si>
    <t>キープ分より</t>
    <rPh sb="3" eb="4">
      <t>フン</t>
    </rPh>
    <phoneticPr fontId="3"/>
  </si>
  <si>
    <t>2/2(月) 出荷希望</t>
    <rPh sb="4" eb="5">
      <t>ゲツ</t>
    </rPh>
    <rPh sb="7" eb="9">
      <t>シュッカ</t>
    </rPh>
    <rPh sb="9" eb="11">
      <t>キボウ</t>
    </rPh>
    <phoneticPr fontId="3"/>
  </si>
  <si>
    <t>C  PO26010609</t>
    <phoneticPr fontId="3"/>
  </si>
  <si>
    <t>JAPAN</t>
  </si>
  <si>
    <t>HZPOT20260202</t>
    <phoneticPr fontId="3"/>
  </si>
  <si>
    <t>A &amp; Feng Fashion Ltd (JAYA APPAREL - Cinq a Sept)</t>
    <phoneticPr fontId="3"/>
  </si>
  <si>
    <t>Hangzhou HS Fashion Corporation Ltd.(TORY BURCH)</t>
  </si>
  <si>
    <t xml:space="preserve">T-260225 </t>
  </si>
  <si>
    <t xml:space="preserve">100% Cotton Lace Trim  </t>
  </si>
  <si>
    <t xml:space="preserve">T-260205 </t>
    <phoneticPr fontId="3"/>
  </si>
  <si>
    <t>HZPOT20260202</t>
  </si>
  <si>
    <t>白メンコ</t>
    <rPh sb="0" eb="1">
      <t>シロ</t>
    </rPh>
    <phoneticPr fontId="2"/>
  </si>
  <si>
    <t xml:space="preserve">PO# 0967 </t>
    <phoneticPr fontId="3"/>
  </si>
  <si>
    <t>color 102</t>
  </si>
  <si>
    <t>color 103</t>
  </si>
  <si>
    <t>color 104</t>
  </si>
  <si>
    <t>color 105</t>
  </si>
  <si>
    <t>color 106</t>
  </si>
  <si>
    <t>color 109</t>
  </si>
  <si>
    <t>color 110</t>
  </si>
  <si>
    <t>color 113</t>
  </si>
  <si>
    <t>color 118</t>
  </si>
  <si>
    <t>color 121</t>
  </si>
  <si>
    <t>color 0</t>
  </si>
  <si>
    <t>color 44</t>
  </si>
  <si>
    <t>color 70</t>
  </si>
  <si>
    <t>color 68</t>
  </si>
  <si>
    <t>color 20</t>
  </si>
  <si>
    <t>color 21</t>
  </si>
  <si>
    <t>color 39</t>
  </si>
  <si>
    <t>20260212 R13</t>
    <phoneticPr fontId="3"/>
  </si>
  <si>
    <t>SAG-8730JS / Black</t>
    <phoneticPr fontId="3"/>
  </si>
  <si>
    <t>MOQ</t>
    <phoneticPr fontId="3"/>
  </si>
  <si>
    <t>1 roll = approx. 33m</t>
    <phoneticPr fontId="3"/>
  </si>
  <si>
    <t>SAG-7044 / Black</t>
    <phoneticPr fontId="3"/>
  </si>
  <si>
    <t>Put-up (per roll)</t>
    <phoneticPr fontId="3"/>
  </si>
  <si>
    <t>2200</t>
    <phoneticPr fontId="184"/>
  </si>
  <si>
    <t xml:space="preserve">Double Faced Silk Satin Ribbon </t>
    <phoneticPr fontId="184"/>
  </si>
  <si>
    <t>Silk-100%</t>
    <phoneticPr fontId="3"/>
  </si>
  <si>
    <t>Honor 20260215</t>
    <phoneticPr fontId="3"/>
  </si>
  <si>
    <t>単価(輸出単価）</t>
    <rPh sb="0" eb="2">
      <t>タンカ</t>
    </rPh>
    <rPh sb="3" eb="5">
      <t>ユシュツ</t>
    </rPh>
    <rPh sb="5" eb="7">
      <t>タンカ</t>
    </rPh>
    <phoneticPr fontId="3"/>
  </si>
  <si>
    <t>OL-</t>
    <phoneticPr fontId="184"/>
  </si>
  <si>
    <t>8258-1</t>
    <phoneticPr fontId="184"/>
  </si>
  <si>
    <t>KLS-36072</t>
  </si>
  <si>
    <t>KLS-36069</t>
  </si>
  <si>
    <t>KLS-36070</t>
  </si>
  <si>
    <t>KLS-36071</t>
  </si>
  <si>
    <t>FWL-21034</t>
    <phoneticPr fontId="3"/>
  </si>
  <si>
    <t>FWL-21079</t>
    <phoneticPr fontId="3"/>
  </si>
  <si>
    <t>FWL-24121</t>
    <phoneticPr fontId="3"/>
  </si>
  <si>
    <t>FWL-2709</t>
    <phoneticPr fontId="3"/>
  </si>
  <si>
    <t>FWL-22090</t>
    <phoneticPr fontId="3"/>
  </si>
  <si>
    <t>FWL-22425</t>
    <phoneticPr fontId="3"/>
  </si>
  <si>
    <t>FWL-22692</t>
    <phoneticPr fontId="3"/>
  </si>
  <si>
    <t>FWL-22690</t>
    <phoneticPr fontId="3"/>
  </si>
  <si>
    <t>FWL-22988</t>
    <phoneticPr fontId="3"/>
  </si>
  <si>
    <t>FWL-23196</t>
    <phoneticPr fontId="3"/>
  </si>
  <si>
    <t>FWL-23212</t>
    <phoneticPr fontId="3"/>
  </si>
  <si>
    <t>FWL-23211</t>
    <phoneticPr fontId="3"/>
  </si>
  <si>
    <t>FWL-23297</t>
    <phoneticPr fontId="3"/>
  </si>
  <si>
    <t>FWL-23292</t>
    <phoneticPr fontId="3"/>
  </si>
  <si>
    <t>FWL-23115</t>
    <phoneticPr fontId="3"/>
  </si>
  <si>
    <t>FWL-23143</t>
    <phoneticPr fontId="3"/>
  </si>
  <si>
    <t>FWL-23268</t>
    <phoneticPr fontId="3"/>
  </si>
  <si>
    <t>FWL-23372</t>
    <phoneticPr fontId="3"/>
  </si>
  <si>
    <t>FWL-23360</t>
    <phoneticPr fontId="3"/>
  </si>
  <si>
    <t>FWL-23364</t>
    <phoneticPr fontId="3"/>
  </si>
  <si>
    <t>FWL-23362</t>
    <phoneticPr fontId="3"/>
  </si>
  <si>
    <t>FWL-23057</t>
    <phoneticPr fontId="3"/>
  </si>
  <si>
    <t>FWL-23016</t>
    <phoneticPr fontId="3"/>
  </si>
  <si>
    <t>FWL-23007</t>
    <phoneticPr fontId="3"/>
  </si>
  <si>
    <t>FWL-23354</t>
    <phoneticPr fontId="3"/>
  </si>
  <si>
    <t>FWL-22984</t>
    <phoneticPr fontId="3"/>
  </si>
  <si>
    <t>FWL-23111</t>
    <phoneticPr fontId="3"/>
  </si>
  <si>
    <t>FWL-23233</t>
    <phoneticPr fontId="3"/>
  </si>
  <si>
    <t>FWL-23309</t>
    <phoneticPr fontId="3"/>
  </si>
  <si>
    <t>FWL-23315</t>
    <phoneticPr fontId="3"/>
  </si>
  <si>
    <t>FWL-23299</t>
    <phoneticPr fontId="3"/>
  </si>
  <si>
    <t>FWL-23298</t>
    <phoneticPr fontId="3"/>
  </si>
  <si>
    <t>FWL-22989</t>
    <phoneticPr fontId="3"/>
  </si>
  <si>
    <t>FWL-23184</t>
    <phoneticPr fontId="3"/>
  </si>
  <si>
    <t>FWL-23225</t>
    <phoneticPr fontId="3"/>
  </si>
  <si>
    <t>FWL-22941</t>
    <phoneticPr fontId="3"/>
  </si>
  <si>
    <t>FWL-23145</t>
    <phoneticPr fontId="3"/>
  </si>
  <si>
    <t>FWL-22948</t>
    <phoneticPr fontId="3"/>
  </si>
  <si>
    <t>FWL-23337</t>
    <phoneticPr fontId="3"/>
  </si>
  <si>
    <t>FWL-23376</t>
    <phoneticPr fontId="3"/>
  </si>
  <si>
    <t>FWL-23380</t>
    <phoneticPr fontId="3"/>
  </si>
  <si>
    <t>FWL-23418</t>
    <phoneticPr fontId="3"/>
  </si>
  <si>
    <t>FWL-23396s</t>
    <phoneticPr fontId="184"/>
  </si>
  <si>
    <t>FWL-23397s</t>
    <phoneticPr fontId="184"/>
  </si>
  <si>
    <t>FWL-23398s</t>
    <phoneticPr fontId="184"/>
  </si>
  <si>
    <t>FWL-22871</t>
    <phoneticPr fontId="3"/>
  </si>
  <si>
    <t>KYL-T8333-1</t>
    <phoneticPr fontId="184"/>
  </si>
  <si>
    <t>KYL-T23217-1</t>
    <phoneticPr fontId="184"/>
  </si>
  <si>
    <t>KYL-23657</t>
    <phoneticPr fontId="3"/>
  </si>
  <si>
    <t>KYL-T3996-1</t>
    <phoneticPr fontId="184"/>
  </si>
  <si>
    <t>Mill's Off White (undyed)</t>
    <phoneticPr fontId="3"/>
  </si>
  <si>
    <t>10m</t>
  </si>
  <si>
    <t>10m</t>
    <phoneticPr fontId="3"/>
  </si>
  <si>
    <t>300m/col</t>
    <phoneticPr fontId="3"/>
  </si>
  <si>
    <t>PO# 0976(2026/2/18)</t>
    <phoneticPr fontId="3"/>
  </si>
  <si>
    <t>VK-EO 260219</t>
    <phoneticPr fontId="3"/>
  </si>
  <si>
    <t>Total Amount</t>
    <phoneticPr fontId="3"/>
  </si>
  <si>
    <t>R13-260220</t>
    <phoneticPr fontId="3"/>
  </si>
  <si>
    <t>R13 / 13 Rattles Inc.</t>
    <phoneticPr fontId="3"/>
  </si>
  <si>
    <t>SAG-8730JS</t>
    <phoneticPr fontId="3"/>
  </si>
  <si>
    <t>108/110cm</t>
    <phoneticPr fontId="3"/>
  </si>
  <si>
    <t># S12 Black</t>
    <phoneticPr fontId="3"/>
  </si>
  <si>
    <t>Velvet Fabric    P: Cotton 100% G:Rayon 60%, Cotton 40%</t>
    <phoneticPr fontId="3"/>
  </si>
  <si>
    <r>
      <rPr>
        <sz val="12"/>
        <rFont val="ＭＳ Ｐゴシック"/>
        <family val="3"/>
        <charset val="128"/>
      </rPr>
      <t>カット代300円/</t>
    </r>
    <r>
      <rPr>
        <sz val="12"/>
        <rFont val="Arial"/>
        <family val="3"/>
      </rPr>
      <t>m</t>
    </r>
    <r>
      <rPr>
        <sz val="12"/>
        <rFont val="ＭＳ Ｐゴシック"/>
        <family val="3"/>
        <charset val="128"/>
      </rPr>
      <t>込み</t>
    </r>
    <rPh sb="3" eb="4">
      <t>ダイ</t>
    </rPh>
    <rPh sb="7" eb="8">
      <t>エン</t>
    </rPh>
    <rPh sb="10" eb="11">
      <t>コ</t>
    </rPh>
    <phoneticPr fontId="3"/>
  </si>
  <si>
    <t>LR 20260219</t>
    <phoneticPr fontId="3"/>
  </si>
  <si>
    <t>3.1 PL 20260220</t>
    <phoneticPr fontId="3"/>
  </si>
  <si>
    <t>FWL-24695</t>
    <phoneticPr fontId="3"/>
  </si>
  <si>
    <t>FWL-24673</t>
    <phoneticPr fontId="3"/>
  </si>
  <si>
    <t>KYL-T8074-1</t>
    <phoneticPr fontId="3"/>
  </si>
  <si>
    <t>14m</t>
    <phoneticPr fontId="3"/>
  </si>
  <si>
    <t>OL-69025</t>
    <phoneticPr fontId="184"/>
  </si>
  <si>
    <t>OL-8258-1</t>
    <phoneticPr fontId="3"/>
  </si>
  <si>
    <t>OL-67003</t>
    <phoneticPr fontId="3"/>
  </si>
  <si>
    <t>2020A-WS</t>
    <phoneticPr fontId="3"/>
  </si>
  <si>
    <t>KFUT5115  D# F-3400</t>
    <phoneticPr fontId="3"/>
  </si>
  <si>
    <t>KFUT5116 D/#F-3444</t>
    <phoneticPr fontId="3"/>
  </si>
  <si>
    <t>KFT8684 D/#E-3</t>
    <phoneticPr fontId="3"/>
  </si>
  <si>
    <t>Colors on C/C</t>
    <phoneticPr fontId="3"/>
  </si>
  <si>
    <t>1 roll (=approx.58m) / sample cut available when in stock for sample price</t>
    <phoneticPr fontId="3"/>
  </si>
  <si>
    <t>1 roll (=approx.41.1m) / sample cut available when in stock for sample price</t>
    <phoneticPr fontId="3"/>
  </si>
  <si>
    <t>1 roll (=approx.50m) / sample cut available when in stock for sample price</t>
    <phoneticPr fontId="3"/>
  </si>
  <si>
    <t>016009(02/24/26)</t>
    <phoneticPr fontId="3"/>
  </si>
  <si>
    <t>016014(02/25/26)</t>
    <phoneticPr fontId="3"/>
  </si>
  <si>
    <t>COL. 24 BROWN</t>
    <phoneticPr fontId="3"/>
  </si>
  <si>
    <t>COL. 45 DARK NAVY</t>
    <phoneticPr fontId="3"/>
  </si>
  <si>
    <t>Stock / lead time</t>
    <phoneticPr fontId="3"/>
  </si>
  <si>
    <t>L/T : abt 3 weeks</t>
    <phoneticPr fontId="3"/>
  </si>
  <si>
    <t>3 - 4 working days</t>
    <phoneticPr fontId="3"/>
  </si>
  <si>
    <t>in stock</t>
    <phoneticPr fontId="3"/>
  </si>
  <si>
    <t>Pymt</t>
    <phoneticPr fontId="3"/>
  </si>
  <si>
    <t>Customer</t>
    <phoneticPr fontId="3"/>
  </si>
  <si>
    <t>7774</t>
    <phoneticPr fontId="3"/>
  </si>
  <si>
    <t>O/S</t>
  </si>
  <si>
    <t>Creative Design (NY)</t>
    <phoneticPr fontId="3"/>
  </si>
  <si>
    <t>7790</t>
    <phoneticPr fontId="3"/>
  </si>
  <si>
    <t>7877</t>
    <phoneticPr fontId="3"/>
  </si>
  <si>
    <t/>
  </si>
  <si>
    <t>AG-EO 260310</t>
    <phoneticPr fontId="3"/>
  </si>
  <si>
    <t>JW</t>
    <phoneticPr fontId="3"/>
  </si>
  <si>
    <t>FedEx Freight Fee</t>
    <phoneticPr fontId="3"/>
  </si>
  <si>
    <t>FedEx Ref# 887724899041</t>
    <phoneticPr fontId="3"/>
  </si>
  <si>
    <t>5010351 (03/10/2026)</t>
    <phoneticPr fontId="3"/>
  </si>
  <si>
    <t>008568 (03/13/26) Litus</t>
    <phoneticPr fontId="3"/>
  </si>
  <si>
    <t>Country of Origin</t>
    <phoneticPr fontId="3"/>
  </si>
  <si>
    <t>Invoice Date</t>
  </si>
  <si>
    <t>Due Date</t>
  </si>
  <si>
    <t>Pymt</t>
  </si>
  <si>
    <t>Over Due</t>
  </si>
  <si>
    <t>Amount</t>
  </si>
  <si>
    <t>11/10/2025</t>
  </si>
  <si>
    <t>12/10/2025</t>
  </si>
  <si>
    <t>$       40.56</t>
  </si>
  <si>
    <t>01/09/2026</t>
  </si>
  <si>
    <t>$       67.80</t>
  </si>
  <si>
    <t>$       82.80</t>
  </si>
  <si>
    <t>01/08/2026</t>
  </si>
  <si>
    <t>02/07/2026</t>
  </si>
  <si>
    <t>$  1,527.28</t>
  </si>
  <si>
    <t>$  124.00</t>
    <phoneticPr fontId="3"/>
  </si>
  <si>
    <r>
      <t>20260319</t>
    </r>
    <r>
      <rPr>
        <sz val="10"/>
        <rFont val="ＭＳ Ｐゴシック"/>
        <family val="2"/>
        <charset val="128"/>
      </rPr>
      <t>　</t>
    </r>
    <r>
      <rPr>
        <sz val="10"/>
        <rFont val="Arial"/>
        <family val="2"/>
      </rPr>
      <t>adam</t>
    </r>
    <r>
      <rPr>
        <sz val="10"/>
        <rFont val="ＭＳ Ｐゴシック"/>
        <family val="2"/>
        <charset val="128"/>
      </rPr>
      <t>　</t>
    </r>
    <r>
      <rPr>
        <sz val="10"/>
        <rFont val="Arial"/>
        <family val="2"/>
      </rPr>
      <t>lippes</t>
    </r>
    <phoneticPr fontId="3"/>
  </si>
  <si>
    <t>KLS-M20932-2 / Black x Gold</t>
    <phoneticPr fontId="3"/>
  </si>
  <si>
    <t>Sample qty</t>
    <phoneticPr fontId="3"/>
  </si>
  <si>
    <t>Bulk MOQ : 180m/col</t>
    <phoneticPr fontId="3"/>
  </si>
  <si>
    <t>PINK #12</t>
    <phoneticPr fontId="3"/>
  </si>
  <si>
    <t>Art. #</t>
    <phoneticPr fontId="3"/>
  </si>
  <si>
    <t>Adam Lippes LLC</t>
    <phoneticPr fontId="3"/>
  </si>
  <si>
    <t>C26-SUN FASHION CORP MB 1(3/19/26)</t>
    <phoneticPr fontId="3"/>
  </si>
  <si>
    <t xml:space="preserve">Lame Fabric  90% RAYON, 10% POLYESTER  </t>
    <phoneticPr fontId="3"/>
  </si>
  <si>
    <t>KLS-M20932-2</t>
    <phoneticPr fontId="3"/>
  </si>
  <si>
    <t>BLACK X GOLD</t>
    <phoneticPr fontId="3"/>
  </si>
  <si>
    <t xml:space="preserve">20260323 Coach  20% レート120 </t>
    <phoneticPr fontId="3"/>
  </si>
  <si>
    <t>FUT285-W (Mill's color) 
Sample cut price (up to 2m→US$15/cut)</t>
    <phoneticPr fontId="3"/>
  </si>
  <si>
    <r>
      <t xml:space="preserve">FUT285-W (Mill's color)
Based on 1 roll </t>
    </r>
    <r>
      <rPr>
        <sz val="10"/>
        <rFont val="游ゴシック"/>
        <family val="2"/>
        <charset val="128"/>
      </rPr>
      <t>～</t>
    </r>
    <r>
      <rPr>
        <sz val="10"/>
        <rFont val="Arial"/>
        <family val="2"/>
      </rPr>
      <t xml:space="preserve"> (1 roll=abt 40m)</t>
    </r>
    <phoneticPr fontId="3"/>
  </si>
  <si>
    <t>FUT285-W (Mill's color)
Based on 1000m/col</t>
    <phoneticPr fontId="3"/>
  </si>
  <si>
    <t>AG-EO 260324</t>
    <phoneticPr fontId="3"/>
  </si>
  <si>
    <t>Col.0</t>
    <phoneticPr fontId="3"/>
  </si>
  <si>
    <t>仕入 輸出単価</t>
    <rPh sb="0" eb="2">
      <t>シイレ</t>
    </rPh>
    <rPh sb="3" eb="5">
      <t>ユシュツ</t>
    </rPh>
    <rPh sb="5" eb="7">
      <t>タンカ</t>
    </rPh>
    <phoneticPr fontId="3"/>
  </si>
  <si>
    <t>Cinq a Sept 20260324</t>
    <phoneticPr fontId="3"/>
  </si>
  <si>
    <t>CA_SS26B_SUN02(3/24)</t>
    <phoneticPr fontId="3"/>
  </si>
  <si>
    <t>Courier Fee</t>
    <phoneticPr fontId="3"/>
  </si>
  <si>
    <t>TBC</t>
    <phoneticPr fontId="3"/>
  </si>
  <si>
    <t>Qty</t>
    <phoneticPr fontId="3"/>
  </si>
  <si>
    <t>COACH-EO-260326 (NYO)</t>
    <phoneticPr fontId="3"/>
  </si>
  <si>
    <t>Coach</t>
    <phoneticPr fontId="3"/>
  </si>
  <si>
    <t xml:space="preserve">FUT285-W </t>
    <phoneticPr fontId="3"/>
  </si>
  <si>
    <t>Rayon 72%, Polyester 17%, Nylon 11%</t>
    <phoneticPr fontId="3"/>
  </si>
  <si>
    <t>Col. 2  SILVER LAME</t>
    <phoneticPr fontId="3"/>
  </si>
  <si>
    <t>CO-CCF01A (3L)</t>
    <phoneticPr fontId="3"/>
  </si>
  <si>
    <t>abt 11.5mm</t>
    <phoneticPr fontId="3"/>
  </si>
  <si>
    <t xml:space="preserve">#50C-Black </t>
    <phoneticPr fontId="3"/>
  </si>
  <si>
    <t xml:space="preserve"> #45C-Heather Grey</t>
    <phoneticPr fontId="3"/>
  </si>
  <si>
    <t>Qty</t>
    <phoneticPr fontId="3"/>
  </si>
  <si>
    <t>73163(2026/3/27)</t>
    <phoneticPr fontId="3"/>
  </si>
  <si>
    <t xml:space="preserve">JW-2603-004 (2026/3/30) </t>
    <phoneticPr fontId="3"/>
  </si>
  <si>
    <t>Col # 9 Black</t>
    <phoneticPr fontId="3"/>
  </si>
  <si>
    <t xml:space="preserve">Col # 709 Charcoal </t>
    <phoneticPr fontId="3"/>
  </si>
  <si>
    <t>cutting Fee</t>
    <phoneticPr fontId="3"/>
  </si>
  <si>
    <t>CHINAMINE TRADING LIMITED ( JASON WU COLLECTIONS LLC D/B/A JASON WU1)</t>
    <phoneticPr fontId="3"/>
  </si>
  <si>
    <t xml:space="preserve">PO# </t>
    <phoneticPr fontId="3"/>
  </si>
  <si>
    <t>$  289.00</t>
    <phoneticPr fontId="3"/>
  </si>
  <si>
    <t>R1346112(3/31/2026)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</si>
</sst>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8">
    <numFmt numFmtId="5" formatCode="&quot;¥&quot;#,##0;&quot;¥&quot;\-#,##0"/>
    <numFmt numFmtId="6" formatCode="&quot;¥&quot;#,##0;[Red]&quot;¥&quot;\-#,##0"/>
    <numFmt numFmtId="176" formatCode="#,##0&quot;mm&quot;"/>
    <numFmt numFmtId="177" formatCode="&quot;#&quot;General"/>
    <numFmt numFmtId="178" formatCode="#,##0&quot; m&quot;"/>
    <numFmt numFmtId="179" formatCode="[$-409]d\-mmm;@"/>
    <numFmt numFmtId="180" formatCode="#,##0&quot; rolls&quot;"/>
    <numFmt numFmtId="181" formatCode="&quot;S-&quot;General"/>
    <numFmt numFmtId="182" formatCode="&quot;SF-&quot;General"/>
    <numFmt numFmtId="183" formatCode="#,##0.0&quot; m&quot;"/>
    <numFmt numFmtId="184" formatCode="#,##0&quot; set&quot;"/>
    <numFmt numFmtId="185" formatCode="&quot;@US$&quot;#,##0.00\-"/>
    <numFmt numFmtId="186" formatCode="#,##0&quot;cm&quot;"/>
    <numFmt numFmtId="187" formatCode="#,##0\ &quot;mm&quot;"/>
    <numFmt numFmtId="188" formatCode="#,##0\ &quot;cm&quot;"/>
    <numFmt numFmtId="189" formatCode="&quot;US$&quot;#,##0.00"/>
    <numFmt numFmtId="190" formatCode="&quot;&quot;General"/>
    <numFmt numFmtId="191" formatCode="General&quot; m&quot;"/>
    <numFmt numFmtId="192" formatCode="General&quot; rolls&quot;"/>
    <numFmt numFmtId="193" formatCode="&quot;US$&quot;#,##0.00;\-&quot;US$&quot;#,##0.00"/>
    <numFmt numFmtId="194" formatCode="###0.0\ &quot;m&quot;"/>
    <numFmt numFmtId="195" formatCode="&quot;KYL-&quot;General&quot;-1&quot;"/>
    <numFmt numFmtId="196" formatCode="###0\ &quot;m&quot;"/>
    <numFmt numFmtId="197" formatCode="[$¥-411]#,##0;[Red]\-[$¥-411]#,##0"/>
    <numFmt numFmtId="198" formatCode="0&quot;mm&quot;"/>
    <numFmt numFmtId="199" formatCode="00&quot;m/roll&quot;"/>
    <numFmt numFmtId="200" formatCode="&quot;@&quot;#,###.00&quot;-&quot;"/>
    <numFmt numFmtId="201" formatCode="&quot;@&quot;#,###.#&quot;-&quot;"/>
    <numFmt numFmtId="202" formatCode="#,##0\ &quot;m&quot;"/>
    <numFmt numFmtId="203" formatCode="&quot;US$&quot;#,##0.00_);\(&quot;US$&quot;#,##0.00\)"/>
    <numFmt numFmtId="204" formatCode="#,##0&quot; pcs&quot;"/>
    <numFmt numFmtId="205" formatCode="&quot;¥&quot;#,##0_);[Red]\(&quot;¥&quot;#,##0\)"/>
    <numFmt numFmtId="206" formatCode="&quot;US$&quot;#,##0.00;[Red]\-&quot;US$&quot;#,##0.00"/>
    <numFmt numFmtId="207" formatCode="#,##0&quot; sets&quot;"/>
    <numFmt numFmtId="208" formatCode="#,##0&quot;m&quot;"/>
    <numFmt numFmtId="209" formatCode="&quot;@US$&quot;#,##0.00\-&quot;/roll&quot;"/>
    <numFmt numFmtId="210" formatCode="General&quot; pcs&quot;"/>
    <numFmt numFmtId="211" formatCode="[$¥-411]#,##0.00;[$¥-411]#,##0.00"/>
    <numFmt numFmtId="212" formatCode="_-* #,##0_-;\-* #,##0_-;_-* &quot;-&quot;_-;_-@_-"/>
    <numFmt numFmtId="213" formatCode="[$$-409]#,##0.00_);\([$$-409]#,##0.00\)"/>
    <numFmt numFmtId="214" formatCode="[$-409]d\-mmm\-yyyy;@"/>
    <numFmt numFmtId="215" formatCode="###0.0&quot; m&quot;"/>
    <numFmt numFmtId="216" formatCode="###0&quot; roll(s)&quot;"/>
    <numFmt numFmtId="217" formatCode="[$$-409]#,##0.00;[$$-409]#,##0.00"/>
    <numFmt numFmtId="218" formatCode="[$-F800]dddd\,\ mmmm\ dd\,\ yyyy"/>
    <numFmt numFmtId="219" formatCode="[$¥-411]#,##0_);\([$¥-411]#,##0\)"/>
    <numFmt numFmtId="220" formatCode="&quot;開始行: &quot;#"/>
    <numFmt numFmtId="221" formatCode="&quot;終了行: &quot;#"/>
    <numFmt numFmtId="222" formatCode="[$¥-411]#,##0.0;[Red]\-[$¥-411]#,##0.0"/>
    <numFmt numFmtId="223" formatCode="#,##0.0&quot;cm&quot;"/>
    <numFmt numFmtId="224" formatCode="General\ &quot;rolls&quot;"/>
    <numFmt numFmtId="225" formatCode="#,##0&quot; yds&quot;"/>
    <numFmt numFmtId="226" formatCode="&quot;¥&quot;#,##0.0;[Red]&quot;¥&quot;\-#,##0.0"/>
    <numFmt numFmtId="227" formatCode="[$¥-411]#,##0.00;[Red]\-[$¥-411]#,##0.00"/>
    <numFmt numFmtId="228" formatCode="#,##0.00&quot;cm&quot;"/>
    <numFmt numFmtId="229" formatCode="0.0%"/>
    <numFmt numFmtId="230" formatCode="[$¥-411]#,##0;[$¥-411]#,##0"/>
    <numFmt numFmtId="231" formatCode="#,##0\ &quot;m/roll&quot;"/>
    <numFmt numFmtId="232" formatCode="General\ &quot;mm&quot;"/>
    <numFmt numFmtId="233" formatCode="[$€-2]\ #,##0.00_);[Red]\([$€-2]\ #,##0.00\)"/>
    <numFmt numFmtId="234" formatCode="&quot;US$&quot;#,##0.00_);[Red]\(&quot;US$&quot;#,##0.00\)"/>
    <numFmt numFmtId="235" formatCode="[$€-2]\ #,##0.00_)&quot;/m&quot;;[Red]\([$€-2]\ #,##0.00\)"/>
    <numFmt numFmtId="236" formatCode="mm/dd/yyyy;@"/>
    <numFmt numFmtId="237" formatCode="_-\$* #,##0.00_ ;_-\$* \-#,##0.00\ ;_-\$* &quot;-&quot;??_ ;_-@_ "/>
    <numFmt numFmtId="238" formatCode="General&quot; mm&quot;"/>
    <numFmt numFmtId="239" formatCode="&quot;¥&quot;#,##0.0_);[Red]\(&quot;¥&quot;#,##0.0\)"/>
    <numFmt numFmtId="240" formatCode="General\ &quot;m&quot;"/>
    <numFmt numFmtId="241" formatCode="#,##0\ &quot;mmx2&quot;"/>
    <numFmt numFmtId="242" formatCode="[$¥-411]#,##0.00_);[Red]\([$¥-411]#,##0.00\)"/>
    <numFmt numFmtId="243" formatCode="&quot;@&quot;#,###.##&quot;-&quot;"/>
    <numFmt numFmtId="244" formatCode="[$JPY]\ #,##0;[Red][$JPY]\ \-#,##0"/>
    <numFmt numFmtId="245" formatCode="#,##0_ "/>
    <numFmt numFmtId="246" formatCode="&quot;$&quot;#,##0.0"/>
    <numFmt numFmtId="247" formatCode="0.0"/>
    <numFmt numFmtId="248" formatCode="&quot;SF-0&quot;General"/>
    <numFmt numFmtId="249" formatCode="&quot;¥&quot;#,##0.\-;\-&quot;¥&quot;#,##0.\-"/>
    <numFmt numFmtId="250" formatCode="[$USD]\ #,##0.00;[Red][$USD]\ \-#,##0.00"/>
    <numFmt numFmtId="251" formatCode="General\ &quot;m/roll&quot;"/>
    <numFmt numFmtId="252" formatCode="#,##0.0_ "/>
    <numFmt numFmtId="253" formatCode="#,##0.0\ &quot;mmx2&quot;"/>
    <numFmt numFmtId="254" formatCode="&quot;TI-&quot;General"/>
    <numFmt numFmtId="255" formatCode="[$¥-411]#,##0.0_);[Red]\([$¥-411]#,##0.0\)"/>
    <numFmt numFmtId="256" formatCode="[$€-2]\ #,##0.00;[$€-2]\ #,##0.00"/>
    <numFmt numFmtId="257" formatCode="[$¥-411]#,##0_);[Red]\([$¥-411]#,##0\)"/>
    <numFmt numFmtId="258" formatCode="&quot;@&quot;#,###.#0&quot;-&quot;"/>
    <numFmt numFmtId="259" formatCode="0;\-0;;@"/>
    <numFmt numFmtId="260" formatCode="General&quot;mm&quot;"/>
    <numFmt numFmtId="261" formatCode="mm/dd/yy;@"/>
  </numFmts>
  <fonts count="305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2"/>
      <color indexed="8"/>
      <name val="Arial"/>
      <family val="2"/>
    </font>
    <font>
      <sz val="12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Arial"/>
      <family val="2"/>
    </font>
    <font>
      <sz val="10"/>
      <color indexed="8"/>
      <name val="Arial"/>
      <family val="2"/>
    </font>
    <font>
      <sz val="12"/>
      <name val="Arial  "/>
      <family val="2"/>
    </font>
    <font>
      <b/>
      <sz val="12"/>
      <color indexed="8"/>
      <name val="Arial"/>
      <family val="2"/>
    </font>
    <font>
      <b/>
      <sz val="12"/>
      <name val="Arial"/>
      <family val="2"/>
    </font>
    <font>
      <sz val="11"/>
      <name val="Arial  "/>
      <family val="2"/>
    </font>
    <font>
      <b/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name val="Arial  "/>
      <family val="2"/>
    </font>
    <font>
      <sz val="9"/>
      <color indexed="8"/>
      <name val="ＭＳ Ｐゴシック"/>
      <family val="3"/>
      <charset val="128"/>
    </font>
    <font>
      <sz val="8"/>
      <color indexed="8"/>
      <name val="ＭＳ Ｐゴシック"/>
      <family val="3"/>
      <charset val="128"/>
    </font>
    <font>
      <b/>
      <sz val="11"/>
      <name val="Arial  "/>
      <family val="2"/>
    </font>
    <font>
      <b/>
      <sz val="1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indexed="30"/>
      <name val="Arial"/>
      <family val="2"/>
    </font>
    <font>
      <b/>
      <sz val="10"/>
      <color indexed="10"/>
      <name val="Arial"/>
      <family val="2"/>
    </font>
    <font>
      <b/>
      <sz val="10"/>
      <color indexed="10"/>
      <name val="ＭＳ Ｐゴシック"/>
      <family val="3"/>
      <charset val="128"/>
    </font>
    <font>
      <sz val="10"/>
      <name val="ＭＳ Ｐゴシック"/>
      <family val="3"/>
      <charset val="128"/>
    </font>
    <font>
      <sz val="12"/>
      <name val="Arial   "/>
      <family val="2"/>
    </font>
    <font>
      <b/>
      <sz val="10"/>
      <name val="ＭＳ Ｐゴシック"/>
      <family val="3"/>
      <charset val="128"/>
    </font>
    <font>
      <b/>
      <sz val="12"/>
      <name val="Arial   "/>
      <family val="2"/>
    </font>
    <font>
      <sz val="8"/>
      <name val="ＭＳ Ｐゴシック"/>
      <family val="3"/>
      <charset val="128"/>
    </font>
    <font>
      <sz val="10"/>
      <name val="Arial  "/>
      <family val="2"/>
    </font>
    <font>
      <sz val="8"/>
      <name val="Arial"/>
      <family val="2"/>
    </font>
    <font>
      <b/>
      <sz val="12"/>
      <name val="Arial  "/>
      <family val="2"/>
    </font>
    <font>
      <b/>
      <sz val="12"/>
      <color indexed="30"/>
      <name val="ＭＳ Ｐゴシック"/>
      <family val="3"/>
      <charset val="128"/>
    </font>
    <font>
      <b/>
      <sz val="10"/>
      <name val="Arial"/>
      <family val="2"/>
    </font>
    <font>
      <b/>
      <sz val="12"/>
      <color indexed="14"/>
      <name val="Arial"/>
      <family val="2"/>
    </font>
    <font>
      <sz val="11"/>
      <color indexed="8"/>
      <name val="ＭＳ Ｐゴシック"/>
      <family val="3"/>
      <charset val="128"/>
    </font>
    <font>
      <sz val="10"/>
      <color indexed="10"/>
      <name val="Arial"/>
      <family val="2"/>
    </font>
    <font>
      <sz val="10"/>
      <color indexed="10"/>
      <name val="ＭＳ Ｐゴシック"/>
      <family val="3"/>
      <charset val="128"/>
    </font>
    <font>
      <sz val="11"/>
      <color indexed="10"/>
      <name val="Arial"/>
      <family val="2"/>
    </font>
    <font>
      <b/>
      <sz val="10"/>
      <name val="arial    "/>
      <family val="2"/>
    </font>
    <font>
      <b/>
      <sz val="10"/>
      <name val="Arial  "/>
      <family val="2"/>
    </font>
    <font>
      <sz val="10"/>
      <color indexed="8"/>
      <name val="ＭＳ Ｐゴシック"/>
      <family val="3"/>
      <charset val="128"/>
    </font>
    <font>
      <sz val="11"/>
      <name val="Calibri"/>
      <family val="2"/>
    </font>
    <font>
      <sz val="10"/>
      <color indexed="8"/>
      <name val="Times New Roman"/>
      <family val="1"/>
    </font>
    <font>
      <sz val="10"/>
      <name val="Times New Roman"/>
      <family val="1"/>
    </font>
    <font>
      <sz val="6"/>
      <name val="ＭＳ Ｐゴシック"/>
      <family val="3"/>
      <charset val="128"/>
    </font>
    <font>
      <b/>
      <sz val="12"/>
      <color indexed="8"/>
      <name val="Times New Roman"/>
      <family val="1"/>
    </font>
    <font>
      <sz val="11"/>
      <name val="Times New Roman"/>
      <family val="1"/>
    </font>
    <font>
      <b/>
      <sz val="20"/>
      <name val="Times New Roman"/>
      <family val="1"/>
    </font>
    <font>
      <b/>
      <sz val="11"/>
      <name val="Times New Roman"/>
      <family val="1"/>
    </font>
    <font>
      <b/>
      <sz val="12"/>
      <name val="Times New Roman"/>
      <family val="1"/>
    </font>
    <font>
      <sz val="11"/>
      <color theme="1"/>
      <name val="ＭＳ Ｐゴシック"/>
      <family val="3"/>
      <charset val="128"/>
      <scheme val="minor"/>
    </font>
    <font>
      <sz val="12"/>
      <color rgb="FF7030A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rgb="FF0070C0"/>
      <name val="Arial"/>
      <family val="2"/>
    </font>
    <font>
      <sz val="10"/>
      <color theme="1"/>
      <name val="Arial"/>
      <family val="2"/>
    </font>
    <font>
      <sz val="12"/>
      <color theme="9" tint="-0.249977111117893"/>
      <name val="Arial"/>
      <family val="2"/>
    </font>
    <font>
      <sz val="11"/>
      <color theme="1"/>
      <name val="Arial"/>
      <family val="2"/>
    </font>
    <font>
      <sz val="11"/>
      <color theme="9" tint="-0.249977111117893"/>
      <name val="Arial"/>
      <family val="2"/>
    </font>
    <font>
      <sz val="11"/>
      <color rgb="FFFF0000"/>
      <name val="Arial"/>
      <family val="2"/>
    </font>
    <font>
      <sz val="12"/>
      <color rgb="FFFF0000"/>
      <name val="Arial"/>
      <family val="2"/>
    </font>
    <font>
      <b/>
      <sz val="12"/>
      <color rgb="FF0070C0"/>
      <name val="Arial"/>
      <family val="2"/>
    </font>
    <font>
      <sz val="11"/>
      <color rgb="FF00000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  <font>
      <b/>
      <sz val="12"/>
      <color rgb="FFFF0000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sz val="10"/>
      <color theme="7" tint="-0.249977111117893"/>
      <name val="Arial"/>
      <family val="2"/>
    </font>
    <font>
      <sz val="12"/>
      <color theme="7" tint="-0.249977111117893"/>
      <name val="Arial"/>
      <family val="2"/>
    </font>
    <font>
      <sz val="10"/>
      <color rgb="FFFF0000"/>
      <name val="Arial"/>
      <family val="2"/>
    </font>
    <font>
      <sz val="11"/>
      <color rgb="FF0070C0"/>
      <name val="ＭＳ Ｐゴシック"/>
      <family val="3"/>
      <charset val="128"/>
    </font>
    <font>
      <sz val="11"/>
      <color rgb="FF000000"/>
      <name val="Arial"/>
      <family val="2"/>
    </font>
    <font>
      <b/>
      <sz val="12"/>
      <color rgb="FF0070C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b/>
      <sz val="10"/>
      <color rgb="FFFF0000"/>
      <name val="Arial"/>
      <family val="2"/>
    </font>
    <font>
      <b/>
      <sz val="12"/>
      <color rgb="FFFFFF00"/>
      <name val="ＭＳ Ｐゴシック"/>
      <family val="3"/>
      <charset val="128"/>
    </font>
    <font>
      <b/>
      <sz val="12"/>
      <color rgb="FFFFFF00"/>
      <name val="Arial"/>
      <family val="2"/>
    </font>
    <font>
      <sz val="12"/>
      <color theme="1"/>
      <name val="ＭＳ Ｐゴシック"/>
      <family val="3"/>
      <charset val="128"/>
    </font>
    <font>
      <sz val="12"/>
      <color rgb="FF000000"/>
      <name val="Calibri"/>
      <family val="2"/>
    </font>
    <font>
      <sz val="12"/>
      <name val="ＭＳ Ｐゴシック"/>
      <family val="3"/>
      <charset val="128"/>
      <scheme val="minor"/>
    </font>
    <font>
      <sz val="11"/>
      <color theme="1"/>
      <name val="Calibri"/>
      <family val="2"/>
    </font>
    <font>
      <sz val="11"/>
      <color theme="1"/>
      <name val="arial    "/>
      <family val="2"/>
    </font>
    <font>
      <sz val="10"/>
      <color rgb="FF000000"/>
      <name val="Arial  "/>
      <family val="2"/>
    </font>
    <font>
      <sz val="10"/>
      <color rgb="FF0070C0"/>
      <name val="Arial"/>
      <family val="2"/>
    </font>
    <font>
      <b/>
      <sz val="10"/>
      <color theme="1"/>
      <name val="arial    "/>
      <family val="2"/>
    </font>
    <font>
      <sz val="10"/>
      <color rgb="FF000000"/>
      <name val="arial    "/>
      <family val="2"/>
    </font>
    <font>
      <sz val="12"/>
      <color theme="1"/>
      <name val="Arial  "/>
      <family val="2"/>
    </font>
    <font>
      <b/>
      <sz val="10"/>
      <color theme="7" tint="-0.249977111117893"/>
      <name val="ＭＳ Ｐゴシック"/>
      <family val="3"/>
      <charset val="128"/>
    </font>
    <font>
      <sz val="10"/>
      <color theme="1"/>
      <name val="arial    "/>
      <family val="2"/>
    </font>
    <font>
      <sz val="10"/>
      <color rgb="FFFF0000"/>
      <name val="ＭＳ Ｐゴシック"/>
      <family val="3"/>
      <charset val="128"/>
    </font>
    <font>
      <sz val="10"/>
      <color theme="1"/>
      <name val="Times New Roman"/>
      <family val="1"/>
    </font>
    <font>
      <sz val="11"/>
      <color rgb="FF000000"/>
      <name val="Calibri"/>
      <family val="2"/>
    </font>
    <font>
      <sz val="10"/>
      <color rgb="FF000000"/>
      <name val="ＭＳ Ｐゴシック"/>
      <family val="3"/>
      <charset val="128"/>
    </font>
    <font>
      <sz val="9"/>
      <color theme="1"/>
      <name val="Times New Roman"/>
      <family val="1"/>
    </font>
    <font>
      <u/>
      <sz val="9"/>
      <color theme="1"/>
      <name val="Times New Roman"/>
      <family val="1"/>
    </font>
    <font>
      <b/>
      <sz val="9"/>
      <color theme="1"/>
      <name val="Times New Roman"/>
      <family val="1"/>
    </font>
    <font>
      <b/>
      <sz val="20"/>
      <color theme="1"/>
      <name val="Times New Roman"/>
      <family val="1"/>
    </font>
    <font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name val="ｔ"/>
      <family val="3"/>
      <charset val="128"/>
    </font>
    <font>
      <sz val="11"/>
      <name val="ＭＳ Ｐ明朝"/>
      <family val="1"/>
      <charset val="128"/>
    </font>
    <font>
      <sz val="11"/>
      <color rgb="FFFF0000"/>
      <name val="ＭＳ Ｐ明朝"/>
      <family val="1"/>
      <charset val="128"/>
    </font>
    <font>
      <sz val="11"/>
      <name val="Yu Gothic"/>
      <family val="3"/>
      <charset val="128"/>
    </font>
    <font>
      <sz val="11"/>
      <name val="Times New Roman"/>
      <family val="3"/>
      <charset val="128"/>
    </font>
    <font>
      <b/>
      <sz val="14"/>
      <name val="Times New Roman"/>
      <family val="1"/>
    </font>
    <font>
      <sz val="11"/>
      <color rgb="FFFF0000"/>
      <name val="Times New Roman"/>
      <family val="1"/>
    </font>
    <font>
      <u/>
      <sz val="11"/>
      <name val="Times New Roman"/>
      <family val="1"/>
    </font>
    <font>
      <b/>
      <u/>
      <sz val="11"/>
      <name val="Times New Roman"/>
      <family val="1"/>
    </font>
    <font>
      <sz val="11"/>
      <name val="MS UI Gothic"/>
      <family val="3"/>
      <charset val="128"/>
    </font>
    <font>
      <sz val="11"/>
      <name val="Yu Gothic"/>
      <family val="1"/>
      <charset val="128"/>
    </font>
    <font>
      <b/>
      <sz val="16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u/>
      <sz val="11"/>
      <color rgb="FFFF0000"/>
      <name val="ＭＳ Ｐゴシック"/>
      <family val="3"/>
      <charset val="128"/>
      <scheme val="minor"/>
    </font>
    <font>
      <b/>
      <u/>
      <sz val="11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4"/>
      <color rgb="FF000000"/>
      <name val="ＭＳ Ｐゴシック"/>
      <family val="3"/>
      <charset val="128"/>
    </font>
    <font>
      <b/>
      <sz val="11"/>
      <name val="MS UI Gothic"/>
      <family val="3"/>
      <charset val="128"/>
    </font>
    <font>
      <b/>
      <sz val="11"/>
      <color rgb="FFFF0000"/>
      <name val="ＭＳ Ｐゴシック"/>
      <family val="3"/>
      <charset val="128"/>
      <scheme val="minor"/>
    </font>
    <font>
      <sz val="11"/>
      <color theme="1"/>
      <name val="ＭＳ Ｐ明朝"/>
      <family val="1"/>
      <charset val="128"/>
    </font>
    <font>
      <b/>
      <sz val="9"/>
      <color rgb="FFFF0000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b/>
      <sz val="14"/>
      <name val="ＭＳ Ｐゴシック"/>
      <family val="3"/>
      <charset val="128"/>
      <scheme val="minor"/>
    </font>
    <font>
      <b/>
      <sz val="10"/>
      <color rgb="FFFF00FF"/>
      <name val="ＭＳ Ｐゴシック"/>
      <family val="3"/>
      <charset val="128"/>
    </font>
    <font>
      <sz val="9"/>
      <name val="Arial"/>
      <family val="2"/>
    </font>
    <font>
      <sz val="12"/>
      <color theme="1"/>
      <name val="ＭＳ Ｐゴシック"/>
      <family val="3"/>
      <charset val="128"/>
      <scheme val="minor"/>
    </font>
    <font>
      <b/>
      <sz val="12"/>
      <color rgb="FF7030A0"/>
      <name val="Arial"/>
      <family val="2"/>
    </font>
    <font>
      <sz val="12"/>
      <color rgb="FF7030A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2"/>
      <name val="ComicSansMS"/>
      <family val="2"/>
    </font>
    <font>
      <sz val="12"/>
      <color rgb="FF00B050"/>
      <name val="Arial"/>
      <family val="2"/>
    </font>
    <font>
      <sz val="10"/>
      <color rgb="FF0070C0"/>
      <name val="ＭＳ Ｐゴシック"/>
      <family val="3"/>
      <charset val="128"/>
    </font>
    <font>
      <sz val="12"/>
      <color indexed="30"/>
      <name val="ＭＳ Ｐゴシック"/>
      <family val="3"/>
      <charset val="128"/>
    </font>
    <font>
      <sz val="10"/>
      <color rgb="FF7030A0"/>
      <name val="Arial"/>
      <family val="2"/>
    </font>
    <font>
      <b/>
      <sz val="11"/>
      <color rgb="FF7030A0"/>
      <name val="Arial"/>
      <family val="2"/>
    </font>
    <font>
      <sz val="12"/>
      <color theme="7" tint="-0.249977111117893"/>
      <name val="Arial  "/>
      <family val="2"/>
    </font>
    <font>
      <sz val="12"/>
      <color rgb="FF00B050"/>
      <name val="Arial  "/>
      <family val="2"/>
    </font>
    <font>
      <sz val="8"/>
      <color rgb="FFFF0000"/>
      <name val="Arial"/>
      <family val="2"/>
    </font>
    <font>
      <sz val="8"/>
      <color indexed="10"/>
      <name val="ＭＳ Ｐゴシック"/>
      <family val="3"/>
      <charset val="128"/>
    </font>
    <font>
      <sz val="8"/>
      <color indexed="10"/>
      <name val="Arial"/>
      <family val="2"/>
    </font>
    <font>
      <b/>
      <sz val="8"/>
      <color rgb="FFFF0000"/>
      <name val="Arial"/>
      <family val="2"/>
    </font>
    <font>
      <b/>
      <sz val="8"/>
      <color indexed="10"/>
      <name val="ＭＳ Ｐゴシック"/>
      <family val="3"/>
      <charset val="128"/>
    </font>
    <font>
      <b/>
      <sz val="8"/>
      <color indexed="10"/>
      <name val="Arial"/>
      <family val="2"/>
    </font>
    <font>
      <sz val="12"/>
      <color indexed="8"/>
      <name val="Calibri"/>
      <family val="2"/>
    </font>
    <font>
      <b/>
      <sz val="11"/>
      <color rgb="FF0070C0"/>
      <name val="ＭＳ Ｐゴシック"/>
      <family val="3"/>
      <charset val="128"/>
    </font>
    <font>
      <sz val="12"/>
      <color rgb="FF000000"/>
      <name val="ＭＳ Ｐゴシック"/>
      <family val="3"/>
      <charset val="128"/>
    </font>
    <font>
      <sz val="10"/>
      <color rgb="FF000000"/>
      <name val="Meiryo UI"/>
      <family val="3"/>
      <charset val="128"/>
    </font>
    <font>
      <sz val="12"/>
      <color indexed="10"/>
      <name val="Arial  "/>
      <family val="2"/>
    </font>
    <font>
      <sz val="10"/>
      <color theme="9" tint="-0.249977111117893"/>
      <name val="ＭＳ Ｐゴシック"/>
      <family val="3"/>
      <charset val="128"/>
    </font>
    <font>
      <b/>
      <sz val="10"/>
      <color rgb="FF00B0F0"/>
      <name val="Arial"/>
      <family val="2"/>
    </font>
    <font>
      <b/>
      <sz val="11"/>
      <color rgb="FFFF0000"/>
      <name val="ＭＳ Ｐゴシック"/>
      <family val="3"/>
      <charset val="128"/>
    </font>
    <font>
      <b/>
      <sz val="12"/>
      <color indexed="10"/>
      <name val="ＭＳ Ｐゴシック"/>
      <family val="3"/>
      <charset val="128"/>
    </font>
    <font>
      <b/>
      <sz val="12"/>
      <color indexed="10"/>
      <name val="Arial"/>
      <family val="2"/>
    </font>
    <font>
      <sz val="11"/>
      <name val="アリアl"/>
      <family val="3"/>
      <charset val="128"/>
    </font>
    <font>
      <sz val="12"/>
      <color rgb="FF0070C0"/>
      <name val="ＭＳ Ｐゴシック"/>
      <family val="3"/>
      <charset val="128"/>
    </font>
    <font>
      <sz val="12"/>
      <name val="1038"/>
      <family val="2"/>
    </font>
    <font>
      <sz val="11"/>
      <name val="游ゴシック"/>
      <family val="3"/>
      <charset val="128"/>
    </font>
    <font>
      <b/>
      <sz val="10"/>
      <color rgb="FF000000"/>
      <name val="Arial"/>
      <family val="2"/>
    </font>
    <font>
      <b/>
      <sz val="10"/>
      <color rgb="FF4472C4"/>
      <name val="Arial"/>
      <family val="2"/>
    </font>
    <font>
      <u/>
      <sz val="10"/>
      <name val="Arial"/>
      <family val="2"/>
    </font>
    <font>
      <sz val="8"/>
      <color rgb="FF000000"/>
      <name val="Meiryo UI"/>
      <family val="3"/>
      <charset val="128"/>
    </font>
    <font>
      <sz val="9"/>
      <color rgb="FF000000"/>
      <name val="Meiryo UI"/>
      <family val="3"/>
      <charset val="128"/>
    </font>
    <font>
      <b/>
      <sz val="10"/>
      <color rgb="FF002060"/>
      <name val="Meiryo UI"/>
      <family val="3"/>
      <charset val="128"/>
    </font>
    <font>
      <sz val="12"/>
      <color rgb="FF1F497D"/>
      <name val="Calibri"/>
      <family val="2"/>
    </font>
    <font>
      <b/>
      <sz val="11"/>
      <color rgb="FF000000"/>
      <name val="Calibri"/>
      <family val="2"/>
    </font>
    <font>
      <b/>
      <sz val="11"/>
      <color indexed="8"/>
      <name val="ＭＳ Ｐゴシック"/>
      <family val="3"/>
      <charset val="128"/>
    </font>
    <font>
      <b/>
      <sz val="11"/>
      <color indexed="8"/>
      <name val="Arial"/>
      <family val="2"/>
    </font>
    <font>
      <sz val="10"/>
      <name val="Arial"/>
      <family val="3"/>
      <charset val="128"/>
    </font>
    <font>
      <b/>
      <sz val="10"/>
      <name val="Arial  "/>
    </font>
    <font>
      <sz val="10.5"/>
      <name val="游ゴシック"/>
      <family val="3"/>
      <charset val="128"/>
    </font>
    <font>
      <sz val="12"/>
      <name val="Arial  "/>
    </font>
    <font>
      <sz val="6"/>
      <name val="ＭＳ Ｐゴシック"/>
      <family val="2"/>
      <charset val="128"/>
      <scheme val="minor"/>
    </font>
    <font>
      <b/>
      <sz val="11"/>
      <color rgb="FF00B050"/>
      <name val="Arial"/>
      <family val="2"/>
    </font>
    <font>
      <b/>
      <sz val="11"/>
      <color rgb="FF00B050"/>
      <name val="ＭＳ Ｐゴシック"/>
      <family val="3"/>
      <charset val="128"/>
    </font>
    <font>
      <sz val="10"/>
      <color theme="9" tint="-0.249977111117893"/>
      <name val="Arial"/>
      <family val="2"/>
    </font>
    <font>
      <sz val="12"/>
      <name val="Arial"/>
      <family val="3"/>
      <charset val="128"/>
    </font>
    <font>
      <sz val="12"/>
      <color rgb="FF7030A0"/>
      <name val="Arial  "/>
    </font>
    <font>
      <b/>
      <sz val="10"/>
      <color rgb="FF000000"/>
      <name val="Arial  "/>
    </font>
    <font>
      <b/>
      <sz val="10"/>
      <color rgb="FF000000"/>
      <name val="Arial  "/>
      <family val="2"/>
    </font>
    <font>
      <b/>
      <sz val="10"/>
      <color rgb="FF000000"/>
      <name val="ＭＳ Ｐゴシック"/>
      <family val="3"/>
      <charset val="128"/>
    </font>
    <font>
      <sz val="12"/>
      <color rgb="FFFF00FF"/>
      <name val="Arial  "/>
      <family val="2"/>
    </font>
    <font>
      <sz val="12"/>
      <color rgb="FF0070C0"/>
      <name val="Arial  "/>
      <family val="2"/>
    </font>
    <font>
      <sz val="10"/>
      <color rgb="FFFF0000"/>
      <name val="Arial  "/>
      <family val="2"/>
    </font>
    <font>
      <sz val="12"/>
      <color rgb="FF000000"/>
      <name val="Arial  "/>
      <family val="2"/>
    </font>
    <font>
      <b/>
      <sz val="10"/>
      <color rgb="FFFF00FF"/>
      <name val="Arial  "/>
      <family val="3"/>
      <charset val="128"/>
    </font>
    <font>
      <b/>
      <sz val="10"/>
      <color rgb="FFFF00FF"/>
      <name val="Arial  "/>
      <family val="2"/>
    </font>
    <font>
      <b/>
      <sz val="10"/>
      <color rgb="FF0070C0"/>
      <name val="Arial  "/>
      <family val="2"/>
    </font>
    <font>
      <sz val="10"/>
      <color rgb="FFFF00FF"/>
      <name val="Arial  "/>
      <family val="2"/>
    </font>
    <font>
      <sz val="10"/>
      <color rgb="FF0070C0"/>
      <name val="Arial  "/>
      <family val="2"/>
    </font>
    <font>
      <b/>
      <sz val="10"/>
      <color theme="1"/>
      <name val="Arial  "/>
      <family val="2"/>
    </font>
    <font>
      <sz val="11"/>
      <color theme="9" tint="-0.249977111117893"/>
      <name val="ＭＳ Ｐゴシック"/>
      <family val="3"/>
      <charset val="128"/>
    </font>
    <font>
      <sz val="12"/>
      <name val="Arial  "/>
      <family val="3"/>
      <charset val="128"/>
    </font>
    <font>
      <sz val="11"/>
      <name val="游ゴシック Medium"/>
      <family val="3"/>
      <charset val="128"/>
    </font>
    <font>
      <i/>
      <sz val="11"/>
      <name val="游ゴシック Medium"/>
      <family val="3"/>
      <charset val="128"/>
    </font>
    <font>
      <sz val="10"/>
      <name val="Arial  "/>
    </font>
    <font>
      <sz val="11"/>
      <color rgb="FF7030A0"/>
      <name val="Arial"/>
      <family val="2"/>
    </font>
    <font>
      <sz val="12"/>
      <name val="ＭＳ Ｐゴシック"/>
      <family val="2"/>
      <charset val="128"/>
    </font>
    <font>
      <sz val="12"/>
      <color rgb="FF0070C0"/>
      <name val="Yu Gothic"/>
      <family val="2"/>
      <charset val="128"/>
    </font>
    <font>
      <b/>
      <sz val="11"/>
      <name val="ＭＳ Ｐゴシック"/>
      <family val="2"/>
      <charset val="128"/>
    </font>
    <font>
      <sz val="12"/>
      <name val="游ゴシック"/>
      <family val="2"/>
      <charset val="128"/>
    </font>
    <font>
      <sz val="10"/>
      <name val="Arial   "/>
    </font>
    <font>
      <sz val="10"/>
      <name val="Arial   "/>
      <family val="2"/>
    </font>
    <font>
      <sz val="11"/>
      <name val="Times New Roman"/>
      <family val="3"/>
    </font>
    <font>
      <sz val="10"/>
      <name val="ＭＳ Ｐゴシック"/>
      <family val="2"/>
      <charset val="128"/>
    </font>
    <font>
      <sz val="11"/>
      <name val="ＭＳ Ｐゴシック"/>
      <family val="1"/>
      <charset val="128"/>
    </font>
    <font>
      <sz val="11"/>
      <name val="Times New Roman"/>
      <family val="1"/>
      <charset val="128"/>
    </font>
    <font>
      <sz val="11"/>
      <name val="ＭＳ Ｐゴシック"/>
      <family val="2"/>
      <charset val="128"/>
    </font>
    <font>
      <sz val="11"/>
      <name val="Arial  "/>
    </font>
    <font>
      <sz val="10"/>
      <color theme="1"/>
      <name val="Arial  "/>
      <family val="2"/>
    </font>
    <font>
      <sz val="10"/>
      <name val="Arial  "/>
      <family val="2"/>
      <charset val="128"/>
    </font>
    <font>
      <sz val="10"/>
      <color rgb="FFFF0000"/>
      <name val="ＭＳ Ｐゴシック"/>
      <family val="2"/>
      <charset val="128"/>
    </font>
    <font>
      <b/>
      <sz val="10"/>
      <color theme="1"/>
      <name val="Arial  "/>
      <family val="2"/>
      <charset val="129"/>
    </font>
    <font>
      <b/>
      <sz val="10"/>
      <color theme="1"/>
      <name val="Malgun Gothic"/>
      <family val="2"/>
      <charset val="129"/>
    </font>
    <font>
      <b/>
      <sz val="10"/>
      <color theme="1"/>
      <name val="Microsoft JhengHei"/>
      <family val="2"/>
      <charset val="136"/>
    </font>
    <font>
      <sz val="10"/>
      <color rgb="FF000000"/>
      <name val="Arial  "/>
    </font>
    <font>
      <sz val="10"/>
      <color rgb="FF1F497D"/>
      <name val="Arial"/>
      <family val="2"/>
    </font>
    <font>
      <b/>
      <sz val="16"/>
      <color indexed="81"/>
      <name val="MS P ゴシック"/>
      <family val="3"/>
      <charset val="128"/>
    </font>
    <font>
      <b/>
      <sz val="10"/>
      <name val="Arial Black"/>
      <family val="2"/>
    </font>
    <font>
      <sz val="10"/>
      <name val="ＭＳ ゴシック"/>
      <family val="3"/>
      <charset val="128"/>
    </font>
    <font>
      <sz val="10"/>
      <name val="Arial  "/>
      <family val="3"/>
      <charset val="128"/>
    </font>
    <font>
      <b/>
      <sz val="14"/>
      <color indexed="81"/>
      <name val="MS P ゴシック"/>
      <family val="3"/>
      <charset val="128"/>
    </font>
    <font>
      <sz val="10"/>
      <name val="ＭＳ Ｐ明朝"/>
      <family val="3"/>
      <charset val="128"/>
    </font>
    <font>
      <b/>
      <sz val="12"/>
      <name val="ＭＳ Ｐゴシック"/>
      <family val="2"/>
      <scheme val="minor"/>
    </font>
    <font>
      <b/>
      <i/>
      <sz val="12"/>
      <name val="ＭＳ Ｐゴシック"/>
      <family val="2"/>
      <scheme val="minor"/>
    </font>
    <font>
      <b/>
      <u/>
      <sz val="12"/>
      <name val="ＭＳ Ｐゴシック"/>
      <family val="2"/>
      <scheme val="minor"/>
    </font>
    <font>
      <b/>
      <sz val="9"/>
      <name val="ＭＳ Ｐゴシック"/>
      <family val="2"/>
      <scheme val="minor"/>
    </font>
    <font>
      <sz val="12"/>
      <name val="ＭＳ Ｐゴシック"/>
      <family val="2"/>
      <scheme val="minor"/>
    </font>
    <font>
      <sz val="12"/>
      <color theme="1"/>
      <name val="Arial"/>
      <family val="3"/>
    </font>
    <font>
      <sz val="10"/>
      <color rgb="FF000000"/>
      <name val="ＭＳ ゴシック"/>
      <family val="3"/>
      <charset val="128"/>
    </font>
    <font>
      <sz val="12"/>
      <name val="Arial"/>
      <family val="2"/>
      <charset val="128"/>
    </font>
    <font>
      <sz val="12"/>
      <name val="Yu Gothic"/>
      <family val="2"/>
      <charset val="128"/>
    </font>
    <font>
      <sz val="10"/>
      <color rgb="FF000000"/>
      <name val="Arial  "/>
      <family val="2"/>
      <charset val="1"/>
    </font>
    <font>
      <u/>
      <sz val="11"/>
      <color theme="10"/>
      <name val="ＭＳ Ｐゴシック"/>
      <family val="3"/>
      <charset val="128"/>
    </font>
    <font>
      <sz val="14"/>
      <color indexed="81"/>
      <name val="MS P ゴシック"/>
      <family val="3"/>
      <charset val="128"/>
    </font>
    <font>
      <sz val="24"/>
      <color indexed="8"/>
      <name val="Arial"/>
      <family val="2"/>
    </font>
    <font>
      <sz val="11"/>
      <color indexed="8"/>
      <name val="Arial"/>
      <family val="2"/>
    </font>
    <font>
      <sz val="24"/>
      <color indexed="8"/>
      <name val="ＭＳ Ｐゴシック"/>
      <family val="3"/>
      <charset val="128"/>
    </font>
    <font>
      <sz val="14"/>
      <color indexed="8"/>
      <name val="Arial"/>
      <family val="2"/>
    </font>
    <font>
      <sz val="20"/>
      <color indexed="8"/>
      <name val="Arial"/>
      <family val="2"/>
    </font>
    <font>
      <sz val="18"/>
      <name val="Arial"/>
      <family val="2"/>
    </font>
    <font>
      <u/>
      <sz val="10.5"/>
      <name val="メイリオ"/>
      <family val="3"/>
      <charset val="128"/>
    </font>
    <font>
      <sz val="10.5"/>
      <name val="メイリオ"/>
      <family val="3"/>
      <charset val="128"/>
    </font>
    <font>
      <sz val="10"/>
      <name val="游ゴシック"/>
      <family val="2"/>
      <charset val="128"/>
    </font>
    <font>
      <sz val="12"/>
      <color rgb="FF0070C0"/>
      <name val="ＭＳ Ｐゴシック"/>
      <family val="2"/>
      <charset val="128"/>
    </font>
    <font>
      <sz val="12"/>
      <color theme="1"/>
      <name val="Arial  "/>
    </font>
    <font>
      <b/>
      <sz val="10"/>
      <name val="ＭＳ Ｐゴシック"/>
      <family val="2"/>
      <charset val="128"/>
    </font>
    <font>
      <b/>
      <sz val="10"/>
      <name val="Arial"/>
      <family val="3"/>
      <charset val="128"/>
    </font>
    <font>
      <sz val="11"/>
      <color theme="1"/>
      <name val="Arial  "/>
      <family val="2"/>
    </font>
    <font>
      <b/>
      <sz val="10"/>
      <name val="Arial  "/>
      <family val="3"/>
      <charset val="128"/>
    </font>
    <font>
      <sz val="10"/>
      <color theme="1"/>
      <name val="Arial  "/>
    </font>
    <font>
      <sz val="10"/>
      <color rgb="FF000000"/>
      <name val="Arial"/>
      <family val="2"/>
    </font>
    <font>
      <sz val="10"/>
      <color rgb="FF0070C0"/>
      <name val="Yu Gothic"/>
      <family val="2"/>
      <charset val="128"/>
    </font>
    <font>
      <b/>
      <sz val="12"/>
      <color rgb="FF000000"/>
      <name val="Aptos"/>
      <family val="2"/>
    </font>
    <font>
      <sz val="12"/>
      <color rgb="FF000000"/>
      <name val="Aptos"/>
      <family val="2"/>
    </font>
    <font>
      <sz val="10"/>
      <name val="Arial"/>
      <family val="2"/>
      <charset val="128"/>
    </font>
    <font>
      <sz val="10"/>
      <color rgb="FF1F497D"/>
      <name val="ＭＳ ゴシック"/>
      <family val="3"/>
      <charset val="128"/>
    </font>
    <font>
      <sz val="7"/>
      <name val="Arial"/>
      <family val="2"/>
    </font>
    <font>
      <sz val="12"/>
      <color rgb="FFFF0000"/>
      <name val="Arial  "/>
    </font>
    <font>
      <b/>
      <u/>
      <sz val="10"/>
      <name val="Arial"/>
      <family val="2"/>
    </font>
    <font>
      <b/>
      <u/>
      <sz val="10"/>
      <name val="BIZ UDPゴシック"/>
      <family val="3"/>
      <charset val="128"/>
    </font>
    <font>
      <b/>
      <sz val="10"/>
      <color theme="1"/>
      <name val="Arial  "/>
      <family val="2"/>
      <charset val="128"/>
    </font>
    <font>
      <sz val="10"/>
      <name val="BIZ UDPゴシック"/>
      <family val="3"/>
      <charset val="128"/>
    </font>
    <font>
      <b/>
      <sz val="10"/>
      <name val="BIZ UDPゴシック"/>
      <family val="3"/>
      <charset val="128"/>
    </font>
    <font>
      <b/>
      <i/>
      <sz val="10"/>
      <name val="Arial  "/>
      <family val="2"/>
    </font>
    <font>
      <b/>
      <u/>
      <sz val="10"/>
      <name val="Arial  "/>
      <family val="2"/>
    </font>
    <font>
      <b/>
      <sz val="10"/>
      <color rgb="FF0070C0"/>
      <name val="Arial  "/>
    </font>
    <font>
      <b/>
      <sz val="11"/>
      <name val="游ゴシック Medium"/>
      <family val="3"/>
      <charset val="128"/>
    </font>
    <font>
      <sz val="6"/>
      <name val="ＭＳ Ｐゴシック"/>
      <family val="3"/>
      <charset val="128"/>
      <scheme val="minor"/>
    </font>
    <font>
      <b/>
      <sz val="12"/>
      <name val="Arial  "/>
    </font>
    <font>
      <b/>
      <sz val="12"/>
      <color theme="9" tint="-0.249977111117893"/>
      <name val="Arial  "/>
      <family val="2"/>
    </font>
    <font>
      <b/>
      <sz val="12"/>
      <color rgb="FF0070C0"/>
      <name val="Arial  "/>
      <family val="2"/>
    </font>
    <font>
      <b/>
      <sz val="10.5"/>
      <name val="Arial"/>
      <family val="2"/>
    </font>
    <font>
      <sz val="10.5"/>
      <name val="Arial"/>
      <family val="2"/>
    </font>
    <font>
      <b/>
      <sz val="10"/>
      <color rgb="FF0070C0"/>
      <name val="ＭＳ Ｐゴシック"/>
      <family val="3"/>
      <charset val="128"/>
    </font>
    <font>
      <b/>
      <sz val="11"/>
      <color rgb="FFFF0000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ＭＳ Ｐゴシック"/>
      <family val="2"/>
      <charset val="128"/>
    </font>
    <font>
      <b/>
      <sz val="12"/>
      <color theme="9" tint="-0.249977111117893"/>
      <name val="ＭＳ Ｐゴシック"/>
      <family val="3"/>
      <charset val="128"/>
    </font>
    <font>
      <b/>
      <sz val="10"/>
      <color theme="1"/>
      <name val="ＭＳ Ｐゴシック"/>
      <family val="3"/>
      <charset val="128"/>
    </font>
    <font>
      <b/>
      <sz val="9.5"/>
      <color rgb="FFFF0000"/>
      <name val="Times New Roman"/>
      <family val="1"/>
    </font>
    <font>
      <sz val="9.5"/>
      <name val="Times New Roman"/>
      <family val="1"/>
    </font>
    <font>
      <sz val="10"/>
      <color rgb="FF1F497D"/>
      <name val="Arial  "/>
      <family val="2"/>
    </font>
    <font>
      <sz val="6"/>
      <color rgb="FFFF0000"/>
      <name val="ＭＳ Ｐゴシック"/>
      <family val="3"/>
      <charset val="128"/>
    </font>
    <font>
      <b/>
      <sz val="10"/>
      <color theme="1"/>
      <name val="Arial  "/>
    </font>
    <font>
      <sz val="12"/>
      <name val="Arial"/>
      <family val="3"/>
    </font>
    <font>
      <sz val="12"/>
      <color theme="1"/>
      <name val="ＭＳ Ｐゴシック"/>
      <family val="2"/>
      <charset val="128"/>
    </font>
    <font>
      <sz val="11"/>
      <color theme="1"/>
      <name val="游ゴシック Medium"/>
      <family val="3"/>
      <charset val="128"/>
    </font>
    <font>
      <i/>
      <sz val="11"/>
      <color rgb="FFFF0000"/>
      <name val="游ゴシック Medium"/>
      <family val="3"/>
      <charset val="128"/>
    </font>
    <font>
      <sz val="11"/>
      <color rgb="FF0070C0"/>
      <name val="游ゴシック Medium"/>
      <family val="3"/>
      <charset val="128"/>
    </font>
    <font>
      <sz val="11"/>
      <color rgb="FFFF0000"/>
      <name val="游ゴシック Medium"/>
      <family val="3"/>
      <charset val="128"/>
    </font>
    <font>
      <sz val="11"/>
      <color rgb="FF000000"/>
      <name val="游ゴシック Medium"/>
      <family val="3"/>
      <charset val="128"/>
    </font>
    <font>
      <sz val="12"/>
      <color theme="9" tint="-0.249977111117893"/>
      <name val="Arial  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2DCDB"/>
        <bgColor indexed="64"/>
      </patternFill>
    </fill>
  </fills>
  <borders count="1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38">
    <xf numFmtId="0" fontId="0" fillId="0" borderId="0">
      <alignment vertical="center"/>
    </xf>
    <xf numFmtId="0" fontId="2" fillId="0" borderId="0"/>
    <xf numFmtId="38" fontId="2" fillId="0" borderId="0" applyFon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212" fontId="59" fillId="0" borderId="0" applyFont="0" applyFill="0" applyBorder="0" applyAlignment="0" applyProtection="0"/>
    <xf numFmtId="6" fontId="2" fillId="0" borderId="0" applyFont="0" applyFill="0" applyBorder="0" applyAlignment="0" applyProtection="0">
      <alignment vertical="center"/>
    </xf>
    <xf numFmtId="205" fontId="59" fillId="0" borderId="0" applyFont="0" applyFill="0" applyBorder="0" applyAlignment="0" applyProtection="0">
      <alignment vertical="center"/>
    </xf>
    <xf numFmtId="205" fontId="2" fillId="0" borderId="0" applyFont="0" applyFill="0" applyBorder="0" applyAlignment="0" applyProtection="0">
      <alignment vertical="center"/>
    </xf>
    <xf numFmtId="0" fontId="59" fillId="0" borderId="0">
      <alignment vertical="center"/>
    </xf>
    <xf numFmtId="0" fontId="59" fillId="0" borderId="0">
      <alignment vertical="center"/>
    </xf>
    <xf numFmtId="0" fontId="43" fillId="0" borderId="0" applyNumberFormat="0" applyFill="0" applyBorder="0" applyAlignment="0" applyProtection="0">
      <alignment vertical="center"/>
    </xf>
    <xf numFmtId="0" fontId="59" fillId="0" borderId="0">
      <alignment vertical="center"/>
    </xf>
    <xf numFmtId="0" fontId="59" fillId="0" borderId="0"/>
    <xf numFmtId="0" fontId="32" fillId="0" borderId="0"/>
    <xf numFmtId="0" fontId="90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  <xf numFmtId="9" fontId="2" fillId="0" borderId="0" applyFont="0" applyFill="0" applyBorder="0" applyAlignment="0" applyProtection="0">
      <alignment vertical="center"/>
    </xf>
    <xf numFmtId="0" fontId="59" fillId="0" borderId="0">
      <alignment vertical="center"/>
    </xf>
    <xf numFmtId="0" fontId="59" fillId="0" borderId="0">
      <alignment vertical="center"/>
    </xf>
    <xf numFmtId="0" fontId="59" fillId="0" borderId="0">
      <alignment vertical="center"/>
    </xf>
    <xf numFmtId="0" fontId="59" fillId="0" borderId="0">
      <alignment vertical="center"/>
    </xf>
    <xf numFmtId="0" fontId="59" fillId="0" borderId="0">
      <alignment vertical="center"/>
    </xf>
    <xf numFmtId="0" fontId="138" fillId="0" borderId="0"/>
    <xf numFmtId="0" fontId="59" fillId="0" borderId="0">
      <alignment vertical="center"/>
    </xf>
    <xf numFmtId="0" fontId="59" fillId="0" borderId="0">
      <alignment vertical="center"/>
    </xf>
    <xf numFmtId="0" fontId="59" fillId="0" borderId="0">
      <alignment vertical="center"/>
    </xf>
    <xf numFmtId="0" fontId="59" fillId="0" borderId="0">
      <alignment vertical="center"/>
    </xf>
    <xf numFmtId="0" fontId="2" fillId="0" borderId="0"/>
    <xf numFmtId="6" fontId="59" fillId="0" borderId="0" applyFont="0" applyFill="0" applyBorder="0" applyAlignment="0" applyProtection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43" fillId="0" borderId="0" applyNumberFormat="0" applyFill="0" applyBorder="0" applyAlignment="0" applyProtection="0">
      <alignment vertical="center"/>
    </xf>
    <xf numFmtId="0" fontId="245" fillId="0" borderId="0" applyNumberFormat="0" applyFill="0" applyBorder="0" applyAlignment="0" applyProtection="0">
      <alignment vertical="center"/>
    </xf>
  </cellStyleXfs>
  <cellXfs count="2039">
    <xf numFmtId="0" fontId="0" fillId="0" borderId="0" xfId="0">
      <alignment vertical="center"/>
    </xf>
    <xf numFmtId="0" fontId="4" fillId="0" borderId="0" xfId="0" applyFont="1">
      <alignment vertical="center"/>
    </xf>
    <xf numFmtId="179" fontId="4" fillId="0" borderId="0" xfId="0" applyNumberFormat="1" applyFont="1">
      <alignment vertical="center"/>
    </xf>
    <xf numFmtId="182" fontId="5" fillId="0" borderId="0" xfId="0" applyNumberFormat="1" applyFont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49" fontId="6" fillId="0" borderId="1" xfId="0" applyNumberFormat="1" applyFont="1" applyBorder="1" applyAlignment="1">
      <alignment horizontal="left" vertical="center"/>
    </xf>
    <xf numFmtId="0" fontId="6" fillId="0" borderId="0" xfId="0" applyFont="1">
      <alignment vertical="center"/>
    </xf>
    <xf numFmtId="178" fontId="6" fillId="0" borderId="1" xfId="0" applyNumberFormat="1" applyFont="1" applyBorder="1" applyAlignment="1">
      <alignment horizontal="right" vertical="center"/>
    </xf>
    <xf numFmtId="179" fontId="8" fillId="0" borderId="1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center"/>
    </xf>
    <xf numFmtId="179" fontId="6" fillId="0" borderId="1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187" fontId="6" fillId="0" borderId="1" xfId="0" applyNumberFormat="1" applyFont="1" applyBorder="1" applyAlignment="1"/>
    <xf numFmtId="0" fontId="8" fillId="0" borderId="1" xfId="0" applyFont="1" applyBorder="1" applyAlignment="1">
      <alignment horizontal="center"/>
    </xf>
    <xf numFmtId="0" fontId="6" fillId="0" borderId="0" xfId="0" applyFont="1" applyAlignment="1"/>
    <xf numFmtId="183" fontId="61" fillId="0" borderId="1" xfId="0" applyNumberFormat="1" applyFont="1" applyBorder="1" applyAlignment="1">
      <alignment horizontal="right" vertical="center"/>
    </xf>
    <xf numFmtId="0" fontId="6" fillId="0" borderId="1" xfId="0" applyFont="1" applyBorder="1" applyAlignment="1">
      <alignment horizontal="left" vertical="center"/>
    </xf>
    <xf numFmtId="0" fontId="6" fillId="0" borderId="1" xfId="0" applyFont="1" applyBorder="1" applyAlignment="1"/>
    <xf numFmtId="185" fontId="6" fillId="0" borderId="1" xfId="0" applyNumberFormat="1" applyFont="1" applyBorder="1">
      <alignment vertical="center"/>
    </xf>
    <xf numFmtId="0" fontId="6" fillId="0" borderId="1" xfId="0" applyFont="1" applyBorder="1" applyAlignment="1">
      <alignment horizontal="center" vertical="center"/>
    </xf>
    <xf numFmtId="189" fontId="61" fillId="0" borderId="1" xfId="0" applyNumberFormat="1" applyFont="1" applyBorder="1">
      <alignment vertical="center"/>
    </xf>
    <xf numFmtId="187" fontId="6" fillId="0" borderId="1" xfId="0" applyNumberFormat="1" applyFont="1" applyBorder="1" applyAlignment="1">
      <alignment horizontal="center"/>
    </xf>
    <xf numFmtId="0" fontId="63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78" fontId="61" fillId="0" borderId="1" xfId="0" applyNumberFormat="1" applyFont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178" fontId="4" fillId="0" borderId="1" xfId="0" applyNumberFormat="1" applyFont="1" applyBorder="1" applyAlignment="1">
      <alignment horizontal="right" vertical="center"/>
    </xf>
    <xf numFmtId="180" fontId="4" fillId="0" borderId="1" xfId="0" applyNumberFormat="1" applyFont="1" applyBorder="1" applyAlignment="1">
      <alignment horizontal="right" vertical="center"/>
    </xf>
    <xf numFmtId="190" fontId="12" fillId="0" borderId="1" xfId="0" applyNumberFormat="1" applyFont="1" applyBorder="1" applyAlignment="1">
      <alignment horizontal="center" vertical="center"/>
    </xf>
    <xf numFmtId="179" fontId="5" fillId="0" borderId="1" xfId="0" applyNumberFormat="1" applyFont="1" applyBorder="1" applyAlignment="1">
      <alignment horizontal="center" vertical="center" wrapText="1"/>
    </xf>
    <xf numFmtId="189" fontId="4" fillId="0" borderId="1" xfId="0" applyNumberFormat="1" applyFont="1" applyBorder="1">
      <alignment vertical="center"/>
    </xf>
    <xf numFmtId="180" fontId="6" fillId="0" borderId="1" xfId="0" applyNumberFormat="1" applyFont="1" applyBorder="1" applyAlignment="1">
      <alignment horizontal="right" vertical="center"/>
    </xf>
    <xf numFmtId="184" fontId="60" fillId="0" borderId="1" xfId="0" applyNumberFormat="1" applyFont="1" applyBorder="1" applyAlignment="1">
      <alignment horizontal="right" vertical="center"/>
    </xf>
    <xf numFmtId="176" fontId="6" fillId="0" borderId="1" xfId="0" applyNumberFormat="1" applyFont="1" applyBorder="1" applyAlignment="1">
      <alignment horizontal="center" vertical="center"/>
    </xf>
    <xf numFmtId="184" fontId="6" fillId="0" borderId="1" xfId="0" applyNumberFormat="1" applyFont="1" applyBorder="1" applyAlignment="1">
      <alignment horizontal="right" vertical="center"/>
    </xf>
    <xf numFmtId="189" fontId="6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187" fontId="5" fillId="0" borderId="1" xfId="0" applyNumberFormat="1" applyFont="1" applyBorder="1" applyAlignment="1">
      <alignment horizontal="center"/>
    </xf>
    <xf numFmtId="178" fontId="5" fillId="0" borderId="1" xfId="0" applyNumberFormat="1" applyFont="1" applyBorder="1" applyAlignment="1">
      <alignment horizontal="center" vertical="center"/>
    </xf>
    <xf numFmtId="178" fontId="64" fillId="0" borderId="1" xfId="0" applyNumberFormat="1" applyFont="1" applyBorder="1" applyAlignment="1">
      <alignment horizontal="right" vertical="center"/>
    </xf>
    <xf numFmtId="189" fontId="64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191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65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4" fillId="0" borderId="0" xfId="0" applyFont="1">
      <alignment vertical="center"/>
    </xf>
    <xf numFmtId="5" fontId="61" fillId="0" borderId="1" xfId="0" applyNumberFormat="1" applyFont="1" applyBorder="1">
      <alignment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left" vertical="center"/>
    </xf>
    <xf numFmtId="186" fontId="4" fillId="0" borderId="1" xfId="0" applyNumberFormat="1" applyFont="1" applyBorder="1">
      <alignment vertical="center"/>
    </xf>
    <xf numFmtId="192" fontId="4" fillId="0" borderId="1" xfId="0" applyNumberFormat="1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178" fontId="66" fillId="0" borderId="1" xfId="0" applyNumberFormat="1" applyFont="1" applyBorder="1" applyAlignment="1">
      <alignment horizontal="right" vertical="center"/>
    </xf>
    <xf numFmtId="178" fontId="61" fillId="0" borderId="1" xfId="0" applyNumberFormat="1" applyFont="1" applyBorder="1" applyAlignment="1">
      <alignment horizontal="right" vertical="center"/>
    </xf>
    <xf numFmtId="180" fontId="61" fillId="0" borderId="1" xfId="0" applyNumberFormat="1" applyFont="1" applyBorder="1" applyAlignment="1">
      <alignment horizontal="right" vertical="center"/>
    </xf>
    <xf numFmtId="194" fontId="4" fillId="0" borderId="1" xfId="0" applyNumberFormat="1" applyFont="1" applyBorder="1">
      <alignment vertical="center"/>
    </xf>
    <xf numFmtId="0" fontId="4" fillId="0" borderId="3" xfId="0" applyFont="1" applyBorder="1" applyAlignment="1">
      <alignment horizontal="center"/>
    </xf>
    <xf numFmtId="176" fontId="4" fillId="0" borderId="1" xfId="0" applyNumberFormat="1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188" fontId="4" fillId="0" borderId="1" xfId="0" applyNumberFormat="1" applyFont="1" applyBorder="1" applyAlignment="1"/>
    <xf numFmtId="196" fontId="4" fillId="0" borderId="1" xfId="0" applyNumberFormat="1" applyFont="1" applyBorder="1">
      <alignment vertical="center"/>
    </xf>
    <xf numFmtId="178" fontId="66" fillId="0" borderId="1" xfId="0" applyNumberFormat="1" applyFont="1" applyBorder="1" applyAlignment="1">
      <alignment horizontal="center" vertical="center"/>
    </xf>
    <xf numFmtId="189" fontId="61" fillId="0" borderId="1" xfId="0" applyNumberFormat="1" applyFont="1" applyBorder="1" applyAlignment="1">
      <alignment horizontal="center" vertical="center"/>
    </xf>
    <xf numFmtId="188" fontId="4" fillId="0" borderId="1" xfId="0" applyNumberFormat="1" applyFont="1" applyBorder="1" applyAlignment="1">
      <alignment horizontal="center"/>
    </xf>
    <xf numFmtId="178" fontId="4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191" fontId="4" fillId="0" borderId="1" xfId="0" applyNumberFormat="1" applyFont="1" applyBorder="1" applyAlignment="1">
      <alignment horizontal="center" vertical="center"/>
    </xf>
    <xf numFmtId="184" fontId="4" fillId="0" borderId="1" xfId="0" applyNumberFormat="1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49" fontId="16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178" fontId="62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/>
    </xf>
    <xf numFmtId="0" fontId="6" fillId="0" borderId="1" xfId="0" applyFont="1" applyBorder="1" applyAlignment="1">
      <alignment horizontal="right" vertical="center"/>
    </xf>
    <xf numFmtId="0" fontId="69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76" fontId="12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191" fontId="4" fillId="0" borderId="1" xfId="0" applyNumberFormat="1" applyFont="1" applyBorder="1" applyAlignment="1">
      <alignment horizontal="right" vertical="center"/>
    </xf>
    <xf numFmtId="0" fontId="17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76" fontId="18" fillId="0" borderId="1" xfId="0" applyNumberFormat="1" applyFont="1" applyBorder="1" applyAlignment="1">
      <alignment horizontal="center" vertical="center"/>
    </xf>
    <xf numFmtId="0" fontId="60" fillId="0" borderId="1" xfId="0" applyFont="1" applyBorder="1">
      <alignment vertical="center"/>
    </xf>
    <xf numFmtId="189" fontId="6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8" fillId="0" borderId="1" xfId="0" applyFont="1" applyBorder="1" applyAlignment="1">
      <alignment horizontal="center"/>
    </xf>
    <xf numFmtId="178" fontId="6" fillId="0" borderId="1" xfId="0" applyNumberFormat="1" applyFont="1" applyBorder="1" applyAlignment="1">
      <alignment horizontal="center" vertical="center"/>
    </xf>
    <xf numFmtId="49" fontId="20" fillId="3" borderId="1" xfId="0" applyNumberFormat="1" applyFont="1" applyFill="1" applyBorder="1" applyAlignment="1">
      <alignment horizontal="center" vertical="center" shrinkToFit="1"/>
    </xf>
    <xf numFmtId="200" fontId="17" fillId="0" borderId="1" xfId="0" applyNumberFormat="1" applyFont="1" applyBorder="1" applyAlignment="1">
      <alignment horizontal="center" vertical="center"/>
    </xf>
    <xf numFmtId="201" fontId="17" fillId="0" borderId="1" xfId="0" applyNumberFormat="1" applyFont="1" applyBorder="1" applyAlignment="1">
      <alignment horizontal="center" vertical="center"/>
    </xf>
    <xf numFmtId="0" fontId="21" fillId="0" borderId="6" xfId="0" applyFont="1" applyBorder="1" applyAlignment="1">
      <alignment horizontal="left" wrapText="1"/>
    </xf>
    <xf numFmtId="0" fontId="22" fillId="0" borderId="6" xfId="0" applyFont="1" applyBorder="1" applyAlignment="1">
      <alignment horizontal="left" wrapText="1"/>
    </xf>
    <xf numFmtId="0" fontId="21" fillId="0" borderId="6" xfId="0" applyFont="1" applyBorder="1" applyAlignment="1">
      <alignment horizontal="right" wrapText="1"/>
    </xf>
    <xf numFmtId="0" fontId="23" fillId="0" borderId="1" xfId="0" applyFont="1" applyBorder="1" applyAlignment="1">
      <alignment horizontal="center"/>
    </xf>
    <xf numFmtId="188" fontId="6" fillId="0" borderId="1" xfId="0" applyNumberFormat="1" applyFont="1" applyBorder="1" applyAlignment="1"/>
    <xf numFmtId="176" fontId="16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/>
    </xf>
    <xf numFmtId="49" fontId="6" fillId="0" borderId="1" xfId="0" applyNumberFormat="1" applyFont="1" applyBorder="1" applyAlignment="1">
      <alignment horizontal="center"/>
    </xf>
    <xf numFmtId="202" fontId="6" fillId="0" borderId="1" xfId="0" applyNumberFormat="1" applyFont="1" applyBorder="1" applyAlignment="1"/>
    <xf numFmtId="186" fontId="6" fillId="0" borderId="1" xfId="0" applyNumberFormat="1" applyFont="1" applyBorder="1">
      <alignment vertical="center"/>
    </xf>
    <xf numFmtId="191" fontId="6" fillId="0" borderId="1" xfId="0" applyNumberFormat="1" applyFont="1" applyBorder="1">
      <alignment vertical="center"/>
    </xf>
    <xf numFmtId="192" fontId="6" fillId="0" borderId="1" xfId="0" applyNumberFormat="1" applyFont="1" applyBorder="1">
      <alignment vertical="center"/>
    </xf>
    <xf numFmtId="0" fontId="6" fillId="0" borderId="3" xfId="0" applyFont="1" applyBorder="1" applyAlignment="1">
      <alignment horizontal="center"/>
    </xf>
    <xf numFmtId="190" fontId="16" fillId="0" borderId="1" xfId="0" applyNumberFormat="1" applyFont="1" applyBorder="1" applyAlignment="1">
      <alignment horizontal="center" vertical="center"/>
    </xf>
    <xf numFmtId="186" fontId="6" fillId="0" borderId="1" xfId="0" applyNumberFormat="1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right" vertical="center"/>
    </xf>
    <xf numFmtId="188" fontId="60" fillId="0" borderId="1" xfId="0" applyNumberFormat="1" applyFont="1" applyBorder="1" applyAlignment="1"/>
    <xf numFmtId="189" fontId="16" fillId="0" borderId="1" xfId="0" applyNumberFormat="1" applyFont="1" applyBorder="1" applyAlignment="1">
      <alignment horizontal="center" vertical="center"/>
    </xf>
    <xf numFmtId="189" fontId="16" fillId="0" borderId="1" xfId="0" applyNumberFormat="1" applyFont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185" fontId="61" fillId="0" borderId="1" xfId="0" applyNumberFormat="1" applyFont="1" applyBorder="1">
      <alignment vertical="center"/>
    </xf>
    <xf numFmtId="187" fontId="6" fillId="5" borderId="1" xfId="0" applyNumberFormat="1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 vertical="center"/>
    </xf>
    <xf numFmtId="49" fontId="6" fillId="0" borderId="0" xfId="0" applyNumberFormat="1" applyFont="1" applyAlignment="1">
      <alignment horizontal="left" vertical="center"/>
    </xf>
    <xf numFmtId="189" fontId="6" fillId="0" borderId="0" xfId="0" applyNumberFormat="1" applyFont="1">
      <alignment vertical="center"/>
    </xf>
    <xf numFmtId="191" fontId="69" fillId="0" borderId="1" xfId="0" applyNumberFormat="1" applyFont="1" applyBorder="1">
      <alignment vertical="center"/>
    </xf>
    <xf numFmtId="191" fontId="6" fillId="0" borderId="1" xfId="0" applyNumberFormat="1" applyFont="1" applyBorder="1" applyAlignment="1">
      <alignment horizontal="right" vertical="center"/>
    </xf>
    <xf numFmtId="176" fontId="9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right" vertical="center"/>
    </xf>
    <xf numFmtId="176" fontId="6" fillId="5" borderId="1" xfId="0" applyNumberFormat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183" fontId="6" fillId="0" borderId="1" xfId="0" applyNumberFormat="1" applyFont="1" applyBorder="1" applyAlignment="1">
      <alignment horizontal="right" vertical="center"/>
    </xf>
    <xf numFmtId="189" fontId="6" fillId="5" borderId="1" xfId="0" applyNumberFormat="1" applyFont="1" applyFill="1" applyBorder="1">
      <alignment vertical="center"/>
    </xf>
    <xf numFmtId="186" fontId="6" fillId="0" borderId="1" xfId="0" applyNumberFormat="1" applyFont="1" applyBorder="1" applyAlignment="1">
      <alignment horizontal="right" vertical="center"/>
    </xf>
    <xf numFmtId="190" fontId="12" fillId="5" borderId="1" xfId="0" applyNumberFormat="1" applyFont="1" applyFill="1" applyBorder="1" applyAlignment="1">
      <alignment horizontal="center" vertical="center"/>
    </xf>
    <xf numFmtId="179" fontId="77" fillId="5" borderId="1" xfId="0" applyNumberFormat="1" applyFont="1" applyFill="1" applyBorder="1" applyAlignment="1">
      <alignment horizontal="center" vertical="center" wrapText="1"/>
    </xf>
    <xf numFmtId="176" fontId="69" fillId="0" borderId="1" xfId="0" applyNumberFormat="1" applyFont="1" applyBorder="1" applyAlignment="1">
      <alignment horizontal="center" vertical="center"/>
    </xf>
    <xf numFmtId="189" fontId="6" fillId="0" borderId="1" xfId="0" applyNumberFormat="1" applyFont="1" applyBorder="1" applyAlignment="1">
      <alignment horizontal="right" vertical="center"/>
    </xf>
    <xf numFmtId="176" fontId="6" fillId="4" borderId="1" xfId="0" applyNumberFormat="1" applyFont="1" applyFill="1" applyBorder="1" applyAlignment="1">
      <alignment horizontal="center" vertical="center"/>
    </xf>
    <xf numFmtId="179" fontId="77" fillId="0" borderId="1" xfId="0" applyNumberFormat="1" applyFont="1" applyBorder="1" applyAlignment="1">
      <alignment horizontal="center" vertical="center" wrapText="1"/>
    </xf>
    <xf numFmtId="178" fontId="60" fillId="0" borderId="1" xfId="0" applyNumberFormat="1" applyFont="1" applyBorder="1" applyAlignment="1">
      <alignment horizontal="right" vertical="center"/>
    </xf>
    <xf numFmtId="180" fontId="60" fillId="0" borderId="1" xfId="0" applyNumberFormat="1" applyFont="1" applyBorder="1" applyAlignment="1">
      <alignment horizontal="right" vertical="center"/>
    </xf>
    <xf numFmtId="49" fontId="60" fillId="0" borderId="1" xfId="0" applyNumberFormat="1" applyFont="1" applyBorder="1" applyAlignment="1">
      <alignment horizontal="left" vertical="center"/>
    </xf>
    <xf numFmtId="0" fontId="60" fillId="0" borderId="0" xfId="0" applyFont="1">
      <alignment vertical="center"/>
    </xf>
    <xf numFmtId="179" fontId="78" fillId="0" borderId="1" xfId="0" applyNumberFormat="1" applyFont="1" applyBorder="1" applyAlignment="1">
      <alignment horizontal="center" vertical="center" wrapText="1"/>
    </xf>
    <xf numFmtId="49" fontId="6" fillId="5" borderId="1" xfId="0" applyNumberFormat="1" applyFont="1" applyFill="1" applyBorder="1" applyAlignment="1">
      <alignment horizontal="left" vertical="center"/>
    </xf>
    <xf numFmtId="178" fontId="61" fillId="5" borderId="1" xfId="0" applyNumberFormat="1" applyFont="1" applyFill="1" applyBorder="1" applyAlignment="1">
      <alignment horizontal="right" vertical="center"/>
    </xf>
    <xf numFmtId="0" fontId="6" fillId="5" borderId="0" xfId="0" applyFont="1" applyFill="1">
      <alignment vertical="center"/>
    </xf>
    <xf numFmtId="191" fontId="6" fillId="5" borderId="1" xfId="0" applyNumberFormat="1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5" fillId="5" borderId="1" xfId="0" applyFont="1" applyFill="1" applyBorder="1" applyAlignment="1">
      <alignment horizontal="center" vertical="center"/>
    </xf>
    <xf numFmtId="178" fontId="6" fillId="5" borderId="1" xfId="0" applyNumberFormat="1" applyFont="1" applyFill="1" applyBorder="1" applyAlignment="1">
      <alignment horizontal="right" vertical="center"/>
    </xf>
    <xf numFmtId="180" fontId="6" fillId="5" borderId="1" xfId="0" applyNumberFormat="1" applyFont="1" applyFill="1" applyBorder="1" applyAlignment="1">
      <alignment horizontal="right" vertical="center"/>
    </xf>
    <xf numFmtId="0" fontId="60" fillId="0" borderId="1" xfId="0" applyFont="1" applyBorder="1" applyAlignment="1">
      <alignment horizontal="center" vertical="center"/>
    </xf>
    <xf numFmtId="189" fontId="60" fillId="0" borderId="1" xfId="0" applyNumberFormat="1" applyFont="1" applyBorder="1">
      <alignment vertical="center"/>
    </xf>
    <xf numFmtId="185" fontId="6" fillId="0" borderId="0" xfId="0" applyNumberFormat="1" applyFont="1">
      <alignment vertical="center"/>
    </xf>
    <xf numFmtId="192" fontId="6" fillId="5" borderId="1" xfId="0" applyNumberFormat="1" applyFont="1" applyFill="1" applyBorder="1">
      <alignment vertical="center"/>
    </xf>
    <xf numFmtId="0" fontId="6" fillId="5" borderId="0" xfId="0" applyFont="1" applyFill="1" applyAlignment="1">
      <alignment horizontal="center" vertical="center"/>
    </xf>
    <xf numFmtId="0" fontId="0" fillId="0" borderId="1" xfId="0" applyBorder="1">
      <alignment vertical="center"/>
    </xf>
    <xf numFmtId="0" fontId="6" fillId="0" borderId="11" xfId="0" applyFont="1" applyBorder="1">
      <alignment vertical="center"/>
    </xf>
    <xf numFmtId="179" fontId="79" fillId="0" borderId="1" xfId="0" applyNumberFormat="1" applyFont="1" applyBorder="1" applyAlignment="1">
      <alignment horizontal="center" vertical="center" wrapText="1"/>
    </xf>
    <xf numFmtId="189" fontId="70" fillId="0" borderId="1" xfId="0" applyNumberFormat="1" applyFont="1" applyBorder="1" applyAlignment="1">
      <alignment horizontal="center" vertical="center"/>
    </xf>
    <xf numFmtId="0" fontId="80" fillId="0" borderId="0" xfId="0" applyFont="1">
      <alignment vertical="center"/>
    </xf>
    <xf numFmtId="187" fontId="6" fillId="0" borderId="1" xfId="0" applyNumberFormat="1" applyFont="1" applyBorder="1" applyAlignment="1">
      <alignment horizontal="right"/>
    </xf>
    <xf numFmtId="191" fontId="6" fillId="0" borderId="1" xfId="0" applyNumberFormat="1" applyFont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204" fontId="6" fillId="0" borderId="1" xfId="0" applyNumberFormat="1" applyFont="1" applyBorder="1" applyAlignment="1">
      <alignment horizontal="right" vertical="center"/>
    </xf>
    <xf numFmtId="176" fontId="17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30" fillId="4" borderId="1" xfId="0" applyFont="1" applyFill="1" applyBorder="1">
      <alignment vertical="center"/>
    </xf>
    <xf numFmtId="0" fontId="7" fillId="4" borderId="1" xfId="0" applyFont="1" applyFill="1" applyBorder="1" applyAlignment="1">
      <alignment horizontal="center" vertical="center"/>
    </xf>
    <xf numFmtId="176" fontId="61" fillId="4" borderId="0" xfId="0" applyNumberFormat="1" applyFont="1" applyFill="1" applyAlignment="1">
      <alignment horizontal="center" vertical="center"/>
    </xf>
    <xf numFmtId="177" fontId="7" fillId="4" borderId="1" xfId="0" applyNumberFormat="1" applyFont="1" applyFill="1" applyBorder="1" applyAlignment="1">
      <alignment horizontal="center" vertical="center"/>
    </xf>
    <xf numFmtId="178" fontId="6" fillId="4" borderId="1" xfId="0" applyNumberFormat="1" applyFont="1" applyFill="1" applyBorder="1" applyAlignment="1">
      <alignment horizontal="right" vertical="center"/>
    </xf>
    <xf numFmtId="184" fontId="61" fillId="4" borderId="1" xfId="0" applyNumberFormat="1" applyFont="1" applyFill="1" applyBorder="1" applyAlignment="1">
      <alignment horizontal="right" vertical="center"/>
    </xf>
    <xf numFmtId="181" fontId="62" fillId="4" borderId="1" xfId="0" applyNumberFormat="1" applyFont="1" applyFill="1" applyBorder="1" applyAlignment="1">
      <alignment horizontal="center" vertical="center"/>
    </xf>
    <xf numFmtId="179" fontId="61" fillId="4" borderId="1" xfId="0" applyNumberFormat="1" applyFont="1" applyFill="1" applyBorder="1" applyAlignment="1">
      <alignment horizontal="center" vertical="center"/>
    </xf>
    <xf numFmtId="0" fontId="81" fillId="0" borderId="10" xfId="0" applyFont="1" applyBorder="1" applyAlignment="1">
      <alignment horizontal="center" vertical="center"/>
    </xf>
    <xf numFmtId="0" fontId="4" fillId="4" borderId="0" xfId="0" applyFont="1" applyFill="1">
      <alignment vertical="center"/>
    </xf>
    <xf numFmtId="49" fontId="6" fillId="6" borderId="1" xfId="0" applyNumberFormat="1" applyFont="1" applyFill="1" applyBorder="1" applyAlignment="1">
      <alignment horizontal="left" vertical="center"/>
    </xf>
    <xf numFmtId="0" fontId="6" fillId="6" borderId="1" xfId="0" applyFont="1" applyFill="1" applyBorder="1">
      <alignment vertical="center"/>
    </xf>
    <xf numFmtId="0" fontId="65" fillId="6" borderId="1" xfId="0" applyFont="1" applyFill="1" applyBorder="1" applyAlignment="1">
      <alignment horizontal="center" vertical="center"/>
    </xf>
    <xf numFmtId="176" fontId="6" fillId="6" borderId="1" xfId="0" applyNumberFormat="1" applyFont="1" applyFill="1" applyBorder="1" applyAlignment="1">
      <alignment horizontal="center" vertical="center"/>
    </xf>
    <xf numFmtId="191" fontId="6" fillId="6" borderId="1" xfId="0" applyNumberFormat="1" applyFont="1" applyFill="1" applyBorder="1">
      <alignment vertical="center"/>
    </xf>
    <xf numFmtId="184" fontId="6" fillId="6" borderId="1" xfId="0" applyNumberFormat="1" applyFont="1" applyFill="1" applyBorder="1" applyAlignment="1">
      <alignment horizontal="right" vertical="center"/>
    </xf>
    <xf numFmtId="192" fontId="6" fillId="6" borderId="1" xfId="0" applyNumberFormat="1" applyFont="1" applyFill="1" applyBorder="1">
      <alignment vertical="center"/>
    </xf>
    <xf numFmtId="190" fontId="12" fillId="6" borderId="1" xfId="0" applyNumberFormat="1" applyFont="1" applyFill="1" applyBorder="1" applyAlignment="1">
      <alignment horizontal="center" vertical="center"/>
    </xf>
    <xf numFmtId="179" fontId="5" fillId="6" borderId="1" xfId="0" applyNumberFormat="1" applyFont="1" applyFill="1" applyBorder="1" applyAlignment="1">
      <alignment horizontal="center" vertical="center" wrapText="1"/>
    </xf>
    <xf numFmtId="179" fontId="77" fillId="6" borderId="1" xfId="0" applyNumberFormat="1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6" borderId="0" xfId="0" applyFont="1" applyFill="1">
      <alignment vertical="center"/>
    </xf>
    <xf numFmtId="189" fontId="6" fillId="6" borderId="1" xfId="0" applyNumberFormat="1" applyFont="1" applyFill="1" applyBorder="1">
      <alignment vertical="center"/>
    </xf>
    <xf numFmtId="206" fontId="6" fillId="6" borderId="1" xfId="0" applyNumberFormat="1" applyFont="1" applyFill="1" applyBorder="1">
      <alignment vertical="center"/>
    </xf>
    <xf numFmtId="0" fontId="0" fillId="0" borderId="0" xfId="0" applyAlignment="1">
      <alignment horizontal="center" vertical="center"/>
    </xf>
    <xf numFmtId="207" fontId="6" fillId="0" borderId="1" xfId="0" applyNumberFormat="1" applyFont="1" applyBorder="1" applyAlignment="1">
      <alignment horizontal="right" vertical="center"/>
    </xf>
    <xf numFmtId="196" fontId="6" fillId="0" borderId="1" xfId="0" applyNumberFormat="1" applyFont="1" applyBorder="1">
      <alignment vertical="center"/>
    </xf>
    <xf numFmtId="0" fontId="6" fillId="6" borderId="0" xfId="0" applyFont="1" applyFill="1" applyAlignment="1">
      <alignment horizontal="right" vertical="center"/>
    </xf>
    <xf numFmtId="0" fontId="4" fillId="6" borderId="0" xfId="0" applyFont="1" applyFill="1" applyAlignment="1">
      <alignment horizontal="right" vertical="center"/>
    </xf>
    <xf numFmtId="0" fontId="24" fillId="0" borderId="1" xfId="0" applyFont="1" applyBorder="1" applyAlignment="1">
      <alignment horizontal="center"/>
    </xf>
    <xf numFmtId="192" fontId="60" fillId="0" borderId="1" xfId="0" applyNumberFormat="1" applyFont="1" applyBorder="1">
      <alignment vertical="center"/>
    </xf>
    <xf numFmtId="179" fontId="73" fillId="0" borderId="1" xfId="0" quotePrefix="1" applyNumberFormat="1" applyFont="1" applyBorder="1" applyAlignment="1">
      <alignment horizontal="center" vertical="center"/>
    </xf>
    <xf numFmtId="189" fontId="6" fillId="4" borderId="1" xfId="0" applyNumberFormat="1" applyFont="1" applyFill="1" applyBorder="1">
      <alignment vertical="center"/>
    </xf>
    <xf numFmtId="189" fontId="6" fillId="6" borderId="1" xfId="0" applyNumberFormat="1" applyFont="1" applyFill="1" applyBorder="1" applyAlignment="1">
      <alignment horizontal="right" vertical="center"/>
    </xf>
    <xf numFmtId="49" fontId="6" fillId="7" borderId="1" xfId="0" applyNumberFormat="1" applyFont="1" applyFill="1" applyBorder="1" applyAlignment="1">
      <alignment horizontal="left" vertical="center"/>
    </xf>
    <xf numFmtId="0" fontId="6" fillId="7" borderId="1" xfId="0" applyFont="1" applyFill="1" applyBorder="1">
      <alignment vertical="center"/>
    </xf>
    <xf numFmtId="0" fontId="6" fillId="7" borderId="1" xfId="0" applyFont="1" applyFill="1" applyBorder="1" applyAlignment="1">
      <alignment horizontal="center" vertical="center"/>
    </xf>
    <xf numFmtId="184" fontId="6" fillId="7" borderId="1" xfId="0" applyNumberFormat="1" applyFont="1" applyFill="1" applyBorder="1" applyAlignment="1">
      <alignment horizontal="right" vertical="center"/>
    </xf>
    <xf numFmtId="190" fontId="12" fillId="7" borderId="1" xfId="0" applyNumberFormat="1" applyFont="1" applyFill="1" applyBorder="1" applyAlignment="1">
      <alignment horizontal="center" vertical="center"/>
    </xf>
    <xf numFmtId="179" fontId="77" fillId="7" borderId="1" xfId="0" applyNumberFormat="1" applyFont="1" applyFill="1" applyBorder="1" applyAlignment="1">
      <alignment horizontal="center" vertical="center" wrapText="1"/>
    </xf>
    <xf numFmtId="0" fontId="6" fillId="7" borderId="0" xfId="0" applyFont="1" applyFill="1">
      <alignment vertical="center"/>
    </xf>
    <xf numFmtId="0" fontId="5" fillId="0" borderId="1" xfId="0" applyFont="1" applyBorder="1" applyAlignment="1">
      <alignment horizontal="right" vertical="center"/>
    </xf>
    <xf numFmtId="3" fontId="6" fillId="6" borderId="0" xfId="0" applyNumberFormat="1" applyFont="1" applyFill="1" applyAlignment="1">
      <alignment horizontal="right" vertical="center"/>
    </xf>
    <xf numFmtId="176" fontId="6" fillId="9" borderId="1" xfId="0" applyNumberFormat="1" applyFont="1" applyFill="1" applyBorder="1" applyAlignment="1">
      <alignment horizontal="center" vertical="center"/>
    </xf>
    <xf numFmtId="0" fontId="6" fillId="4" borderId="0" xfId="0" applyFont="1" applyFill="1">
      <alignment vertical="center"/>
    </xf>
    <xf numFmtId="184" fontId="6" fillId="4" borderId="1" xfId="0" applyNumberFormat="1" applyFont="1" applyFill="1" applyBorder="1" applyAlignment="1">
      <alignment horizontal="right" vertical="center"/>
    </xf>
    <xf numFmtId="176" fontId="38" fillId="0" borderId="1" xfId="0" applyNumberFormat="1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6" borderId="0" xfId="0" applyFont="1" applyFill="1">
      <alignment vertical="center"/>
    </xf>
    <xf numFmtId="0" fontId="5" fillId="0" borderId="0" xfId="0" applyFont="1" applyAlignment="1">
      <alignment horizontal="justify" vertical="center"/>
    </xf>
    <xf numFmtId="0" fontId="39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178" fontId="6" fillId="6" borderId="1" xfId="0" applyNumberFormat="1" applyFont="1" applyFill="1" applyBorder="1" applyAlignment="1">
      <alignment horizontal="right" vertical="center"/>
    </xf>
    <xf numFmtId="189" fontId="6" fillId="0" borderId="12" xfId="0" applyNumberFormat="1" applyFont="1" applyBorder="1" applyAlignment="1">
      <alignment horizontal="center" vertical="center"/>
    </xf>
    <xf numFmtId="179" fontId="34" fillId="0" borderId="1" xfId="0" applyNumberFormat="1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/>
    </xf>
    <xf numFmtId="3" fontId="9" fillId="6" borderId="0" xfId="0" applyNumberFormat="1" applyFont="1" applyFill="1" applyAlignment="1">
      <alignment horizontal="right" vertical="center"/>
    </xf>
    <xf numFmtId="208" fontId="35" fillId="7" borderId="1" xfId="0" applyNumberFormat="1" applyFont="1" applyFill="1" applyBorder="1" applyAlignment="1">
      <alignment horizontal="center" wrapText="1"/>
    </xf>
    <xf numFmtId="193" fontId="33" fillId="0" borderId="1" xfId="0" applyNumberFormat="1" applyFont="1" applyBorder="1">
      <alignment vertical="center"/>
    </xf>
    <xf numFmtId="185" fontId="61" fillId="0" borderId="0" xfId="0" applyNumberFormat="1" applyFont="1">
      <alignment vertical="center"/>
    </xf>
    <xf numFmtId="185" fontId="61" fillId="0" borderId="0" xfId="0" applyNumberFormat="1" applyFont="1" applyAlignment="1">
      <alignment horizontal="center" vertical="center"/>
    </xf>
    <xf numFmtId="178" fontId="6" fillId="0" borderId="1" xfId="0" applyNumberFormat="1" applyFont="1" applyBorder="1" applyAlignment="1"/>
    <xf numFmtId="0" fontId="84" fillId="4" borderId="1" xfId="0" applyFont="1" applyFill="1" applyBorder="1" applyAlignment="1">
      <alignment horizontal="left" vertical="center"/>
    </xf>
    <xf numFmtId="49" fontId="35" fillId="7" borderId="1" xfId="0" applyNumberFormat="1" applyFont="1" applyFill="1" applyBorder="1" applyAlignment="1">
      <alignment horizontal="center"/>
    </xf>
    <xf numFmtId="178" fontId="63" fillId="0" borderId="1" xfId="0" applyNumberFormat="1" applyFont="1" applyBorder="1" applyAlignment="1">
      <alignment horizontal="right" vertical="center"/>
    </xf>
    <xf numFmtId="178" fontId="6" fillId="0" borderId="0" xfId="0" applyNumberFormat="1" applyFont="1" applyAlignment="1">
      <alignment horizontal="right" vertical="center"/>
    </xf>
    <xf numFmtId="180" fontId="6" fillId="0" borderId="0" xfId="0" applyNumberFormat="1" applyFont="1" applyAlignment="1">
      <alignment horizontal="right" vertical="center"/>
    </xf>
    <xf numFmtId="190" fontId="12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 wrapText="1"/>
    </xf>
    <xf numFmtId="179" fontId="77" fillId="0" borderId="0" xfId="0" applyNumberFormat="1" applyFont="1" applyAlignment="1">
      <alignment horizontal="center" vertical="center" wrapText="1"/>
    </xf>
    <xf numFmtId="0" fontId="34" fillId="4" borderId="0" xfId="0" applyFont="1" applyFill="1" applyAlignment="1">
      <alignment horizontal="center" vertical="center"/>
    </xf>
    <xf numFmtId="0" fontId="41" fillId="4" borderId="0" xfId="0" applyFont="1" applyFill="1" applyAlignment="1">
      <alignment horizontal="left" vertical="center"/>
    </xf>
    <xf numFmtId="0" fontId="16" fillId="4" borderId="0" xfId="0" applyFont="1" applyFill="1" applyAlignment="1">
      <alignment horizontal="center" vertical="center"/>
    </xf>
    <xf numFmtId="176" fontId="16" fillId="4" borderId="0" xfId="0" applyNumberFormat="1" applyFont="1" applyFill="1" applyAlignment="1">
      <alignment horizontal="center" vertical="center"/>
    </xf>
    <xf numFmtId="177" fontId="16" fillId="4" borderId="0" xfId="0" applyNumberFormat="1" applyFont="1" applyFill="1" applyAlignment="1">
      <alignment horizontal="center" vertical="center"/>
    </xf>
    <xf numFmtId="178" fontId="16" fillId="4" borderId="0" xfId="0" applyNumberFormat="1" applyFont="1" applyFill="1" applyAlignment="1">
      <alignment horizontal="right" vertical="center"/>
    </xf>
    <xf numFmtId="184" fontId="16" fillId="4" borderId="0" xfId="0" applyNumberFormat="1" applyFont="1" applyFill="1" applyAlignment="1">
      <alignment horizontal="right" vertical="center"/>
    </xf>
    <xf numFmtId="181" fontId="16" fillId="4" borderId="0" xfId="0" applyNumberFormat="1" applyFont="1" applyFill="1" applyAlignment="1">
      <alignment horizontal="center" vertical="center"/>
    </xf>
    <xf numFmtId="179" fontId="16" fillId="4" borderId="0" xfId="0" applyNumberFormat="1" applyFont="1" applyFill="1" applyAlignment="1">
      <alignment horizontal="center" vertical="center"/>
    </xf>
    <xf numFmtId="0" fontId="24" fillId="4" borderId="0" xfId="0" applyFont="1" applyFill="1" applyAlignment="1">
      <alignment horizontal="center"/>
    </xf>
    <xf numFmtId="0" fontId="0" fillId="7" borderId="17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185" fontId="61" fillId="0" borderId="12" xfId="0" applyNumberFormat="1" applyFont="1" applyBorder="1">
      <alignment vertical="center"/>
    </xf>
    <xf numFmtId="189" fontId="61" fillId="0" borderId="12" xfId="0" applyNumberFormat="1" applyFont="1" applyBorder="1">
      <alignment vertical="center"/>
    </xf>
    <xf numFmtId="189" fontId="6" fillId="0" borderId="12" xfId="0" applyNumberFormat="1" applyFont="1" applyBorder="1">
      <alignment vertical="center"/>
    </xf>
    <xf numFmtId="189" fontId="61" fillId="6" borderId="12" xfId="0" applyNumberFormat="1" applyFont="1" applyFill="1" applyBorder="1">
      <alignment vertical="center"/>
    </xf>
    <xf numFmtId="0" fontId="4" fillId="0" borderId="26" xfId="0" applyFont="1" applyBorder="1">
      <alignment vertical="center"/>
    </xf>
    <xf numFmtId="0" fontId="6" fillId="0" borderId="26" xfId="0" applyFont="1" applyBorder="1">
      <alignment vertical="center"/>
    </xf>
    <xf numFmtId="0" fontId="60" fillId="0" borderId="26" xfId="0" applyFont="1" applyBorder="1">
      <alignment vertical="center"/>
    </xf>
    <xf numFmtId="0" fontId="6" fillId="5" borderId="26" xfId="0" applyFont="1" applyFill="1" applyBorder="1">
      <alignment vertical="center"/>
    </xf>
    <xf numFmtId="0" fontId="6" fillId="0" borderId="26" xfId="0" applyFont="1" applyBorder="1" applyAlignment="1">
      <alignment horizontal="center" vertical="center"/>
    </xf>
    <xf numFmtId="0" fontId="6" fillId="0" borderId="26" xfId="0" applyFont="1" applyBorder="1" applyAlignment="1">
      <alignment horizontal="left" vertical="center"/>
    </xf>
    <xf numFmtId="0" fontId="6" fillId="7" borderId="26" xfId="0" applyFont="1" applyFill="1" applyBorder="1">
      <alignment vertical="center"/>
    </xf>
    <xf numFmtId="0" fontId="6" fillId="4" borderId="26" xfId="0" applyFont="1" applyFill="1" applyBorder="1">
      <alignment vertical="center"/>
    </xf>
    <xf numFmtId="0" fontId="4" fillId="0" borderId="27" xfId="0" applyFont="1" applyBorder="1">
      <alignment vertical="center"/>
    </xf>
    <xf numFmtId="185" fontId="61" fillId="0" borderId="28" xfId="0" applyNumberFormat="1" applyFont="1" applyBorder="1">
      <alignment vertical="center"/>
    </xf>
    <xf numFmtId="185" fontId="6" fillId="0" borderId="28" xfId="0" applyNumberFormat="1" applyFont="1" applyBorder="1">
      <alignment vertical="center"/>
    </xf>
    <xf numFmtId="185" fontId="69" fillId="0" borderId="28" xfId="0" applyNumberFormat="1" applyFont="1" applyBorder="1">
      <alignment vertical="center"/>
    </xf>
    <xf numFmtId="0" fontId="6" fillId="0" borderId="28" xfId="0" applyFont="1" applyBorder="1">
      <alignment vertical="center"/>
    </xf>
    <xf numFmtId="185" fontId="61" fillId="0" borderId="27" xfId="0" applyNumberFormat="1" applyFont="1" applyBorder="1">
      <alignment vertical="center"/>
    </xf>
    <xf numFmtId="185" fontId="6" fillId="0" borderId="27" xfId="0" applyNumberFormat="1" applyFont="1" applyBorder="1">
      <alignment vertical="center"/>
    </xf>
    <xf numFmtId="189" fontId="61" fillId="6" borderId="28" xfId="0" applyNumberFormat="1" applyFont="1" applyFill="1" applyBorder="1">
      <alignment vertical="center"/>
    </xf>
    <xf numFmtId="189" fontId="9" fillId="0" borderId="12" xfId="0" applyNumberFormat="1" applyFont="1" applyBorder="1" applyAlignment="1">
      <alignment horizontal="right" vertical="center"/>
    </xf>
    <xf numFmtId="0" fontId="6" fillId="0" borderId="26" xfId="0" applyFont="1" applyBorder="1" applyAlignment="1">
      <alignment horizontal="right" vertical="center"/>
    </xf>
    <xf numFmtId="0" fontId="6" fillId="6" borderId="26" xfId="0" applyFont="1" applyFill="1" applyBorder="1" applyAlignment="1">
      <alignment horizontal="center" vertical="center"/>
    </xf>
    <xf numFmtId="0" fontId="6" fillId="6" borderId="26" xfId="0" applyFont="1" applyFill="1" applyBorder="1" applyAlignment="1">
      <alignment horizontal="right" vertical="center"/>
    </xf>
    <xf numFmtId="0" fontId="60" fillId="0" borderId="0" xfId="0" applyFont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60" fillId="0" borderId="26" xfId="0" applyFont="1" applyBorder="1" applyAlignment="1">
      <alignment horizontal="center" vertical="center"/>
    </xf>
    <xf numFmtId="0" fontId="6" fillId="7" borderId="26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4" fillId="4" borderId="26" xfId="0" applyFont="1" applyFill="1" applyBorder="1">
      <alignment vertical="center"/>
    </xf>
    <xf numFmtId="49" fontId="16" fillId="4" borderId="0" xfId="0" applyNumberFormat="1" applyFont="1" applyFill="1" applyAlignment="1">
      <alignment horizontal="center" vertical="center"/>
    </xf>
    <xf numFmtId="187" fontId="35" fillId="7" borderId="1" xfId="0" applyNumberFormat="1" applyFont="1" applyFill="1" applyBorder="1" applyAlignment="1">
      <alignment horizontal="center"/>
    </xf>
    <xf numFmtId="208" fontId="35" fillId="7" borderId="1" xfId="0" applyNumberFormat="1" applyFont="1" applyFill="1" applyBorder="1" applyAlignment="1">
      <alignment horizontal="center"/>
    </xf>
    <xf numFmtId="0" fontId="6" fillId="5" borderId="0" xfId="0" applyFont="1" applyFill="1" applyAlignment="1">
      <alignment horizontal="right" vertical="center"/>
    </xf>
    <xf numFmtId="0" fontId="6" fillId="7" borderId="0" xfId="0" applyFont="1" applyFill="1" applyAlignment="1">
      <alignment horizontal="right" vertical="center"/>
    </xf>
    <xf numFmtId="179" fontId="41" fillId="0" borderId="1" xfId="0" applyNumberFormat="1" applyFont="1" applyBorder="1" applyAlignment="1">
      <alignment horizontal="center" vertical="center" wrapText="1"/>
    </xf>
    <xf numFmtId="179" fontId="41" fillId="4" borderId="0" xfId="0" applyNumberFormat="1" applyFont="1" applyFill="1" applyAlignment="1">
      <alignment horizontal="center" vertical="center"/>
    </xf>
    <xf numFmtId="191" fontId="17" fillId="0" borderId="1" xfId="0" applyNumberFormat="1" applyFont="1" applyBorder="1" applyAlignment="1">
      <alignment horizontal="center" vertical="center"/>
    </xf>
    <xf numFmtId="192" fontId="17" fillId="0" borderId="1" xfId="0" applyNumberFormat="1" applyFont="1" applyBorder="1" applyAlignment="1">
      <alignment horizontal="center" vertical="center"/>
    </xf>
    <xf numFmtId="178" fontId="17" fillId="0" borderId="1" xfId="0" applyNumberFormat="1" applyFont="1" applyBorder="1" applyAlignment="1">
      <alignment horizontal="center" vertical="center"/>
    </xf>
    <xf numFmtId="189" fontId="17" fillId="0" borderId="1" xfId="0" applyNumberFormat="1" applyFont="1" applyBorder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92" fontId="6" fillId="7" borderId="1" xfId="0" applyNumberFormat="1" applyFont="1" applyFill="1" applyBorder="1">
      <alignment vertical="center"/>
    </xf>
    <xf numFmtId="189" fontId="6" fillId="7" borderId="1" xfId="0" applyNumberFormat="1" applyFont="1" applyFill="1" applyBorder="1">
      <alignment vertical="center"/>
    </xf>
    <xf numFmtId="179" fontId="5" fillId="7" borderId="1" xfId="0" applyNumberFormat="1" applyFont="1" applyFill="1" applyBorder="1" applyAlignment="1">
      <alignment horizontal="center" vertical="center" wrapText="1"/>
    </xf>
    <xf numFmtId="176" fontId="6" fillId="0" borderId="0" xfId="0" applyNumberFormat="1" applyFont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178" fontId="6" fillId="0" borderId="21" xfId="0" applyNumberFormat="1" applyFont="1" applyBorder="1" applyAlignment="1">
      <alignment horizontal="right" vertical="center"/>
    </xf>
    <xf numFmtId="187" fontId="35" fillId="7" borderId="1" xfId="0" applyNumberFormat="1" applyFont="1" applyFill="1" applyBorder="1" applyAlignment="1">
      <alignment horizontal="center" vertical="center"/>
    </xf>
    <xf numFmtId="208" fontId="35" fillId="7" borderId="1" xfId="0" applyNumberFormat="1" applyFont="1" applyFill="1" applyBorder="1" applyAlignment="1">
      <alignment horizontal="center" vertical="center"/>
    </xf>
    <xf numFmtId="208" fontId="35" fillId="7" borderId="1" xfId="0" applyNumberFormat="1" applyFont="1" applyFill="1" applyBorder="1" applyAlignment="1">
      <alignment horizontal="center" vertical="center" wrapText="1"/>
    </xf>
    <xf numFmtId="209" fontId="35" fillId="7" borderId="1" xfId="0" applyNumberFormat="1" applyFont="1" applyFill="1" applyBorder="1" applyAlignment="1">
      <alignment horizontal="center" vertical="center" wrapText="1"/>
    </xf>
    <xf numFmtId="193" fontId="33" fillId="7" borderId="1" xfId="0" applyNumberFormat="1" applyFont="1" applyFill="1" applyBorder="1">
      <alignment vertical="center"/>
    </xf>
    <xf numFmtId="0" fontId="79" fillId="0" borderId="1" xfId="0" applyFont="1" applyBorder="1" applyAlignment="1">
      <alignment horizontal="center" vertical="center"/>
    </xf>
    <xf numFmtId="49" fontId="35" fillId="7" borderId="1" xfId="0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176" fontId="16" fillId="6" borderId="1" xfId="0" applyNumberFormat="1" applyFont="1" applyFill="1" applyBorder="1" applyAlignment="1">
      <alignment horizontal="right" vertical="center"/>
    </xf>
    <xf numFmtId="0" fontId="4" fillId="12" borderId="0" xfId="0" applyFont="1" applyFill="1">
      <alignment vertical="center"/>
    </xf>
    <xf numFmtId="0" fontId="4" fillId="12" borderId="0" xfId="0" applyFont="1" applyFill="1" applyAlignment="1">
      <alignment horizontal="center" vertical="center"/>
    </xf>
    <xf numFmtId="49" fontId="6" fillId="12" borderId="1" xfId="0" applyNumberFormat="1" applyFont="1" applyFill="1" applyBorder="1" applyAlignment="1">
      <alignment horizontal="left" vertical="center"/>
    </xf>
    <xf numFmtId="189" fontId="6" fillId="12" borderId="12" xfId="0" applyNumberFormat="1" applyFont="1" applyFill="1" applyBorder="1" applyAlignment="1">
      <alignment horizontal="right" vertical="center"/>
    </xf>
    <xf numFmtId="189" fontId="61" fillId="12" borderId="28" xfId="0" applyNumberFormat="1" applyFont="1" applyFill="1" applyBorder="1">
      <alignment vertical="center"/>
    </xf>
    <xf numFmtId="0" fontId="6" fillId="12" borderId="26" xfId="0" applyFont="1" applyFill="1" applyBorder="1" applyAlignment="1">
      <alignment horizontal="center" vertical="center"/>
    </xf>
    <xf numFmtId="176" fontId="6" fillId="6" borderId="1" xfId="0" applyNumberFormat="1" applyFont="1" applyFill="1" applyBorder="1" applyAlignment="1">
      <alignment horizontal="right" vertical="center"/>
    </xf>
    <xf numFmtId="0" fontId="35" fillId="7" borderId="1" xfId="0" applyFont="1" applyFill="1" applyBorder="1" applyAlignment="1">
      <alignment horizontal="center" vertical="center"/>
    </xf>
    <xf numFmtId="0" fontId="35" fillId="0" borderId="0" xfId="0" applyFont="1">
      <alignment vertical="center"/>
    </xf>
    <xf numFmtId="187" fontId="6" fillId="0" borderId="21" xfId="0" applyNumberFormat="1" applyFont="1" applyBorder="1" applyAlignment="1"/>
    <xf numFmtId="180" fontId="6" fillId="0" borderId="21" xfId="0" applyNumberFormat="1" applyFont="1" applyBorder="1" applyAlignment="1">
      <alignment horizontal="right" vertical="center"/>
    </xf>
    <xf numFmtId="191" fontId="6" fillId="0" borderId="21" xfId="0" applyNumberFormat="1" applyFont="1" applyBorder="1">
      <alignment vertical="center"/>
    </xf>
    <xf numFmtId="206" fontId="6" fillId="0" borderId="1" xfId="0" applyNumberFormat="1" applyFont="1" applyBorder="1">
      <alignment vertical="center"/>
    </xf>
    <xf numFmtId="193" fontId="6" fillId="0" borderId="0" xfId="0" applyNumberFormat="1" applyFont="1">
      <alignment vertical="center"/>
    </xf>
    <xf numFmtId="185" fontId="9" fillId="0" borderId="28" xfId="0" applyNumberFormat="1" applyFont="1" applyBorder="1">
      <alignment vertical="center"/>
    </xf>
    <xf numFmtId="0" fontId="9" fillId="0" borderId="26" xfId="0" applyFont="1" applyBorder="1" applyAlignment="1">
      <alignment horizontal="center" vertical="center"/>
    </xf>
    <xf numFmtId="0" fontId="89" fillId="0" borderId="0" xfId="0" applyFont="1">
      <alignment vertical="center"/>
    </xf>
    <xf numFmtId="49" fontId="5" fillId="6" borderId="1" xfId="0" applyNumberFormat="1" applyFont="1" applyFill="1" applyBorder="1" applyAlignment="1">
      <alignment horizontal="left" vertical="center"/>
    </xf>
    <xf numFmtId="3" fontId="6" fillId="12" borderId="26" xfId="0" applyNumberFormat="1" applyFont="1" applyFill="1" applyBorder="1" applyAlignment="1">
      <alignment horizontal="right" vertical="center"/>
    </xf>
    <xf numFmtId="3" fontId="6" fillId="12" borderId="0" xfId="0" applyNumberFormat="1" applyFont="1" applyFill="1" applyAlignment="1">
      <alignment horizontal="right" vertical="center"/>
    </xf>
    <xf numFmtId="0" fontId="5" fillId="0" borderId="0" xfId="0" applyFont="1">
      <alignment vertical="center"/>
    </xf>
    <xf numFmtId="189" fontId="6" fillId="6" borderId="1" xfId="0" applyNumberFormat="1" applyFont="1" applyFill="1" applyBorder="1" applyAlignment="1">
      <alignment horizontal="center" vertical="center"/>
    </xf>
    <xf numFmtId="179" fontId="34" fillId="5" borderId="1" xfId="0" applyNumberFormat="1" applyFont="1" applyFill="1" applyBorder="1" applyAlignment="1">
      <alignment horizontal="center" vertical="center" wrapText="1"/>
    </xf>
    <xf numFmtId="189" fontId="14" fillId="6" borderId="1" xfId="0" applyNumberFormat="1" applyFont="1" applyFill="1" applyBorder="1" applyAlignment="1">
      <alignment horizontal="right" vertical="center"/>
    </xf>
    <xf numFmtId="206" fontId="6" fillId="0" borderId="1" xfId="0" applyNumberFormat="1" applyFont="1" applyBorder="1" applyAlignment="1">
      <alignment horizontal="right" vertical="center"/>
    </xf>
    <xf numFmtId="189" fontId="61" fillId="6" borderId="1" xfId="0" applyNumberFormat="1" applyFont="1" applyFill="1" applyBorder="1">
      <alignment vertical="center"/>
    </xf>
    <xf numFmtId="0" fontId="18" fillId="10" borderId="31" xfId="0" applyFont="1" applyFill="1" applyBorder="1">
      <alignment vertical="center"/>
    </xf>
    <xf numFmtId="0" fontId="91" fillId="0" borderId="0" xfId="0" applyFont="1">
      <alignment vertical="center"/>
    </xf>
    <xf numFmtId="49" fontId="6" fillId="6" borderId="1" xfId="0" applyNumberFormat="1" applyFont="1" applyFill="1" applyBorder="1" applyAlignment="1">
      <alignment horizontal="center" vertical="center"/>
    </xf>
    <xf numFmtId="206" fontId="9" fillId="0" borderId="1" xfId="0" applyNumberFormat="1" applyFont="1" applyBorder="1" applyAlignment="1">
      <alignment horizontal="right" vertical="center"/>
    </xf>
    <xf numFmtId="188" fontId="6" fillId="0" borderId="1" xfId="0" applyNumberFormat="1" applyFont="1" applyBorder="1">
      <alignment vertical="center"/>
    </xf>
    <xf numFmtId="185" fontId="68" fillId="0" borderId="27" xfId="0" applyNumberFormat="1" applyFont="1" applyBorder="1">
      <alignment vertical="center"/>
    </xf>
    <xf numFmtId="188" fontId="6" fillId="7" borderId="1" xfId="0" applyNumberFormat="1" applyFont="1" applyFill="1" applyBorder="1" applyAlignment="1"/>
    <xf numFmtId="178" fontId="6" fillId="7" borderId="1" xfId="0" applyNumberFormat="1" applyFont="1" applyFill="1" applyBorder="1" applyAlignment="1">
      <alignment horizontal="right" vertical="center"/>
    </xf>
    <xf numFmtId="180" fontId="6" fillId="7" borderId="1" xfId="0" applyNumberFormat="1" applyFont="1" applyFill="1" applyBorder="1" applyAlignment="1">
      <alignment horizontal="right" vertical="center"/>
    </xf>
    <xf numFmtId="189" fontId="16" fillId="7" borderId="1" xfId="0" applyNumberFormat="1" applyFont="1" applyFill="1" applyBorder="1" applyAlignment="1">
      <alignment horizontal="center" vertical="center"/>
    </xf>
    <xf numFmtId="206" fontId="6" fillId="7" borderId="13" xfId="0" applyNumberFormat="1" applyFont="1" applyFill="1" applyBorder="1" applyAlignment="1">
      <alignment horizontal="right" vertical="center"/>
    </xf>
    <xf numFmtId="206" fontId="6" fillId="7" borderId="1" xfId="0" applyNumberFormat="1" applyFont="1" applyFill="1" applyBorder="1">
      <alignment vertical="center"/>
    </xf>
    <xf numFmtId="185" fontId="6" fillId="7" borderId="1" xfId="0" applyNumberFormat="1" applyFont="1" applyFill="1" applyBorder="1">
      <alignment vertical="center"/>
    </xf>
    <xf numFmtId="185" fontId="9" fillId="0" borderId="28" xfId="0" applyNumberFormat="1" applyFont="1" applyBorder="1" applyAlignment="1">
      <alignment horizontal="left" vertical="center"/>
    </xf>
    <xf numFmtId="206" fontId="6" fillId="0" borderId="0" xfId="0" applyNumberFormat="1" applyFont="1" applyAlignment="1">
      <alignment horizontal="right" vertical="center"/>
    </xf>
    <xf numFmtId="49" fontId="47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184" fontId="5" fillId="0" borderId="1" xfId="0" applyNumberFormat="1" applyFont="1" applyBorder="1" applyAlignment="1">
      <alignment horizontal="right" vertical="center"/>
    </xf>
    <xf numFmtId="0" fontId="48" fillId="0" borderId="1" xfId="0" applyFont="1" applyBorder="1" applyAlignment="1">
      <alignment horizontal="center" vertical="center"/>
    </xf>
    <xf numFmtId="191" fontId="5" fillId="0" borderId="1" xfId="0" applyNumberFormat="1" applyFont="1" applyBorder="1">
      <alignment vertical="center"/>
    </xf>
    <xf numFmtId="192" fontId="5" fillId="0" borderId="1" xfId="0" applyNumberFormat="1" applyFont="1" applyBorder="1">
      <alignment vertical="center"/>
    </xf>
    <xf numFmtId="178" fontId="5" fillId="0" borderId="1" xfId="0" applyNumberFormat="1" applyFont="1" applyBorder="1" applyAlignment="1">
      <alignment horizontal="right" vertical="center"/>
    </xf>
    <xf numFmtId="206" fontId="61" fillId="0" borderId="1" xfId="0" applyNumberFormat="1" applyFont="1" applyBorder="1">
      <alignment vertical="center"/>
    </xf>
    <xf numFmtId="193" fontId="6" fillId="0" borderId="0" xfId="0" applyNumberFormat="1" applyFont="1" applyAlignment="1">
      <alignment horizontal="right" vertical="center"/>
    </xf>
    <xf numFmtId="189" fontId="5" fillId="0" borderId="1" xfId="0" applyNumberFormat="1" applyFont="1" applyBorder="1" applyAlignment="1">
      <alignment horizontal="center" vertical="center"/>
    </xf>
    <xf numFmtId="0" fontId="47" fillId="0" borderId="1" xfId="0" applyFont="1" applyBorder="1" applyAlignment="1">
      <alignment horizontal="center" vertical="center" shrinkToFit="1"/>
    </xf>
    <xf numFmtId="0" fontId="47" fillId="0" borderId="1" xfId="0" applyFont="1" applyBorder="1" applyAlignment="1">
      <alignment horizontal="center" vertical="center" wrapText="1" shrinkToFit="1"/>
    </xf>
    <xf numFmtId="0" fontId="95" fillId="0" borderId="1" xfId="0" applyFont="1" applyBorder="1" applyAlignment="1">
      <alignment horizontal="center" vertical="center" wrapText="1"/>
    </xf>
    <xf numFmtId="206" fontId="95" fillId="0" borderId="1" xfId="0" applyNumberFormat="1" applyFont="1" applyBorder="1" applyAlignment="1">
      <alignment horizontal="right" vertical="center" wrapText="1"/>
    </xf>
    <xf numFmtId="0" fontId="34" fillId="0" borderId="1" xfId="0" applyFont="1" applyBorder="1" applyAlignment="1">
      <alignment horizontal="center" vertical="center"/>
    </xf>
    <xf numFmtId="189" fontId="60" fillId="0" borderId="1" xfId="0" applyNumberFormat="1" applyFont="1" applyBorder="1" applyAlignment="1">
      <alignment horizontal="center" vertical="center"/>
    </xf>
    <xf numFmtId="0" fontId="6" fillId="5" borderId="1" xfId="0" applyFont="1" applyFill="1" applyBorder="1" applyAlignment="1">
      <alignment horizontal="left" vertical="center"/>
    </xf>
    <xf numFmtId="186" fontId="6" fillId="5" borderId="1" xfId="0" applyNumberFormat="1" applyFont="1" applyFill="1" applyBorder="1">
      <alignment vertical="center"/>
    </xf>
    <xf numFmtId="0" fontId="6" fillId="5" borderId="1" xfId="0" applyFont="1" applyFill="1" applyBorder="1" applyAlignment="1">
      <alignment horizontal="center"/>
    </xf>
    <xf numFmtId="179" fontId="5" fillId="5" borderId="1" xfId="0" applyNumberFormat="1" applyFont="1" applyFill="1" applyBorder="1" applyAlignment="1">
      <alignment horizontal="center" vertical="center" wrapText="1"/>
    </xf>
    <xf numFmtId="180" fontId="61" fillId="5" borderId="1" xfId="0" applyNumberFormat="1" applyFont="1" applyFill="1" applyBorder="1" applyAlignment="1">
      <alignment horizontal="right" vertical="center"/>
    </xf>
    <xf numFmtId="189" fontId="61" fillId="5" borderId="1" xfId="0" applyNumberFormat="1" applyFont="1" applyFill="1" applyBorder="1">
      <alignment vertical="center"/>
    </xf>
    <xf numFmtId="189" fontId="16" fillId="5" borderId="1" xfId="0" applyNumberFormat="1" applyFont="1" applyFill="1" applyBorder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0" fontId="5" fillId="0" borderId="1" xfId="0" applyFont="1" applyBorder="1" applyAlignment="1"/>
    <xf numFmtId="0" fontId="69" fillId="0" borderId="28" xfId="0" applyFont="1" applyBorder="1" applyAlignment="1">
      <alignment horizontal="right" vertical="center"/>
    </xf>
    <xf numFmtId="0" fontId="6" fillId="5" borderId="3" xfId="0" applyFont="1" applyFill="1" applyBorder="1" applyAlignment="1">
      <alignment horizontal="center"/>
    </xf>
    <xf numFmtId="179" fontId="97" fillId="5" borderId="1" xfId="0" applyNumberFormat="1" applyFont="1" applyFill="1" applyBorder="1" applyAlignment="1">
      <alignment horizontal="center" vertical="center" wrapText="1"/>
    </xf>
    <xf numFmtId="206" fontId="6" fillId="5" borderId="1" xfId="0" applyNumberFormat="1" applyFont="1" applyFill="1" applyBorder="1">
      <alignment vertical="center"/>
    </xf>
    <xf numFmtId="0" fontId="4" fillId="5" borderId="0" xfId="0" applyFont="1" applyFill="1" applyAlignment="1">
      <alignment horizontal="center" vertical="center"/>
    </xf>
    <xf numFmtId="184" fontId="6" fillId="5" borderId="1" xfId="0" applyNumberFormat="1" applyFont="1" applyFill="1" applyBorder="1" applyAlignment="1">
      <alignment horizontal="right" vertical="center"/>
    </xf>
    <xf numFmtId="0" fontId="4" fillId="5" borderId="0" xfId="0" applyFont="1" applyFill="1" applyAlignment="1">
      <alignment horizontal="right" vertical="center"/>
    </xf>
    <xf numFmtId="0" fontId="4" fillId="5" borderId="0" xfId="0" applyFont="1" applyFill="1">
      <alignment vertical="center"/>
    </xf>
    <xf numFmtId="0" fontId="63" fillId="4" borderId="26" xfId="0" applyFont="1" applyFill="1" applyBorder="1" applyAlignment="1">
      <alignment horizontal="center" vertical="center"/>
    </xf>
    <xf numFmtId="189" fontId="5" fillId="0" borderId="1" xfId="0" applyNumberFormat="1" applyFont="1" applyBorder="1" applyAlignment="1">
      <alignment horizontal="right" vertical="center"/>
    </xf>
    <xf numFmtId="0" fontId="5" fillId="0" borderId="1" xfId="0" applyFont="1" applyBorder="1">
      <alignment vertical="center"/>
    </xf>
    <xf numFmtId="49" fontId="69" fillId="6" borderId="1" xfId="0" applyNumberFormat="1" applyFont="1" applyFill="1" applyBorder="1" applyAlignment="1">
      <alignment horizontal="left" vertical="center"/>
    </xf>
    <xf numFmtId="179" fontId="32" fillId="0" borderId="1" xfId="0" applyNumberFormat="1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206" fontId="6" fillId="0" borderId="13" xfId="0" applyNumberFormat="1" applyFont="1" applyBorder="1" applyAlignment="1">
      <alignment horizontal="right" vertical="center"/>
    </xf>
    <xf numFmtId="0" fontId="92" fillId="0" borderId="1" xfId="0" applyFont="1" applyBorder="1" applyAlignment="1">
      <alignment horizontal="center" vertical="center" wrapText="1"/>
    </xf>
    <xf numFmtId="0" fontId="98" fillId="0" borderId="0" xfId="0" applyFont="1">
      <alignment vertical="center"/>
    </xf>
    <xf numFmtId="0" fontId="9" fillId="0" borderId="26" xfId="0" applyFont="1" applyBorder="1" applyAlignment="1">
      <alignment horizontal="right" vertical="center"/>
    </xf>
    <xf numFmtId="189" fontId="41" fillId="0" borderId="1" xfId="0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50" fillId="0" borderId="0" xfId="0" applyFont="1">
      <alignment vertical="center"/>
    </xf>
    <xf numFmtId="0" fontId="5" fillId="0" borderId="15" xfId="0" applyFont="1" applyBorder="1" applyAlignment="1">
      <alignment horizontal="center" vertical="center"/>
    </xf>
    <xf numFmtId="0" fontId="65" fillId="0" borderId="1" xfId="0" applyFont="1" applyBorder="1" applyAlignment="1">
      <alignment horizontal="left" vertical="center"/>
    </xf>
    <xf numFmtId="0" fontId="98" fillId="0" borderId="0" xfId="0" applyFont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213" fontId="6" fillId="0" borderId="0" xfId="0" applyNumberFormat="1" applyFont="1">
      <alignment vertical="center"/>
    </xf>
    <xf numFmtId="189" fontId="39" fillId="0" borderId="1" xfId="0" applyNumberFormat="1" applyFont="1" applyBorder="1" applyAlignment="1">
      <alignment horizontal="center" vertical="center"/>
    </xf>
    <xf numFmtId="179" fontId="93" fillId="0" borderId="1" xfId="0" applyNumberFormat="1" applyFont="1" applyBorder="1" applyAlignment="1">
      <alignment horizontal="center" vertical="center" wrapText="1"/>
    </xf>
    <xf numFmtId="183" fontId="6" fillId="0" borderId="1" xfId="0" applyNumberFormat="1" applyFont="1" applyBorder="1">
      <alignment vertical="center"/>
    </xf>
    <xf numFmtId="192" fontId="69" fillId="0" borderId="1" xfId="0" applyNumberFormat="1" applyFont="1" applyBorder="1">
      <alignment vertical="center"/>
    </xf>
    <xf numFmtId="0" fontId="103" fillId="0" borderId="0" xfId="0" applyFont="1">
      <alignment vertical="center"/>
    </xf>
    <xf numFmtId="0" fontId="104" fillId="0" borderId="40" xfId="0" applyFont="1" applyBorder="1">
      <alignment vertical="center"/>
    </xf>
    <xf numFmtId="0" fontId="104" fillId="0" borderId="41" xfId="0" applyFont="1" applyBorder="1">
      <alignment vertical="center"/>
    </xf>
    <xf numFmtId="0" fontId="103" fillId="0" borderId="41" xfId="0" applyFont="1" applyBorder="1">
      <alignment vertical="center"/>
    </xf>
    <xf numFmtId="0" fontId="104" fillId="0" borderId="42" xfId="0" applyFont="1" applyBorder="1">
      <alignment vertical="center"/>
    </xf>
    <xf numFmtId="0" fontId="104" fillId="0" borderId="43" xfId="0" applyFont="1" applyBorder="1">
      <alignment vertical="center"/>
    </xf>
    <xf numFmtId="0" fontId="104" fillId="0" borderId="44" xfId="0" applyFont="1" applyBorder="1">
      <alignment vertical="center"/>
    </xf>
    <xf numFmtId="0" fontId="103" fillId="0" borderId="0" xfId="0" applyFont="1" applyAlignment="1">
      <alignment horizontal="center" vertical="center"/>
    </xf>
    <xf numFmtId="0" fontId="105" fillId="0" borderId="45" xfId="0" applyFont="1" applyBorder="1">
      <alignment vertical="center"/>
    </xf>
    <xf numFmtId="214" fontId="103" fillId="0" borderId="46" xfId="0" applyNumberFormat="1" applyFont="1" applyBorder="1">
      <alignment vertical="center"/>
    </xf>
    <xf numFmtId="0" fontId="103" fillId="0" borderId="47" xfId="0" applyFont="1" applyBorder="1">
      <alignment vertical="center"/>
    </xf>
    <xf numFmtId="0" fontId="103" fillId="0" borderId="48" xfId="0" applyFont="1" applyBorder="1">
      <alignment vertical="center"/>
    </xf>
    <xf numFmtId="0" fontId="103" fillId="0" borderId="49" xfId="0" applyFont="1" applyBorder="1">
      <alignment vertical="center"/>
    </xf>
    <xf numFmtId="0" fontId="103" fillId="0" borderId="46" xfId="0" applyFont="1" applyBorder="1">
      <alignment vertical="center"/>
    </xf>
    <xf numFmtId="0" fontId="103" fillId="0" borderId="50" xfId="0" applyFont="1" applyBorder="1">
      <alignment vertical="center"/>
    </xf>
    <xf numFmtId="2" fontId="104" fillId="0" borderId="50" xfId="0" applyNumberFormat="1" applyFont="1" applyBorder="1">
      <alignment vertical="center"/>
    </xf>
    <xf numFmtId="214" fontId="103" fillId="0" borderId="51" xfId="0" applyNumberFormat="1" applyFont="1" applyBorder="1">
      <alignment vertical="center"/>
    </xf>
    <xf numFmtId="0" fontId="103" fillId="0" borderId="39" xfId="0" applyFont="1" applyBorder="1">
      <alignment vertical="center"/>
    </xf>
    <xf numFmtId="0" fontId="103" fillId="0" borderId="52" xfId="0" applyFont="1" applyBorder="1">
      <alignment vertical="center"/>
    </xf>
    <xf numFmtId="0" fontId="103" fillId="0" borderId="53" xfId="0" applyFont="1" applyBorder="1">
      <alignment vertical="center"/>
    </xf>
    <xf numFmtId="0" fontId="103" fillId="0" borderId="54" xfId="0" applyFont="1" applyBorder="1">
      <alignment vertical="center"/>
    </xf>
    <xf numFmtId="0" fontId="103" fillId="0" borderId="55" xfId="0" applyFont="1" applyBorder="1" applyAlignment="1">
      <alignment horizontal="left" vertical="center" shrinkToFit="1"/>
    </xf>
    <xf numFmtId="0" fontId="103" fillId="0" borderId="47" xfId="0" applyFont="1" applyBorder="1" applyAlignment="1">
      <alignment horizontal="left" vertical="center" shrinkToFit="1"/>
    </xf>
    <xf numFmtId="0" fontId="105" fillId="0" borderId="0" xfId="0" applyFont="1">
      <alignment vertical="center"/>
    </xf>
    <xf numFmtId="0" fontId="103" fillId="0" borderId="56" xfId="0" applyFont="1" applyBorder="1">
      <alignment vertical="center"/>
    </xf>
    <xf numFmtId="0" fontId="103" fillId="0" borderId="55" xfId="0" applyFont="1" applyBorder="1">
      <alignment vertical="center"/>
    </xf>
    <xf numFmtId="0" fontId="103" fillId="0" borderId="57" xfId="0" applyFont="1" applyBorder="1">
      <alignment vertical="center"/>
    </xf>
    <xf numFmtId="0" fontId="103" fillId="0" borderId="58" xfId="0" applyFont="1" applyBorder="1">
      <alignment vertical="center"/>
    </xf>
    <xf numFmtId="0" fontId="55" fillId="0" borderId="0" xfId="0" applyFont="1">
      <alignment vertical="center"/>
    </xf>
    <xf numFmtId="0" fontId="103" fillId="0" borderId="75" xfId="0" applyFont="1" applyBorder="1">
      <alignment vertical="center"/>
    </xf>
    <xf numFmtId="0" fontId="55" fillId="0" borderId="0" xfId="0" applyFont="1" applyAlignment="1">
      <alignment horizontal="left" vertical="center"/>
    </xf>
    <xf numFmtId="0" fontId="55" fillId="0" borderId="0" xfId="0" quotePrefix="1" applyFont="1" applyAlignment="1">
      <alignment horizontal="left" vertical="center"/>
    </xf>
    <xf numFmtId="0" fontId="55" fillId="0" borderId="0" xfId="0" applyFont="1" applyAlignment="1">
      <alignment horizontal="left" vertical="center" wrapText="1"/>
    </xf>
    <xf numFmtId="0" fontId="111" fillId="0" borderId="0" xfId="0" applyFont="1" applyAlignment="1">
      <alignment horizontal="left" vertical="center"/>
    </xf>
    <xf numFmtId="0" fontId="114" fillId="0" borderId="0" xfId="0" applyFont="1" applyAlignment="1">
      <alignment horizontal="left" vertical="center"/>
    </xf>
    <xf numFmtId="0" fontId="111" fillId="0" borderId="0" xfId="0" applyFont="1">
      <alignment vertical="center"/>
    </xf>
    <xf numFmtId="0" fontId="121" fillId="0" borderId="0" xfId="0" applyFont="1">
      <alignment vertical="center"/>
    </xf>
    <xf numFmtId="0" fontId="122" fillId="0" borderId="0" xfId="0" applyFont="1">
      <alignment vertical="center"/>
    </xf>
    <xf numFmtId="0" fontId="123" fillId="0" borderId="0" xfId="0" applyFont="1">
      <alignment vertical="center"/>
    </xf>
    <xf numFmtId="0" fontId="122" fillId="0" borderId="0" xfId="0" applyFont="1" applyAlignment="1">
      <alignment vertical="center" wrapText="1"/>
    </xf>
    <xf numFmtId="0" fontId="124" fillId="0" borderId="0" xfId="0" applyFont="1">
      <alignment vertical="center"/>
    </xf>
    <xf numFmtId="0" fontId="125" fillId="0" borderId="0" xfId="0" applyFont="1" applyAlignment="1">
      <alignment horizontal="left" vertical="center"/>
    </xf>
    <xf numFmtId="0" fontId="122" fillId="0" borderId="0" xfId="0" applyFont="1" applyAlignment="1">
      <alignment horizontal="left" vertical="center"/>
    </xf>
    <xf numFmtId="0" fontId="122" fillId="0" borderId="0" xfId="0" applyFont="1" applyAlignment="1">
      <alignment horizontal="right" vertical="center"/>
    </xf>
    <xf numFmtId="56" fontId="122" fillId="12" borderId="0" xfId="0" applyNumberFormat="1" applyFont="1" applyFill="1" applyAlignment="1">
      <alignment horizontal="left" vertical="center"/>
    </xf>
    <xf numFmtId="0" fontId="122" fillId="12" borderId="0" xfId="0" applyFont="1" applyFill="1">
      <alignment vertical="center"/>
    </xf>
    <xf numFmtId="0" fontId="122" fillId="12" borderId="0" xfId="0" applyFont="1" applyFill="1" applyAlignment="1">
      <alignment horizontal="left" vertical="center"/>
    </xf>
    <xf numFmtId="0" fontId="123" fillId="0" borderId="142" xfId="0" applyFont="1" applyBorder="1">
      <alignment vertical="center"/>
    </xf>
    <xf numFmtId="0" fontId="122" fillId="0" borderId="142" xfId="0" applyFont="1" applyBorder="1">
      <alignment vertical="center"/>
    </xf>
    <xf numFmtId="0" fontId="127" fillId="15" borderId="104" xfId="0" applyFont="1" applyFill="1" applyBorder="1" applyAlignment="1">
      <alignment horizontal="center" vertical="center"/>
    </xf>
    <xf numFmtId="0" fontId="127" fillId="15" borderId="25" xfId="0" applyFont="1" applyFill="1" applyBorder="1" applyAlignment="1">
      <alignment horizontal="center" vertical="center"/>
    </xf>
    <xf numFmtId="218" fontId="122" fillId="0" borderId="0" xfId="0" applyNumberFormat="1" applyFont="1" applyAlignment="1">
      <alignment horizontal="left" vertical="center"/>
    </xf>
    <xf numFmtId="0" fontId="127" fillId="15" borderId="17" xfId="0" applyFont="1" applyFill="1" applyBorder="1" applyAlignment="1">
      <alignment horizontal="center" vertical="center"/>
    </xf>
    <xf numFmtId="0" fontId="127" fillId="15" borderId="18" xfId="0" applyFont="1" applyFill="1" applyBorder="1" applyAlignment="1">
      <alignment horizontal="center" vertical="center"/>
    </xf>
    <xf numFmtId="0" fontId="127" fillId="15" borderId="19" xfId="0" applyFont="1" applyFill="1" applyBorder="1" applyAlignment="1">
      <alignment horizontal="center" vertical="center"/>
    </xf>
    <xf numFmtId="0" fontId="122" fillId="0" borderId="144" xfId="0" applyFont="1" applyBorder="1" applyAlignment="1">
      <alignment horizontal="center" vertical="center"/>
    </xf>
    <xf numFmtId="219" fontId="122" fillId="0" borderId="138" xfId="0" applyNumberFormat="1" applyFont="1" applyBorder="1" applyAlignment="1">
      <alignment horizontal="center" vertical="center"/>
    </xf>
    <xf numFmtId="0" fontId="122" fillId="0" borderId="138" xfId="0" applyFont="1" applyBorder="1">
      <alignment vertical="center"/>
    </xf>
    <xf numFmtId="0" fontId="122" fillId="0" borderId="146" xfId="0" applyFont="1" applyBorder="1" applyAlignment="1">
      <alignment horizontal="center" vertical="center"/>
    </xf>
    <xf numFmtId="0" fontId="122" fillId="0" borderId="133" xfId="0" applyFont="1" applyBorder="1" applyAlignment="1">
      <alignment horizontal="left" vertical="center"/>
    </xf>
    <xf numFmtId="186" fontId="122" fillId="0" borderId="133" xfId="0" applyNumberFormat="1" applyFont="1" applyBorder="1" applyAlignment="1">
      <alignment horizontal="center" vertical="center"/>
    </xf>
    <xf numFmtId="0" fontId="122" fillId="0" borderId="133" xfId="0" applyFont="1" applyBorder="1" applyAlignment="1">
      <alignment horizontal="center" vertical="center"/>
    </xf>
    <xf numFmtId="178" fontId="122" fillId="0" borderId="133" xfId="0" applyNumberFormat="1" applyFont="1" applyBorder="1" applyAlignment="1">
      <alignment horizontal="center" vertical="center"/>
    </xf>
    <xf numFmtId="180" fontId="122" fillId="0" borderId="133" xfId="0" applyNumberFormat="1" applyFont="1" applyBorder="1" applyAlignment="1">
      <alignment horizontal="center" vertical="center"/>
    </xf>
    <xf numFmtId="219" fontId="122" fillId="0" borderId="133" xfId="0" applyNumberFormat="1" applyFont="1" applyBorder="1" applyAlignment="1">
      <alignment horizontal="center" vertical="center"/>
    </xf>
    <xf numFmtId="0" fontId="122" fillId="0" borderId="133" xfId="0" applyFont="1" applyBorder="1">
      <alignment vertical="center"/>
    </xf>
    <xf numFmtId="0" fontId="122" fillId="0" borderId="147" xfId="0" applyFont="1" applyBorder="1">
      <alignment vertical="center"/>
    </xf>
    <xf numFmtId="191" fontId="122" fillId="0" borderId="133" xfId="0" applyNumberFormat="1" applyFont="1" applyBorder="1" applyAlignment="1">
      <alignment horizontal="center" vertical="center"/>
    </xf>
    <xf numFmtId="192" fontId="122" fillId="0" borderId="133" xfId="0" applyNumberFormat="1" applyFont="1" applyBorder="1" applyAlignment="1">
      <alignment horizontal="center" vertical="center"/>
    </xf>
    <xf numFmtId="0" fontId="122" fillId="0" borderId="148" xfId="0" applyFont="1" applyBorder="1" applyAlignment="1">
      <alignment horizontal="center" vertical="center"/>
    </xf>
    <xf numFmtId="0" fontId="122" fillId="0" borderId="149" xfId="0" applyFont="1" applyBorder="1" applyAlignment="1">
      <alignment horizontal="left" vertical="center"/>
    </xf>
    <xf numFmtId="0" fontId="122" fillId="0" borderId="149" xfId="0" applyFont="1" applyBorder="1" applyAlignment="1">
      <alignment horizontal="center" vertical="center"/>
    </xf>
    <xf numFmtId="219" fontId="122" fillId="0" borderId="149" xfId="0" applyNumberFormat="1" applyFont="1" applyBorder="1" applyAlignment="1">
      <alignment horizontal="center" vertical="center"/>
    </xf>
    <xf numFmtId="0" fontId="122" fillId="0" borderId="149" xfId="0" applyFont="1" applyBorder="1">
      <alignment vertical="center"/>
    </xf>
    <xf numFmtId="0" fontId="122" fillId="0" borderId="150" xfId="0" applyFont="1" applyBorder="1">
      <alignment vertical="center"/>
    </xf>
    <xf numFmtId="0" fontId="127" fillId="15" borderId="103" xfId="0" applyFont="1" applyFill="1" applyBorder="1" applyAlignment="1">
      <alignment horizontal="center" vertical="center"/>
    </xf>
    <xf numFmtId="219" fontId="127" fillId="0" borderId="143" xfId="0" applyNumberFormat="1" applyFont="1" applyBorder="1" applyAlignment="1">
      <alignment horizontal="center" vertical="center"/>
    </xf>
    <xf numFmtId="0" fontId="122" fillId="0" borderId="151" xfId="0" applyFont="1" applyBorder="1" applyAlignment="1">
      <alignment horizontal="center" vertical="center"/>
    </xf>
    <xf numFmtId="0" fontId="122" fillId="0" borderId="155" xfId="0" applyFont="1" applyBorder="1" applyAlignment="1">
      <alignment horizontal="center" vertical="center"/>
    </xf>
    <xf numFmtId="0" fontId="122" fillId="0" borderId="157" xfId="0" applyFont="1" applyBorder="1" applyAlignment="1">
      <alignment horizontal="center" vertical="center"/>
    </xf>
    <xf numFmtId="0" fontId="122" fillId="0" borderId="153" xfId="0" applyFont="1" applyBorder="1">
      <alignment vertical="center"/>
    </xf>
    <xf numFmtId="0" fontId="122" fillId="0" borderId="154" xfId="0" applyFont="1" applyBorder="1">
      <alignment vertical="center"/>
    </xf>
    <xf numFmtId="0" fontId="122" fillId="0" borderId="114" xfId="0" applyFont="1" applyBorder="1">
      <alignment vertical="center"/>
    </xf>
    <xf numFmtId="0" fontId="122" fillId="0" borderId="156" xfId="0" applyFont="1" applyBorder="1">
      <alignment vertical="center"/>
    </xf>
    <xf numFmtId="0" fontId="122" fillId="0" borderId="159" xfId="0" applyFont="1" applyBorder="1">
      <alignment vertical="center"/>
    </xf>
    <xf numFmtId="0" fontId="122" fillId="0" borderId="160" xfId="0" applyFont="1" applyBorder="1">
      <alignment vertical="center"/>
    </xf>
    <xf numFmtId="0" fontId="122" fillId="0" borderId="161" xfId="0" applyFont="1" applyBorder="1" applyAlignment="1">
      <alignment horizontal="left" vertical="center"/>
    </xf>
    <xf numFmtId="0" fontId="122" fillId="0" borderId="161" xfId="0" applyFont="1" applyBorder="1" applyAlignment="1">
      <alignment horizontal="center" vertical="center"/>
    </xf>
    <xf numFmtId="219" fontId="122" fillId="0" borderId="161" xfId="0" applyNumberFormat="1" applyFont="1" applyBorder="1" applyAlignment="1">
      <alignment horizontal="center" vertical="center"/>
    </xf>
    <xf numFmtId="0" fontId="122" fillId="0" borderId="161" xfId="0" applyFont="1" applyBorder="1">
      <alignment vertical="center"/>
    </xf>
    <xf numFmtId="0" fontId="122" fillId="0" borderId="162" xfId="0" applyFont="1" applyBorder="1">
      <alignment vertical="center"/>
    </xf>
    <xf numFmtId="0" fontId="122" fillId="0" borderId="0" xfId="0" applyFont="1" applyAlignment="1">
      <alignment horizontal="center" vertical="center"/>
    </xf>
    <xf numFmtId="0" fontId="122" fillId="0" borderId="142" xfId="0" applyFont="1" applyBorder="1" applyAlignment="1">
      <alignment horizontal="center" vertical="center"/>
    </xf>
    <xf numFmtId="0" fontId="122" fillId="0" borderId="142" xfId="0" applyFont="1" applyBorder="1" applyAlignment="1">
      <alignment horizontal="left" vertical="center" wrapText="1"/>
    </xf>
    <xf numFmtId="0" fontId="128" fillId="0" borderId="0" xfId="0" applyFont="1">
      <alignment vertical="center"/>
    </xf>
    <xf numFmtId="186" fontId="122" fillId="0" borderId="0" xfId="0" applyNumberFormat="1" applyFont="1">
      <alignment vertical="center"/>
    </xf>
    <xf numFmtId="191" fontId="122" fillId="0" borderId="0" xfId="0" applyNumberFormat="1" applyFont="1">
      <alignment vertical="center"/>
    </xf>
    <xf numFmtId="192" fontId="122" fillId="0" borderId="0" xfId="0" applyNumberFormat="1" applyFont="1">
      <alignment vertical="center"/>
    </xf>
    <xf numFmtId="178" fontId="122" fillId="0" borderId="0" xfId="0" applyNumberFormat="1" applyFont="1">
      <alignment vertical="center"/>
    </xf>
    <xf numFmtId="180" fontId="122" fillId="0" borderId="0" xfId="0" applyNumberFormat="1" applyFont="1">
      <alignment vertical="center"/>
    </xf>
    <xf numFmtId="186" fontId="127" fillId="15" borderId="18" xfId="0" applyNumberFormat="1" applyFont="1" applyFill="1" applyBorder="1" applyAlignment="1">
      <alignment horizontal="center" vertical="center"/>
    </xf>
    <xf numFmtId="178" fontId="127" fillId="15" borderId="18" xfId="0" applyNumberFormat="1" applyFont="1" applyFill="1" applyBorder="1" applyAlignment="1">
      <alignment horizontal="center" vertical="center"/>
    </xf>
    <xf numFmtId="180" fontId="127" fillId="15" borderId="18" xfId="0" applyNumberFormat="1" applyFont="1" applyFill="1" applyBorder="1" applyAlignment="1">
      <alignment horizontal="center" vertical="center"/>
    </xf>
    <xf numFmtId="188" fontId="122" fillId="0" borderId="161" xfId="0" applyNumberFormat="1" applyFont="1" applyBorder="1" applyAlignment="1">
      <alignment horizontal="center" vertical="center"/>
    </xf>
    <xf numFmtId="178" fontId="122" fillId="0" borderId="161" xfId="0" applyNumberFormat="1" applyFont="1" applyBorder="1" applyAlignment="1">
      <alignment horizontal="center" vertical="center"/>
    </xf>
    <xf numFmtId="180" fontId="122" fillId="0" borderId="161" xfId="0" applyNumberFormat="1" applyFont="1" applyBorder="1" applyAlignment="1">
      <alignment horizontal="center" vertical="center"/>
    </xf>
    <xf numFmtId="184" fontId="122" fillId="0" borderId="161" xfId="0" applyNumberFormat="1" applyFont="1" applyBorder="1" applyAlignment="1">
      <alignment horizontal="center" vertical="center"/>
    </xf>
    <xf numFmtId="186" fontId="122" fillId="0" borderId="161" xfId="0" applyNumberFormat="1" applyFont="1" applyBorder="1" applyAlignment="1">
      <alignment horizontal="center" vertical="center"/>
    </xf>
    <xf numFmtId="0" fontId="123" fillId="12" borderId="0" xfId="0" applyFont="1" applyFill="1">
      <alignment vertical="center"/>
    </xf>
    <xf numFmtId="0" fontId="122" fillId="0" borderId="0" xfId="0" applyFont="1" applyProtection="1">
      <alignment vertical="center"/>
      <protection locked="0"/>
    </xf>
    <xf numFmtId="0" fontId="122" fillId="0" borderId="0" xfId="0" applyFont="1" applyAlignment="1" applyProtection="1">
      <alignment vertical="center" wrapText="1"/>
      <protection locked="0"/>
    </xf>
    <xf numFmtId="0" fontId="55" fillId="0" borderId="0" xfId="0" applyFont="1" applyProtection="1">
      <alignment vertical="center"/>
      <protection locked="0"/>
    </xf>
    <xf numFmtId="0" fontId="55" fillId="0" borderId="0" xfId="0" applyFont="1" applyAlignment="1" applyProtection="1">
      <alignment vertical="center" wrapText="1"/>
      <protection locked="0"/>
    </xf>
    <xf numFmtId="0" fontId="55" fillId="0" borderId="120" xfId="0" applyFont="1" applyBorder="1" applyProtection="1">
      <alignment vertical="center"/>
      <protection locked="0"/>
    </xf>
    <xf numFmtId="0" fontId="55" fillId="0" borderId="117" xfId="0" applyFont="1" applyBorder="1" applyProtection="1">
      <alignment vertical="center"/>
      <protection locked="0"/>
    </xf>
    <xf numFmtId="0" fontId="55" fillId="0" borderId="118" xfId="0" applyFont="1" applyBorder="1" applyProtection="1">
      <alignment vertical="center"/>
      <protection locked="0"/>
    </xf>
    <xf numFmtId="0" fontId="55" fillId="0" borderId="123" xfId="0" applyFont="1" applyBorder="1" applyProtection="1">
      <alignment vertical="center"/>
      <protection locked="0"/>
    </xf>
    <xf numFmtId="0" fontId="55" fillId="0" borderId="114" xfId="0" applyFont="1" applyBorder="1" applyProtection="1">
      <alignment vertical="center"/>
      <protection locked="0"/>
    </xf>
    <xf numFmtId="0" fontId="55" fillId="0" borderId="115" xfId="0" applyFont="1" applyBorder="1" applyProtection="1">
      <alignment vertical="center"/>
      <protection locked="0"/>
    </xf>
    <xf numFmtId="0" fontId="55" fillId="0" borderId="122" xfId="0" applyFont="1" applyBorder="1" applyAlignment="1" applyProtection="1">
      <alignment horizontal="left" vertical="center"/>
      <protection locked="0"/>
    </xf>
    <xf numFmtId="0" fontId="55" fillId="0" borderId="122" xfId="0" applyFont="1" applyBorder="1" applyProtection="1">
      <alignment vertical="center"/>
      <protection locked="0"/>
    </xf>
    <xf numFmtId="49" fontId="55" fillId="0" borderId="131" xfId="0" applyNumberFormat="1" applyFont="1" applyBorder="1" applyAlignment="1" applyProtection="1">
      <alignment horizontal="left" vertical="center" shrinkToFit="1"/>
      <protection locked="0"/>
    </xf>
    <xf numFmtId="0" fontId="55" fillId="0" borderId="132" xfId="0" applyFont="1" applyBorder="1" applyAlignment="1" applyProtection="1">
      <alignment horizontal="left" vertical="center"/>
      <protection locked="0"/>
    </xf>
    <xf numFmtId="0" fontId="55" fillId="0" borderId="132" xfId="0" applyFont="1" applyBorder="1" applyAlignment="1" applyProtection="1">
      <alignment horizontal="center" vertical="center"/>
      <protection locked="0"/>
    </xf>
    <xf numFmtId="49" fontId="55" fillId="0" borderId="121" xfId="0" applyNumberFormat="1" applyFont="1" applyBorder="1" applyAlignment="1" applyProtection="1">
      <alignment horizontal="left" vertical="center" shrinkToFit="1"/>
      <protection locked="0"/>
    </xf>
    <xf numFmtId="0" fontId="55" fillId="0" borderId="133" xfId="0" applyFont="1" applyBorder="1" applyAlignment="1" applyProtection="1">
      <alignment horizontal="left" vertical="center"/>
      <protection locked="0"/>
    </xf>
    <xf numFmtId="0" fontId="55" fillId="0" borderId="133" xfId="0" applyFont="1" applyBorder="1" applyAlignment="1" applyProtection="1">
      <alignment horizontal="center" vertical="center"/>
      <protection locked="0"/>
    </xf>
    <xf numFmtId="180" fontId="55" fillId="0" borderId="133" xfId="0" applyNumberFormat="1" applyFont="1" applyBorder="1" applyAlignment="1" applyProtection="1">
      <alignment horizontal="center" vertical="center"/>
      <protection locked="0"/>
    </xf>
    <xf numFmtId="189" fontId="55" fillId="0" borderId="133" xfId="0" applyNumberFormat="1" applyFont="1" applyBorder="1" applyAlignment="1" applyProtection="1">
      <alignment horizontal="center" vertical="center"/>
      <protection locked="0"/>
    </xf>
    <xf numFmtId="178" fontId="55" fillId="0" borderId="133" xfId="0" applyNumberFormat="1" applyFont="1" applyBorder="1" applyAlignment="1" applyProtection="1">
      <alignment horizontal="center" vertical="center"/>
      <protection locked="0"/>
    </xf>
    <xf numFmtId="179" fontId="55" fillId="0" borderId="133" xfId="0" applyNumberFormat="1" applyFont="1" applyBorder="1" applyAlignment="1" applyProtection="1">
      <alignment horizontal="center" vertical="center"/>
      <protection locked="0"/>
    </xf>
    <xf numFmtId="188" fontId="55" fillId="0" borderId="133" xfId="0" applyNumberFormat="1" applyFont="1" applyBorder="1" applyAlignment="1" applyProtection="1">
      <alignment horizontal="center" vertical="center"/>
      <protection locked="0"/>
    </xf>
    <xf numFmtId="176" fontId="55" fillId="0" borderId="133" xfId="0" applyNumberFormat="1" applyFont="1" applyBorder="1" applyAlignment="1" applyProtection="1">
      <alignment horizontal="center" vertical="center"/>
      <protection locked="0"/>
    </xf>
    <xf numFmtId="184" fontId="55" fillId="0" borderId="133" xfId="0" applyNumberFormat="1" applyFont="1" applyBorder="1" applyAlignment="1" applyProtection="1">
      <alignment horizontal="center" vertical="center"/>
      <protection locked="0"/>
    </xf>
    <xf numFmtId="186" fontId="55" fillId="0" borderId="133" xfId="0" applyNumberFormat="1" applyFont="1" applyBorder="1" applyAlignment="1" applyProtection="1">
      <alignment horizontal="center" vertical="center"/>
      <protection locked="0"/>
    </xf>
    <xf numFmtId="206" fontId="55" fillId="0" borderId="133" xfId="0" applyNumberFormat="1" applyFont="1" applyBorder="1" applyAlignment="1" applyProtection="1">
      <alignment horizontal="center" vertical="center"/>
      <protection locked="0"/>
    </xf>
    <xf numFmtId="192" fontId="55" fillId="0" borderId="133" xfId="0" applyNumberFormat="1" applyFont="1" applyBorder="1" applyAlignment="1" applyProtection="1">
      <alignment horizontal="center" vertical="center"/>
      <protection locked="0"/>
    </xf>
    <xf numFmtId="191" fontId="55" fillId="0" borderId="133" xfId="0" applyNumberFormat="1" applyFont="1" applyBorder="1" applyAlignment="1" applyProtection="1">
      <alignment horizontal="center" vertical="center"/>
      <protection locked="0"/>
    </xf>
    <xf numFmtId="204" fontId="55" fillId="0" borderId="133" xfId="0" applyNumberFormat="1" applyFont="1" applyBorder="1" applyAlignment="1" applyProtection="1">
      <alignment horizontal="center" vertical="center"/>
      <protection locked="0"/>
    </xf>
    <xf numFmtId="210" fontId="55" fillId="0" borderId="133" xfId="0" applyNumberFormat="1" applyFont="1" applyBorder="1" applyAlignment="1" applyProtection="1">
      <alignment horizontal="center" vertical="center"/>
      <protection locked="0"/>
    </xf>
    <xf numFmtId="0" fontId="55" fillId="0" borderId="121" xfId="0" applyFont="1" applyBorder="1" applyAlignment="1" applyProtection="1">
      <alignment horizontal="left" vertical="center" shrinkToFit="1"/>
      <protection locked="0"/>
    </xf>
    <xf numFmtId="217" fontId="55" fillId="0" borderId="133" xfId="0" applyNumberFormat="1" applyFont="1" applyBorder="1" applyAlignment="1" applyProtection="1">
      <alignment horizontal="center" vertical="center"/>
      <protection locked="0"/>
    </xf>
    <xf numFmtId="0" fontId="55" fillId="0" borderId="120" xfId="0" applyFont="1" applyBorder="1" applyAlignment="1" applyProtection="1">
      <alignment horizontal="left" vertical="center" shrinkToFit="1"/>
      <protection locked="0"/>
    </xf>
    <xf numFmtId="0" fontId="55" fillId="0" borderId="134" xfId="0" applyFont="1" applyBorder="1" applyAlignment="1" applyProtection="1">
      <alignment horizontal="left" vertical="center"/>
      <protection locked="0"/>
    </xf>
    <xf numFmtId="0" fontId="55" fillId="0" borderId="134" xfId="0" applyFont="1" applyBorder="1" applyAlignment="1" applyProtection="1">
      <alignment horizontal="center" vertical="center"/>
      <protection locked="0"/>
    </xf>
    <xf numFmtId="217" fontId="55" fillId="0" borderId="134" xfId="0" applyNumberFormat="1" applyFont="1" applyBorder="1" applyAlignment="1" applyProtection="1">
      <alignment horizontal="center" vertical="center"/>
      <protection locked="0"/>
    </xf>
    <xf numFmtId="206" fontId="55" fillId="0" borderId="119" xfId="0" applyNumberFormat="1" applyFont="1" applyBorder="1" applyAlignment="1" applyProtection="1">
      <alignment horizontal="right" vertical="center"/>
      <protection locked="0"/>
    </xf>
    <xf numFmtId="206" fontId="55" fillId="0" borderId="112" xfId="0" applyNumberFormat="1" applyFont="1" applyBorder="1" applyProtection="1">
      <alignment vertical="center"/>
      <protection locked="0"/>
    </xf>
    <xf numFmtId="217" fontId="55" fillId="0" borderId="141" xfId="0" applyNumberFormat="1" applyFont="1" applyBorder="1" applyAlignment="1" applyProtection="1">
      <alignment horizontal="center" vertical="center"/>
      <protection locked="0"/>
    </xf>
    <xf numFmtId="206" fontId="55" fillId="0" borderId="121" xfId="0" applyNumberFormat="1" applyFont="1" applyBorder="1" applyAlignment="1" applyProtection="1">
      <alignment horizontal="right" vertical="center"/>
      <protection locked="0"/>
    </xf>
    <xf numFmtId="206" fontId="55" fillId="0" borderId="120" xfId="0" applyNumberFormat="1" applyFont="1" applyBorder="1" applyAlignment="1" applyProtection="1">
      <alignment horizontal="right" vertical="center"/>
      <protection locked="0"/>
    </xf>
    <xf numFmtId="217" fontId="55" fillId="0" borderId="16" xfId="0" applyNumberFormat="1" applyFont="1" applyBorder="1" applyAlignment="1" applyProtection="1">
      <alignment horizontal="center" vertical="center"/>
      <protection locked="0"/>
    </xf>
    <xf numFmtId="0" fontId="55" fillId="0" borderId="71" xfId="0" applyFont="1" applyBorder="1" applyProtection="1">
      <alignment vertical="center"/>
      <protection locked="0"/>
    </xf>
    <xf numFmtId="0" fontId="55" fillId="0" borderId="45" xfId="0" applyFont="1" applyBorder="1" applyProtection="1">
      <alignment vertical="center"/>
      <protection locked="0"/>
    </xf>
    <xf numFmtId="0" fontId="55" fillId="0" borderId="45" xfId="0" applyFont="1" applyBorder="1" applyAlignment="1" applyProtection="1">
      <alignment vertical="center" wrapText="1"/>
      <protection locked="0"/>
    </xf>
    <xf numFmtId="0" fontId="55" fillId="0" borderId="84" xfId="0" applyFont="1" applyBorder="1" applyProtection="1">
      <alignment vertical="center"/>
      <protection locked="0"/>
    </xf>
    <xf numFmtId="0" fontId="55" fillId="0" borderId="72" xfId="0" applyFont="1" applyBorder="1" applyProtection="1">
      <alignment vertical="center"/>
      <protection locked="0"/>
    </xf>
    <xf numFmtId="0" fontId="55" fillId="0" borderId="39" xfId="0" applyFont="1" applyBorder="1" applyProtection="1">
      <alignment vertical="center"/>
      <protection locked="0"/>
    </xf>
    <xf numFmtId="0" fontId="55" fillId="0" borderId="52" xfId="0" applyFont="1" applyBorder="1" applyProtection="1">
      <alignment vertical="center"/>
      <protection locked="0"/>
    </xf>
    <xf numFmtId="0" fontId="55" fillId="0" borderId="46" xfId="0" applyFont="1" applyBorder="1" applyProtection="1">
      <alignment vertical="center"/>
      <protection locked="0"/>
    </xf>
    <xf numFmtId="0" fontId="55" fillId="0" borderId="46" xfId="0" applyFont="1" applyBorder="1" applyAlignment="1" applyProtection="1">
      <alignment vertical="center" wrapText="1"/>
      <protection locked="0"/>
    </xf>
    <xf numFmtId="0" fontId="55" fillId="0" borderId="53" xfId="0" applyFont="1" applyBorder="1" applyProtection="1">
      <alignment vertical="center"/>
      <protection locked="0"/>
    </xf>
    <xf numFmtId="0" fontId="55" fillId="0" borderId="116" xfId="0" applyFont="1" applyBorder="1" applyProtection="1">
      <alignment vertical="center"/>
      <protection locked="0"/>
    </xf>
    <xf numFmtId="0" fontId="131" fillId="0" borderId="0" xfId="0" applyFont="1">
      <alignment vertical="center"/>
    </xf>
    <xf numFmtId="0" fontId="122" fillId="0" borderId="0" xfId="0" applyFont="1" applyAlignment="1" applyProtection="1">
      <alignment horizontal="center" vertical="center"/>
      <protection locked="0"/>
    </xf>
    <xf numFmtId="0" fontId="123" fillId="0" borderId="0" xfId="0" applyFont="1" applyProtection="1">
      <alignment vertical="center"/>
      <protection locked="0"/>
    </xf>
    <xf numFmtId="0" fontId="131" fillId="0" borderId="0" xfId="0" applyFont="1" applyProtection="1">
      <alignment vertical="center"/>
      <protection locked="0"/>
    </xf>
    <xf numFmtId="0" fontId="122" fillId="0" borderId="0" xfId="0" applyFont="1" applyAlignment="1" applyProtection="1">
      <alignment horizontal="left" vertical="center"/>
      <protection locked="0"/>
    </xf>
    <xf numFmtId="0" fontId="116" fillId="0" borderId="0" xfId="0" applyFont="1" applyAlignment="1" applyProtection="1">
      <alignment horizontal="center" vertical="center"/>
      <protection locked="0"/>
    </xf>
    <xf numFmtId="0" fontId="115" fillId="0" borderId="0" xfId="0" applyFont="1" applyProtection="1">
      <alignment vertical="center"/>
      <protection locked="0"/>
    </xf>
    <xf numFmtId="0" fontId="57" fillId="0" borderId="0" xfId="0" applyFont="1" applyProtection="1">
      <alignment vertical="center"/>
      <protection locked="0"/>
    </xf>
    <xf numFmtId="0" fontId="112" fillId="0" borderId="0" xfId="0" applyFont="1" applyProtection="1">
      <alignment vertical="center"/>
      <protection locked="0"/>
    </xf>
    <xf numFmtId="0" fontId="118" fillId="0" borderId="71" xfId="0" applyFont="1" applyBorder="1" applyProtection="1">
      <alignment vertical="center"/>
      <protection locked="0"/>
    </xf>
    <xf numFmtId="0" fontId="57" fillId="0" borderId="110" xfId="0" applyFont="1" applyBorder="1" applyProtection="1">
      <alignment vertical="center"/>
      <protection locked="0"/>
    </xf>
    <xf numFmtId="0" fontId="57" fillId="0" borderId="111" xfId="0" applyFont="1" applyBorder="1" applyProtection="1">
      <alignment vertical="center"/>
      <protection locked="0"/>
    </xf>
    <xf numFmtId="0" fontId="57" fillId="0" borderId="112" xfId="0" applyFont="1" applyBorder="1" applyProtection="1">
      <alignment vertical="center"/>
      <protection locked="0"/>
    </xf>
    <xf numFmtId="0" fontId="118" fillId="0" borderId="119" xfId="0" applyFont="1" applyBorder="1" applyProtection="1">
      <alignment vertical="center"/>
      <protection locked="0"/>
    </xf>
    <xf numFmtId="0" fontId="55" fillId="0" borderId="111" xfId="0" applyFont="1" applyBorder="1" applyProtection="1">
      <alignment vertical="center"/>
      <protection locked="0"/>
    </xf>
    <xf numFmtId="0" fontId="55" fillId="0" borderId="112" xfId="0" applyFont="1" applyBorder="1" applyProtection="1">
      <alignment vertical="center"/>
      <protection locked="0"/>
    </xf>
    <xf numFmtId="0" fontId="55" fillId="0" borderId="113" xfId="0" applyFont="1" applyBorder="1" applyProtection="1">
      <alignment vertical="center"/>
      <protection locked="0"/>
    </xf>
    <xf numFmtId="0" fontId="55" fillId="0" borderId="113" xfId="0" applyFont="1" applyBorder="1" applyAlignment="1" applyProtection="1">
      <alignment horizontal="left" vertical="center"/>
      <protection locked="0"/>
    </xf>
    <xf numFmtId="0" fontId="55" fillId="0" borderId="121" xfId="0" applyFont="1" applyBorder="1" applyProtection="1">
      <alignment vertical="center"/>
      <protection locked="0"/>
    </xf>
    <xf numFmtId="0" fontId="118" fillId="0" borderId="112" xfId="0" applyFont="1" applyBorder="1" applyProtection="1">
      <alignment vertical="center"/>
      <protection locked="0"/>
    </xf>
    <xf numFmtId="0" fontId="118" fillId="0" borderId="112" xfId="0" applyFont="1" applyBorder="1" applyAlignment="1" applyProtection="1">
      <alignment vertical="center" wrapText="1"/>
      <protection locked="0"/>
    </xf>
    <xf numFmtId="0" fontId="118" fillId="0" borderId="111" xfId="0" applyFont="1" applyBorder="1" applyProtection="1">
      <alignment vertical="center"/>
      <protection locked="0"/>
    </xf>
    <xf numFmtId="0" fontId="117" fillId="0" borderId="111" xfId="0" applyFont="1" applyBorder="1" applyProtection="1">
      <alignment vertical="center"/>
      <protection locked="0"/>
    </xf>
    <xf numFmtId="0" fontId="117" fillId="0" borderId="112" xfId="0" applyFont="1" applyBorder="1" applyProtection="1">
      <alignment vertical="center"/>
      <protection locked="0"/>
    </xf>
    <xf numFmtId="0" fontId="55" fillId="0" borderId="127" xfId="0" applyFont="1" applyBorder="1" applyProtection="1">
      <alignment vertical="center"/>
      <protection locked="0"/>
    </xf>
    <xf numFmtId="0" fontId="55" fillId="0" borderId="128" xfId="0" applyFont="1" applyBorder="1" applyAlignment="1" applyProtection="1">
      <alignment horizontal="left" vertical="center"/>
      <protection locked="0"/>
    </xf>
    <xf numFmtId="0" fontId="55" fillId="0" borderId="129" xfId="0" applyFont="1" applyBorder="1" applyProtection="1">
      <alignment vertical="center"/>
      <protection locked="0"/>
    </xf>
    <xf numFmtId="0" fontId="118" fillId="0" borderId="96" xfId="0" applyFont="1" applyBorder="1" applyProtection="1">
      <alignment vertical="center"/>
      <protection locked="0"/>
    </xf>
    <xf numFmtId="0" fontId="57" fillId="0" borderId="137" xfId="0" applyFont="1" applyBorder="1" applyAlignment="1" applyProtection="1">
      <alignment horizontal="center" vertical="center"/>
      <protection locked="0"/>
    </xf>
    <xf numFmtId="0" fontId="57" fillId="0" borderId="137" xfId="0" applyFont="1" applyBorder="1" applyAlignment="1" applyProtection="1">
      <alignment horizontal="center" vertical="center" wrapText="1"/>
      <protection locked="0"/>
    </xf>
    <xf numFmtId="179" fontId="55" fillId="0" borderId="0" xfId="0" applyNumberFormat="1" applyFont="1" applyProtection="1">
      <alignment vertical="center"/>
      <protection locked="0"/>
    </xf>
    <xf numFmtId="190" fontId="55" fillId="0" borderId="0" xfId="0" applyNumberFormat="1" applyFont="1" applyProtection="1">
      <alignment vertical="center"/>
      <protection locked="0"/>
    </xf>
    <xf numFmtId="49" fontId="55" fillId="0" borderId="0" xfId="0" applyNumberFormat="1" applyFont="1" applyProtection="1">
      <alignment vertical="center"/>
      <protection locked="0"/>
    </xf>
    <xf numFmtId="185" fontId="55" fillId="0" borderId="0" xfId="0" applyNumberFormat="1" applyFont="1" applyProtection="1">
      <alignment vertical="center"/>
      <protection locked="0"/>
    </xf>
    <xf numFmtId="189" fontId="55" fillId="0" borderId="0" xfId="0" applyNumberFormat="1" applyFont="1" applyProtection="1">
      <alignment vertical="center"/>
      <protection locked="0"/>
    </xf>
    <xf numFmtId="0" fontId="55" fillId="0" borderId="0" xfId="0" applyFont="1" applyAlignment="1" applyProtection="1">
      <alignment horizontal="right" vertical="center"/>
      <protection locked="0"/>
    </xf>
    <xf numFmtId="0" fontId="109" fillId="0" borderId="0" xfId="0" applyFont="1" applyProtection="1">
      <alignment vertical="center"/>
      <protection locked="0"/>
    </xf>
    <xf numFmtId="0" fontId="108" fillId="0" borderId="0" xfId="0" applyFont="1" applyProtection="1">
      <alignment vertical="center"/>
      <protection locked="0"/>
    </xf>
    <xf numFmtId="0" fontId="55" fillId="0" borderId="0" xfId="0" applyFont="1" applyAlignment="1" applyProtection="1">
      <alignment horizontal="right" vertical="center" wrapText="1"/>
      <protection locked="0"/>
    </xf>
    <xf numFmtId="0" fontId="55" fillId="0" borderId="128" xfId="0" applyFont="1" applyBorder="1" applyProtection="1">
      <alignment vertical="center"/>
      <protection locked="0"/>
    </xf>
    <xf numFmtId="193" fontId="55" fillId="0" borderId="133" xfId="0" applyNumberFormat="1" applyFont="1" applyBorder="1" applyAlignment="1" applyProtection="1">
      <alignment horizontal="center" vertical="center"/>
      <protection locked="0"/>
    </xf>
    <xf numFmtId="206" fontId="14" fillId="0" borderId="1" xfId="0" applyNumberFormat="1" applyFont="1" applyBorder="1" applyAlignment="1">
      <alignment horizontal="right" vertical="center"/>
    </xf>
    <xf numFmtId="0" fontId="14" fillId="0" borderId="0" xfId="0" applyFont="1" applyAlignment="1">
      <alignment horizontal="center" vertical="center"/>
    </xf>
    <xf numFmtId="214" fontId="55" fillId="12" borderId="120" xfId="0" applyNumberFormat="1" applyFont="1" applyFill="1" applyBorder="1" applyProtection="1">
      <alignment vertical="center"/>
      <protection locked="0"/>
    </xf>
    <xf numFmtId="0" fontId="55" fillId="12" borderId="118" xfId="0" applyFont="1" applyFill="1" applyBorder="1" applyProtection="1">
      <alignment vertical="center"/>
      <protection locked="0"/>
    </xf>
    <xf numFmtId="0" fontId="108" fillId="12" borderId="120" xfId="0" applyFont="1" applyFill="1" applyBorder="1" applyAlignment="1" applyProtection="1">
      <alignment horizontal="center" vertical="center"/>
      <protection locked="0"/>
    </xf>
    <xf numFmtId="0" fontId="55" fillId="12" borderId="52" xfId="0" applyFont="1" applyFill="1" applyBorder="1" applyProtection="1">
      <alignment vertical="center"/>
      <protection locked="0"/>
    </xf>
    <xf numFmtId="0" fontId="55" fillId="12" borderId="46" xfId="0" applyFont="1" applyFill="1" applyBorder="1" applyAlignment="1" applyProtection="1">
      <alignment horizontal="left" vertical="center"/>
      <protection locked="0"/>
    </xf>
    <xf numFmtId="0" fontId="55" fillId="12" borderId="53" xfId="0" applyFont="1" applyFill="1" applyBorder="1" applyProtection="1">
      <alignment vertical="center"/>
      <protection locked="0"/>
    </xf>
    <xf numFmtId="214" fontId="55" fillId="0" borderId="120" xfId="0" applyNumberFormat="1" applyFont="1" applyBorder="1" applyProtection="1">
      <alignment vertical="center"/>
      <protection locked="0"/>
    </xf>
    <xf numFmtId="217" fontId="57" fillId="0" borderId="109" xfId="0" applyNumberFormat="1" applyFont="1" applyBorder="1" applyAlignment="1" applyProtection="1">
      <alignment horizontal="center" vertical="center"/>
      <protection locked="0"/>
    </xf>
    <xf numFmtId="0" fontId="69" fillId="6" borderId="1" xfId="0" applyFont="1" applyFill="1" applyBorder="1" applyAlignment="1">
      <alignment horizontal="center" vertical="center"/>
    </xf>
    <xf numFmtId="176" fontId="69" fillId="6" borderId="1" xfId="0" applyNumberFormat="1" applyFont="1" applyFill="1" applyBorder="1" applyAlignment="1">
      <alignment horizontal="center" vertical="center"/>
    </xf>
    <xf numFmtId="0" fontId="131" fillId="0" borderId="0" xfId="0" applyFont="1" applyAlignment="1" applyProtection="1">
      <alignment horizontal="center" vertical="center"/>
      <protection locked="0"/>
    </xf>
    <xf numFmtId="0" fontId="122" fillId="2" borderId="104" xfId="0" applyFont="1" applyFill="1" applyBorder="1" applyAlignment="1" applyProtection="1">
      <alignment horizontal="center" vertical="center"/>
      <protection locked="0"/>
    </xf>
    <xf numFmtId="0" fontId="122" fillId="4" borderId="34" xfId="0" applyFont="1" applyFill="1" applyBorder="1" applyAlignment="1" applyProtection="1">
      <alignment horizontal="left" vertical="center"/>
      <protection locked="0"/>
    </xf>
    <xf numFmtId="0" fontId="122" fillId="2" borderId="23" xfId="0" applyFont="1" applyFill="1" applyBorder="1" applyAlignment="1" applyProtection="1">
      <alignment horizontal="center" vertical="center"/>
      <protection locked="0"/>
    </xf>
    <xf numFmtId="0" fontId="122" fillId="4" borderId="24" xfId="0" applyFont="1" applyFill="1" applyBorder="1" applyProtection="1">
      <alignment vertical="center"/>
      <protection locked="0"/>
    </xf>
    <xf numFmtId="0" fontId="122" fillId="2" borderId="13" xfId="0" applyFont="1" applyFill="1" applyBorder="1" applyAlignment="1" applyProtection="1">
      <alignment horizontal="center" vertical="center"/>
      <protection locked="0"/>
    </xf>
    <xf numFmtId="0" fontId="122" fillId="0" borderId="24" xfId="0" applyFont="1" applyBorder="1" applyAlignment="1" applyProtection="1">
      <alignment horizontal="left" vertical="center" wrapText="1"/>
      <protection locked="0"/>
    </xf>
    <xf numFmtId="0" fontId="122" fillId="4" borderId="24" xfId="0" applyFont="1" applyFill="1" applyBorder="1" applyAlignment="1" applyProtection="1">
      <alignment horizontal="left" vertical="center"/>
      <protection locked="0"/>
    </xf>
    <xf numFmtId="0" fontId="122" fillId="2" borderId="84" xfId="0" applyFont="1" applyFill="1" applyBorder="1" applyAlignment="1" applyProtection="1">
      <alignment horizontal="center" vertical="center"/>
      <protection locked="0"/>
    </xf>
    <xf numFmtId="220" fontId="122" fillId="0" borderId="24" xfId="0" applyNumberFormat="1" applyFont="1" applyBorder="1" applyAlignment="1" applyProtection="1">
      <alignment horizontal="left" vertical="center"/>
      <protection locked="0"/>
    </xf>
    <xf numFmtId="0" fontId="122" fillId="2" borderId="165" xfId="0" applyFont="1" applyFill="1" applyBorder="1" applyAlignment="1" applyProtection="1">
      <alignment horizontal="center" vertical="center"/>
      <protection locked="0"/>
    </xf>
    <xf numFmtId="221" fontId="122" fillId="0" borderId="35" xfId="0" applyNumberFormat="1" applyFont="1" applyBorder="1" applyAlignment="1" applyProtection="1">
      <alignment horizontal="left" vertical="center"/>
      <protection locked="0"/>
    </xf>
    <xf numFmtId="0" fontId="122" fillId="12" borderId="0" xfId="0" applyFont="1" applyFill="1" applyAlignment="1" applyProtection="1">
      <alignment horizontal="center" vertical="center"/>
      <protection locked="0"/>
    </xf>
    <xf numFmtId="0" fontId="122" fillId="2" borderId="25" xfId="0" applyFont="1" applyFill="1" applyBorder="1" applyAlignment="1" applyProtection="1">
      <alignment horizontal="center" vertical="center"/>
      <protection locked="0"/>
    </xf>
    <xf numFmtId="0" fontId="122" fillId="4" borderId="35" xfId="0" applyFont="1" applyFill="1" applyBorder="1" applyAlignment="1" applyProtection="1">
      <alignment horizontal="left" vertical="center"/>
      <protection locked="0"/>
    </xf>
    <xf numFmtId="0" fontId="111" fillId="0" borderId="101" xfId="0" applyFont="1" applyBorder="1" applyProtection="1">
      <alignment vertical="center"/>
      <protection locked="0"/>
    </xf>
    <xf numFmtId="0" fontId="111" fillId="0" borderId="89" xfId="0" applyFont="1" applyBorder="1" applyProtection="1">
      <alignment vertical="center"/>
      <protection locked="0"/>
    </xf>
    <xf numFmtId="0" fontId="122" fillId="17" borderId="104" xfId="0" applyFont="1" applyFill="1" applyBorder="1" applyAlignment="1">
      <alignment horizontal="center" vertical="center"/>
    </xf>
    <xf numFmtId="0" fontId="122" fillId="17" borderId="105" xfId="0" applyFont="1" applyFill="1" applyBorder="1" applyAlignment="1">
      <alignment horizontal="left" vertical="center"/>
    </xf>
    <xf numFmtId="0" fontId="122" fillId="17" borderId="2" xfId="0" applyFont="1" applyFill="1" applyBorder="1" applyAlignment="1">
      <alignment horizontal="center" vertical="center"/>
    </xf>
    <xf numFmtId="0" fontId="122" fillId="17" borderId="164" xfId="0" applyFont="1" applyFill="1" applyBorder="1">
      <alignment vertical="center"/>
    </xf>
    <xf numFmtId="0" fontId="122" fillId="17" borderId="23" xfId="0" applyFont="1" applyFill="1" applyBorder="1" applyAlignment="1">
      <alignment horizontal="center" vertical="center"/>
    </xf>
    <xf numFmtId="0" fontId="122" fillId="17" borderId="12" xfId="0" applyFont="1" applyFill="1" applyBorder="1" applyAlignment="1">
      <alignment horizontal="left" vertical="center"/>
    </xf>
    <xf numFmtId="0" fontId="122" fillId="17" borderId="1" xfId="0" applyFont="1" applyFill="1" applyBorder="1" applyAlignment="1" applyProtection="1">
      <alignment horizontal="center" vertical="center"/>
      <protection locked="0"/>
    </xf>
    <xf numFmtId="0" fontId="122" fillId="17" borderId="24" xfId="0" applyFont="1" applyFill="1" applyBorder="1" applyProtection="1">
      <alignment vertical="center"/>
      <protection locked="0"/>
    </xf>
    <xf numFmtId="0" fontId="122" fillId="17" borderId="33" xfId="0" applyFont="1" applyFill="1" applyBorder="1" applyProtection="1">
      <alignment vertical="center"/>
      <protection locked="0"/>
    </xf>
    <xf numFmtId="0" fontId="122" fillId="17" borderId="32" xfId="0" applyFont="1" applyFill="1" applyBorder="1" applyAlignment="1" applyProtection="1">
      <alignment horizontal="center" vertical="center"/>
      <protection locked="0"/>
    </xf>
    <xf numFmtId="0" fontId="122" fillId="17" borderId="71" xfId="0" applyFont="1" applyFill="1" applyBorder="1" applyAlignment="1" applyProtection="1">
      <alignment horizontal="left" vertical="center"/>
      <protection locked="0"/>
    </xf>
    <xf numFmtId="0" fontId="122" fillId="17" borderId="16" xfId="0" applyFont="1" applyFill="1" applyBorder="1" applyAlignment="1" applyProtection="1">
      <alignment horizontal="center" vertical="center"/>
      <protection locked="0"/>
    </xf>
    <xf numFmtId="0" fontId="122" fillId="17" borderId="25" xfId="0" applyFont="1" applyFill="1" applyBorder="1" applyAlignment="1">
      <alignment horizontal="center" vertical="center"/>
    </xf>
    <xf numFmtId="0" fontId="122" fillId="17" borderId="31" xfId="0" applyFont="1" applyFill="1" applyBorder="1">
      <alignment vertical="center"/>
    </xf>
    <xf numFmtId="0" fontId="122" fillId="16" borderId="166" xfId="0" applyFont="1" applyFill="1" applyBorder="1" applyAlignment="1" applyProtection="1">
      <alignment horizontal="center" vertical="center"/>
      <protection locked="0"/>
    </xf>
    <xf numFmtId="0" fontId="122" fillId="16" borderId="35" xfId="0" applyFont="1" applyFill="1" applyBorder="1">
      <alignment vertical="center"/>
    </xf>
    <xf numFmtId="0" fontId="55" fillId="0" borderId="102" xfId="0" applyFont="1" applyBorder="1" applyProtection="1">
      <alignment vertical="center"/>
      <protection locked="0"/>
    </xf>
    <xf numFmtId="0" fontId="55" fillId="0" borderId="15" xfId="0" applyFont="1" applyBorder="1" applyProtection="1">
      <alignment vertical="center"/>
      <protection locked="0"/>
    </xf>
    <xf numFmtId="0" fontId="122" fillId="0" borderId="15" xfId="0" applyFont="1" applyBorder="1" applyProtection="1">
      <alignment vertical="center"/>
      <protection locked="0"/>
    </xf>
    <xf numFmtId="0" fontId="122" fillId="0" borderId="102" xfId="0" applyFont="1" applyBorder="1" applyProtection="1">
      <alignment vertical="center"/>
      <protection locked="0"/>
    </xf>
    <xf numFmtId="0" fontId="55" fillId="0" borderId="103" xfId="0" applyFont="1" applyBorder="1" applyProtection="1">
      <alignment vertical="center"/>
      <protection locked="0"/>
    </xf>
    <xf numFmtId="0" fontId="55" fillId="0" borderId="10" xfId="0" applyFont="1" applyBorder="1" applyProtection="1">
      <alignment vertical="center"/>
      <protection locked="0"/>
    </xf>
    <xf numFmtId="0" fontId="133" fillId="4" borderId="0" xfId="0" applyFont="1" applyFill="1" applyAlignment="1" applyProtection="1">
      <alignment horizontal="left" vertical="center"/>
      <protection locked="0"/>
    </xf>
    <xf numFmtId="0" fontId="122" fillId="16" borderId="1" xfId="0" applyFont="1" applyFill="1" applyBorder="1" applyAlignment="1">
      <alignment horizontal="center" vertical="center"/>
    </xf>
    <xf numFmtId="0" fontId="122" fillId="16" borderId="24" xfId="0" applyFont="1" applyFill="1" applyBorder="1" applyAlignment="1">
      <alignment horizontal="left" vertical="center" shrinkToFit="1"/>
    </xf>
    <xf numFmtId="0" fontId="122" fillId="16" borderId="24" xfId="0" applyFont="1" applyFill="1" applyBorder="1" applyAlignment="1">
      <alignment vertical="center" shrinkToFit="1"/>
    </xf>
    <xf numFmtId="0" fontId="122" fillId="16" borderId="31" xfId="0" applyFont="1" applyFill="1" applyBorder="1" applyAlignment="1">
      <alignment horizontal="center" vertical="center"/>
    </xf>
    <xf numFmtId="0" fontId="122" fillId="2" borderId="104" xfId="0" applyFont="1" applyFill="1" applyBorder="1" applyAlignment="1">
      <alignment horizontal="center" vertical="center"/>
    </xf>
    <xf numFmtId="0" fontId="122" fillId="4" borderId="34" xfId="0" applyFont="1" applyFill="1" applyBorder="1">
      <alignment vertical="center"/>
    </xf>
    <xf numFmtId="0" fontId="122" fillId="2" borderId="23" xfId="0" applyFont="1" applyFill="1" applyBorder="1" applyAlignment="1">
      <alignment horizontal="center" vertical="center"/>
    </xf>
    <xf numFmtId="0" fontId="122" fillId="4" borderId="24" xfId="0" applyFont="1" applyFill="1" applyBorder="1" applyAlignment="1">
      <alignment horizontal="left" vertical="center"/>
    </xf>
    <xf numFmtId="0" fontId="122" fillId="0" borderId="24" xfId="0" applyFont="1" applyBorder="1" applyAlignment="1">
      <alignment horizontal="left" vertical="center"/>
    </xf>
    <xf numFmtId="0" fontId="122" fillId="2" borderId="32" xfId="0" applyFont="1" applyFill="1" applyBorder="1" applyAlignment="1">
      <alignment horizontal="center" vertical="center"/>
    </xf>
    <xf numFmtId="220" fontId="122" fillId="0" borderId="24" xfId="0" applyNumberFormat="1" applyFont="1" applyBorder="1" applyAlignment="1">
      <alignment horizontal="left" vertical="center"/>
    </xf>
    <xf numFmtId="0" fontId="122" fillId="2" borderId="167" xfId="0" applyFont="1" applyFill="1" applyBorder="1" applyAlignment="1">
      <alignment horizontal="center" vertical="center"/>
    </xf>
    <xf numFmtId="221" fontId="122" fillId="0" borderId="35" xfId="0" applyNumberFormat="1" applyFont="1" applyBorder="1" applyAlignment="1">
      <alignment horizontal="left" vertical="center"/>
    </xf>
    <xf numFmtId="0" fontId="122" fillId="2" borderId="25" xfId="0" applyFont="1" applyFill="1" applyBorder="1" applyAlignment="1">
      <alignment horizontal="center" vertical="center"/>
    </xf>
    <xf numFmtId="0" fontId="122" fillId="4" borderId="35" xfId="0" applyFont="1" applyFill="1" applyBorder="1" applyAlignment="1">
      <alignment horizontal="left" vertical="center"/>
    </xf>
    <xf numFmtId="0" fontId="122" fillId="16" borderId="20" xfId="0" applyFont="1" applyFill="1" applyBorder="1" applyAlignment="1">
      <alignment horizontal="center" vertical="center"/>
    </xf>
    <xf numFmtId="0" fontId="122" fillId="16" borderId="21" xfId="0" applyFont="1" applyFill="1" applyBorder="1" applyAlignment="1">
      <alignment horizontal="left" vertical="center"/>
    </xf>
    <xf numFmtId="0" fontId="122" fillId="16" borderId="2" xfId="0" applyFont="1" applyFill="1" applyBorder="1" applyAlignment="1">
      <alignment horizontal="center" vertical="center"/>
    </xf>
    <xf numFmtId="0" fontId="122" fillId="16" borderId="34" xfId="0" applyFont="1" applyFill="1" applyBorder="1" applyAlignment="1">
      <alignment vertical="center" shrinkToFit="1"/>
    </xf>
    <xf numFmtId="0" fontId="122" fillId="16" borderId="23" xfId="0" applyFont="1" applyFill="1" applyBorder="1" applyAlignment="1">
      <alignment horizontal="center" vertical="center"/>
    </xf>
    <xf numFmtId="0" fontId="122" fillId="16" borderId="1" xfId="0" applyFont="1" applyFill="1" applyBorder="1" applyAlignment="1">
      <alignment horizontal="left" vertical="center"/>
    </xf>
    <xf numFmtId="0" fontId="122" fillId="16" borderId="24" xfId="0" applyFont="1" applyFill="1" applyBorder="1">
      <alignment vertical="center"/>
    </xf>
    <xf numFmtId="0" fontId="122" fillId="16" borderId="1" xfId="0" applyFont="1" applyFill="1" applyBorder="1" applyAlignment="1">
      <alignment horizontal="left" vertical="center" wrapText="1"/>
    </xf>
    <xf numFmtId="0" fontId="122" fillId="16" borderId="25" xfId="0" applyFont="1" applyFill="1" applyBorder="1" applyAlignment="1">
      <alignment horizontal="center" vertical="center"/>
    </xf>
    <xf numFmtId="0" fontId="122" fillId="16" borderId="31" xfId="0" applyFont="1" applyFill="1" applyBorder="1" applyAlignment="1">
      <alignment horizontal="left" vertical="center" wrapText="1"/>
    </xf>
    <xf numFmtId="0" fontId="123" fillId="0" borderId="0" xfId="0" applyFont="1" applyAlignment="1">
      <alignment horizontal="center" vertical="center"/>
    </xf>
    <xf numFmtId="0" fontId="122" fillId="0" borderId="168" xfId="0" applyFont="1" applyBorder="1" applyAlignment="1">
      <alignment horizontal="center" vertical="center"/>
    </xf>
    <xf numFmtId="0" fontId="122" fillId="0" borderId="146" xfId="0" applyFont="1" applyBorder="1">
      <alignment vertical="center"/>
    </xf>
    <xf numFmtId="0" fontId="122" fillId="0" borderId="148" xfId="0" applyFont="1" applyBorder="1">
      <alignment vertical="center"/>
    </xf>
    <xf numFmtId="218" fontId="134" fillId="0" borderId="35" xfId="0" applyNumberFormat="1" applyFont="1" applyBorder="1" applyAlignment="1">
      <alignment horizontal="center" vertical="center"/>
    </xf>
    <xf numFmtId="0" fontId="135" fillId="0" borderId="34" xfId="0" applyFont="1" applyBorder="1" applyAlignment="1">
      <alignment horizontal="center" vertical="center"/>
    </xf>
    <xf numFmtId="0" fontId="131" fillId="4" borderId="0" xfId="0" applyFont="1" applyFill="1" applyAlignment="1">
      <alignment horizontal="left" vertical="center"/>
    </xf>
    <xf numFmtId="0" fontId="55" fillId="2" borderId="163" xfId="0" applyFont="1" applyFill="1" applyBorder="1" applyProtection="1">
      <alignment vertical="center"/>
      <protection locked="0"/>
    </xf>
    <xf numFmtId="0" fontId="55" fillId="2" borderId="164" xfId="0" applyFont="1" applyFill="1" applyBorder="1" applyProtection="1">
      <alignment vertical="center"/>
      <protection locked="0"/>
    </xf>
    <xf numFmtId="0" fontId="114" fillId="2" borderId="163" xfId="0" applyFont="1" applyFill="1" applyBorder="1" applyProtection="1">
      <alignment vertical="center"/>
      <protection locked="0"/>
    </xf>
    <xf numFmtId="0" fontId="30" fillId="4" borderId="1" xfId="0" applyFont="1" applyFill="1" applyBorder="1" applyAlignment="1">
      <alignment horizontal="left" vertical="center"/>
    </xf>
    <xf numFmtId="0" fontId="81" fillId="0" borderId="9" xfId="0" applyFont="1" applyBorder="1" applyAlignment="1">
      <alignment horizontal="center" vertical="center"/>
    </xf>
    <xf numFmtId="178" fontId="6" fillId="0" borderId="0" xfId="0" quotePrefix="1" applyNumberFormat="1" applyFont="1" applyAlignment="1">
      <alignment horizontal="right" vertical="center"/>
    </xf>
    <xf numFmtId="206" fontId="6" fillId="0" borderId="0" xfId="0" applyNumberFormat="1" applyFont="1">
      <alignment vertical="center"/>
    </xf>
    <xf numFmtId="0" fontId="18" fillId="10" borderId="20" xfId="0" applyFont="1" applyFill="1" applyBorder="1" applyAlignment="1">
      <alignment horizontal="center" vertical="center"/>
    </xf>
    <xf numFmtId="0" fontId="18" fillId="10" borderId="21" xfId="0" applyFont="1" applyFill="1" applyBorder="1">
      <alignment vertical="center"/>
    </xf>
    <xf numFmtId="40" fontId="18" fillId="10" borderId="21" xfId="2" applyNumberFormat="1" applyFont="1" applyFill="1" applyBorder="1" applyAlignment="1">
      <alignment horizontal="center" vertical="center"/>
    </xf>
    <xf numFmtId="40" fontId="18" fillId="10" borderId="22" xfId="2" applyNumberFormat="1" applyFont="1" applyFill="1" applyBorder="1" applyAlignment="1">
      <alignment horizontal="center" vertical="center"/>
    </xf>
    <xf numFmtId="0" fontId="18" fillId="10" borderId="23" xfId="0" applyFont="1" applyFill="1" applyBorder="1" applyAlignment="1">
      <alignment horizontal="center" vertical="center"/>
    </xf>
    <xf numFmtId="0" fontId="18" fillId="10" borderId="1" xfId="0" applyFont="1" applyFill="1" applyBorder="1">
      <alignment vertical="center"/>
    </xf>
    <xf numFmtId="40" fontId="18" fillId="10" borderId="1" xfId="2" applyNumberFormat="1" applyFont="1" applyFill="1" applyBorder="1" applyAlignment="1">
      <alignment horizontal="center" vertical="center"/>
    </xf>
    <xf numFmtId="40" fontId="18" fillId="10" borderId="24" xfId="2" applyNumberFormat="1" applyFont="1" applyFill="1" applyBorder="1" applyAlignment="1">
      <alignment horizontal="center" vertical="center"/>
    </xf>
    <xf numFmtId="0" fontId="18" fillId="10" borderId="25" xfId="0" applyFont="1" applyFill="1" applyBorder="1" applyAlignment="1">
      <alignment horizontal="center" vertical="center"/>
    </xf>
    <xf numFmtId="206" fontId="16" fillId="4" borderId="0" xfId="0" applyNumberFormat="1" applyFont="1" applyFill="1" applyAlignment="1">
      <alignment horizontal="center"/>
    </xf>
    <xf numFmtId="206" fontId="41" fillId="4" borderId="0" xfId="0" applyNumberFormat="1" applyFont="1" applyFill="1" applyAlignment="1">
      <alignment horizontal="center"/>
    </xf>
    <xf numFmtId="0" fontId="16" fillId="4" borderId="0" xfId="0" applyFont="1" applyFill="1">
      <alignment vertical="center"/>
    </xf>
    <xf numFmtId="206" fontId="8" fillId="0" borderId="0" xfId="0" applyNumberFormat="1" applyFont="1" applyAlignment="1">
      <alignment horizontal="center"/>
    </xf>
    <xf numFmtId="0" fontId="86" fillId="11" borderId="0" xfId="0" applyFont="1" applyFill="1">
      <alignment vertical="center"/>
    </xf>
    <xf numFmtId="0" fontId="85" fillId="11" borderId="0" xfId="0" applyFont="1" applyFill="1" applyAlignment="1">
      <alignment horizontal="center" vertical="center"/>
    </xf>
    <xf numFmtId="182" fontId="5" fillId="4" borderId="0" xfId="0" applyNumberFormat="1" applyFont="1" applyFill="1" applyAlignment="1">
      <alignment horizontal="left" vertical="center"/>
    </xf>
    <xf numFmtId="179" fontId="4" fillId="4" borderId="0" xfId="0" applyNumberFormat="1" applyFont="1" applyFill="1">
      <alignment vertical="center"/>
    </xf>
    <xf numFmtId="0" fontId="5" fillId="4" borderId="0" xfId="0" applyFont="1" applyFill="1">
      <alignment vertical="center"/>
    </xf>
    <xf numFmtId="206" fontId="4" fillId="4" borderId="0" xfId="0" applyNumberFormat="1" applyFont="1" applyFill="1">
      <alignment vertical="center"/>
    </xf>
    <xf numFmtId="0" fontId="4" fillId="4" borderId="26" xfId="0" applyFont="1" applyFill="1" applyBorder="1">
      <alignment vertical="center"/>
    </xf>
    <xf numFmtId="49" fontId="69" fillId="0" borderId="1" xfId="0" applyNumberFormat="1" applyFont="1" applyBorder="1" applyAlignment="1">
      <alignment horizontal="left" vertical="center"/>
    </xf>
    <xf numFmtId="195" fontId="68" fillId="0" borderId="1" xfId="0" applyNumberFormat="1" applyFont="1" applyBorder="1" applyAlignment="1">
      <alignment horizontal="center" vertical="center"/>
    </xf>
    <xf numFmtId="206" fontId="4" fillId="0" borderId="1" xfId="0" applyNumberFormat="1" applyFont="1" applyBorder="1">
      <alignment vertical="center"/>
    </xf>
    <xf numFmtId="206" fontId="61" fillId="6" borderId="1" xfId="0" applyNumberFormat="1" applyFont="1" applyFill="1" applyBorder="1">
      <alignment vertical="center"/>
    </xf>
    <xf numFmtId="0" fontId="4" fillId="6" borderId="26" xfId="0" applyFont="1" applyFill="1" applyBorder="1">
      <alignment vertical="center"/>
    </xf>
    <xf numFmtId="176" fontId="61" fillId="0" borderId="1" xfId="0" applyNumberFormat="1" applyFont="1" applyBorder="1" applyAlignment="1">
      <alignment horizontal="left" vertical="center"/>
    </xf>
    <xf numFmtId="184" fontId="61" fillId="0" borderId="1" xfId="0" applyNumberFormat="1" applyFont="1" applyBorder="1" applyAlignment="1">
      <alignment horizontal="right" vertical="center"/>
    </xf>
    <xf numFmtId="185" fontId="6" fillId="6" borderId="1" xfId="0" applyNumberFormat="1" applyFont="1" applyFill="1" applyBorder="1">
      <alignment vertical="center"/>
    </xf>
    <xf numFmtId="0" fontId="6" fillId="6" borderId="26" xfId="0" applyFont="1" applyFill="1" applyBorder="1">
      <alignment vertical="center"/>
    </xf>
    <xf numFmtId="0" fontId="9" fillId="0" borderId="1" xfId="0" applyFont="1" applyBorder="1" applyAlignment="1">
      <alignment horizontal="right" vertical="center"/>
    </xf>
    <xf numFmtId="206" fontId="61" fillId="0" borderId="1" xfId="0" applyNumberFormat="1" applyFont="1" applyBorder="1" applyAlignment="1">
      <alignment horizontal="center" vertical="center"/>
    </xf>
    <xf numFmtId="189" fontId="9" fillId="0" borderId="1" xfId="0" applyNumberFormat="1" applyFont="1" applyBorder="1" applyAlignment="1">
      <alignment horizontal="right" vertical="center"/>
    </xf>
    <xf numFmtId="176" fontId="4" fillId="0" borderId="1" xfId="0" applyNumberFormat="1" applyFont="1" applyBorder="1" applyAlignment="1">
      <alignment horizontal="left" vertical="center"/>
    </xf>
    <xf numFmtId="189" fontId="6" fillId="0" borderId="26" xfId="0" applyNumberFormat="1" applyFont="1" applyBorder="1" applyAlignment="1">
      <alignment horizontal="center" vertical="center"/>
    </xf>
    <xf numFmtId="195" fontId="68" fillId="6" borderId="1" xfId="0" applyNumberFormat="1" applyFont="1" applyFill="1" applyBorder="1" applyAlignment="1">
      <alignment horizontal="center" vertical="center"/>
    </xf>
    <xf numFmtId="176" fontId="4" fillId="6" borderId="1" xfId="0" applyNumberFormat="1" applyFont="1" applyFill="1" applyBorder="1" applyAlignment="1">
      <alignment horizontal="center" vertical="center"/>
    </xf>
    <xf numFmtId="189" fontId="4" fillId="6" borderId="1" xfId="0" applyNumberFormat="1" applyFont="1" applyFill="1" applyBorder="1">
      <alignment vertical="center"/>
    </xf>
    <xf numFmtId="185" fontId="87" fillId="0" borderId="1" xfId="0" applyNumberFormat="1" applyFont="1" applyBorder="1">
      <alignment vertical="center"/>
    </xf>
    <xf numFmtId="0" fontId="8" fillId="5" borderId="1" xfId="0" applyFont="1" applyFill="1" applyBorder="1" applyAlignment="1">
      <alignment horizontal="center"/>
    </xf>
    <xf numFmtId="179" fontId="6" fillId="5" borderId="1" xfId="0" applyNumberFormat="1" applyFont="1" applyFill="1" applyBorder="1" applyAlignment="1">
      <alignment horizontal="center" vertical="center" wrapText="1"/>
    </xf>
    <xf numFmtId="0" fontId="24" fillId="5" borderId="1" xfId="0" applyFont="1" applyFill="1" applyBorder="1" applyAlignment="1">
      <alignment horizontal="center" vertical="center"/>
    </xf>
    <xf numFmtId="188" fontId="6" fillId="5" borderId="1" xfId="0" applyNumberFormat="1" applyFont="1" applyFill="1" applyBorder="1">
      <alignment vertical="center"/>
    </xf>
    <xf numFmtId="179" fontId="79" fillId="5" borderId="1" xfId="0" applyNumberFormat="1" applyFont="1" applyFill="1" applyBorder="1" applyAlignment="1">
      <alignment horizontal="center" vertical="center" wrapText="1"/>
    </xf>
    <xf numFmtId="0" fontId="69" fillId="0" borderId="0" xfId="0" applyFont="1">
      <alignment vertical="center"/>
    </xf>
    <xf numFmtId="185" fontId="60" fillId="0" borderId="1" xfId="0" applyNumberFormat="1" applyFont="1" applyBorder="1">
      <alignment vertical="center"/>
    </xf>
    <xf numFmtId="206" fontId="61" fillId="6" borderId="1" xfId="0" applyNumberFormat="1" applyFont="1" applyFill="1" applyBorder="1" applyAlignment="1">
      <alignment horizontal="right" vertical="center"/>
    </xf>
    <xf numFmtId="206" fontId="61" fillId="0" borderId="1" xfId="0" applyNumberFormat="1" applyFont="1" applyBorder="1" applyAlignment="1">
      <alignment horizontal="right" vertical="center"/>
    </xf>
    <xf numFmtId="204" fontId="96" fillId="0" borderId="1" xfId="0" applyNumberFormat="1" applyFont="1" applyBorder="1" applyAlignment="1">
      <alignment horizontal="left" vertical="center"/>
    </xf>
    <xf numFmtId="0" fontId="38" fillId="0" borderId="1" xfId="0" applyFont="1" applyBorder="1">
      <alignment vertical="center"/>
    </xf>
    <xf numFmtId="222" fontId="6" fillId="0" borderId="0" xfId="0" applyNumberFormat="1" applyFont="1" applyAlignment="1">
      <alignment horizontal="right" vertical="center"/>
    </xf>
    <xf numFmtId="222" fontId="6" fillId="0" borderId="0" xfId="0" applyNumberFormat="1" applyFont="1">
      <alignment vertical="center"/>
    </xf>
    <xf numFmtId="0" fontId="6" fillId="5" borderId="0" xfId="0" applyFont="1" applyFill="1" applyAlignment="1"/>
    <xf numFmtId="176" fontId="61" fillId="5" borderId="1" xfId="0" applyNumberFormat="1" applyFont="1" applyFill="1" applyBorder="1" applyAlignment="1">
      <alignment horizontal="left" vertical="center"/>
    </xf>
    <xf numFmtId="184" fontId="61" fillId="5" borderId="1" xfId="0" applyNumberFormat="1" applyFont="1" applyFill="1" applyBorder="1" applyAlignment="1">
      <alignment horizontal="right" vertical="center"/>
    </xf>
    <xf numFmtId="206" fontId="61" fillId="5" borderId="1" xfId="0" applyNumberFormat="1" applyFont="1" applyFill="1" applyBorder="1">
      <alignment vertical="center"/>
    </xf>
    <xf numFmtId="185" fontId="61" fillId="5" borderId="1" xfId="0" applyNumberFormat="1" applyFont="1" applyFill="1" applyBorder="1">
      <alignment vertical="center"/>
    </xf>
    <xf numFmtId="0" fontId="69" fillId="5" borderId="1" xfId="0" applyFont="1" applyFill="1" applyBorder="1" applyAlignment="1">
      <alignment horizontal="center" vertical="center"/>
    </xf>
    <xf numFmtId="189" fontId="6" fillId="5" borderId="1" xfId="0" applyNumberFormat="1" applyFont="1" applyFill="1" applyBorder="1" applyAlignment="1">
      <alignment horizontal="right" vertical="center"/>
    </xf>
    <xf numFmtId="49" fontId="69" fillId="5" borderId="1" xfId="0" applyNumberFormat="1" applyFont="1" applyFill="1" applyBorder="1" applyAlignment="1">
      <alignment horizontal="left" vertical="center"/>
    </xf>
    <xf numFmtId="185" fontId="6" fillId="5" borderId="1" xfId="0" applyNumberFormat="1" applyFont="1" applyFill="1" applyBorder="1">
      <alignment vertical="center"/>
    </xf>
    <xf numFmtId="206" fontId="4" fillId="6" borderId="1" xfId="0" applyNumberFormat="1" applyFont="1" applyFill="1" applyBorder="1">
      <alignment vertical="center"/>
    </xf>
    <xf numFmtId="195" fontId="4" fillId="0" borderId="1" xfId="0" applyNumberFormat="1" applyFont="1" applyBorder="1" applyAlignment="1">
      <alignment horizontal="center" vertical="center"/>
    </xf>
    <xf numFmtId="187" fontId="6" fillId="7" borderId="1" xfId="0" applyNumberFormat="1" applyFont="1" applyFill="1" applyBorder="1" applyAlignment="1"/>
    <xf numFmtId="191" fontId="6" fillId="7" borderId="1" xfId="0" applyNumberFormat="1" applyFont="1" applyFill="1" applyBorder="1">
      <alignment vertical="center"/>
    </xf>
    <xf numFmtId="189" fontId="69" fillId="7" borderId="1" xfId="0" applyNumberFormat="1" applyFont="1" applyFill="1" applyBorder="1">
      <alignment vertical="center"/>
    </xf>
    <xf numFmtId="179" fontId="99" fillId="7" borderId="1" xfId="0" applyNumberFormat="1" applyFont="1" applyFill="1" applyBorder="1" applyAlignment="1">
      <alignment horizontal="center" vertical="center"/>
    </xf>
    <xf numFmtId="179" fontId="136" fillId="7" borderId="1" xfId="0" applyNumberFormat="1" applyFont="1" applyFill="1" applyBorder="1" applyAlignment="1">
      <alignment horizontal="left" vertical="center"/>
    </xf>
    <xf numFmtId="189" fontId="9" fillId="7" borderId="1" xfId="0" applyNumberFormat="1" applyFont="1" applyFill="1" applyBorder="1" applyAlignment="1">
      <alignment horizontal="right" vertical="center"/>
    </xf>
    <xf numFmtId="176" fontId="6" fillId="0" borderId="1" xfId="0" applyNumberFormat="1" applyFont="1" applyBorder="1" applyAlignment="1">
      <alignment horizontal="left" vertical="center"/>
    </xf>
    <xf numFmtId="176" fontId="6" fillId="6" borderId="1" xfId="0" applyNumberFormat="1" applyFont="1" applyFill="1" applyBorder="1" applyAlignment="1">
      <alignment horizontal="left" vertical="center"/>
    </xf>
    <xf numFmtId="185" fontId="6" fillId="0" borderId="1" xfId="0" applyNumberFormat="1" applyFont="1" applyBorder="1" applyAlignment="1">
      <alignment horizontal="right" vertical="center"/>
    </xf>
    <xf numFmtId="206" fontId="60" fillId="0" borderId="1" xfId="0" applyNumberFormat="1" applyFont="1" applyBorder="1">
      <alignment vertical="center"/>
    </xf>
    <xf numFmtId="185" fontId="9" fillId="0" borderId="0" xfId="0" applyNumberFormat="1" applyFont="1" applyAlignment="1">
      <alignment horizontal="right" vertical="center"/>
    </xf>
    <xf numFmtId="206" fontId="61" fillId="0" borderId="0" xfId="0" applyNumberFormat="1" applyFont="1" applyAlignment="1">
      <alignment horizontal="center" vertical="center"/>
    </xf>
    <xf numFmtId="185" fontId="38" fillId="0" borderId="0" xfId="0" applyNumberFormat="1" applyFont="1" applyAlignment="1">
      <alignment horizontal="right" vertical="center"/>
    </xf>
    <xf numFmtId="185" fontId="6" fillId="0" borderId="0" xfId="0" applyNumberFormat="1" applyFont="1" applyAlignment="1">
      <alignment horizontal="right" vertical="center"/>
    </xf>
    <xf numFmtId="222" fontId="9" fillId="0" borderId="0" xfId="0" applyNumberFormat="1" applyFont="1" applyAlignment="1">
      <alignment horizontal="right" vertical="center"/>
    </xf>
    <xf numFmtId="206" fontId="6" fillId="0" borderId="1" xfId="0" applyNumberFormat="1" applyFont="1" applyBorder="1" applyAlignment="1">
      <alignment horizontal="center" vertical="center"/>
    </xf>
    <xf numFmtId="176" fontId="5" fillId="0" borderId="1" xfId="0" applyNumberFormat="1" applyFont="1" applyBorder="1" applyAlignment="1">
      <alignment horizontal="left" vertical="center"/>
    </xf>
    <xf numFmtId="176" fontId="137" fillId="0" borderId="1" xfId="0" applyNumberFormat="1" applyFont="1" applyBorder="1" applyAlignment="1">
      <alignment horizontal="left" vertical="center"/>
    </xf>
    <xf numFmtId="206" fontId="6" fillId="0" borderId="16" xfId="0" applyNumberFormat="1" applyFont="1" applyBorder="1">
      <alignment vertical="center"/>
    </xf>
    <xf numFmtId="206" fontId="6" fillId="0" borderId="16" xfId="0" applyNumberFormat="1" applyFont="1" applyBorder="1" applyAlignment="1">
      <alignment horizontal="right" vertical="center"/>
    </xf>
    <xf numFmtId="185" fontId="61" fillId="0" borderId="1" xfId="0" applyNumberFormat="1" applyFont="1" applyBorder="1" applyAlignment="1">
      <alignment horizontal="right" vertical="center"/>
    </xf>
    <xf numFmtId="185" fontId="9" fillId="0" borderId="1" xfId="0" applyNumberFormat="1" applyFont="1" applyBorder="1">
      <alignment vertical="center"/>
    </xf>
    <xf numFmtId="3" fontId="4" fillId="6" borderId="0" xfId="0" applyNumberFormat="1" applyFont="1" applyFill="1" applyAlignment="1">
      <alignment horizontal="right" vertical="center"/>
    </xf>
    <xf numFmtId="188" fontId="6" fillId="5" borderId="1" xfId="0" applyNumberFormat="1" applyFont="1" applyFill="1" applyBorder="1" applyAlignment="1"/>
    <xf numFmtId="0" fontId="69" fillId="5" borderId="0" xfId="0" applyFont="1" applyFill="1">
      <alignment vertical="center"/>
    </xf>
    <xf numFmtId="176" fontId="69" fillId="5" borderId="1" xfId="0" applyNumberFormat="1" applyFont="1" applyFill="1" applyBorder="1" applyAlignment="1">
      <alignment horizontal="center" vertical="center"/>
    </xf>
    <xf numFmtId="0" fontId="4" fillId="5" borderId="26" xfId="0" applyFont="1" applyFill="1" applyBorder="1">
      <alignment vertical="center"/>
    </xf>
    <xf numFmtId="0" fontId="6" fillId="18" borderId="0" xfId="0" applyFont="1" applyFill="1" applyAlignment="1">
      <alignment horizontal="right" vertical="center"/>
    </xf>
    <xf numFmtId="0" fontId="9" fillId="0" borderId="26" xfId="0" applyFont="1" applyBorder="1">
      <alignment vertical="center"/>
    </xf>
    <xf numFmtId="217" fontId="14" fillId="0" borderId="1" xfId="0" applyNumberFormat="1" applyFont="1" applyBorder="1" applyAlignment="1">
      <alignment horizontal="center" vertical="center"/>
    </xf>
    <xf numFmtId="49" fontId="6" fillId="0" borderId="13" xfId="0" applyNumberFormat="1" applyFont="1" applyBorder="1" applyAlignment="1">
      <alignment horizontal="left" vertical="center"/>
    </xf>
    <xf numFmtId="195" fontId="6" fillId="0" borderId="1" xfId="0" applyNumberFormat="1" applyFont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left" vertical="center"/>
    </xf>
    <xf numFmtId="0" fontId="6" fillId="6" borderId="16" xfId="0" applyFont="1" applyFill="1" applyBorder="1">
      <alignment vertical="center"/>
    </xf>
    <xf numFmtId="0" fontId="6" fillId="6" borderId="16" xfId="0" applyFont="1" applyFill="1" applyBorder="1" applyAlignment="1">
      <alignment horizontal="center" vertical="center"/>
    </xf>
    <xf numFmtId="176" fontId="6" fillId="6" borderId="16" xfId="0" applyNumberFormat="1" applyFont="1" applyFill="1" applyBorder="1" applyAlignment="1">
      <alignment horizontal="center" vertical="center"/>
    </xf>
    <xf numFmtId="184" fontId="6" fillId="6" borderId="16" xfId="0" applyNumberFormat="1" applyFont="1" applyFill="1" applyBorder="1" applyAlignment="1">
      <alignment horizontal="right" vertical="center"/>
    </xf>
    <xf numFmtId="192" fontId="6" fillId="6" borderId="16" xfId="0" applyNumberFormat="1" applyFont="1" applyFill="1" applyBorder="1">
      <alignment vertical="center"/>
    </xf>
    <xf numFmtId="191" fontId="6" fillId="6" borderId="16" xfId="0" applyNumberFormat="1" applyFont="1" applyFill="1" applyBorder="1">
      <alignment vertical="center"/>
    </xf>
    <xf numFmtId="189" fontId="6" fillId="6" borderId="16" xfId="0" applyNumberFormat="1" applyFont="1" applyFill="1" applyBorder="1">
      <alignment vertical="center"/>
    </xf>
    <xf numFmtId="179" fontId="77" fillId="6" borderId="16" xfId="0" applyNumberFormat="1" applyFont="1" applyFill="1" applyBorder="1" applyAlignment="1">
      <alignment horizontal="center" vertical="center" wrapText="1"/>
    </xf>
    <xf numFmtId="179" fontId="5" fillId="6" borderId="16" xfId="0" applyNumberFormat="1" applyFont="1" applyFill="1" applyBorder="1" applyAlignment="1">
      <alignment horizontal="center" vertical="center" wrapText="1"/>
    </xf>
    <xf numFmtId="190" fontId="12" fillId="6" borderId="16" xfId="0" applyNumberFormat="1" applyFont="1" applyFill="1" applyBorder="1" applyAlignment="1">
      <alignment horizontal="center" vertical="center"/>
    </xf>
    <xf numFmtId="206" fontId="61" fillId="6" borderId="16" xfId="0" applyNumberFormat="1" applyFont="1" applyFill="1" applyBorder="1">
      <alignment vertical="center"/>
    </xf>
    <xf numFmtId="189" fontId="61" fillId="6" borderId="16" xfId="0" applyNumberFormat="1" applyFont="1" applyFill="1" applyBorder="1">
      <alignment vertical="center"/>
    </xf>
    <xf numFmtId="0" fontId="6" fillId="6" borderId="1" xfId="0" applyFont="1" applyFill="1" applyBorder="1" applyAlignment="1">
      <alignment horizontal="right" vertical="center"/>
    </xf>
    <xf numFmtId="186" fontId="6" fillId="0" borderId="1" xfId="0" applyNumberFormat="1" applyFont="1" applyBorder="1" applyAlignment="1">
      <alignment horizontal="center"/>
    </xf>
    <xf numFmtId="192" fontId="6" fillId="0" borderId="1" xfId="0" applyNumberFormat="1" applyFont="1" applyBorder="1" applyAlignment="1">
      <alignment horizontal="right" vertical="center"/>
    </xf>
    <xf numFmtId="188" fontId="6" fillId="0" borderId="1" xfId="0" applyNumberFormat="1" applyFont="1" applyBorder="1" applyAlignment="1">
      <alignment horizontal="center" vertical="center"/>
    </xf>
    <xf numFmtId="178" fontId="6" fillId="0" borderId="1" xfId="0" applyNumberFormat="1" applyFont="1" applyBorder="1">
      <alignment vertical="center"/>
    </xf>
    <xf numFmtId="180" fontId="6" fillId="0" borderId="1" xfId="0" applyNumberFormat="1" applyFont="1" applyBorder="1">
      <alignment vertical="center"/>
    </xf>
    <xf numFmtId="0" fontId="4" fillId="6" borderId="1" xfId="0" applyFont="1" applyFill="1" applyBorder="1" applyAlignment="1">
      <alignment horizontal="right" vertical="center"/>
    </xf>
    <xf numFmtId="176" fontId="137" fillId="0" borderId="1" xfId="0" applyNumberFormat="1" applyFont="1" applyBorder="1" applyAlignment="1">
      <alignment horizontal="center" vertical="center"/>
    </xf>
    <xf numFmtId="211" fontId="6" fillId="0" borderId="1" xfId="0" applyNumberFormat="1" applyFont="1" applyBorder="1">
      <alignment vertical="center"/>
    </xf>
    <xf numFmtId="0" fontId="69" fillId="5" borderId="11" xfId="0" applyFont="1" applyFill="1" applyBorder="1">
      <alignment vertical="center"/>
    </xf>
    <xf numFmtId="0" fontId="6" fillId="8" borderId="0" xfId="0" applyFont="1" applyFill="1" applyAlignment="1">
      <alignment horizontal="right" vertical="center"/>
    </xf>
    <xf numFmtId="188" fontId="6" fillId="0" borderId="1" xfId="0" applyNumberFormat="1" applyFont="1" applyBorder="1" applyAlignment="1">
      <alignment horizontal="center"/>
    </xf>
    <xf numFmtId="0" fontId="6" fillId="0" borderId="1" xfId="20" applyFont="1" applyBorder="1" applyAlignment="1">
      <alignment horizontal="center" vertical="center"/>
    </xf>
    <xf numFmtId="0" fontId="6" fillId="8" borderId="13" xfId="20" applyFont="1" applyFill="1" applyBorder="1" applyAlignment="1">
      <alignment horizontal="right" vertical="center"/>
    </xf>
    <xf numFmtId="178" fontId="69" fillId="0" borderId="1" xfId="0" applyNumberFormat="1" applyFont="1" applyBorder="1">
      <alignment vertical="center"/>
    </xf>
    <xf numFmtId="180" fontId="69" fillId="0" borderId="1" xfId="0" applyNumberFormat="1" applyFont="1" applyBorder="1">
      <alignment vertical="center"/>
    </xf>
    <xf numFmtId="176" fontId="6" fillId="0" borderId="1" xfId="0" applyNumberFormat="1" applyFont="1" applyBorder="1">
      <alignment vertical="center"/>
    </xf>
    <xf numFmtId="0" fontId="6" fillId="0" borderId="1" xfId="21" applyFont="1" applyBorder="1" applyAlignment="1">
      <alignment horizontal="center" vertical="center"/>
    </xf>
    <xf numFmtId="188" fontId="6" fillId="0" borderId="1" xfId="21" applyNumberFormat="1" applyFont="1" applyBorder="1" applyAlignment="1">
      <alignment horizontal="center"/>
    </xf>
    <xf numFmtId="178" fontId="6" fillId="0" borderId="1" xfId="21" applyNumberFormat="1" applyFont="1" applyBorder="1" applyAlignment="1">
      <alignment horizontal="right" vertical="center"/>
    </xf>
    <xf numFmtId="180" fontId="6" fillId="0" borderId="1" xfId="21" applyNumberFormat="1" applyFont="1" applyBorder="1" applyAlignment="1">
      <alignment horizontal="right" vertical="center"/>
    </xf>
    <xf numFmtId="189" fontId="6" fillId="0" borderId="1" xfId="21" applyNumberFormat="1" applyFont="1" applyBorder="1">
      <alignment vertical="center"/>
    </xf>
    <xf numFmtId="179" fontId="34" fillId="5" borderId="1" xfId="0" applyNumberFormat="1" applyFont="1" applyFill="1" applyBorder="1" applyAlignment="1">
      <alignment horizontal="center" vertical="center"/>
    </xf>
    <xf numFmtId="0" fontId="65" fillId="5" borderId="1" xfId="0" applyFont="1" applyFill="1" applyBorder="1" applyAlignment="1">
      <alignment horizontal="left" vertical="center"/>
    </xf>
    <xf numFmtId="189" fontId="6" fillId="5" borderId="1" xfId="0" applyNumberFormat="1" applyFont="1" applyFill="1" applyBorder="1" applyAlignment="1">
      <alignment horizontal="center" vertical="center"/>
    </xf>
    <xf numFmtId="0" fontId="6" fillId="0" borderId="1" xfId="22" applyFont="1" applyBorder="1" applyAlignment="1">
      <alignment horizontal="center" vertical="center"/>
    </xf>
    <xf numFmtId="178" fontId="6" fillId="0" borderId="1" xfId="22" applyNumberFormat="1" applyFont="1" applyBorder="1" applyAlignment="1">
      <alignment horizontal="right" vertical="center"/>
    </xf>
    <xf numFmtId="180" fontId="6" fillId="0" borderId="1" xfId="22" applyNumberFormat="1" applyFont="1" applyBorder="1" applyAlignment="1">
      <alignment horizontal="right" vertical="center"/>
    </xf>
    <xf numFmtId="189" fontId="6" fillId="0" borderId="1" xfId="22" applyNumberFormat="1" applyFont="1" applyBorder="1">
      <alignment vertical="center"/>
    </xf>
    <xf numFmtId="3" fontId="6" fillId="0" borderId="0" xfId="0" applyNumberFormat="1" applyFont="1" applyAlignment="1">
      <alignment horizontal="right" vertical="center"/>
    </xf>
    <xf numFmtId="0" fontId="6" fillId="0" borderId="1" xfId="23" applyFont="1" applyBorder="1" applyAlignment="1">
      <alignment horizontal="center" vertical="center"/>
    </xf>
    <xf numFmtId="206" fontId="6" fillId="6" borderId="1" xfId="0" applyNumberFormat="1" applyFont="1" applyFill="1" applyBorder="1" applyAlignment="1">
      <alignment horizontal="right" vertical="center"/>
    </xf>
    <xf numFmtId="0" fontId="6" fillId="0" borderId="1" xfId="24" applyFont="1" applyBorder="1" applyAlignment="1">
      <alignment horizontal="center" vertical="center"/>
    </xf>
    <xf numFmtId="0" fontId="96" fillId="0" borderId="1" xfId="25" applyFont="1" applyBorder="1" applyAlignment="1">
      <alignment horizontal="center"/>
    </xf>
    <xf numFmtId="49" fontId="6" fillId="13" borderId="13" xfId="26" applyNumberFormat="1" applyFont="1" applyFill="1" applyBorder="1" applyAlignment="1">
      <alignment horizontal="left" vertical="center"/>
    </xf>
    <xf numFmtId="49" fontId="6" fillId="6" borderId="13" xfId="26" applyNumberFormat="1" applyFont="1" applyFill="1" applyBorder="1" applyAlignment="1">
      <alignment horizontal="left" vertical="center"/>
    </xf>
    <xf numFmtId="189" fontId="69" fillId="0" borderId="1" xfId="0" applyNumberFormat="1" applyFont="1" applyBorder="1" applyAlignment="1">
      <alignment horizontal="right" vertical="center"/>
    </xf>
    <xf numFmtId="176" fontId="16" fillId="6" borderId="1" xfId="0" applyNumberFormat="1" applyFont="1" applyFill="1" applyBorder="1" applyAlignment="1">
      <alignment horizontal="center" vertical="center"/>
    </xf>
    <xf numFmtId="0" fontId="6" fillId="0" borderId="1" xfId="27" applyFont="1" applyBorder="1" applyAlignment="1">
      <alignment horizontal="center" vertical="center"/>
    </xf>
    <xf numFmtId="189" fontId="139" fillId="0" borderId="1" xfId="0" applyNumberFormat="1" applyFont="1" applyBorder="1" applyAlignment="1">
      <alignment horizontal="center" vertical="center"/>
    </xf>
    <xf numFmtId="206" fontId="140" fillId="0" borderId="1" xfId="0" applyNumberFormat="1" applyFont="1" applyBorder="1" applyAlignment="1">
      <alignment horizontal="right" vertical="center"/>
    </xf>
    <xf numFmtId="222" fontId="141" fillId="0" borderId="0" xfId="0" applyNumberFormat="1" applyFont="1" applyAlignment="1">
      <alignment horizontal="right" vertical="center"/>
    </xf>
    <xf numFmtId="0" fontId="142" fillId="0" borderId="1" xfId="0" applyFont="1" applyBorder="1">
      <alignment vertical="center"/>
    </xf>
    <xf numFmtId="0" fontId="142" fillId="6" borderId="1" xfId="0" applyFont="1" applyFill="1" applyBorder="1">
      <alignment vertical="center"/>
    </xf>
    <xf numFmtId="0" fontId="143" fillId="0" borderId="1" xfId="0" applyFont="1" applyBorder="1" applyAlignment="1">
      <alignment horizontal="center" vertical="center"/>
    </xf>
    <xf numFmtId="49" fontId="6" fillId="14" borderId="1" xfId="0" applyNumberFormat="1" applyFont="1" applyFill="1" applyBorder="1" applyAlignment="1">
      <alignment horizontal="left" vertical="center"/>
    </xf>
    <xf numFmtId="0" fontId="6" fillId="14" borderId="1" xfId="0" applyFont="1" applyFill="1" applyBorder="1">
      <alignment vertical="center"/>
    </xf>
    <xf numFmtId="0" fontId="6" fillId="14" borderId="1" xfId="0" applyFont="1" applyFill="1" applyBorder="1" applyAlignment="1">
      <alignment horizontal="left" vertical="center"/>
    </xf>
    <xf numFmtId="186" fontId="6" fillId="14" borderId="1" xfId="0" applyNumberFormat="1" applyFont="1" applyFill="1" applyBorder="1">
      <alignment vertical="center"/>
    </xf>
    <xf numFmtId="0" fontId="6" fillId="14" borderId="1" xfId="0" applyFont="1" applyFill="1" applyBorder="1" applyAlignment="1">
      <alignment horizontal="center" vertical="center"/>
    </xf>
    <xf numFmtId="191" fontId="6" fillId="14" borderId="1" xfId="0" applyNumberFormat="1" applyFont="1" applyFill="1" applyBorder="1">
      <alignment vertical="center"/>
    </xf>
    <xf numFmtId="192" fontId="6" fillId="14" borderId="1" xfId="0" applyNumberFormat="1" applyFont="1" applyFill="1" applyBorder="1">
      <alignment vertical="center"/>
    </xf>
    <xf numFmtId="0" fontId="6" fillId="14" borderId="3" xfId="0" applyFont="1" applyFill="1" applyBorder="1" applyAlignment="1">
      <alignment horizontal="center"/>
    </xf>
    <xf numFmtId="179" fontId="77" fillId="14" borderId="1" xfId="0" applyNumberFormat="1" applyFont="1" applyFill="1" applyBorder="1" applyAlignment="1">
      <alignment horizontal="center" vertical="center" wrapText="1"/>
    </xf>
    <xf numFmtId="179" fontId="5" fillId="14" borderId="1" xfId="0" applyNumberFormat="1" applyFont="1" applyFill="1" applyBorder="1" applyAlignment="1">
      <alignment horizontal="center" vertical="center" wrapText="1"/>
    </xf>
    <xf numFmtId="190" fontId="12" fillId="14" borderId="1" xfId="0" applyNumberFormat="1" applyFont="1" applyFill="1" applyBorder="1" applyAlignment="1">
      <alignment horizontal="center" vertical="center"/>
    </xf>
    <xf numFmtId="0" fontId="69" fillId="14" borderId="1" xfId="0" applyFont="1" applyFill="1" applyBorder="1" applyAlignment="1">
      <alignment horizontal="center" vertical="center"/>
    </xf>
    <xf numFmtId="178" fontId="6" fillId="14" borderId="1" xfId="0" applyNumberFormat="1" applyFont="1" applyFill="1" applyBorder="1" applyAlignment="1">
      <alignment horizontal="right" vertical="center"/>
    </xf>
    <xf numFmtId="189" fontId="6" fillId="14" borderId="1" xfId="0" applyNumberFormat="1" applyFont="1" applyFill="1" applyBorder="1">
      <alignment vertical="center"/>
    </xf>
    <xf numFmtId="189" fontId="16" fillId="14" borderId="1" xfId="0" applyNumberFormat="1" applyFont="1" applyFill="1" applyBorder="1" applyAlignment="1">
      <alignment horizontal="center" vertical="center"/>
    </xf>
    <xf numFmtId="179" fontId="83" fillId="14" borderId="1" xfId="0" applyNumberFormat="1" applyFont="1" applyFill="1" applyBorder="1" applyAlignment="1">
      <alignment horizontal="center" vertical="center" wrapText="1"/>
    </xf>
    <xf numFmtId="188" fontId="6" fillId="14" borderId="1" xfId="0" applyNumberFormat="1" applyFont="1" applyFill="1" applyBorder="1" applyAlignment="1"/>
    <xf numFmtId="180" fontId="6" fillId="14" borderId="1" xfId="0" applyNumberFormat="1" applyFont="1" applyFill="1" applyBorder="1" applyAlignment="1">
      <alignment horizontal="right" vertical="center"/>
    </xf>
    <xf numFmtId="184" fontId="6" fillId="14" borderId="1" xfId="0" applyNumberFormat="1" applyFont="1" applyFill="1" applyBorder="1" applyAlignment="1">
      <alignment horizontal="right" vertical="center"/>
    </xf>
    <xf numFmtId="189" fontId="6" fillId="14" borderId="1" xfId="0" applyNumberFormat="1" applyFont="1" applyFill="1" applyBorder="1" applyAlignment="1">
      <alignment horizontal="center" vertical="center"/>
    </xf>
    <xf numFmtId="176" fontId="6" fillId="14" borderId="1" xfId="0" applyNumberFormat="1" applyFont="1" applyFill="1" applyBorder="1" applyAlignment="1">
      <alignment horizontal="center" vertical="center"/>
    </xf>
    <xf numFmtId="189" fontId="6" fillId="14" borderId="1" xfId="0" applyNumberFormat="1" applyFont="1" applyFill="1" applyBorder="1" applyAlignment="1">
      <alignment horizontal="right" vertical="center"/>
    </xf>
    <xf numFmtId="222" fontId="144" fillId="0" borderId="0" xfId="0" applyNumberFormat="1" applyFont="1" applyAlignment="1">
      <alignment horizontal="left" vertical="center"/>
    </xf>
    <xf numFmtId="222" fontId="63" fillId="0" borderId="0" xfId="0" applyNumberFormat="1" applyFont="1">
      <alignment vertical="center"/>
    </xf>
    <xf numFmtId="179" fontId="146" fillId="0" borderId="1" xfId="0" applyNumberFormat="1" applyFont="1" applyBorder="1" applyAlignment="1">
      <alignment horizontal="center" vertical="center" wrapText="1"/>
    </xf>
    <xf numFmtId="190" fontId="147" fillId="0" borderId="1" xfId="0" applyNumberFormat="1" applyFont="1" applyBorder="1" applyAlignment="1">
      <alignment horizontal="center" vertical="center"/>
    </xf>
    <xf numFmtId="0" fontId="6" fillId="0" borderId="1" xfId="28" applyFont="1" applyBorder="1" applyAlignment="1">
      <alignment horizontal="center" vertical="center"/>
    </xf>
    <xf numFmtId="192" fontId="6" fillId="0" borderId="1" xfId="28" applyNumberFormat="1" applyFont="1" applyBorder="1">
      <alignment vertical="center"/>
    </xf>
    <xf numFmtId="180" fontId="6" fillId="0" borderId="1" xfId="28" applyNumberFormat="1" applyFont="1" applyBorder="1" applyAlignment="1">
      <alignment horizontal="right" vertical="center"/>
    </xf>
    <xf numFmtId="0" fontId="6" fillId="0" borderId="1" xfId="29" applyFont="1" applyBorder="1" applyAlignment="1">
      <alignment horizontal="center" vertical="center"/>
    </xf>
    <xf numFmtId="176" fontId="6" fillId="0" borderId="1" xfId="29" applyNumberFormat="1" applyFont="1" applyBorder="1" applyAlignment="1">
      <alignment horizontal="center" vertical="center"/>
    </xf>
    <xf numFmtId="0" fontId="6" fillId="0" borderId="1" xfId="8" applyFont="1" applyBorder="1" applyAlignment="1">
      <alignment horizontal="center" vertical="center"/>
    </xf>
    <xf numFmtId="49" fontId="6" fillId="0" borderId="1" xfId="0" applyNumberFormat="1" applyFont="1" applyBorder="1" applyAlignment="1">
      <alignment horizontal="left" vertical="center" wrapText="1"/>
    </xf>
    <xf numFmtId="3" fontId="0" fillId="6" borderId="0" xfId="0" applyNumberFormat="1" applyFill="1" applyAlignment="1">
      <alignment horizontal="right" vertical="center"/>
    </xf>
    <xf numFmtId="179" fontId="32" fillId="5" borderId="1" xfId="0" applyNumberFormat="1" applyFont="1" applyFill="1" applyBorder="1" applyAlignment="1">
      <alignment horizontal="center" vertical="center" wrapText="1"/>
    </xf>
    <xf numFmtId="49" fontId="14" fillId="0" borderId="1" xfId="0" applyNumberFormat="1" applyFont="1" applyBorder="1" applyAlignment="1">
      <alignment horizontal="left" vertical="center"/>
    </xf>
    <xf numFmtId="0" fontId="14" fillId="0" borderId="1" xfId="0" applyFont="1" applyBorder="1">
      <alignment vertical="center"/>
    </xf>
    <xf numFmtId="0" fontId="14" fillId="0" borderId="1" xfId="0" applyFont="1" applyBorder="1" applyAlignment="1"/>
    <xf numFmtId="187" fontId="14" fillId="0" borderId="1" xfId="0" applyNumberFormat="1" applyFont="1" applyBorder="1" applyAlignment="1"/>
    <xf numFmtId="176" fontId="14" fillId="0" borderId="1" xfId="0" applyNumberFormat="1" applyFont="1" applyBorder="1" applyAlignment="1">
      <alignment horizontal="center" vertical="center"/>
    </xf>
    <xf numFmtId="178" fontId="14" fillId="0" borderId="1" xfId="0" applyNumberFormat="1" applyFont="1" applyBorder="1" applyAlignment="1">
      <alignment horizontal="right" vertical="center"/>
    </xf>
    <xf numFmtId="180" fontId="14" fillId="0" borderId="1" xfId="0" applyNumberFormat="1" applyFont="1" applyBorder="1" applyAlignment="1">
      <alignment horizontal="right" vertical="center"/>
    </xf>
    <xf numFmtId="191" fontId="14" fillId="0" borderId="1" xfId="0" applyNumberFormat="1" applyFont="1" applyBorder="1">
      <alignment vertical="center"/>
    </xf>
    <xf numFmtId="0" fontId="14" fillId="0" borderId="1" xfId="0" applyFont="1" applyBorder="1" applyAlignment="1">
      <alignment horizontal="center"/>
    </xf>
    <xf numFmtId="179" fontId="14" fillId="0" borderId="1" xfId="0" applyNumberFormat="1" applyFont="1" applyBorder="1" applyAlignment="1">
      <alignment horizontal="center" vertical="center" wrapText="1"/>
    </xf>
    <xf numFmtId="206" fontId="14" fillId="0" borderId="1" xfId="0" applyNumberFormat="1" applyFont="1" applyBorder="1">
      <alignment vertical="center"/>
    </xf>
    <xf numFmtId="189" fontId="14" fillId="0" borderId="1" xfId="0" applyNumberFormat="1" applyFont="1" applyBorder="1">
      <alignment vertical="center"/>
    </xf>
    <xf numFmtId="0" fontId="14" fillId="0" borderId="26" xfId="0" applyFont="1" applyBorder="1" applyAlignment="1">
      <alignment horizontal="center" vertical="center"/>
    </xf>
    <xf numFmtId="176" fontId="37" fillId="0" borderId="1" xfId="0" applyNumberFormat="1" applyFont="1" applyBorder="1" applyAlignment="1">
      <alignment horizontal="left" vertical="center"/>
    </xf>
    <xf numFmtId="192" fontId="14" fillId="0" borderId="1" xfId="0" applyNumberFormat="1" applyFont="1" applyBorder="1">
      <alignment vertical="center"/>
    </xf>
    <xf numFmtId="206" fontId="14" fillId="0" borderId="16" xfId="0" applyNumberFormat="1" applyFont="1" applyBorder="1">
      <alignment vertical="center"/>
    </xf>
    <xf numFmtId="185" fontId="14" fillId="0" borderId="1" xfId="0" applyNumberFormat="1" applyFont="1" applyBorder="1" applyAlignment="1">
      <alignment horizontal="right" vertical="center"/>
    </xf>
    <xf numFmtId="0" fontId="14" fillId="6" borderId="0" xfId="0" applyFont="1" applyFill="1" applyAlignment="1">
      <alignment horizontal="center" vertical="center"/>
    </xf>
    <xf numFmtId="49" fontId="14" fillId="6" borderId="1" xfId="0" applyNumberFormat="1" applyFont="1" applyFill="1" applyBorder="1" applyAlignment="1">
      <alignment horizontal="left" vertical="center"/>
    </xf>
    <xf numFmtId="0" fontId="14" fillId="6" borderId="1" xfId="0" applyFont="1" applyFill="1" applyBorder="1">
      <alignment vertical="center"/>
    </xf>
    <xf numFmtId="0" fontId="14" fillId="6" borderId="1" xfId="0" applyFont="1" applyFill="1" applyBorder="1" applyAlignment="1">
      <alignment horizontal="center" vertical="center"/>
    </xf>
    <xf numFmtId="176" fontId="14" fillId="6" borderId="1" xfId="0" applyNumberFormat="1" applyFont="1" applyFill="1" applyBorder="1" applyAlignment="1">
      <alignment horizontal="center" vertical="center"/>
    </xf>
    <xf numFmtId="184" fontId="14" fillId="6" borderId="1" xfId="0" applyNumberFormat="1" applyFont="1" applyFill="1" applyBorder="1" applyAlignment="1">
      <alignment horizontal="right" vertical="center"/>
    </xf>
    <xf numFmtId="192" fontId="14" fillId="6" borderId="1" xfId="0" applyNumberFormat="1" applyFont="1" applyFill="1" applyBorder="1">
      <alignment vertical="center"/>
    </xf>
    <xf numFmtId="191" fontId="14" fillId="6" borderId="1" xfId="0" applyNumberFormat="1" applyFont="1" applyFill="1" applyBorder="1">
      <alignment vertical="center"/>
    </xf>
    <xf numFmtId="189" fontId="14" fillId="6" borderId="1" xfId="0" applyNumberFormat="1" applyFont="1" applyFill="1" applyBorder="1">
      <alignment vertical="center"/>
    </xf>
    <xf numFmtId="179" fontId="148" fillId="6" borderId="1" xfId="0" applyNumberFormat="1" applyFont="1" applyFill="1" applyBorder="1" applyAlignment="1">
      <alignment horizontal="center" vertical="center" wrapText="1"/>
    </xf>
    <xf numFmtId="179" fontId="14" fillId="6" borderId="1" xfId="0" applyNumberFormat="1" applyFont="1" applyFill="1" applyBorder="1" applyAlignment="1">
      <alignment horizontal="center" vertical="center" wrapText="1"/>
    </xf>
    <xf numFmtId="206" fontId="96" fillId="6" borderId="1" xfId="0" applyNumberFormat="1" applyFont="1" applyFill="1" applyBorder="1">
      <alignment vertical="center"/>
    </xf>
    <xf numFmtId="0" fontId="14" fillId="6" borderId="0" xfId="0" applyFont="1" applyFill="1">
      <alignment vertical="center"/>
    </xf>
    <xf numFmtId="0" fontId="14" fillId="6" borderId="0" xfId="0" applyFont="1" applyFill="1" applyAlignment="1">
      <alignment horizontal="right" vertical="center"/>
    </xf>
    <xf numFmtId="189" fontId="96" fillId="6" borderId="1" xfId="0" applyNumberFormat="1" applyFont="1" applyFill="1" applyBorder="1">
      <alignment vertical="center"/>
    </xf>
    <xf numFmtId="49" fontId="14" fillId="5" borderId="1" xfId="0" applyNumberFormat="1" applyFont="1" applyFill="1" applyBorder="1" applyAlignment="1">
      <alignment horizontal="left" vertical="center"/>
    </xf>
    <xf numFmtId="0" fontId="14" fillId="5" borderId="1" xfId="0" applyFont="1" applyFill="1" applyBorder="1">
      <alignment vertical="center"/>
    </xf>
    <xf numFmtId="0" fontId="14" fillId="5" borderId="1" xfId="0" applyFont="1" applyFill="1" applyBorder="1" applyAlignment="1"/>
    <xf numFmtId="187" fontId="14" fillId="5" borderId="1" xfId="0" applyNumberFormat="1" applyFont="1" applyFill="1" applyBorder="1" applyAlignment="1"/>
    <xf numFmtId="176" fontId="14" fillId="5" borderId="1" xfId="0" applyNumberFormat="1" applyFont="1" applyFill="1" applyBorder="1" applyAlignment="1">
      <alignment horizontal="center" vertical="center"/>
    </xf>
    <xf numFmtId="178" fontId="14" fillId="5" borderId="1" xfId="0" applyNumberFormat="1" applyFont="1" applyFill="1" applyBorder="1" applyAlignment="1">
      <alignment horizontal="right" vertical="center"/>
    </xf>
    <xf numFmtId="180" fontId="14" fillId="5" borderId="1" xfId="0" applyNumberFormat="1" applyFont="1" applyFill="1" applyBorder="1" applyAlignment="1">
      <alignment horizontal="right" vertical="center"/>
    </xf>
    <xf numFmtId="191" fontId="14" fillId="5" borderId="1" xfId="0" applyNumberFormat="1" applyFont="1" applyFill="1" applyBorder="1">
      <alignment vertical="center"/>
    </xf>
    <xf numFmtId="0" fontId="14" fillId="5" borderId="1" xfId="0" applyFont="1" applyFill="1" applyBorder="1" applyAlignment="1">
      <alignment horizontal="center"/>
    </xf>
    <xf numFmtId="179" fontId="14" fillId="5" borderId="1" xfId="0" applyNumberFormat="1" applyFont="1" applyFill="1" applyBorder="1" applyAlignment="1">
      <alignment horizontal="center" vertical="center" wrapText="1"/>
    </xf>
    <xf numFmtId="0" fontId="149" fillId="5" borderId="1" xfId="0" applyFont="1" applyFill="1" applyBorder="1" applyAlignment="1">
      <alignment horizontal="left" vertical="center"/>
    </xf>
    <xf numFmtId="176" fontId="14" fillId="5" borderId="1" xfId="0" applyNumberFormat="1" applyFont="1" applyFill="1" applyBorder="1" applyAlignment="1">
      <alignment horizontal="left" vertical="center"/>
    </xf>
    <xf numFmtId="192" fontId="14" fillId="5" borderId="1" xfId="0" applyNumberFormat="1" applyFont="1" applyFill="1" applyBorder="1">
      <alignment vertical="center"/>
    </xf>
    <xf numFmtId="206" fontId="14" fillId="5" borderId="16" xfId="0" applyNumberFormat="1" applyFont="1" applyFill="1" applyBorder="1">
      <alignment vertical="center"/>
    </xf>
    <xf numFmtId="189" fontId="39" fillId="5" borderId="1" xfId="0" applyNumberFormat="1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184" fontId="14" fillId="5" borderId="1" xfId="0" applyNumberFormat="1" applyFont="1" applyFill="1" applyBorder="1" applyAlignment="1">
      <alignment horizontal="right" vertical="center"/>
    </xf>
    <xf numFmtId="189" fontId="14" fillId="5" borderId="1" xfId="0" applyNumberFormat="1" applyFont="1" applyFill="1" applyBorder="1">
      <alignment vertical="center"/>
    </xf>
    <xf numFmtId="179" fontId="148" fillId="5" borderId="1" xfId="0" applyNumberFormat="1" applyFont="1" applyFill="1" applyBorder="1" applyAlignment="1">
      <alignment horizontal="center" vertical="center" wrapText="1"/>
    </xf>
    <xf numFmtId="176" fontId="14" fillId="0" borderId="1" xfId="0" applyNumberFormat="1" applyFont="1" applyBorder="1" applyAlignment="1">
      <alignment horizontal="left" vertical="center"/>
    </xf>
    <xf numFmtId="189" fontId="39" fillId="14" borderId="1" xfId="0" applyNumberFormat="1" applyFont="1" applyFill="1" applyBorder="1" applyAlignment="1">
      <alignment horizontal="center" vertical="center"/>
    </xf>
    <xf numFmtId="179" fontId="79" fillId="14" borderId="1" xfId="0" applyNumberFormat="1" applyFont="1" applyFill="1" applyBorder="1" applyAlignment="1">
      <alignment horizontal="center" vertical="center"/>
    </xf>
    <xf numFmtId="190" fontId="18" fillId="14" borderId="1" xfId="0" applyNumberFormat="1" applyFont="1" applyFill="1" applyBorder="1" applyAlignment="1">
      <alignment horizontal="center" vertical="center"/>
    </xf>
    <xf numFmtId="206" fontId="69" fillId="0" borderId="1" xfId="0" applyNumberFormat="1" applyFont="1" applyBorder="1">
      <alignment vertical="center"/>
    </xf>
    <xf numFmtId="223" fontId="6" fillId="0" borderId="1" xfId="0" applyNumberFormat="1" applyFont="1" applyBorder="1">
      <alignment vertical="center"/>
    </xf>
    <xf numFmtId="179" fontId="78" fillId="6" borderId="1" xfId="0" applyNumberFormat="1" applyFont="1" applyFill="1" applyBorder="1" applyAlignment="1">
      <alignment horizontal="center" vertical="center" wrapText="1"/>
    </xf>
    <xf numFmtId="179" fontId="6" fillId="6" borderId="1" xfId="0" applyNumberFormat="1" applyFont="1" applyFill="1" applyBorder="1" applyAlignment="1">
      <alignment horizontal="center" vertical="center" wrapText="1"/>
    </xf>
    <xf numFmtId="190" fontId="16" fillId="6" borderId="1" xfId="0" applyNumberFormat="1" applyFont="1" applyFill="1" applyBorder="1" applyAlignment="1">
      <alignment horizontal="center" vertical="center"/>
    </xf>
    <xf numFmtId="197" fontId="14" fillId="0" borderId="169" xfId="30" applyNumberFormat="1" applyFont="1" applyBorder="1" applyAlignment="1">
      <alignment vertical="center"/>
    </xf>
    <xf numFmtId="224" fontId="14" fillId="0" borderId="1" xfId="0" applyNumberFormat="1" applyFont="1" applyBorder="1" applyAlignment="1">
      <alignment horizontal="right" vertical="center" wrapText="1"/>
    </xf>
    <xf numFmtId="185" fontId="69" fillId="0" borderId="1" xfId="0" applyNumberFormat="1" applyFont="1" applyBorder="1">
      <alignment vertical="center"/>
    </xf>
    <xf numFmtId="179" fontId="38" fillId="0" borderId="1" xfId="0" applyNumberFormat="1" applyFont="1" applyBorder="1" applyAlignment="1">
      <alignment horizontal="left" vertical="center"/>
    </xf>
    <xf numFmtId="206" fontId="69" fillId="0" borderId="16" xfId="0" applyNumberFormat="1" applyFont="1" applyBorder="1">
      <alignment vertical="center"/>
    </xf>
    <xf numFmtId="189" fontId="69" fillId="0" borderId="1" xfId="0" applyNumberFormat="1" applyFont="1" applyBorder="1">
      <alignment vertical="center"/>
    </xf>
    <xf numFmtId="179" fontId="150" fillId="0" borderId="1" xfId="0" applyNumberFormat="1" applyFont="1" applyBorder="1" applyAlignment="1">
      <alignment horizontal="center" vertical="center" wrapText="1"/>
    </xf>
    <xf numFmtId="179" fontId="79" fillId="0" borderId="1" xfId="0" applyNumberFormat="1" applyFont="1" applyBorder="1" applyAlignment="1">
      <alignment horizontal="left" vertical="center"/>
    </xf>
    <xf numFmtId="190" fontId="153" fillId="0" borderId="1" xfId="0" applyNumberFormat="1" applyFont="1" applyBorder="1" applyAlignment="1">
      <alignment horizontal="center" vertical="center"/>
    </xf>
    <xf numFmtId="203" fontId="14" fillId="0" borderId="1" xfId="0" applyNumberFormat="1" applyFont="1" applyBorder="1" applyAlignment="1">
      <alignment horizontal="right" vertical="center" wrapText="1"/>
    </xf>
    <xf numFmtId="185" fontId="87" fillId="0" borderId="1" xfId="0" applyNumberFormat="1" applyFont="1" applyBorder="1" applyAlignment="1">
      <alignment horizontal="center" vertical="center"/>
    </xf>
    <xf numFmtId="49" fontId="6" fillId="6" borderId="1" xfId="0" applyNumberFormat="1" applyFont="1" applyFill="1" applyBorder="1" applyAlignment="1">
      <alignment horizontal="left" vertical="center" wrapText="1"/>
    </xf>
    <xf numFmtId="195" fontId="4" fillId="6" borderId="1" xfId="0" applyNumberFormat="1" applyFont="1" applyFill="1" applyBorder="1" applyAlignment="1">
      <alignment horizontal="center" vertical="center"/>
    </xf>
    <xf numFmtId="189" fontId="69" fillId="0" borderId="28" xfId="0" applyNumberFormat="1" applyFont="1" applyBorder="1" applyAlignment="1">
      <alignment horizontal="left" vertical="center"/>
    </xf>
    <xf numFmtId="188" fontId="60" fillId="0" borderId="1" xfId="0" applyNumberFormat="1" applyFont="1" applyBorder="1">
      <alignment vertical="center"/>
    </xf>
    <xf numFmtId="189" fontId="9" fillId="0" borderId="1" xfId="0" applyNumberFormat="1" applyFont="1" applyBorder="1">
      <alignment vertical="center"/>
    </xf>
    <xf numFmtId="49" fontId="6" fillId="0" borderId="1" xfId="0" quotePrefix="1" applyNumberFormat="1" applyFont="1" applyBorder="1" applyAlignment="1">
      <alignment horizontal="left" vertical="center"/>
    </xf>
    <xf numFmtId="49" fontId="6" fillId="6" borderId="1" xfId="0" quotePrefix="1" applyNumberFormat="1" applyFont="1" applyFill="1" applyBorder="1" applyAlignment="1">
      <alignment horizontal="left" vertical="center"/>
    </xf>
    <xf numFmtId="206" fontId="4" fillId="0" borderId="0" xfId="0" applyNumberFormat="1" applyFont="1">
      <alignment vertical="center"/>
    </xf>
    <xf numFmtId="191" fontId="12" fillId="0" borderId="1" xfId="0" applyNumberFormat="1" applyFont="1" applyBorder="1" applyAlignment="1">
      <alignment horizontal="center" vertical="center"/>
    </xf>
    <xf numFmtId="225" fontId="4" fillId="0" borderId="1" xfId="0" applyNumberFormat="1" applyFont="1" applyBorder="1" applyAlignment="1">
      <alignment horizontal="right" vertical="center"/>
    </xf>
    <xf numFmtId="195" fontId="17" fillId="0" borderId="0" xfId="0" applyNumberFormat="1" applyFont="1">
      <alignment vertical="center"/>
    </xf>
    <xf numFmtId="176" fontId="17" fillId="0" borderId="0" xfId="0" applyNumberFormat="1" applyFont="1">
      <alignment vertical="center"/>
    </xf>
    <xf numFmtId="178" fontId="17" fillId="0" borderId="0" xfId="0" applyNumberFormat="1" applyFont="1">
      <alignment vertical="center"/>
    </xf>
    <xf numFmtId="191" fontId="17" fillId="0" borderId="0" xfId="0" applyNumberFormat="1" applyFont="1">
      <alignment vertical="center"/>
    </xf>
    <xf numFmtId="192" fontId="17" fillId="0" borderId="0" xfId="0" applyNumberFormat="1" applyFont="1">
      <alignment vertical="center"/>
    </xf>
    <xf numFmtId="192" fontId="4" fillId="0" borderId="1" xfId="0" applyNumberFormat="1" applyFont="1" applyBorder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/>
    </xf>
    <xf numFmtId="189" fontId="4" fillId="0" borderId="1" xfId="0" applyNumberFormat="1" applyFont="1" applyBorder="1" applyAlignment="1">
      <alignment horizontal="center" vertical="center"/>
    </xf>
    <xf numFmtId="0" fontId="88" fillId="0" borderId="0" xfId="0" applyFont="1" applyAlignment="1">
      <alignment horizontal="left" vertical="center"/>
    </xf>
    <xf numFmtId="0" fontId="157" fillId="0" borderId="1" xfId="0" applyFont="1" applyBorder="1" applyAlignment="1">
      <alignment horizontal="center"/>
    </xf>
    <xf numFmtId="0" fontId="158" fillId="0" borderId="0" xfId="0" applyFont="1" applyAlignment="1">
      <alignment horizontal="left" vertical="center"/>
    </xf>
    <xf numFmtId="0" fontId="159" fillId="0" borderId="0" xfId="0" applyFont="1" applyAlignment="1">
      <alignment horizontal="left" vertical="center"/>
    </xf>
    <xf numFmtId="176" fontId="68" fillId="0" borderId="1" xfId="0" applyNumberFormat="1" applyFont="1" applyBorder="1" applyAlignment="1">
      <alignment horizontal="center" vertical="center"/>
    </xf>
    <xf numFmtId="197" fontId="4" fillId="0" borderId="1" xfId="0" applyNumberFormat="1" applyFont="1" applyBorder="1">
      <alignment vertical="center"/>
    </xf>
    <xf numFmtId="0" fontId="4" fillId="0" borderId="13" xfId="0" applyFont="1" applyBorder="1" applyAlignment="1">
      <alignment horizontal="center" vertical="center"/>
    </xf>
    <xf numFmtId="0" fontId="4" fillId="0" borderId="1" xfId="0" applyFont="1" applyBorder="1" applyAlignment="1">
      <alignment horizontal="right" vertical="center"/>
    </xf>
    <xf numFmtId="0" fontId="4" fillId="0" borderId="13" xfId="0" applyFont="1" applyBorder="1" applyAlignment="1">
      <alignment horizontal="right" vertical="center"/>
    </xf>
    <xf numFmtId="6" fontId="6" fillId="0" borderId="1" xfId="5" applyFont="1" applyBorder="1" applyAlignment="1">
      <alignment vertical="center"/>
    </xf>
    <xf numFmtId="176" fontId="6" fillId="19" borderId="1" xfId="0" applyNumberFormat="1" applyFont="1" applyFill="1" applyBorder="1" applyAlignment="1">
      <alignment horizontal="center" vertical="center"/>
    </xf>
    <xf numFmtId="176" fontId="6" fillId="20" borderId="1" xfId="0" applyNumberFormat="1" applyFont="1" applyFill="1" applyBorder="1" applyAlignment="1">
      <alignment horizontal="center" vertical="center"/>
    </xf>
    <xf numFmtId="176" fontId="6" fillId="21" borderId="1" xfId="0" applyNumberFormat="1" applyFont="1" applyFill="1" applyBorder="1" applyAlignment="1">
      <alignment horizontal="center" vertical="center"/>
    </xf>
    <xf numFmtId="192" fontId="9" fillId="0" borderId="1" xfId="0" applyNumberFormat="1" applyFont="1" applyBorder="1">
      <alignment vertical="center"/>
    </xf>
    <xf numFmtId="226" fontId="6" fillId="0" borderId="1" xfId="5" applyNumberFormat="1" applyFont="1" applyBorder="1" applyAlignment="1">
      <alignment vertical="center"/>
    </xf>
    <xf numFmtId="176" fontId="70" fillId="0" borderId="1" xfId="0" applyNumberFormat="1" applyFont="1" applyBorder="1" applyAlignment="1">
      <alignment horizontal="center" vertical="center"/>
    </xf>
    <xf numFmtId="5" fontId="12" fillId="0" borderId="1" xfId="0" applyNumberFormat="1" applyFont="1" applyBorder="1">
      <alignment vertical="center"/>
    </xf>
    <xf numFmtId="5" fontId="6" fillId="0" borderId="1" xfId="0" applyNumberFormat="1" applyFont="1" applyBorder="1">
      <alignment vertical="center"/>
    </xf>
    <xf numFmtId="5" fontId="16" fillId="0" borderId="1" xfId="0" applyNumberFormat="1" applyFont="1" applyBorder="1">
      <alignment vertical="center"/>
    </xf>
    <xf numFmtId="185" fontId="4" fillId="0" borderId="1" xfId="0" applyNumberFormat="1" applyFont="1" applyBorder="1">
      <alignment vertical="center"/>
    </xf>
    <xf numFmtId="189" fontId="6" fillId="0" borderId="3" xfId="0" applyNumberFormat="1" applyFont="1" applyBorder="1">
      <alignment vertical="center"/>
    </xf>
    <xf numFmtId="188" fontId="0" fillId="0" borderId="0" xfId="0" applyNumberFormat="1">
      <alignment vertical="center"/>
    </xf>
    <xf numFmtId="178" fontId="0" fillId="0" borderId="0" xfId="0" applyNumberFormat="1">
      <alignment vertical="center"/>
    </xf>
    <xf numFmtId="176" fontId="73" fillId="0" borderId="1" xfId="0" applyNumberFormat="1" applyFont="1" applyBorder="1" applyAlignment="1">
      <alignment horizontal="center" vertical="center"/>
    </xf>
    <xf numFmtId="178" fontId="0" fillId="0" borderId="1" xfId="0" applyNumberFormat="1" applyBorder="1">
      <alignment vertical="center"/>
    </xf>
    <xf numFmtId="183" fontId="6" fillId="0" borderId="1" xfId="0" applyNumberFormat="1" applyFont="1" applyBorder="1" applyAlignment="1">
      <alignment horizontal="center" vertical="center"/>
    </xf>
    <xf numFmtId="227" fontId="6" fillId="0" borderId="1" xfId="19" applyNumberFormat="1" applyFont="1" applyBorder="1" applyAlignment="1">
      <alignment horizontal="right" vertical="center"/>
    </xf>
    <xf numFmtId="187" fontId="24" fillId="0" borderId="1" xfId="0" applyNumberFormat="1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176" fontId="38" fillId="0" borderId="0" xfId="0" applyNumberFormat="1" applyFont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178" fontId="6" fillId="0" borderId="13" xfId="0" applyNumberFormat="1" applyFont="1" applyBorder="1" applyAlignment="1">
      <alignment horizontal="right" vertical="center"/>
    </xf>
    <xf numFmtId="0" fontId="35" fillId="7" borderId="1" xfId="0" applyFont="1" applyFill="1" applyBorder="1" applyAlignment="1">
      <alignment horizontal="center"/>
    </xf>
    <xf numFmtId="209" fontId="35" fillId="7" borderId="1" xfId="0" applyNumberFormat="1" applyFont="1" applyFill="1" applyBorder="1" applyAlignment="1">
      <alignment horizontal="center"/>
    </xf>
    <xf numFmtId="181" fontId="6" fillId="0" borderId="1" xfId="0" applyNumberFormat="1" applyFont="1" applyBorder="1" applyAlignment="1">
      <alignment horizontal="center" vertical="center"/>
    </xf>
    <xf numFmtId="176" fontId="23" fillId="0" borderId="1" xfId="0" applyNumberFormat="1" applyFont="1" applyBorder="1" applyAlignment="1">
      <alignment horizontal="center" vertical="center"/>
    </xf>
    <xf numFmtId="179" fontId="161" fillId="0" borderId="1" xfId="0" applyNumberFormat="1" applyFont="1" applyBorder="1" applyAlignment="1">
      <alignment horizontal="center" vertical="center" wrapText="1"/>
    </xf>
    <xf numFmtId="179" fontId="41" fillId="0" borderId="1" xfId="0" applyNumberFormat="1" applyFont="1" applyBorder="1" applyAlignment="1">
      <alignment horizontal="right" vertical="center" wrapText="1"/>
    </xf>
    <xf numFmtId="179" fontId="6" fillId="0" borderId="1" xfId="0" applyNumberFormat="1" applyFont="1" applyBorder="1" applyAlignment="1">
      <alignment horizontal="right" vertical="center" wrapText="1"/>
    </xf>
    <xf numFmtId="179" fontId="162" fillId="0" borderId="1" xfId="0" applyNumberFormat="1" applyFont="1" applyBorder="1" applyAlignment="1">
      <alignment horizontal="right" vertical="center" wrapText="1"/>
    </xf>
    <xf numFmtId="0" fontId="16" fillId="0" borderId="0" xfId="0" applyFont="1">
      <alignment vertical="center"/>
    </xf>
    <xf numFmtId="49" fontId="6" fillId="0" borderId="1" xfId="0" applyNumberFormat="1" applyFont="1" applyBorder="1" applyAlignment="1">
      <alignment horizontal="right" vertical="center"/>
    </xf>
    <xf numFmtId="0" fontId="163" fillId="0" borderId="1" xfId="0" applyFont="1" applyBorder="1" applyAlignment="1">
      <alignment horizontal="center" vertical="center"/>
    </xf>
    <xf numFmtId="191" fontId="73" fillId="0" borderId="1" xfId="0" applyNumberFormat="1" applyFont="1" applyBorder="1" applyAlignment="1">
      <alignment horizontal="right" vertical="center"/>
    </xf>
    <xf numFmtId="176" fontId="9" fillId="4" borderId="1" xfId="0" applyNumberFormat="1" applyFont="1" applyFill="1" applyBorder="1" applyAlignment="1">
      <alignment horizontal="center" vertical="center"/>
    </xf>
    <xf numFmtId="191" fontId="6" fillId="4" borderId="1" xfId="0" applyNumberFormat="1" applyFont="1" applyFill="1" applyBorder="1">
      <alignment vertical="center"/>
    </xf>
    <xf numFmtId="187" fontId="63" fillId="0" borderId="1" xfId="0" applyNumberFormat="1" applyFont="1" applyBorder="1" applyAlignment="1"/>
    <xf numFmtId="178" fontId="167" fillId="0" borderId="1" xfId="0" applyNumberFormat="1" applyFont="1" applyBorder="1" applyAlignment="1">
      <alignment horizontal="center" vertical="center"/>
    </xf>
    <xf numFmtId="0" fontId="166" fillId="0" borderId="1" xfId="0" applyFont="1" applyBorder="1" applyAlignment="1">
      <alignment horizontal="center" vertical="center"/>
    </xf>
    <xf numFmtId="187" fontId="63" fillId="0" borderId="1" xfId="0" applyNumberFormat="1" applyFont="1" applyBorder="1" applyAlignment="1">
      <alignment horizontal="right"/>
    </xf>
    <xf numFmtId="0" fontId="168" fillId="0" borderId="1" xfId="0" applyFont="1" applyBorder="1" applyAlignment="1">
      <alignment horizontal="center" vertical="center"/>
    </xf>
    <xf numFmtId="191" fontId="63" fillId="0" borderId="1" xfId="0" applyNumberFormat="1" applyFont="1" applyBorder="1">
      <alignment vertical="center"/>
    </xf>
    <xf numFmtId="189" fontId="82" fillId="0" borderId="1" xfId="0" applyNumberFormat="1" applyFont="1" applyBorder="1" applyAlignment="1">
      <alignment horizontal="left" vertical="center"/>
    </xf>
    <xf numFmtId="178" fontId="6" fillId="0" borderId="1" xfId="0" applyNumberFormat="1" applyFont="1" applyBorder="1" applyAlignment="1">
      <alignment horizontal="left" vertical="center"/>
    </xf>
    <xf numFmtId="0" fontId="169" fillId="0" borderId="0" xfId="0" applyFont="1" applyAlignment="1">
      <alignment horizontal="justify" vertical="center"/>
    </xf>
    <xf numFmtId="0" fontId="41" fillId="22" borderId="29" xfId="0" applyFont="1" applyFill="1" applyBorder="1" applyAlignment="1">
      <alignment horizontal="center" vertical="center"/>
    </xf>
    <xf numFmtId="0" fontId="170" fillId="22" borderId="30" xfId="0" applyFont="1" applyFill="1" applyBorder="1" applyAlignment="1">
      <alignment horizontal="center" vertical="center"/>
    </xf>
    <xf numFmtId="0" fontId="170" fillId="22" borderId="30" xfId="0" applyFont="1" applyFill="1" applyBorder="1" applyAlignment="1">
      <alignment horizontal="center" vertical="center" wrapText="1"/>
    </xf>
    <xf numFmtId="0" fontId="171" fillId="0" borderId="10" xfId="0" applyFont="1" applyBorder="1" applyAlignment="1">
      <alignment horizontal="center" vertical="center" wrapText="1"/>
    </xf>
    <xf numFmtId="0" fontId="5" fillId="23" borderId="9" xfId="0" applyFont="1" applyFill="1" applyBorder="1" applyAlignment="1">
      <alignment horizontal="center" vertical="center"/>
    </xf>
    <xf numFmtId="0" fontId="5" fillId="23" borderId="10" xfId="0" applyFont="1" applyFill="1" applyBorder="1" applyAlignment="1">
      <alignment horizontal="center" vertical="center"/>
    </xf>
    <xf numFmtId="0" fontId="171" fillId="23" borderId="10" xfId="0" applyFont="1" applyFill="1" applyBorder="1" applyAlignment="1">
      <alignment horizontal="center" vertical="center" wrapText="1"/>
    </xf>
    <xf numFmtId="0" fontId="172" fillId="0" borderId="15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 wrapText="1"/>
    </xf>
    <xf numFmtId="0" fontId="84" fillId="0" borderId="10" xfId="0" applyFont="1" applyBorder="1" applyAlignment="1">
      <alignment horizontal="center" vertical="center" wrapText="1"/>
    </xf>
    <xf numFmtId="0" fontId="84" fillId="23" borderId="10" xfId="0" applyFont="1" applyFill="1" applyBorder="1" applyAlignment="1">
      <alignment horizontal="center" vertical="center" wrapText="1"/>
    </xf>
    <xf numFmtId="191" fontId="18" fillId="0" borderId="1" xfId="0" applyNumberFormat="1" applyFont="1" applyBorder="1" applyAlignment="1">
      <alignment horizontal="center" vertical="center"/>
    </xf>
    <xf numFmtId="176" fontId="137" fillId="0" borderId="0" xfId="0" applyNumberFormat="1" applyFont="1" applyAlignment="1">
      <alignment horizontal="left" vertical="center"/>
    </xf>
    <xf numFmtId="176" fontId="34" fillId="0" borderId="1" xfId="0" applyNumberFormat="1" applyFont="1" applyBorder="1" applyAlignment="1">
      <alignment horizontal="center" vertical="center"/>
    </xf>
    <xf numFmtId="0" fontId="48" fillId="0" borderId="1" xfId="0" applyFont="1" applyBorder="1" applyAlignment="1">
      <alignment horizontal="center"/>
    </xf>
    <xf numFmtId="189" fontId="48" fillId="0" borderId="1" xfId="0" applyNumberFormat="1" applyFont="1" applyBorder="1" applyAlignment="1">
      <alignment horizontal="right" vertical="center"/>
    </xf>
    <xf numFmtId="189" fontId="34" fillId="0" borderId="1" xfId="0" applyNumberFormat="1" applyFont="1" applyBorder="1" applyAlignment="1">
      <alignment horizontal="right" vertical="center"/>
    </xf>
    <xf numFmtId="222" fontId="14" fillId="0" borderId="1" xfId="0" applyNumberFormat="1" applyFont="1" applyBorder="1" applyAlignment="1">
      <alignment horizontal="right" vertical="center"/>
    </xf>
    <xf numFmtId="0" fontId="14" fillId="0" borderId="1" xfId="0" applyFont="1" applyBorder="1" applyAlignment="1">
      <alignment horizontal="right" vertical="center"/>
    </xf>
    <xf numFmtId="228" fontId="6" fillId="0" borderId="1" xfId="0" applyNumberFormat="1" applyFont="1" applyBorder="1" applyAlignment="1">
      <alignment horizontal="center" vertical="center"/>
    </xf>
    <xf numFmtId="178" fontId="9" fillId="0" borderId="1" xfId="0" applyNumberFormat="1" applyFont="1" applyBorder="1" applyAlignment="1">
      <alignment horizontal="right" vertical="center"/>
    </xf>
    <xf numFmtId="0" fontId="171" fillId="0" borderId="1" xfId="0" applyFont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/>
    </xf>
    <xf numFmtId="0" fontId="101" fillId="25" borderId="8" xfId="0" applyFont="1" applyFill="1" applyBorder="1" applyAlignment="1">
      <alignment horizontal="center" vertical="center" wrapText="1"/>
    </xf>
    <xf numFmtId="0" fontId="101" fillId="0" borderId="14" xfId="0" applyFont="1" applyBorder="1" applyAlignment="1">
      <alignment horizontal="center" vertical="center" wrapText="1"/>
    </xf>
    <xf numFmtId="0" fontId="101" fillId="24" borderId="10" xfId="0" applyFont="1" applyFill="1" applyBorder="1" applyAlignment="1">
      <alignment horizontal="center" vertical="center"/>
    </xf>
    <xf numFmtId="0" fontId="174" fillId="25" borderId="10" xfId="0" applyFont="1" applyFill="1" applyBorder="1" applyAlignment="1">
      <alignment horizontal="center" vertical="center" wrapText="1"/>
    </xf>
    <xf numFmtId="0" fontId="101" fillId="0" borderId="10" xfId="0" applyFont="1" applyBorder="1" applyAlignment="1">
      <alignment horizontal="center" vertical="center" wrapText="1"/>
    </xf>
    <xf numFmtId="0" fontId="175" fillId="0" borderId="9" xfId="0" applyFont="1" applyBorder="1">
      <alignment vertical="center"/>
    </xf>
    <xf numFmtId="203" fontId="101" fillId="0" borderId="10" xfId="0" applyNumberFormat="1" applyFont="1" applyBorder="1" applyAlignment="1">
      <alignment horizontal="right" vertical="center"/>
    </xf>
    <xf numFmtId="0" fontId="101" fillId="0" borderId="10" xfId="0" applyFont="1" applyBorder="1" applyAlignment="1">
      <alignment horizontal="right" vertical="center"/>
    </xf>
    <xf numFmtId="0" fontId="101" fillId="0" borderId="10" xfId="0" applyFont="1" applyBorder="1">
      <alignment vertical="center"/>
    </xf>
    <xf numFmtId="0" fontId="176" fillId="0" borderId="0" xfId="0" applyFont="1">
      <alignment vertical="center"/>
    </xf>
    <xf numFmtId="203" fontId="6" fillId="0" borderId="1" xfId="0" applyNumberFormat="1" applyFont="1" applyBorder="1" applyAlignment="1">
      <alignment horizontal="right" vertical="center"/>
    </xf>
    <xf numFmtId="203" fontId="16" fillId="0" borderId="1" xfId="0" applyNumberFormat="1" applyFont="1" applyBorder="1" applyAlignment="1">
      <alignment horizontal="right" vertical="center"/>
    </xf>
    <xf numFmtId="176" fontId="82" fillId="0" borderId="1" xfId="0" applyNumberFormat="1" applyFont="1" applyBorder="1" applyAlignment="1">
      <alignment horizontal="center" vertical="center"/>
    </xf>
    <xf numFmtId="190" fontId="18" fillId="0" borderId="1" xfId="0" applyNumberFormat="1" applyFont="1" applyBorder="1" applyAlignment="1">
      <alignment horizontal="center" vertical="center"/>
    </xf>
    <xf numFmtId="0" fontId="69" fillId="0" borderId="1" xfId="0" applyFont="1" applyBorder="1">
      <alignment vertical="center"/>
    </xf>
    <xf numFmtId="184" fontId="69" fillId="0" borderId="1" xfId="0" applyNumberFormat="1" applyFont="1" applyBorder="1" applyAlignment="1">
      <alignment horizontal="right" vertical="center"/>
    </xf>
    <xf numFmtId="0" fontId="69" fillId="0" borderId="1" xfId="0" applyFont="1" applyBorder="1" applyAlignment="1">
      <alignment horizontal="right" vertical="center"/>
    </xf>
    <xf numFmtId="189" fontId="73" fillId="0" borderId="1" xfId="0" applyNumberFormat="1" applyFont="1" applyBorder="1" applyAlignment="1">
      <alignment horizontal="right" vertical="center"/>
    </xf>
    <xf numFmtId="176" fontId="24" fillId="0" borderId="1" xfId="0" applyNumberFormat="1" applyFont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3" fontId="6" fillId="6" borderId="1" xfId="0" applyNumberFormat="1" applyFont="1" applyFill="1" applyBorder="1" applyAlignment="1">
      <alignment horizontal="right" vertical="center"/>
    </xf>
    <xf numFmtId="0" fontId="177" fillId="0" borderId="0" xfId="0" applyFont="1" applyAlignment="1">
      <alignment horizontal="justify" vertical="center"/>
    </xf>
    <xf numFmtId="0" fontId="74" fillId="24" borderId="7" xfId="0" applyFont="1" applyFill="1" applyBorder="1" applyAlignment="1">
      <alignment horizontal="center" vertical="center"/>
    </xf>
    <xf numFmtId="0" fontId="74" fillId="24" borderId="8" xfId="0" applyFont="1" applyFill="1" applyBorder="1" applyAlignment="1">
      <alignment horizontal="center" vertical="center"/>
    </xf>
    <xf numFmtId="0" fontId="75" fillId="24" borderId="8" xfId="0" applyFont="1" applyFill="1" applyBorder="1" applyAlignment="1">
      <alignment horizontal="center" vertical="center"/>
    </xf>
    <xf numFmtId="0" fontId="75" fillId="24" borderId="8" xfId="0" applyFont="1" applyFill="1" applyBorder="1" applyAlignment="1">
      <alignment horizontal="center" vertical="center" wrapText="1"/>
    </xf>
    <xf numFmtId="0" fontId="74" fillId="24" borderId="8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203" fontId="76" fillId="0" borderId="10" xfId="0" applyNumberFormat="1" applyFont="1" applyBorder="1" applyAlignment="1">
      <alignment horizontal="right" vertical="center"/>
    </xf>
    <xf numFmtId="0" fontId="72" fillId="24" borderId="7" xfId="0" applyFont="1" applyFill="1" applyBorder="1" applyAlignment="1">
      <alignment horizontal="center" vertical="center"/>
    </xf>
    <xf numFmtId="193" fontId="35" fillId="7" borderId="1" xfId="0" applyNumberFormat="1" applyFont="1" applyFill="1" applyBorder="1" applyAlignment="1">
      <alignment horizontal="center" vertical="center"/>
    </xf>
    <xf numFmtId="193" fontId="35" fillId="7" borderId="1" xfId="0" applyNumberFormat="1" applyFont="1" applyFill="1" applyBorder="1">
      <alignment vertical="center"/>
    </xf>
    <xf numFmtId="183" fontId="6" fillId="4" borderId="1" xfId="0" applyNumberFormat="1" applyFont="1" applyFill="1" applyBorder="1" applyAlignment="1">
      <alignment horizontal="right" vertical="center"/>
    </xf>
    <xf numFmtId="0" fontId="65" fillId="4" borderId="1" xfId="0" applyFont="1" applyFill="1" applyBorder="1" applyAlignment="1">
      <alignment horizontal="center" vertical="center"/>
    </xf>
    <xf numFmtId="6" fontId="94" fillId="0" borderId="1" xfId="31" applyFont="1" applyFill="1" applyBorder="1" applyAlignment="1">
      <alignment horizontal="center" vertical="center"/>
    </xf>
    <xf numFmtId="0" fontId="91" fillId="0" borderId="0" xfId="0" applyFont="1" applyAlignment="1">
      <alignment horizontal="center" vertical="center"/>
    </xf>
    <xf numFmtId="0" fontId="5" fillId="0" borderId="1" xfId="23" applyFont="1" applyBorder="1" applyAlignment="1">
      <alignment horizontal="center" vertical="center"/>
    </xf>
    <xf numFmtId="198" fontId="20" fillId="0" borderId="1" xfId="0" applyNumberFormat="1" applyFont="1" applyBorder="1" applyAlignment="1">
      <alignment horizontal="center" vertical="center" shrinkToFit="1"/>
    </xf>
    <xf numFmtId="199" fontId="20" fillId="0" borderId="1" xfId="0" applyNumberFormat="1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/>
    </xf>
    <xf numFmtId="198" fontId="20" fillId="0" borderId="1" xfId="0" applyNumberFormat="1" applyFont="1" applyBorder="1" applyAlignment="1">
      <alignment horizontal="center" vertical="center"/>
    </xf>
    <xf numFmtId="199" fontId="20" fillId="0" borderId="1" xfId="0" applyNumberFormat="1" applyFont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 wrapText="1"/>
    </xf>
    <xf numFmtId="178" fontId="69" fillId="5" borderId="1" xfId="0" applyNumberFormat="1" applyFont="1" applyFill="1" applyBorder="1" applyAlignment="1">
      <alignment horizontal="right" vertical="center"/>
    </xf>
    <xf numFmtId="180" fontId="69" fillId="5" borderId="1" xfId="0" applyNumberFormat="1" applyFont="1" applyFill="1" applyBorder="1" applyAlignment="1">
      <alignment horizontal="right" vertical="center"/>
    </xf>
    <xf numFmtId="191" fontId="69" fillId="5" borderId="1" xfId="0" applyNumberFormat="1" applyFont="1" applyFill="1" applyBorder="1">
      <alignment vertical="center"/>
    </xf>
    <xf numFmtId="203" fontId="14" fillId="5" borderId="1" xfId="0" applyNumberFormat="1" applyFont="1" applyFill="1" applyBorder="1" applyAlignment="1">
      <alignment horizontal="right" vertical="center" wrapText="1"/>
    </xf>
    <xf numFmtId="179" fontId="83" fillId="5" borderId="1" xfId="0" applyNumberFormat="1" applyFont="1" applyFill="1" applyBorder="1" applyAlignment="1">
      <alignment horizontal="center" vertical="center" wrapText="1"/>
    </xf>
    <xf numFmtId="0" fontId="18" fillId="4" borderId="0" xfId="0" applyFont="1" applyFill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180" fontId="5" fillId="0" borderId="1" xfId="0" applyNumberFormat="1" applyFont="1" applyBorder="1" applyAlignment="1">
      <alignment horizontal="right" vertical="center"/>
    </xf>
    <xf numFmtId="0" fontId="5" fillId="0" borderId="3" xfId="0" applyFont="1" applyBorder="1" applyAlignment="1">
      <alignment horizontal="center"/>
    </xf>
    <xf numFmtId="190" fontId="41" fillId="0" borderId="1" xfId="0" applyNumberFormat="1" applyFont="1" applyBorder="1" applyAlignment="1">
      <alignment horizontal="center" vertical="center"/>
    </xf>
    <xf numFmtId="206" fontId="5" fillId="0" borderId="1" xfId="0" applyNumberFormat="1" applyFont="1" applyBorder="1">
      <alignment vertical="center"/>
    </xf>
    <xf numFmtId="0" fontId="37" fillId="0" borderId="1" xfId="0" applyFont="1" applyBorder="1" applyAlignment="1">
      <alignment horizontal="center" vertical="center" wrapText="1"/>
    </xf>
    <xf numFmtId="203" fontId="37" fillId="0" borderId="1" xfId="0" applyNumberFormat="1" applyFont="1" applyBorder="1" applyAlignment="1">
      <alignment horizontal="right" vertical="center" wrapText="1"/>
    </xf>
    <xf numFmtId="189" fontId="5" fillId="0" borderId="1" xfId="0" applyNumberFormat="1" applyFont="1" applyBorder="1">
      <alignment vertical="center"/>
    </xf>
    <xf numFmtId="206" fontId="5" fillId="0" borderId="13" xfId="0" applyNumberFormat="1" applyFont="1" applyBorder="1" applyAlignment="1">
      <alignment horizontal="right" vertical="center"/>
    </xf>
    <xf numFmtId="0" fontId="37" fillId="0" borderId="1" xfId="0" applyFont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176" fontId="5" fillId="6" borderId="1" xfId="0" applyNumberFormat="1" applyFont="1" applyFill="1" applyBorder="1" applyAlignment="1">
      <alignment horizontal="center" vertical="center"/>
    </xf>
    <xf numFmtId="184" fontId="5" fillId="6" borderId="1" xfId="0" applyNumberFormat="1" applyFont="1" applyFill="1" applyBorder="1" applyAlignment="1">
      <alignment horizontal="right" vertical="center"/>
    </xf>
    <xf numFmtId="192" fontId="5" fillId="6" borderId="1" xfId="0" applyNumberFormat="1" applyFont="1" applyFill="1" applyBorder="1">
      <alignment vertical="center"/>
    </xf>
    <xf numFmtId="191" fontId="5" fillId="6" borderId="1" xfId="0" applyNumberFormat="1" applyFont="1" applyFill="1" applyBorder="1">
      <alignment vertical="center"/>
    </xf>
    <xf numFmtId="189" fontId="5" fillId="6" borderId="1" xfId="0" applyNumberFormat="1" applyFont="1" applyFill="1" applyBorder="1">
      <alignment vertical="center"/>
    </xf>
    <xf numFmtId="190" fontId="41" fillId="6" borderId="1" xfId="0" applyNumberFormat="1" applyFont="1" applyFill="1" applyBorder="1" applyAlignment="1">
      <alignment horizontal="center" vertical="center"/>
    </xf>
    <xf numFmtId="206" fontId="5" fillId="6" borderId="1" xfId="0" applyNumberFormat="1" applyFont="1" applyFill="1" applyBorder="1">
      <alignment vertical="center"/>
    </xf>
    <xf numFmtId="0" fontId="5" fillId="6" borderId="0" xfId="0" applyFont="1" applyFill="1">
      <alignment vertical="center"/>
    </xf>
    <xf numFmtId="0" fontId="5" fillId="6" borderId="0" xfId="0" applyFont="1" applyFill="1" applyAlignment="1">
      <alignment horizontal="right" vertical="center"/>
    </xf>
    <xf numFmtId="0" fontId="5" fillId="6" borderId="1" xfId="0" applyFont="1" applyFill="1" applyBorder="1" applyAlignment="1">
      <alignment horizontal="right" vertical="center"/>
    </xf>
    <xf numFmtId="0" fontId="180" fillId="0" borderId="1" xfId="0" applyFont="1" applyBorder="1" applyAlignment="1">
      <alignment horizontal="right" vertical="center"/>
    </xf>
    <xf numFmtId="0" fontId="32" fillId="0" borderId="1" xfId="0" applyFont="1" applyBorder="1" applyAlignment="1">
      <alignment horizontal="right" vertical="center"/>
    </xf>
    <xf numFmtId="0" fontId="181" fillId="0" borderId="1" xfId="0" applyFont="1" applyBorder="1" applyAlignment="1">
      <alignment horizontal="center" vertical="center"/>
    </xf>
    <xf numFmtId="189" fontId="6" fillId="0" borderId="1" xfId="32" applyNumberFormat="1" applyFont="1" applyBorder="1">
      <alignment vertical="center"/>
    </xf>
    <xf numFmtId="191" fontId="61" fillId="0" borderId="1" xfId="0" applyNumberFormat="1" applyFont="1" applyBorder="1" applyAlignment="1">
      <alignment horizontal="right" vertical="center"/>
    </xf>
    <xf numFmtId="192" fontId="61" fillId="0" borderId="1" xfId="0" applyNumberFormat="1" applyFont="1" applyBorder="1" applyAlignment="1">
      <alignment horizontal="right" vertical="center"/>
    </xf>
    <xf numFmtId="189" fontId="6" fillId="6" borderId="12" xfId="0" applyNumberFormat="1" applyFont="1" applyFill="1" applyBorder="1">
      <alignment vertical="center"/>
    </xf>
    <xf numFmtId="189" fontId="69" fillId="0" borderId="1" xfId="0" applyNumberFormat="1" applyFont="1" applyBorder="1" applyAlignment="1">
      <alignment horizontal="center" vertical="center"/>
    </xf>
    <xf numFmtId="3" fontId="182" fillId="0" borderId="0" xfId="0" applyNumberFormat="1" applyFont="1">
      <alignment vertical="center"/>
    </xf>
    <xf numFmtId="229" fontId="183" fillId="0" borderId="0" xfId="19" applyNumberFormat="1" applyFont="1">
      <alignment vertical="center"/>
    </xf>
    <xf numFmtId="0" fontId="39" fillId="4" borderId="0" xfId="0" applyFont="1" applyFill="1">
      <alignment vertical="center"/>
    </xf>
    <xf numFmtId="189" fontId="6" fillId="0" borderId="28" xfId="0" applyNumberFormat="1" applyFont="1" applyBorder="1">
      <alignment vertical="center"/>
    </xf>
    <xf numFmtId="0" fontId="69" fillId="0" borderId="1" xfId="0" applyFont="1" applyBorder="1" applyAlignment="1">
      <alignment horizontal="left" vertical="center"/>
    </xf>
    <xf numFmtId="189" fontId="9" fillId="0" borderId="1" xfId="0" applyNumberFormat="1" applyFont="1" applyBorder="1" applyAlignment="1">
      <alignment horizontal="center" vertical="center"/>
    </xf>
    <xf numFmtId="193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right" vertical="center"/>
    </xf>
    <xf numFmtId="179" fontId="32" fillId="6" borderId="1" xfId="0" applyNumberFormat="1" applyFont="1" applyFill="1" applyBorder="1" applyAlignment="1">
      <alignment horizontal="center" vertical="center" wrapText="1"/>
    </xf>
    <xf numFmtId="3" fontId="182" fillId="0" borderId="0" xfId="0" applyNumberFormat="1" applyFont="1" applyAlignment="1">
      <alignment horizontal="right" vertical="center"/>
    </xf>
    <xf numFmtId="0" fontId="41" fillId="0" borderId="1" xfId="0" applyFont="1" applyBorder="1" applyAlignment="1">
      <alignment horizontal="center" vertical="center"/>
    </xf>
    <xf numFmtId="49" fontId="5" fillId="7" borderId="1" xfId="0" applyNumberFormat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49" fontId="5" fillId="6" borderId="1" xfId="0" applyNumberFormat="1" applyFont="1" applyFill="1" applyBorder="1" applyAlignment="1">
      <alignment horizontal="center" vertical="center"/>
    </xf>
    <xf numFmtId="179" fontId="5" fillId="0" borderId="1" xfId="0" applyNumberFormat="1" applyFont="1" applyBorder="1" applyAlignment="1">
      <alignment horizontal="center" vertical="center"/>
    </xf>
    <xf numFmtId="179" fontId="5" fillId="6" borderId="1" xfId="0" applyNumberFormat="1" applyFont="1" applyFill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208" fontId="48" fillId="0" borderId="1" xfId="0" applyNumberFormat="1" applyFont="1" applyBorder="1" applyAlignment="1">
      <alignment horizontal="center" vertical="center"/>
    </xf>
    <xf numFmtId="208" fontId="48" fillId="0" borderId="1" xfId="0" applyNumberFormat="1" applyFont="1" applyBorder="1" applyAlignment="1">
      <alignment horizontal="center" vertical="center" wrapText="1"/>
    </xf>
    <xf numFmtId="209" fontId="48" fillId="0" borderId="1" xfId="0" applyNumberFormat="1" applyFont="1" applyBorder="1" applyAlignment="1">
      <alignment horizontal="center" vertical="center" wrapText="1"/>
    </xf>
    <xf numFmtId="0" fontId="39" fillId="0" borderId="0" xfId="0" applyFont="1">
      <alignment vertical="center"/>
    </xf>
    <xf numFmtId="49" fontId="37" fillId="0" borderId="1" xfId="0" applyNumberFormat="1" applyFont="1" applyBorder="1" applyAlignment="1">
      <alignment horizontal="center"/>
    </xf>
    <xf numFmtId="202" fontId="37" fillId="0" borderId="1" xfId="0" applyNumberFormat="1" applyFont="1" applyBorder="1" applyAlignment="1">
      <alignment horizontal="center"/>
    </xf>
    <xf numFmtId="0" fontId="37" fillId="0" borderId="1" xfId="0" applyFont="1" applyBorder="1" applyAlignment="1">
      <alignment horizontal="center"/>
    </xf>
    <xf numFmtId="193" fontId="37" fillId="0" borderId="1" xfId="0" applyNumberFormat="1" applyFont="1" applyBorder="1" applyAlignment="1">
      <alignment horizontal="right" vertical="center"/>
    </xf>
    <xf numFmtId="230" fontId="32" fillId="0" borderId="1" xfId="0" applyNumberFormat="1" applyFont="1" applyBorder="1">
      <alignment vertical="center"/>
    </xf>
    <xf numFmtId="229" fontId="37" fillId="0" borderId="0" xfId="19" applyNumberFormat="1" applyFont="1" applyAlignment="1"/>
    <xf numFmtId="0" fontId="37" fillId="0" borderId="0" xfId="0" applyFont="1" applyAlignment="1"/>
    <xf numFmtId="0" fontId="37" fillId="0" borderId="0" xfId="0" applyFont="1">
      <alignment vertical="center"/>
    </xf>
    <xf numFmtId="209" fontId="34" fillId="0" borderId="0" xfId="0" applyNumberFormat="1" applyFont="1" applyAlignment="1">
      <alignment horizontal="center" vertical="center" wrapText="1"/>
    </xf>
    <xf numFmtId="231" fontId="37" fillId="0" borderId="1" xfId="0" applyNumberFormat="1" applyFont="1" applyBorder="1" applyAlignment="1">
      <alignment horizontal="center"/>
    </xf>
    <xf numFmtId="189" fontId="73" fillId="0" borderId="1" xfId="0" applyNumberFormat="1" applyFont="1" applyBorder="1" applyAlignment="1">
      <alignment horizontal="center" vertical="center"/>
    </xf>
    <xf numFmtId="0" fontId="183" fillId="0" borderId="0" xfId="0" applyFont="1">
      <alignment vertical="center"/>
    </xf>
    <xf numFmtId="0" fontId="183" fillId="0" borderId="0" xfId="0" applyFont="1" applyAlignment="1">
      <alignment horizontal="center" vertical="center"/>
    </xf>
    <xf numFmtId="49" fontId="14" fillId="0" borderId="1" xfId="0" quotePrefix="1" applyNumberFormat="1" applyFont="1" applyBorder="1" applyAlignment="1">
      <alignment horizontal="left" vertical="center"/>
    </xf>
    <xf numFmtId="232" fontId="6" fillId="0" borderId="1" xfId="0" applyNumberFormat="1" applyFont="1" applyBorder="1" applyAlignment="1">
      <alignment horizontal="center" vertical="center"/>
    </xf>
    <xf numFmtId="190" fontId="39" fillId="0" borderId="1" xfId="0" applyNumberFormat="1" applyFont="1" applyBorder="1" applyAlignment="1">
      <alignment horizontal="center" vertical="center"/>
    </xf>
    <xf numFmtId="206" fontId="14" fillId="0" borderId="13" xfId="0" applyNumberFormat="1" applyFont="1" applyBorder="1" applyAlignment="1">
      <alignment horizontal="right" vertical="center"/>
    </xf>
    <xf numFmtId="185" fontId="26" fillId="0" borderId="28" xfId="0" applyNumberFormat="1" applyFont="1" applyBorder="1" applyAlignment="1">
      <alignment horizontal="right" vertical="center"/>
    </xf>
    <xf numFmtId="0" fontId="6" fillId="8" borderId="13" xfId="0" applyFont="1" applyFill="1" applyBorder="1" applyAlignment="1">
      <alignment horizontal="right" vertical="center"/>
    </xf>
    <xf numFmtId="0" fontId="6" fillId="8" borderId="28" xfId="0" applyFont="1" applyFill="1" applyBorder="1" applyAlignment="1">
      <alignment horizontal="right" vertical="center"/>
    </xf>
    <xf numFmtId="49" fontId="14" fillId="6" borderId="1" xfId="0" quotePrefix="1" applyNumberFormat="1" applyFont="1" applyFill="1" applyBorder="1" applyAlignment="1">
      <alignment horizontal="left" vertical="center"/>
    </xf>
    <xf numFmtId="190" fontId="185" fillId="0" borderId="0" xfId="0" applyNumberFormat="1" applyFont="1" applyAlignment="1">
      <alignment horizontal="left" vertical="center"/>
    </xf>
    <xf numFmtId="3" fontId="6" fillId="0" borderId="26" xfId="0" applyNumberFormat="1" applyFont="1" applyBorder="1">
      <alignment vertical="center"/>
    </xf>
    <xf numFmtId="189" fontId="61" fillId="6" borderId="12" xfId="0" applyNumberFormat="1" applyFont="1" applyFill="1" applyBorder="1" applyAlignment="1">
      <alignment horizontal="right" vertical="center"/>
    </xf>
    <xf numFmtId="185" fontId="87" fillId="0" borderId="28" xfId="0" applyNumberFormat="1" applyFont="1" applyBorder="1">
      <alignment vertical="center"/>
    </xf>
    <xf numFmtId="190" fontId="39" fillId="6" borderId="1" xfId="0" applyNumberFormat="1" applyFont="1" applyFill="1" applyBorder="1" applyAlignment="1">
      <alignment horizontal="center" vertical="center"/>
    </xf>
    <xf numFmtId="0" fontId="48" fillId="0" borderId="1" xfId="0" applyFont="1" applyBorder="1" applyAlignment="1">
      <alignment horizontal="center" vertical="center" wrapText="1"/>
    </xf>
    <xf numFmtId="0" fontId="41" fillId="0" borderId="1" xfId="0" applyFont="1" applyBorder="1" applyAlignment="1">
      <alignment horizontal="center" vertical="center" wrapText="1"/>
    </xf>
    <xf numFmtId="205" fontId="48" fillId="0" borderId="1" xfId="7" applyFont="1" applyFill="1" applyBorder="1" applyAlignment="1">
      <alignment horizontal="center" vertical="center" wrapText="1"/>
    </xf>
    <xf numFmtId="205" fontId="34" fillId="0" borderId="0" xfId="7" applyFont="1" applyFill="1" applyBorder="1" applyAlignment="1">
      <alignment horizontal="center" vertical="center" wrapText="1"/>
    </xf>
    <xf numFmtId="0" fontId="32" fillId="0" borderId="0" xfId="0" applyFont="1" applyAlignment="1">
      <alignment vertical="center" wrapText="1"/>
    </xf>
    <xf numFmtId="230" fontId="64" fillId="0" borderId="0" xfId="0" applyNumberFormat="1" applyFont="1" applyAlignment="1">
      <alignment horizontal="center" vertical="center"/>
    </xf>
    <xf numFmtId="9" fontId="37" fillId="0" borderId="0" xfId="19" applyFont="1" applyFill="1" applyAlignment="1">
      <alignment horizontal="center"/>
    </xf>
    <xf numFmtId="0" fontId="37" fillId="0" borderId="0" xfId="0" applyFont="1" applyAlignment="1">
      <alignment horizontal="center"/>
    </xf>
    <xf numFmtId="0" fontId="5" fillId="0" borderId="0" xfId="0" applyFont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224" fontId="37" fillId="0" borderId="1" xfId="0" applyNumberFormat="1" applyFont="1" applyBorder="1" applyAlignment="1">
      <alignment horizontal="right" vertical="center" wrapText="1"/>
    </xf>
    <xf numFmtId="0" fontId="187" fillId="0" borderId="1" xfId="0" applyFont="1" applyBorder="1" applyAlignment="1">
      <alignment horizontal="center" vertical="center"/>
    </xf>
    <xf numFmtId="188" fontId="5" fillId="0" borderId="1" xfId="0" applyNumberFormat="1" applyFont="1" applyBorder="1" applyAlignment="1"/>
    <xf numFmtId="0" fontId="188" fillId="0" borderId="26" xfId="0" applyFont="1" applyBorder="1" applyAlignment="1">
      <alignment horizontal="left" vertical="center"/>
    </xf>
    <xf numFmtId="0" fontId="114" fillId="0" borderId="0" xfId="0" applyFont="1">
      <alignment vertical="center"/>
    </xf>
    <xf numFmtId="206" fontId="60" fillId="0" borderId="13" xfId="0" applyNumberFormat="1" applyFont="1" applyBorder="1" applyAlignment="1">
      <alignment horizontal="right" vertical="center"/>
    </xf>
    <xf numFmtId="229" fontId="189" fillId="0" borderId="0" xfId="19" applyNumberFormat="1" applyFont="1">
      <alignment vertical="center"/>
    </xf>
    <xf numFmtId="2" fontId="6" fillId="0" borderId="26" xfId="0" applyNumberFormat="1" applyFont="1" applyBorder="1">
      <alignment vertical="center"/>
    </xf>
    <xf numFmtId="3" fontId="6" fillId="0" borderId="0" xfId="0" applyNumberFormat="1" applyFont="1">
      <alignment vertical="center"/>
    </xf>
    <xf numFmtId="0" fontId="190" fillId="0" borderId="173" xfId="0" applyFont="1" applyBorder="1" applyAlignment="1">
      <alignment horizontal="center" vertical="center" wrapText="1"/>
    </xf>
    <xf numFmtId="0" fontId="191" fillId="0" borderId="173" xfId="0" applyFont="1" applyBorder="1" applyAlignment="1">
      <alignment horizontal="center" vertical="center" wrapText="1"/>
    </xf>
    <xf numFmtId="0" fontId="92" fillId="0" borderId="173" xfId="0" applyFont="1" applyBorder="1" applyAlignment="1">
      <alignment horizontal="center" vertical="center" wrapText="1"/>
    </xf>
    <xf numFmtId="0" fontId="37" fillId="0" borderId="173" xfId="0" applyFont="1" applyBorder="1" applyAlignment="1">
      <alignment horizontal="center" vertical="center" wrapText="1"/>
    </xf>
    <xf numFmtId="6" fontId="193" fillId="0" borderId="173" xfId="0" applyNumberFormat="1" applyFont="1" applyBorder="1" applyAlignment="1">
      <alignment horizontal="center" vertical="center" wrapText="1"/>
    </xf>
    <xf numFmtId="10" fontId="194" fillId="26" borderId="173" xfId="19" applyNumberFormat="1" applyFont="1" applyFill="1" applyBorder="1">
      <alignment vertical="center"/>
    </xf>
    <xf numFmtId="205" fontId="194" fillId="26" borderId="173" xfId="0" applyNumberFormat="1" applyFont="1" applyFill="1" applyBorder="1" applyAlignment="1">
      <alignment horizontal="center" vertical="center"/>
    </xf>
    <xf numFmtId="234" fontId="92" fillId="0" borderId="173" xfId="0" applyNumberFormat="1" applyFont="1" applyBorder="1" applyAlignment="1">
      <alignment horizontal="center" vertical="center" wrapText="1"/>
    </xf>
    <xf numFmtId="0" fontId="195" fillId="0" borderId="173" xfId="0" applyFont="1" applyBorder="1" applyAlignment="1">
      <alignment horizontal="center" vertical="center"/>
    </xf>
    <xf numFmtId="0" fontId="195" fillId="0" borderId="173" xfId="0" quotePrefix="1" applyFont="1" applyBorder="1" applyAlignment="1">
      <alignment horizontal="center" vertical="center"/>
    </xf>
    <xf numFmtId="0" fontId="195" fillId="0" borderId="0" xfId="0" applyFont="1" applyAlignment="1">
      <alignment horizontal="center" vertical="center"/>
    </xf>
    <xf numFmtId="0" fontId="195" fillId="0" borderId="0" xfId="0" quotePrefix="1" applyFont="1" applyAlignment="1">
      <alignment horizontal="center" vertical="center"/>
    </xf>
    <xf numFmtId="233" fontId="196" fillId="26" borderId="0" xfId="0" applyNumberFormat="1" applyFont="1" applyFill="1" applyAlignment="1">
      <alignment horizontal="center" vertical="center" wrapText="1"/>
    </xf>
    <xf numFmtId="10" fontId="194" fillId="26" borderId="0" xfId="19" applyNumberFormat="1" applyFont="1" applyFill="1" applyBorder="1">
      <alignment vertical="center"/>
    </xf>
    <xf numFmtId="205" fontId="194" fillId="26" borderId="0" xfId="0" applyNumberFormat="1" applyFont="1" applyFill="1" applyAlignment="1">
      <alignment horizontal="center" vertical="center"/>
    </xf>
    <xf numFmtId="206" fontId="196" fillId="26" borderId="173" xfId="0" applyNumberFormat="1" applyFont="1" applyFill="1" applyBorder="1" applyAlignment="1">
      <alignment horizontal="center" vertical="center" wrapText="1"/>
    </xf>
    <xf numFmtId="206" fontId="14" fillId="0" borderId="1" xfId="0" applyNumberFormat="1" applyFont="1" applyBorder="1" applyAlignment="1">
      <alignment horizontal="center" vertical="center" wrapText="1"/>
    </xf>
    <xf numFmtId="0" fontId="197" fillId="0" borderId="173" xfId="0" applyFont="1" applyBorder="1" applyAlignment="1">
      <alignment horizontal="center" vertical="center" wrapText="1"/>
    </xf>
    <xf numFmtId="0" fontId="199" fillId="26" borderId="173" xfId="0" applyFont="1" applyFill="1" applyBorder="1" applyAlignment="1">
      <alignment horizontal="center" vertical="center"/>
    </xf>
    <xf numFmtId="6" fontId="200" fillId="0" borderId="173" xfId="0" applyNumberFormat="1" applyFont="1" applyBorder="1" applyAlignment="1">
      <alignment horizontal="center" vertical="center" wrapText="1"/>
    </xf>
    <xf numFmtId="10" fontId="201" fillId="26" borderId="173" xfId="19" applyNumberFormat="1" applyFont="1" applyFill="1" applyBorder="1">
      <alignment vertical="center"/>
    </xf>
    <xf numFmtId="0" fontId="202" fillId="0" borderId="1" xfId="11" applyFont="1" applyBorder="1" applyAlignment="1">
      <alignment horizontal="center" vertical="center" wrapText="1"/>
    </xf>
    <xf numFmtId="0" fontId="181" fillId="0" borderId="1" xfId="0" applyFont="1" applyBorder="1" applyAlignment="1">
      <alignment horizontal="center" vertical="center" shrinkToFit="1"/>
    </xf>
    <xf numFmtId="0" fontId="32" fillId="0" borderId="0" xfId="0" applyFont="1" applyAlignment="1">
      <alignment horizontal="center" vertical="center" shrinkToFit="1"/>
    </xf>
    <xf numFmtId="0" fontId="37" fillId="0" borderId="0" xfId="0" applyFont="1" applyAlignment="1">
      <alignment vertical="center" shrinkToFit="1"/>
    </xf>
    <xf numFmtId="0" fontId="37" fillId="0" borderId="1" xfId="0" applyFont="1" applyBorder="1" applyAlignment="1">
      <alignment horizontal="center" vertical="center" shrinkToFit="1"/>
    </xf>
    <xf numFmtId="205" fontId="37" fillId="0" borderId="0" xfId="0" applyNumberFormat="1" applyFont="1" applyAlignment="1">
      <alignment horizontal="center" vertical="center" shrinkToFit="1"/>
    </xf>
    <xf numFmtId="10" fontId="80" fillId="0" borderId="0" xfId="19" applyNumberFormat="1" applyFont="1">
      <alignment vertical="center"/>
    </xf>
    <xf numFmtId="235" fontId="37" fillId="0" borderId="1" xfId="0" applyNumberFormat="1" applyFont="1" applyBorder="1" applyAlignment="1">
      <alignment horizontal="center" vertical="center" wrapText="1" shrinkToFit="1"/>
    </xf>
    <xf numFmtId="206" fontId="37" fillId="0" borderId="1" xfId="0" applyNumberFormat="1" applyFont="1" applyBorder="1" applyAlignment="1">
      <alignment horizontal="center" vertical="center" shrinkToFit="1"/>
    </xf>
    <xf numFmtId="6" fontId="200" fillId="0" borderId="0" xfId="0" applyNumberFormat="1" applyFont="1" applyAlignment="1">
      <alignment horizontal="center" vertical="center" wrapText="1"/>
    </xf>
    <xf numFmtId="10" fontId="201" fillId="26" borderId="0" xfId="19" applyNumberFormat="1" applyFont="1" applyFill="1" applyBorder="1">
      <alignment vertical="center"/>
    </xf>
    <xf numFmtId="205" fontId="201" fillId="26" borderId="0" xfId="0" applyNumberFormat="1" applyFont="1" applyFill="1" applyAlignment="1">
      <alignment horizontal="center" vertical="center"/>
    </xf>
    <xf numFmtId="205" fontId="37" fillId="0" borderId="1" xfId="0" applyNumberFormat="1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191" fontId="48" fillId="0" borderId="1" xfId="0" applyNumberFormat="1" applyFont="1" applyBorder="1" applyAlignment="1">
      <alignment horizontal="center" vertical="center"/>
    </xf>
    <xf numFmtId="217" fontId="37" fillId="0" borderId="1" xfId="0" applyNumberFormat="1" applyFont="1" applyBorder="1" applyAlignment="1">
      <alignment horizontal="center" vertical="center"/>
    </xf>
    <xf numFmtId="217" fontId="37" fillId="0" borderId="1" xfId="0" applyNumberFormat="1" applyFont="1" applyBorder="1" applyAlignment="1">
      <alignment horizontal="center" vertical="center" shrinkToFit="1"/>
    </xf>
    <xf numFmtId="234" fontId="37" fillId="0" borderId="1" xfId="0" applyNumberFormat="1" applyFont="1" applyBorder="1" applyAlignment="1">
      <alignment horizontal="center" vertical="center"/>
    </xf>
    <xf numFmtId="0" fontId="203" fillId="7" borderId="19" xfId="0" applyFont="1" applyFill="1" applyBorder="1" applyAlignment="1">
      <alignment horizontal="center" vertical="center"/>
    </xf>
    <xf numFmtId="0" fontId="37" fillId="0" borderId="173" xfId="0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206" fontId="14" fillId="0" borderId="0" xfId="0" applyNumberFormat="1" applyFont="1" applyAlignment="1">
      <alignment horizontal="center" vertical="center" wrapText="1"/>
    </xf>
    <xf numFmtId="206" fontId="204" fillId="0" borderId="1" xfId="0" applyNumberFormat="1" applyFont="1" applyBorder="1" applyAlignment="1">
      <alignment horizontal="center" vertical="center" wrapText="1"/>
    </xf>
    <xf numFmtId="230" fontId="14" fillId="0" borderId="1" xfId="0" applyNumberFormat="1" applyFont="1" applyBorder="1" applyAlignment="1">
      <alignment horizontal="center" vertical="center" wrapText="1"/>
    </xf>
    <xf numFmtId="0" fontId="205" fillId="7" borderId="1" xfId="0" applyFont="1" applyFill="1" applyBorder="1" applyAlignment="1">
      <alignment horizontal="center" vertical="top"/>
    </xf>
    <xf numFmtId="236" fontId="205" fillId="7" borderId="1" xfId="0" applyNumberFormat="1" applyFont="1" applyFill="1" applyBorder="1" applyAlignment="1">
      <alignment horizontal="center" vertical="top"/>
    </xf>
    <xf numFmtId="237" fontId="205" fillId="7" borderId="1" xfId="0" applyNumberFormat="1" applyFont="1" applyFill="1" applyBorder="1" applyAlignment="1">
      <alignment horizontal="center" vertical="top"/>
    </xf>
    <xf numFmtId="0" fontId="206" fillId="7" borderId="1" xfId="0" applyFont="1" applyFill="1" applyBorder="1" applyAlignment="1">
      <alignment horizontal="center" vertical="top"/>
    </xf>
    <xf numFmtId="49" fontId="205" fillId="0" borderId="1" xfId="0" applyNumberFormat="1" applyFont="1" applyBorder="1" applyAlignment="1">
      <alignment horizontal="center" vertical="center"/>
    </xf>
    <xf numFmtId="236" fontId="205" fillId="0" borderId="1" xfId="0" applyNumberFormat="1" applyFont="1" applyBorder="1" applyAlignment="1">
      <alignment horizontal="center" vertical="center"/>
    </xf>
    <xf numFmtId="0" fontId="206" fillId="0" borderId="1" xfId="0" applyFont="1" applyBorder="1" applyAlignment="1">
      <alignment horizontal="center" vertical="center"/>
    </xf>
    <xf numFmtId="237" fontId="205" fillId="0" borderId="1" xfId="0" applyNumberFormat="1" applyFont="1" applyBorder="1">
      <alignment vertical="center"/>
    </xf>
    <xf numFmtId="191" fontId="6" fillId="0" borderId="13" xfId="0" applyNumberFormat="1" applyFont="1" applyBorder="1">
      <alignment vertical="center"/>
    </xf>
    <xf numFmtId="0" fontId="6" fillId="0" borderId="16" xfId="0" applyFont="1" applyBorder="1" applyAlignment="1">
      <alignment horizontal="center" vertical="center"/>
    </xf>
    <xf numFmtId="0" fontId="76" fillId="0" borderId="1" xfId="0" applyFont="1" applyBorder="1" applyAlignment="1">
      <alignment horizontal="center" vertical="center"/>
    </xf>
    <xf numFmtId="0" fontId="6" fillId="4" borderId="26" xfId="0" applyFont="1" applyFill="1" applyBorder="1" applyAlignment="1">
      <alignment horizontal="center" vertical="center"/>
    </xf>
    <xf numFmtId="179" fontId="99" fillId="5" borderId="1" xfId="0" applyNumberFormat="1" applyFont="1" applyFill="1" applyBorder="1" applyAlignment="1">
      <alignment horizontal="center" vertical="center"/>
    </xf>
    <xf numFmtId="189" fontId="6" fillId="5" borderId="12" xfId="0" applyNumberFormat="1" applyFont="1" applyFill="1" applyBorder="1">
      <alignment vertical="center"/>
    </xf>
    <xf numFmtId="0" fontId="6" fillId="5" borderId="26" xfId="0" applyFont="1" applyFill="1" applyBorder="1" applyAlignment="1">
      <alignment horizontal="left" vertical="center"/>
    </xf>
    <xf numFmtId="0" fontId="4" fillId="5" borderId="27" xfId="0" applyFont="1" applyFill="1" applyBorder="1">
      <alignment vertical="center"/>
    </xf>
    <xf numFmtId="0" fontId="6" fillId="5" borderId="26" xfId="0" applyFont="1" applyFill="1" applyBorder="1" applyAlignment="1">
      <alignment horizontal="center" vertical="center"/>
    </xf>
    <xf numFmtId="229" fontId="183" fillId="5" borderId="0" xfId="19" applyNumberFormat="1" applyFont="1" applyFill="1">
      <alignment vertical="center"/>
    </xf>
    <xf numFmtId="0" fontId="0" fillId="5" borderId="0" xfId="0" applyFill="1">
      <alignment vertical="center"/>
    </xf>
    <xf numFmtId="206" fontId="6" fillId="5" borderId="13" xfId="0" applyNumberFormat="1" applyFont="1" applyFill="1" applyBorder="1" applyAlignment="1">
      <alignment horizontal="right" vertical="center"/>
    </xf>
    <xf numFmtId="193" fontId="6" fillId="5" borderId="0" xfId="0" applyNumberFormat="1" applyFont="1" applyFill="1">
      <alignment vertical="center"/>
    </xf>
    <xf numFmtId="179" fontId="79" fillId="6" borderId="1" xfId="0" applyNumberFormat="1" applyFont="1" applyFill="1" applyBorder="1" applyAlignment="1">
      <alignment horizontal="center" vertical="center" wrapText="1"/>
    </xf>
    <xf numFmtId="179" fontId="37" fillId="0" borderId="1" xfId="0" applyNumberFormat="1" applyFont="1" applyBorder="1" applyAlignment="1">
      <alignment horizontal="center" vertical="center" wrapText="1"/>
    </xf>
    <xf numFmtId="0" fontId="207" fillId="0" borderId="1" xfId="0" applyFont="1" applyBorder="1" applyAlignment="1">
      <alignment horizontal="left" vertical="center"/>
    </xf>
    <xf numFmtId="191" fontId="37" fillId="0" borderId="1" xfId="0" applyNumberFormat="1" applyFont="1" applyBorder="1">
      <alignment vertical="center"/>
    </xf>
    <xf numFmtId="192" fontId="37" fillId="0" borderId="1" xfId="0" applyNumberFormat="1" applyFont="1" applyBorder="1">
      <alignment vertical="center"/>
    </xf>
    <xf numFmtId="0" fontId="37" fillId="0" borderId="3" xfId="0" applyFont="1" applyBorder="1" applyAlignment="1">
      <alignment horizontal="center"/>
    </xf>
    <xf numFmtId="178" fontId="37" fillId="0" borderId="1" xfId="0" applyNumberFormat="1" applyFont="1" applyBorder="1" applyAlignment="1">
      <alignment horizontal="right" vertical="center"/>
    </xf>
    <xf numFmtId="189" fontId="37" fillId="0" borderId="1" xfId="0" applyNumberFormat="1" applyFont="1" applyBorder="1">
      <alignment vertical="center"/>
    </xf>
    <xf numFmtId="180" fontId="37" fillId="0" borderId="1" xfId="0" applyNumberFormat="1" applyFont="1" applyBorder="1" applyAlignment="1">
      <alignment horizontal="right" vertical="center"/>
    </xf>
    <xf numFmtId="184" fontId="37" fillId="0" borderId="1" xfId="0" applyNumberFormat="1" applyFont="1" applyBorder="1" applyAlignment="1">
      <alignment horizontal="right" vertical="center"/>
    </xf>
    <xf numFmtId="189" fontId="181" fillId="0" borderId="1" xfId="0" applyNumberFormat="1" applyFont="1" applyBorder="1" applyAlignment="1">
      <alignment horizontal="center" vertical="center"/>
    </xf>
    <xf numFmtId="189" fontId="181" fillId="0" borderId="1" xfId="0" applyNumberFormat="1" applyFont="1" applyBorder="1">
      <alignment vertical="center"/>
    </xf>
    <xf numFmtId="187" fontId="5" fillId="0" borderId="1" xfId="0" applyNumberFormat="1" applyFont="1" applyBorder="1" applyAlignment="1">
      <alignment horizontal="center" vertical="center" wrapText="1"/>
    </xf>
    <xf numFmtId="0" fontId="14" fillId="0" borderId="0" xfId="0" applyFont="1" applyAlignment="1"/>
    <xf numFmtId="239" fontId="37" fillId="0" borderId="0" xfId="0" applyNumberFormat="1" applyFont="1" applyAlignment="1">
      <alignment horizontal="center" vertical="center" shrinkToFit="1"/>
    </xf>
    <xf numFmtId="49" fontId="39" fillId="0" borderId="1" xfId="0" applyNumberFormat="1" applyFont="1" applyBorder="1" applyAlignment="1">
      <alignment horizontal="center" vertical="center"/>
    </xf>
    <xf numFmtId="187" fontId="39" fillId="0" borderId="1" xfId="0" applyNumberFormat="1" applyFont="1" applyBorder="1" applyAlignment="1">
      <alignment horizontal="center" vertical="center"/>
    </xf>
    <xf numFmtId="208" fontId="39" fillId="0" borderId="1" xfId="0" applyNumberFormat="1" applyFont="1" applyBorder="1" applyAlignment="1">
      <alignment horizontal="center" vertical="center"/>
    </xf>
    <xf numFmtId="208" fontId="39" fillId="0" borderId="1" xfId="0" applyNumberFormat="1" applyFont="1" applyBorder="1" applyAlignment="1">
      <alignment horizontal="center" vertical="center" wrapText="1"/>
    </xf>
    <xf numFmtId="209" fontId="39" fillId="0" borderId="1" xfId="0" applyNumberFormat="1" applyFont="1" applyBorder="1" applyAlignment="1">
      <alignment horizontal="center" vertical="center" wrapText="1"/>
    </xf>
    <xf numFmtId="49" fontId="14" fillId="0" borderId="1" xfId="0" applyNumberFormat="1" applyFont="1" applyBorder="1" applyAlignment="1">
      <alignment horizontal="center"/>
    </xf>
    <xf numFmtId="238" fontId="14" fillId="0" borderId="1" xfId="0" applyNumberFormat="1" applyFont="1" applyBorder="1" applyAlignment="1">
      <alignment horizontal="center"/>
    </xf>
    <xf numFmtId="202" fontId="14" fillId="0" borderId="1" xfId="0" applyNumberFormat="1" applyFont="1" applyBorder="1" applyAlignment="1">
      <alignment horizontal="center"/>
    </xf>
    <xf numFmtId="193" fontId="14" fillId="0" borderId="1" xfId="0" applyNumberFormat="1" applyFont="1" applyBorder="1" applyAlignment="1">
      <alignment horizontal="right" vertical="center"/>
    </xf>
    <xf numFmtId="187" fontId="14" fillId="0" borderId="1" xfId="0" applyNumberFormat="1" applyFont="1" applyBorder="1" applyAlignment="1">
      <alignment horizontal="center"/>
    </xf>
    <xf numFmtId="185" fontId="87" fillId="0" borderId="27" xfId="0" applyNumberFormat="1" applyFont="1" applyBorder="1" applyAlignment="1">
      <alignment horizontal="center" vertical="center"/>
    </xf>
    <xf numFmtId="176" fontId="60" fillId="0" borderId="1" xfId="0" applyNumberFormat="1" applyFont="1" applyBorder="1" applyAlignment="1">
      <alignment horizontal="center" vertical="center"/>
    </xf>
    <xf numFmtId="193" fontId="60" fillId="0" borderId="0" xfId="0" applyNumberFormat="1" applyFont="1">
      <alignment vertical="center"/>
    </xf>
    <xf numFmtId="0" fontId="60" fillId="4" borderId="26" xfId="0" applyFont="1" applyFill="1" applyBorder="1">
      <alignment vertical="center"/>
    </xf>
    <xf numFmtId="0" fontId="60" fillId="4" borderId="0" xfId="0" applyFont="1" applyFill="1" applyAlignment="1">
      <alignment horizontal="right" vertical="center"/>
    </xf>
    <xf numFmtId="185" fontId="60" fillId="0" borderId="27" xfId="0" applyNumberFormat="1" applyFont="1" applyBorder="1">
      <alignment vertical="center"/>
    </xf>
    <xf numFmtId="0" fontId="208" fillId="0" borderId="0" xfId="0" applyFont="1">
      <alignment vertical="center"/>
    </xf>
    <xf numFmtId="0" fontId="209" fillId="0" borderId="26" xfId="0" applyFont="1" applyBorder="1" applyAlignment="1">
      <alignment horizontal="left" vertical="center"/>
    </xf>
    <xf numFmtId="0" fontId="6" fillId="6" borderId="1" xfId="0" applyFont="1" applyFill="1" applyBorder="1" applyAlignment="1">
      <alignment horizontal="left" vertical="center"/>
    </xf>
    <xf numFmtId="0" fontId="122" fillId="0" borderId="145" xfId="0" applyFont="1" applyBorder="1" applyAlignment="1">
      <alignment horizontal="center" vertical="center"/>
    </xf>
    <xf numFmtId="49" fontId="209" fillId="0" borderId="1" xfId="0" quotePrefix="1" applyNumberFormat="1" applyFont="1" applyBorder="1" applyAlignment="1">
      <alignment horizontal="left" vertical="center"/>
    </xf>
    <xf numFmtId="49" fontId="209" fillId="6" borderId="1" xfId="0" quotePrefix="1" applyNumberFormat="1" applyFont="1" applyFill="1" applyBorder="1" applyAlignment="1">
      <alignment horizontal="left" vertical="center"/>
    </xf>
    <xf numFmtId="2" fontId="6" fillId="0" borderId="0" xfId="0" applyNumberFormat="1" applyFont="1">
      <alignment vertical="center"/>
    </xf>
    <xf numFmtId="190" fontId="211" fillId="0" borderId="1" xfId="0" applyNumberFormat="1" applyFont="1" applyBorder="1" applyAlignment="1">
      <alignment horizontal="center" vertical="center"/>
    </xf>
    <xf numFmtId="190" fontId="211" fillId="6" borderId="1" xfId="0" applyNumberFormat="1" applyFont="1" applyFill="1" applyBorder="1" applyAlignment="1">
      <alignment horizontal="center" vertical="center"/>
    </xf>
    <xf numFmtId="0" fontId="209" fillId="0" borderId="26" xfId="0" applyFont="1" applyBorder="1" applyAlignment="1">
      <alignment horizontal="right" vertical="center"/>
    </xf>
    <xf numFmtId="240" fontId="6" fillId="0" borderId="1" xfId="2" applyNumberFormat="1" applyFont="1" applyBorder="1" applyAlignment="1">
      <alignment horizontal="right" vertical="center"/>
    </xf>
    <xf numFmtId="189" fontId="16" fillId="6" borderId="1" xfId="0" applyNumberFormat="1" applyFont="1" applyFill="1" applyBorder="1" applyAlignment="1">
      <alignment horizontal="center" vertical="center"/>
    </xf>
    <xf numFmtId="0" fontId="214" fillId="0" borderId="0" xfId="0" applyFont="1" applyAlignment="1">
      <alignment horizontal="center" vertical="center"/>
    </xf>
    <xf numFmtId="0" fontId="207" fillId="0" borderId="1" xfId="0" applyFont="1" applyBorder="1" applyAlignment="1">
      <alignment horizontal="center" vertical="center"/>
    </xf>
    <xf numFmtId="0" fontId="214" fillId="0" borderId="1" xfId="0" applyFont="1" applyBorder="1" applyAlignment="1">
      <alignment horizontal="center" vertical="center"/>
    </xf>
    <xf numFmtId="0" fontId="213" fillId="0" borderId="1" xfId="0" applyFont="1" applyBorder="1" applyAlignment="1">
      <alignment horizontal="center" vertical="center"/>
    </xf>
    <xf numFmtId="185" fontId="209" fillId="0" borderId="28" xfId="0" applyNumberFormat="1" applyFont="1" applyBorder="1" applyAlignment="1">
      <alignment horizontal="right" vertical="center"/>
    </xf>
    <xf numFmtId="0" fontId="0" fillId="2" borderId="0" xfId="0" applyFill="1">
      <alignment vertical="center"/>
    </xf>
    <xf numFmtId="0" fontId="6" fillId="2" borderId="0" xfId="0" applyFont="1" applyFill="1" applyAlignment="1">
      <alignment horizontal="center" vertical="center"/>
    </xf>
    <xf numFmtId="49" fontId="6" fillId="2" borderId="1" xfId="0" applyNumberFormat="1" applyFont="1" applyFill="1" applyBorder="1" applyAlignment="1">
      <alignment horizontal="left" vertical="center"/>
    </xf>
    <xf numFmtId="0" fontId="6" fillId="2" borderId="1" xfId="0" applyFont="1" applyFill="1" applyBorder="1">
      <alignment vertical="center"/>
    </xf>
    <xf numFmtId="186" fontId="6" fillId="2" borderId="1" xfId="0" applyNumberFormat="1" applyFont="1" applyFill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191" fontId="6" fillId="2" borderId="1" xfId="0" applyNumberFormat="1" applyFont="1" applyFill="1" applyBorder="1">
      <alignment vertical="center"/>
    </xf>
    <xf numFmtId="192" fontId="6" fillId="2" borderId="1" xfId="0" applyNumberFormat="1" applyFont="1" applyFill="1" applyBorder="1">
      <alignment vertical="center"/>
    </xf>
    <xf numFmtId="178" fontId="6" fillId="2" borderId="1" xfId="0" applyNumberFormat="1" applyFont="1" applyFill="1" applyBorder="1" applyAlignment="1">
      <alignment horizontal="right" vertical="center"/>
    </xf>
    <xf numFmtId="189" fontId="6" fillId="2" borderId="1" xfId="0" applyNumberFormat="1" applyFont="1" applyFill="1" applyBorder="1">
      <alignment vertical="center"/>
    </xf>
    <xf numFmtId="189" fontId="16" fillId="2" borderId="1" xfId="0" applyNumberFormat="1" applyFont="1" applyFill="1" applyBorder="1" applyAlignment="1">
      <alignment horizontal="center" vertical="center"/>
    </xf>
    <xf numFmtId="206" fontId="6" fillId="2" borderId="13" xfId="0" applyNumberFormat="1" applyFont="1" applyFill="1" applyBorder="1" applyAlignment="1">
      <alignment horizontal="right" vertical="center"/>
    </xf>
    <xf numFmtId="189" fontId="6" fillId="2" borderId="12" xfId="0" applyNumberFormat="1" applyFont="1" applyFill="1" applyBorder="1">
      <alignment vertical="center"/>
    </xf>
    <xf numFmtId="193" fontId="6" fillId="2" borderId="0" xfId="0" applyNumberFormat="1" applyFont="1" applyFill="1">
      <alignment vertical="center"/>
    </xf>
    <xf numFmtId="0" fontId="6" fillId="2" borderId="26" xfId="0" applyFont="1" applyFill="1" applyBorder="1">
      <alignment vertical="center"/>
    </xf>
    <xf numFmtId="0" fontId="6" fillId="2" borderId="0" xfId="0" applyFont="1" applyFill="1" applyAlignment="1">
      <alignment horizontal="right" vertical="center"/>
    </xf>
    <xf numFmtId="0" fontId="4" fillId="2" borderId="27" xfId="0" applyFont="1" applyFill="1" applyBorder="1">
      <alignment vertical="center"/>
    </xf>
    <xf numFmtId="0" fontId="6" fillId="2" borderId="26" xfId="0" applyFont="1" applyFill="1" applyBorder="1" applyAlignment="1">
      <alignment horizontal="center" vertical="center"/>
    </xf>
    <xf numFmtId="229" fontId="183" fillId="2" borderId="0" xfId="19" applyNumberFormat="1" applyFont="1" applyFill="1">
      <alignment vertical="center"/>
    </xf>
    <xf numFmtId="0" fontId="4" fillId="2" borderId="0" xfId="0" applyFont="1" applyFill="1">
      <alignment vertical="center"/>
    </xf>
    <xf numFmtId="179" fontId="83" fillId="2" borderId="1" xfId="0" applyNumberFormat="1" applyFont="1" applyFill="1" applyBorder="1" applyAlignment="1">
      <alignment horizontal="center" vertical="center" wrapText="1"/>
    </xf>
    <xf numFmtId="3" fontId="169" fillId="0" borderId="0" xfId="0" applyNumberFormat="1" applyFont="1">
      <alignment vertical="center"/>
    </xf>
    <xf numFmtId="0" fontId="18" fillId="0" borderId="0" xfId="0" applyFont="1">
      <alignment vertical="center"/>
    </xf>
    <xf numFmtId="0" fontId="157" fillId="0" borderId="1" xfId="0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 wrapText="1"/>
    </xf>
    <xf numFmtId="9" fontId="80" fillId="0" borderId="1" xfId="19" applyFont="1" applyBorder="1">
      <alignment vertical="center"/>
    </xf>
    <xf numFmtId="0" fontId="80" fillId="0" borderId="1" xfId="0" applyFont="1" applyBorder="1">
      <alignment vertical="center"/>
    </xf>
    <xf numFmtId="9" fontId="80" fillId="0" borderId="0" xfId="19" applyFont="1">
      <alignment vertical="center"/>
    </xf>
    <xf numFmtId="49" fontId="207" fillId="0" borderId="1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>
      <alignment vertical="center"/>
    </xf>
    <xf numFmtId="0" fontId="218" fillId="0" borderId="0" xfId="0" applyFont="1">
      <alignment vertical="center"/>
    </xf>
    <xf numFmtId="176" fontId="183" fillId="0" borderId="1" xfId="0" applyNumberFormat="1" applyFont="1" applyBorder="1" applyAlignment="1">
      <alignment horizontal="center" vertical="center"/>
    </xf>
    <xf numFmtId="0" fontId="205" fillId="0" borderId="0" xfId="0" applyFont="1" applyAlignment="1">
      <alignment horizontal="left" vertical="top"/>
    </xf>
    <xf numFmtId="0" fontId="205" fillId="0" borderId="0" xfId="0" applyFont="1">
      <alignment vertical="center"/>
    </xf>
    <xf numFmtId="0" fontId="143" fillId="0" borderId="1" xfId="0" applyFont="1" applyBorder="1" applyAlignment="1">
      <alignment horizontal="left" vertical="center"/>
    </xf>
    <xf numFmtId="0" fontId="220" fillId="7" borderId="1" xfId="0" applyFont="1" applyFill="1" applyBorder="1" applyAlignment="1">
      <alignment horizontal="left" vertical="top"/>
    </xf>
    <xf numFmtId="237" fontId="17" fillId="7" borderId="1" xfId="0" applyNumberFormat="1" applyFont="1" applyFill="1" applyBorder="1" applyAlignment="1">
      <alignment horizontal="left" vertical="top"/>
    </xf>
    <xf numFmtId="230" fontId="17" fillId="7" borderId="1" xfId="0" applyNumberFormat="1" applyFont="1" applyFill="1" applyBorder="1" applyAlignment="1">
      <alignment horizontal="left" vertical="top" wrapText="1"/>
    </xf>
    <xf numFmtId="49" fontId="17" fillId="0" borderId="1" xfId="0" applyNumberFormat="1" applyFont="1" applyBorder="1" applyAlignment="1">
      <alignment horizontal="center" vertical="center"/>
    </xf>
    <xf numFmtId="237" fontId="17" fillId="0" borderId="1" xfId="0" applyNumberFormat="1" applyFont="1" applyBorder="1">
      <alignment vertical="center"/>
    </xf>
    <xf numFmtId="230" fontId="17" fillId="0" borderId="1" xfId="0" applyNumberFormat="1" applyFont="1" applyBorder="1">
      <alignment vertical="center"/>
    </xf>
    <xf numFmtId="0" fontId="17" fillId="0" borderId="1" xfId="0" applyFont="1" applyBorder="1">
      <alignment vertical="center"/>
    </xf>
    <xf numFmtId="187" fontId="48" fillId="7" borderId="1" xfId="0" applyNumberFormat="1" applyFont="1" applyFill="1" applyBorder="1" applyAlignment="1">
      <alignment horizontal="center" vertical="center"/>
    </xf>
    <xf numFmtId="208" fontId="48" fillId="7" borderId="1" xfId="0" applyNumberFormat="1" applyFont="1" applyFill="1" applyBorder="1" applyAlignment="1">
      <alignment horizontal="center" vertical="center" wrapText="1"/>
    </xf>
    <xf numFmtId="0" fontId="48" fillId="7" borderId="1" xfId="0" applyFont="1" applyFill="1" applyBorder="1" applyAlignment="1">
      <alignment horizontal="center" vertical="center"/>
    </xf>
    <xf numFmtId="209" fontId="48" fillId="7" borderId="1" xfId="0" applyNumberFormat="1" applyFont="1" applyFill="1" applyBorder="1" applyAlignment="1">
      <alignment horizontal="center" vertical="center" wrapText="1"/>
    </xf>
    <xf numFmtId="0" fontId="48" fillId="0" borderId="0" xfId="0" applyFont="1">
      <alignment vertical="center"/>
    </xf>
    <xf numFmtId="187" fontId="37" fillId="0" borderId="1" xfId="0" applyNumberFormat="1" applyFont="1" applyBorder="1" applyAlignment="1">
      <alignment horizontal="center"/>
    </xf>
    <xf numFmtId="0" fontId="221" fillId="0" borderId="0" xfId="0" applyFont="1">
      <alignment vertical="center"/>
    </xf>
    <xf numFmtId="241" fontId="37" fillId="0" borderId="1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 wrapText="1"/>
    </xf>
    <xf numFmtId="242" fontId="37" fillId="0" borderId="0" xfId="0" applyNumberFormat="1" applyFont="1" applyAlignment="1">
      <alignment horizontal="center" vertical="center" shrinkToFit="1"/>
    </xf>
    <xf numFmtId="242" fontId="0" fillId="0" borderId="0" xfId="0" applyNumberFormat="1" applyAlignment="1">
      <alignment horizontal="center" vertical="center"/>
    </xf>
    <xf numFmtId="243" fontId="2" fillId="0" borderId="0" xfId="0" applyNumberFormat="1" applyFont="1" applyAlignment="1">
      <alignment horizontal="center" vertical="center"/>
    </xf>
    <xf numFmtId="243" fontId="0" fillId="0" borderId="0" xfId="0" applyNumberFormat="1" applyAlignment="1">
      <alignment horizontal="center" vertical="center"/>
    </xf>
    <xf numFmtId="49" fontId="181" fillId="7" borderId="1" xfId="0" applyNumberFormat="1" applyFont="1" applyFill="1" applyBorder="1" applyAlignment="1">
      <alignment horizontal="center" vertical="center"/>
    </xf>
    <xf numFmtId="49" fontId="37" fillId="0" borderId="1" xfId="0" applyNumberFormat="1" applyFont="1" applyBorder="1" applyAlignment="1">
      <alignment horizontal="center" vertical="center"/>
    </xf>
    <xf numFmtId="198" fontId="37" fillId="0" borderId="1" xfId="0" applyNumberFormat="1" applyFont="1" applyBorder="1" applyAlignment="1">
      <alignment horizontal="center" vertical="center"/>
    </xf>
    <xf numFmtId="206" fontId="37" fillId="0" borderId="1" xfId="0" applyNumberFormat="1" applyFont="1" applyBorder="1" applyAlignment="1">
      <alignment horizontal="right" vertical="center"/>
    </xf>
    <xf numFmtId="0" fontId="48" fillId="0" borderId="1" xfId="0" applyFont="1" applyBorder="1" applyAlignment="1">
      <alignment horizontal="center" vertical="center" wrapText="1" shrinkToFit="1"/>
    </xf>
    <xf numFmtId="206" fontId="37" fillId="0" borderId="1" xfId="0" applyNumberFormat="1" applyFont="1" applyBorder="1" applyAlignment="1">
      <alignment horizontal="center" vertical="center"/>
    </xf>
    <xf numFmtId="0" fontId="14" fillId="0" borderId="0" xfId="19" applyNumberFormat="1" applyFont="1" applyAlignment="1"/>
    <xf numFmtId="9" fontId="14" fillId="0" borderId="0" xfId="19" applyFont="1" applyAlignment="1"/>
    <xf numFmtId="0" fontId="220" fillId="0" borderId="0" xfId="0" applyFont="1" applyAlignment="1">
      <alignment horizontal="center" vertical="center"/>
    </xf>
    <xf numFmtId="176" fontId="207" fillId="0" borderId="1" xfId="0" applyNumberFormat="1" applyFont="1" applyBorder="1" applyAlignment="1">
      <alignment horizontal="center" vertical="center"/>
    </xf>
    <xf numFmtId="244" fontId="5" fillId="0" borderId="1" xfId="0" applyNumberFormat="1" applyFont="1" applyBorder="1">
      <alignment vertical="center"/>
    </xf>
    <xf numFmtId="244" fontId="48" fillId="0" borderId="1" xfId="0" applyNumberFormat="1" applyFont="1" applyBorder="1" applyAlignment="1">
      <alignment horizontal="right" vertical="center"/>
    </xf>
    <xf numFmtId="49" fontId="5" fillId="0" borderId="3" xfId="0" applyNumberFormat="1" applyFont="1" applyBorder="1" applyAlignment="1">
      <alignment horizontal="center" vertical="center" wrapText="1"/>
    </xf>
    <xf numFmtId="186" fontId="5" fillId="0" borderId="1" xfId="0" applyNumberFormat="1" applyFont="1" applyBorder="1">
      <alignment vertical="center"/>
    </xf>
    <xf numFmtId="0" fontId="181" fillId="0" borderId="1" xfId="11" applyFont="1" applyBorder="1" applyAlignment="1">
      <alignment horizontal="center" vertical="center"/>
    </xf>
    <xf numFmtId="0" fontId="48" fillId="0" borderId="1" xfId="11" applyFont="1" applyBorder="1" applyAlignment="1">
      <alignment horizontal="center" vertical="center"/>
    </xf>
    <xf numFmtId="0" fontId="48" fillId="0" borderId="1" xfId="1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220" fillId="0" borderId="0" xfId="0" applyFont="1">
      <alignment vertical="center"/>
    </xf>
    <xf numFmtId="0" fontId="224" fillId="0" borderId="1" xfId="11" applyFont="1" applyBorder="1" applyAlignment="1">
      <alignment horizontal="center" vertical="center" wrapText="1"/>
    </xf>
    <xf numFmtId="49" fontId="202" fillId="0" borderId="1" xfId="0" applyNumberFormat="1" applyFont="1" applyBorder="1" applyAlignment="1">
      <alignment horizontal="center" vertical="center" wrapText="1"/>
    </xf>
    <xf numFmtId="0" fontId="227" fillId="0" borderId="1" xfId="0" applyFont="1" applyBorder="1" applyAlignment="1">
      <alignment horizontal="center" vertical="center" wrapText="1"/>
    </xf>
    <xf numFmtId="9" fontId="37" fillId="0" borderId="1" xfId="19" applyFont="1" applyFill="1" applyBorder="1" applyAlignment="1">
      <alignment horizontal="center" vertical="center"/>
    </xf>
    <xf numFmtId="0" fontId="228" fillId="0" borderId="1" xfId="0" applyFont="1" applyBorder="1" applyAlignment="1">
      <alignment horizontal="center" vertical="center"/>
    </xf>
    <xf numFmtId="205" fontId="94" fillId="0" borderId="1" xfId="7" applyFont="1" applyFill="1" applyBorder="1" applyAlignment="1">
      <alignment horizontal="center" vertical="center"/>
    </xf>
    <xf numFmtId="0" fontId="95" fillId="0" borderId="1" xfId="0" applyFont="1" applyBorder="1" applyAlignment="1">
      <alignment horizontal="justify" vertical="center" wrapText="1"/>
    </xf>
    <xf numFmtId="205" fontId="94" fillId="0" borderId="1" xfId="7" applyFont="1" applyFill="1" applyBorder="1" applyAlignment="1">
      <alignment horizontal="center" vertical="center" wrapText="1"/>
    </xf>
    <xf numFmtId="179" fontId="64" fillId="0" borderId="1" xfId="0" applyNumberFormat="1" applyFont="1" applyBorder="1" applyAlignment="1">
      <alignment horizontal="center" vertical="center" wrapText="1"/>
    </xf>
    <xf numFmtId="179" fontId="64" fillId="6" borderId="1" xfId="0" applyNumberFormat="1" applyFont="1" applyFill="1" applyBorder="1" applyAlignment="1">
      <alignment horizontal="center" vertical="center" wrapText="1"/>
    </xf>
    <xf numFmtId="0" fontId="122" fillId="0" borderId="147" xfId="0" applyFont="1" applyBorder="1" applyAlignment="1">
      <alignment horizontal="center" vertical="center"/>
    </xf>
    <xf numFmtId="194" fontId="61" fillId="0" borderId="1" xfId="0" applyNumberFormat="1" applyFont="1" applyBorder="1" applyAlignment="1">
      <alignment horizontal="right" vertical="center"/>
    </xf>
    <xf numFmtId="215" fontId="6" fillId="0" borderId="1" xfId="2" applyNumberFormat="1" applyFont="1" applyBorder="1" applyAlignment="1">
      <alignment horizontal="right" vertical="center"/>
    </xf>
    <xf numFmtId="0" fontId="61" fillId="7" borderId="0" xfId="0" applyFont="1" applyFill="1" applyAlignment="1">
      <alignment horizontal="right" vertical="center"/>
    </xf>
    <xf numFmtId="0" fontId="230" fillId="0" borderId="0" xfId="0" applyFont="1">
      <alignment vertical="center"/>
    </xf>
    <xf numFmtId="205" fontId="202" fillId="0" borderId="1" xfId="7" applyFont="1" applyFill="1" applyBorder="1" applyAlignment="1">
      <alignment horizontal="center" vertical="center" wrapText="1"/>
    </xf>
    <xf numFmtId="0" fontId="141" fillId="0" borderId="0" xfId="0" applyFont="1">
      <alignment vertical="center"/>
    </xf>
    <xf numFmtId="189" fontId="5" fillId="0" borderId="0" xfId="0" applyNumberFormat="1" applyFont="1" applyAlignment="1">
      <alignment horizontal="center" vertical="center"/>
    </xf>
    <xf numFmtId="0" fontId="207" fillId="0" borderId="1" xfId="0" applyFont="1" applyBorder="1">
      <alignment vertical="center"/>
    </xf>
    <xf numFmtId="178" fontId="5" fillId="0" borderId="0" xfId="0" applyNumberFormat="1" applyFont="1" applyAlignment="1">
      <alignment horizontal="right" vertical="center"/>
    </xf>
    <xf numFmtId="0" fontId="207" fillId="0" borderId="0" xfId="0" applyFont="1">
      <alignment vertical="center"/>
    </xf>
    <xf numFmtId="5" fontId="61" fillId="6" borderId="1" xfId="0" applyNumberFormat="1" applyFont="1" applyFill="1" applyBorder="1" applyAlignment="1">
      <alignment horizontal="right" vertical="center"/>
    </xf>
    <xf numFmtId="245" fontId="5" fillId="0" borderId="1" xfId="0" applyNumberFormat="1" applyFont="1" applyBorder="1" applyAlignment="1">
      <alignment horizontal="center" vertical="center"/>
    </xf>
    <xf numFmtId="0" fontId="228" fillId="0" borderId="0" xfId="0" applyFont="1" applyAlignment="1">
      <alignment horizontal="center" vertical="center"/>
    </xf>
    <xf numFmtId="0" fontId="232" fillId="0" borderId="1" xfId="0" applyFont="1" applyBorder="1">
      <alignment vertical="center"/>
    </xf>
    <xf numFmtId="206" fontId="95" fillId="0" borderId="1" xfId="0" applyNumberFormat="1" applyFont="1" applyBorder="1" applyAlignment="1">
      <alignment horizontal="center" vertical="center" wrapText="1"/>
    </xf>
    <xf numFmtId="0" fontId="95" fillId="0" borderId="3" xfId="0" applyFont="1" applyBorder="1" applyAlignment="1">
      <alignment horizontal="center" vertical="center" wrapText="1"/>
    </xf>
    <xf numFmtId="203" fontId="55" fillId="0" borderId="133" xfId="0" applyNumberFormat="1" applyFont="1" applyBorder="1" applyAlignment="1" applyProtection="1">
      <alignment horizontal="center" vertical="center"/>
      <protection locked="0"/>
    </xf>
    <xf numFmtId="0" fontId="180" fillId="0" borderId="3" xfId="0" applyFont="1" applyBorder="1" applyAlignment="1">
      <alignment horizontal="left" vertical="center"/>
    </xf>
    <xf numFmtId="0" fontId="180" fillId="0" borderId="0" xfId="0" applyFont="1" applyAlignment="1">
      <alignment horizontal="left" vertical="center"/>
    </xf>
    <xf numFmtId="183" fontId="5" fillId="0" borderId="1" xfId="0" applyNumberFormat="1" applyFont="1" applyBorder="1" applyAlignment="1">
      <alignment horizontal="right" vertical="center"/>
    </xf>
    <xf numFmtId="246" fontId="235" fillId="0" borderId="1" xfId="0" applyNumberFormat="1" applyFont="1" applyBorder="1" applyAlignment="1">
      <alignment horizontal="left" vertical="top"/>
    </xf>
    <xf numFmtId="38" fontId="235" fillId="0" borderId="1" xfId="2" applyFont="1" applyFill="1" applyBorder="1" applyAlignment="1">
      <alignment horizontal="center" wrapText="1"/>
    </xf>
    <xf numFmtId="0" fontId="239" fillId="0" borderId="0" xfId="0" applyFont="1" applyAlignment="1"/>
    <xf numFmtId="246" fontId="235" fillId="0" borderId="1" xfId="2" applyNumberFormat="1" applyFont="1" applyFill="1" applyBorder="1" applyAlignment="1">
      <alignment horizontal="center" vertical="center"/>
    </xf>
    <xf numFmtId="0" fontId="239" fillId="0" borderId="1" xfId="36" applyFont="1" applyFill="1" applyBorder="1">
      <alignment vertical="center"/>
    </xf>
    <xf numFmtId="0" fontId="239" fillId="0" borderId="1" xfId="0" applyFont="1" applyBorder="1">
      <alignment vertical="center"/>
    </xf>
    <xf numFmtId="246" fontId="239" fillId="0" borderId="1" xfId="0" applyNumberFormat="1" applyFont="1" applyBorder="1" applyProtection="1">
      <alignment vertical="center"/>
      <protection hidden="1"/>
    </xf>
    <xf numFmtId="0" fontId="239" fillId="0" borderId="1" xfId="0" applyFont="1" applyBorder="1" applyAlignment="1">
      <alignment horizontal="center" vertical="center"/>
    </xf>
    <xf numFmtId="247" fontId="239" fillId="0" borderId="1" xfId="0" applyNumberFormat="1" applyFont="1" applyBorder="1">
      <alignment vertical="center"/>
    </xf>
    <xf numFmtId="9" fontId="37" fillId="0" borderId="1" xfId="19" applyFont="1" applyFill="1" applyBorder="1" applyAlignment="1">
      <alignment horizontal="right" vertical="center"/>
    </xf>
    <xf numFmtId="0" fontId="228" fillId="0" borderId="1" xfId="0" applyFont="1" applyBorder="1" applyAlignment="1">
      <alignment horizontal="right" vertical="center"/>
    </xf>
    <xf numFmtId="49" fontId="7" fillId="0" borderId="1" xfId="0" applyNumberFormat="1" applyFont="1" applyBorder="1" applyAlignment="1">
      <alignment horizontal="left" vertical="center"/>
    </xf>
    <xf numFmtId="49" fontId="7" fillId="6" borderId="1" xfId="0" applyNumberFormat="1" applyFont="1" applyFill="1" applyBorder="1" applyAlignment="1">
      <alignment horizontal="left" vertical="center"/>
    </xf>
    <xf numFmtId="0" fontId="242" fillId="0" borderId="0" xfId="0" applyFont="1">
      <alignment vertical="center"/>
    </xf>
    <xf numFmtId="0" fontId="88" fillId="0" borderId="7" xfId="0" applyFont="1" applyBorder="1" applyAlignment="1">
      <alignment horizontal="right" vertical="center"/>
    </xf>
    <xf numFmtId="0" fontId="52" fillId="0" borderId="8" xfId="0" applyFont="1" applyBorder="1" applyAlignment="1"/>
    <xf numFmtId="0" fontId="88" fillId="0" borderId="9" xfId="0" applyFont="1" applyBorder="1" applyAlignment="1">
      <alignment horizontal="right" vertical="center"/>
    </xf>
    <xf numFmtId="0" fontId="9" fillId="0" borderId="10" xfId="0" applyFont="1" applyBorder="1">
      <alignment vertical="center"/>
    </xf>
    <xf numFmtId="0" fontId="158" fillId="0" borderId="10" xfId="0" applyFont="1" applyBorder="1">
      <alignment vertical="center"/>
    </xf>
    <xf numFmtId="0" fontId="88" fillId="0" borderId="0" xfId="0" applyFont="1" applyAlignment="1">
      <alignment horizontal="right" vertical="center"/>
    </xf>
    <xf numFmtId="0" fontId="158" fillId="0" borderId="0" xfId="0" applyFont="1">
      <alignment vertical="center"/>
    </xf>
    <xf numFmtId="0" fontId="245" fillId="0" borderId="0" xfId="37" applyAlignment="1">
      <alignment vertical="center" wrapText="1"/>
    </xf>
    <xf numFmtId="180" fontId="69" fillId="0" borderId="1" xfId="0" applyNumberFormat="1" applyFont="1" applyBorder="1" applyAlignment="1">
      <alignment horizontal="right" vertical="center"/>
    </xf>
    <xf numFmtId="5" fontId="6" fillId="6" borderId="1" xfId="0" applyNumberFormat="1" applyFont="1" applyFill="1" applyBorder="1" applyAlignment="1">
      <alignment horizontal="right" vertical="center"/>
    </xf>
    <xf numFmtId="0" fontId="209" fillId="0" borderId="26" xfId="0" applyFont="1" applyBorder="1">
      <alignment vertical="center"/>
    </xf>
    <xf numFmtId="248" fontId="248" fillId="0" borderId="0" xfId="18" applyNumberFormat="1" applyFont="1"/>
    <xf numFmtId="249" fontId="248" fillId="0" borderId="0" xfId="18" applyNumberFormat="1" applyFont="1"/>
    <xf numFmtId="0" fontId="13" fillId="0" borderId="0" xfId="18" applyFont="1"/>
    <xf numFmtId="0" fontId="248" fillId="0" borderId="0" xfId="18" applyFont="1"/>
    <xf numFmtId="0" fontId="247" fillId="0" borderId="0" xfId="18" applyFont="1" applyAlignment="1">
      <alignment horizontal="center"/>
    </xf>
    <xf numFmtId="0" fontId="247" fillId="0" borderId="0" xfId="18" applyFont="1" applyAlignment="1">
      <alignment horizontal="right"/>
    </xf>
    <xf numFmtId="49" fontId="250" fillId="0" borderId="0" xfId="18" applyNumberFormat="1" applyFont="1"/>
    <xf numFmtId="0" fontId="247" fillId="0" borderId="0" xfId="18" applyFont="1"/>
    <xf numFmtId="0" fontId="251" fillId="0" borderId="0" xfId="18" applyFont="1" applyAlignment="1">
      <alignment horizontal="center"/>
    </xf>
    <xf numFmtId="0" fontId="252" fillId="0" borderId="0" xfId="18" applyFont="1" applyAlignment="1">
      <alignment vertical="center"/>
    </xf>
    <xf numFmtId="49" fontId="251" fillId="0" borderId="0" xfId="18" applyNumberFormat="1" applyFont="1"/>
    <xf numFmtId="0" fontId="122" fillId="0" borderId="153" xfId="0" quotePrefix="1" applyFont="1" applyBorder="1" applyAlignment="1">
      <alignment horizontal="left" vertical="center"/>
    </xf>
    <xf numFmtId="0" fontId="61" fillId="0" borderId="1" xfId="0" applyFont="1" applyBorder="1" applyAlignment="1">
      <alignment horizontal="left" vertical="center"/>
    </xf>
    <xf numFmtId="0" fontId="253" fillId="0" borderId="0" xfId="0" applyFont="1">
      <alignment vertical="center"/>
    </xf>
    <xf numFmtId="0" fontId="254" fillId="0" borderId="0" xfId="0" applyFont="1">
      <alignment vertical="center"/>
    </xf>
    <xf numFmtId="206" fontId="256" fillId="0" borderId="1" xfId="0" applyNumberFormat="1" applyFont="1" applyBorder="1">
      <alignment vertical="center"/>
    </xf>
    <xf numFmtId="0" fontId="41" fillId="0" borderId="3" xfId="0" applyFont="1" applyBorder="1" applyAlignment="1">
      <alignment horizontal="center" vertical="center"/>
    </xf>
    <xf numFmtId="0" fontId="257" fillId="0" borderId="1" xfId="0" applyFont="1" applyBorder="1" applyAlignment="1">
      <alignment horizontal="left" vertical="center"/>
    </xf>
    <xf numFmtId="0" fontId="209" fillId="0" borderId="0" xfId="0" applyFont="1" applyAlignment="1">
      <alignment horizontal="right" vertical="center"/>
    </xf>
    <xf numFmtId="38" fontId="6" fillId="0" borderId="0" xfId="2" applyFont="1" applyBorder="1">
      <alignment vertical="center"/>
    </xf>
    <xf numFmtId="0" fontId="209" fillId="0" borderId="0" xfId="0" applyFont="1">
      <alignment vertical="center"/>
    </xf>
    <xf numFmtId="3" fontId="6" fillId="0" borderId="26" xfId="0" applyNumberFormat="1" applyFont="1" applyBorder="1" applyAlignment="1">
      <alignment horizontal="right" vertical="center"/>
    </xf>
    <xf numFmtId="0" fontId="259" fillId="0" borderId="1" xfId="0" applyFont="1" applyBorder="1" applyAlignment="1">
      <alignment horizontal="center" vertical="center"/>
    </xf>
    <xf numFmtId="0" fontId="207" fillId="0" borderId="1" xfId="0" applyFont="1" applyBorder="1" applyAlignment="1">
      <alignment horizontal="right" vertical="center"/>
    </xf>
    <xf numFmtId="0" fontId="5" fillId="0" borderId="1" xfId="0" applyFont="1" applyBorder="1" applyAlignment="1">
      <alignment horizontal="center" vertical="center" wrapText="1"/>
    </xf>
    <xf numFmtId="49" fontId="48" fillId="7" borderId="1" xfId="0" applyNumberFormat="1" applyFont="1" applyFill="1" applyBorder="1" applyAlignment="1">
      <alignment horizontal="center" vertical="center"/>
    </xf>
    <xf numFmtId="208" fontId="48" fillId="7" borderId="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238" fontId="37" fillId="0" borderId="1" xfId="0" applyNumberFormat="1" applyFont="1" applyBorder="1" applyAlignment="1">
      <alignment horizontal="center"/>
    </xf>
    <xf numFmtId="179" fontId="260" fillId="0" borderId="1" xfId="0" applyNumberFormat="1" applyFont="1" applyBorder="1" applyAlignment="1">
      <alignment horizontal="center" vertical="center" wrapText="1"/>
    </xf>
    <xf numFmtId="190" fontId="23" fillId="0" borderId="1" xfId="0" applyNumberFormat="1" applyFont="1" applyBorder="1" applyAlignment="1">
      <alignment horizontal="center" vertical="center"/>
    </xf>
    <xf numFmtId="179" fontId="17" fillId="0" borderId="1" xfId="0" applyNumberFormat="1" applyFont="1" applyBorder="1" applyAlignment="1">
      <alignment horizontal="center" vertical="center" wrapText="1"/>
    </xf>
    <xf numFmtId="179" fontId="4" fillId="6" borderId="1" xfId="0" applyNumberFormat="1" applyFont="1" applyFill="1" applyBorder="1" applyAlignment="1">
      <alignment horizontal="center" vertical="center" wrapText="1"/>
    </xf>
    <xf numFmtId="0" fontId="5" fillId="0" borderId="27" xfId="0" applyFont="1" applyBorder="1" applyAlignment="1">
      <alignment horizontal="right" vertical="center"/>
    </xf>
    <xf numFmtId="0" fontId="5" fillId="0" borderId="28" xfId="0" applyFont="1" applyBorder="1" applyAlignment="1">
      <alignment horizontal="right" vertical="center"/>
    </xf>
    <xf numFmtId="0" fontId="96" fillId="0" borderId="1" xfId="0" applyFont="1" applyBorder="1" applyAlignment="1">
      <alignment horizontal="center" vertical="center"/>
    </xf>
    <xf numFmtId="9" fontId="6" fillId="0" borderId="1" xfId="0" applyNumberFormat="1" applyFont="1" applyBorder="1" applyAlignment="1">
      <alignment horizontal="left" vertical="center"/>
    </xf>
    <xf numFmtId="49" fontId="44" fillId="0" borderId="1" xfId="0" applyNumberFormat="1" applyFont="1" applyBorder="1" applyAlignment="1">
      <alignment horizontal="left" vertical="center"/>
    </xf>
    <xf numFmtId="49" fontId="93" fillId="0" borderId="1" xfId="0" applyNumberFormat="1" applyFont="1" applyBorder="1" applyAlignment="1">
      <alignment horizontal="center" vertical="center"/>
    </xf>
    <xf numFmtId="3" fontId="61" fillId="6" borderId="1" xfId="0" applyNumberFormat="1" applyFont="1" applyFill="1" applyBorder="1" applyAlignment="1">
      <alignment horizontal="right" vertical="center"/>
    </xf>
    <xf numFmtId="178" fontId="37" fillId="0" borderId="1" xfId="0" applyNumberFormat="1" applyFont="1" applyBorder="1" applyAlignment="1">
      <alignment horizontal="center" vertical="center"/>
    </xf>
    <xf numFmtId="189" fontId="37" fillId="0" borderId="1" xfId="0" applyNumberFormat="1" applyFont="1" applyBorder="1" applyAlignment="1">
      <alignment horizontal="center" vertical="center"/>
    </xf>
    <xf numFmtId="0" fontId="183" fillId="0" borderId="1" xfId="0" applyFont="1" applyBorder="1">
      <alignment vertical="center"/>
    </xf>
    <xf numFmtId="49" fontId="48" fillId="27" borderId="1" xfId="0" applyNumberFormat="1" applyFont="1" applyFill="1" applyBorder="1" applyAlignment="1">
      <alignment horizontal="center" vertical="center"/>
    </xf>
    <xf numFmtId="0" fontId="48" fillId="27" borderId="1" xfId="0" applyFont="1" applyFill="1" applyBorder="1" applyAlignment="1">
      <alignment horizontal="center" vertical="center"/>
    </xf>
    <xf numFmtId="187" fontId="48" fillId="27" borderId="1" xfId="0" applyNumberFormat="1" applyFont="1" applyFill="1" applyBorder="1" applyAlignment="1">
      <alignment horizontal="center" vertical="center" wrapText="1"/>
    </xf>
    <xf numFmtId="208" fontId="48" fillId="27" borderId="1" xfId="0" applyNumberFormat="1" applyFont="1" applyFill="1" applyBorder="1" applyAlignment="1">
      <alignment horizontal="center" vertical="center" wrapText="1"/>
    </xf>
    <xf numFmtId="250" fontId="48" fillId="27" borderId="1" xfId="7" applyNumberFormat="1" applyFont="1" applyFill="1" applyBorder="1" applyAlignment="1">
      <alignment horizontal="center" vertical="center" wrapText="1"/>
    </xf>
    <xf numFmtId="0" fontId="201" fillId="0" borderId="0" xfId="0" applyFont="1" applyAlignment="1">
      <alignment horizontal="right" vertical="center"/>
    </xf>
    <xf numFmtId="251" fontId="37" fillId="0" borderId="1" xfId="0" applyNumberFormat="1" applyFont="1" applyBorder="1" applyAlignment="1">
      <alignment horizontal="center"/>
    </xf>
    <xf numFmtId="10" fontId="201" fillId="0" borderId="0" xfId="19" applyNumberFormat="1" applyFont="1">
      <alignment vertical="center"/>
    </xf>
    <xf numFmtId="0" fontId="201" fillId="0" borderId="0" xfId="0" applyFont="1">
      <alignment vertical="center"/>
    </xf>
    <xf numFmtId="252" fontId="59" fillId="0" borderId="1" xfId="0" applyNumberFormat="1" applyFont="1" applyBorder="1" applyAlignment="1">
      <alignment vertical="center" shrinkToFit="1"/>
    </xf>
    <xf numFmtId="179" fontId="207" fillId="0" borderId="1" xfId="0" applyNumberFormat="1" applyFont="1" applyBorder="1" applyAlignment="1">
      <alignment horizontal="center" vertical="center" wrapText="1"/>
    </xf>
    <xf numFmtId="189" fontId="41" fillId="0" borderId="1" xfId="0" applyNumberFormat="1" applyFont="1" applyBorder="1">
      <alignment vertical="center"/>
    </xf>
    <xf numFmtId="0" fontId="69" fillId="6" borderId="26" xfId="0" applyFont="1" applyFill="1" applyBorder="1" applyAlignment="1">
      <alignment horizontal="right" vertical="center"/>
    </xf>
    <xf numFmtId="0" fontId="41" fillId="0" borderId="7" xfId="0" applyFont="1" applyBorder="1" applyAlignment="1">
      <alignment horizontal="center" vertical="center"/>
    </xf>
    <xf numFmtId="0" fontId="41" fillId="0" borderId="8" xfId="0" applyFont="1" applyBorder="1" applyAlignment="1">
      <alignment horizontal="center" vertical="center"/>
    </xf>
    <xf numFmtId="0" fontId="261" fillId="0" borderId="3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203" fontId="5" fillId="0" borderId="7" xfId="0" applyNumberFormat="1" applyFont="1" applyBorder="1" applyAlignment="1">
      <alignment horizontal="right" vertical="center"/>
    </xf>
    <xf numFmtId="0" fontId="5" fillId="0" borderId="7" xfId="0" applyFont="1" applyBorder="1" applyAlignment="1">
      <alignment horizontal="center" vertical="center" wrapText="1"/>
    </xf>
    <xf numFmtId="9" fontId="37" fillId="0" borderId="0" xfId="19" applyFont="1" applyFill="1" applyAlignment="1">
      <alignment horizontal="center" vertical="center"/>
    </xf>
    <xf numFmtId="189" fontId="5" fillId="0" borderId="1" xfId="0" applyNumberFormat="1" applyFont="1" applyBorder="1" applyAlignment="1">
      <alignment vertical="center" wrapText="1"/>
    </xf>
    <xf numFmtId="179" fontId="262" fillId="0" borderId="1" xfId="0" applyNumberFormat="1" applyFont="1" applyBorder="1" applyAlignment="1">
      <alignment horizontal="center" vertical="center" wrapText="1"/>
    </xf>
    <xf numFmtId="3" fontId="61" fillId="0" borderId="0" xfId="0" applyNumberFormat="1" applyFont="1">
      <alignment vertical="center"/>
    </xf>
    <xf numFmtId="0" fontId="61" fillId="0" borderId="26" xfId="0" applyFont="1" applyBorder="1" applyAlignment="1">
      <alignment horizontal="right" vertical="center"/>
    </xf>
    <xf numFmtId="183" fontId="122" fillId="0" borderId="133" xfId="0" applyNumberFormat="1" applyFont="1" applyBorder="1" applyAlignment="1">
      <alignment horizontal="center" vertical="center"/>
    </xf>
    <xf numFmtId="0" fontId="93" fillId="0" borderId="1" xfId="0" applyFont="1" applyBorder="1" applyAlignment="1">
      <alignment horizontal="center" vertical="center"/>
    </xf>
    <xf numFmtId="0" fontId="79" fillId="0" borderId="1" xfId="0" applyFont="1" applyBorder="1" applyAlignment="1">
      <alignment horizontal="left" vertical="center"/>
    </xf>
    <xf numFmtId="0" fontId="32" fillId="0" borderId="1" xfId="0" applyFont="1" applyBorder="1">
      <alignment vertical="center"/>
    </xf>
    <xf numFmtId="0" fontId="265" fillId="0" borderId="0" xfId="0" applyFont="1" applyAlignment="1">
      <alignment horizontal="left" vertical="center" indent="1"/>
    </xf>
    <xf numFmtId="0" fontId="266" fillId="0" borderId="0" xfId="0" applyFont="1" applyAlignment="1">
      <alignment horizontal="left" vertical="center" indent="1"/>
    </xf>
    <xf numFmtId="0" fontId="79" fillId="0" borderId="1" xfId="0" applyFont="1" applyBorder="1" applyAlignment="1">
      <alignment horizontal="right" vertical="center"/>
    </xf>
    <xf numFmtId="0" fontId="267" fillId="0" borderId="0" xfId="0" applyFont="1">
      <alignment vertical="center"/>
    </xf>
    <xf numFmtId="0" fontId="268" fillId="0" borderId="0" xfId="0" applyFont="1" applyAlignment="1">
      <alignment horizontal="justify" vertical="center"/>
    </xf>
    <xf numFmtId="0" fontId="228" fillId="0" borderId="0" xfId="0" applyFont="1" applyAlignment="1">
      <alignment horizontal="justify" vertical="center"/>
    </xf>
    <xf numFmtId="0" fontId="5" fillId="0" borderId="26" xfId="0" applyFont="1" applyBorder="1" applyAlignment="1">
      <alignment horizontal="center" vertical="center"/>
    </xf>
    <xf numFmtId="0" fontId="122" fillId="0" borderId="138" xfId="0" applyFont="1" applyBorder="1" applyAlignment="1">
      <alignment horizontal="center" vertical="center"/>
    </xf>
    <xf numFmtId="0" fontId="269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9" fontId="37" fillId="0" borderId="1" xfId="19" applyFont="1" applyFill="1" applyBorder="1" applyAlignment="1">
      <alignment horizontal="center"/>
    </xf>
    <xf numFmtId="187" fontId="122" fillId="0" borderId="133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191" fontId="5" fillId="0" borderId="13" xfId="0" applyNumberFormat="1" applyFont="1" applyBorder="1">
      <alignment vertical="center"/>
    </xf>
    <xf numFmtId="176" fontId="5" fillId="0" borderId="1" xfId="0" applyNumberFormat="1" applyFont="1" applyBorder="1" applyAlignment="1">
      <alignment horizontal="right" vertical="center"/>
    </xf>
    <xf numFmtId="189" fontId="41" fillId="0" borderId="1" xfId="0" applyNumberFormat="1" applyFont="1" applyBorder="1" applyAlignment="1">
      <alignment horizontal="right" vertical="center"/>
    </xf>
    <xf numFmtId="188" fontId="122" fillId="0" borderId="133" xfId="0" applyNumberFormat="1" applyFont="1" applyBorder="1" applyAlignment="1">
      <alignment horizontal="center" vertical="center"/>
    </xf>
    <xf numFmtId="184" fontId="122" fillId="0" borderId="133" xfId="0" applyNumberFormat="1" applyFont="1" applyBorder="1" applyAlignment="1">
      <alignment horizontal="center" vertical="center"/>
    </xf>
    <xf numFmtId="189" fontId="61" fillId="6" borderId="1" xfId="0" applyNumberFormat="1" applyFont="1" applyFill="1" applyBorder="1" applyAlignment="1">
      <alignment horizontal="right" vertical="center"/>
    </xf>
    <xf numFmtId="49" fontId="181" fillId="0" borderId="1" xfId="0" applyNumberFormat="1" applyFont="1" applyBorder="1" applyAlignment="1">
      <alignment horizontal="center" vertical="center" shrinkToFit="1"/>
    </xf>
    <xf numFmtId="49" fontId="48" fillId="0" borderId="1" xfId="0" applyNumberFormat="1" applyFont="1" applyBorder="1" applyAlignment="1">
      <alignment horizontal="center" vertical="center" shrinkToFit="1"/>
    </xf>
    <xf numFmtId="186" fontId="37" fillId="0" borderId="1" xfId="0" applyNumberFormat="1" applyFont="1" applyBorder="1" applyAlignment="1">
      <alignment horizontal="center" vertical="center"/>
    </xf>
    <xf numFmtId="183" fontId="37" fillId="0" borderId="1" xfId="0" applyNumberFormat="1" applyFont="1" applyBorder="1" applyAlignment="1">
      <alignment horizontal="right" vertical="center"/>
    </xf>
    <xf numFmtId="0" fontId="271" fillId="0" borderId="0" xfId="0" applyFont="1">
      <alignment vertical="center"/>
    </xf>
    <xf numFmtId="0" fontId="6" fillId="2" borderId="0" xfId="0" applyFont="1" applyFill="1">
      <alignment vertical="center"/>
    </xf>
    <xf numFmtId="0" fontId="6" fillId="2" borderId="1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center"/>
    </xf>
    <xf numFmtId="189" fontId="6" fillId="2" borderId="1" xfId="0" applyNumberFormat="1" applyFont="1" applyFill="1" applyBorder="1" applyAlignment="1">
      <alignment horizontal="center" vertical="center"/>
    </xf>
    <xf numFmtId="179" fontId="5" fillId="2" borderId="1" xfId="0" applyNumberFormat="1" applyFont="1" applyFill="1" applyBorder="1" applyAlignment="1">
      <alignment horizontal="center" vertical="center" wrapText="1"/>
    </xf>
    <xf numFmtId="206" fontId="6" fillId="2" borderId="1" xfId="0" applyNumberFormat="1" applyFont="1" applyFill="1" applyBorder="1">
      <alignment vertical="center"/>
    </xf>
    <xf numFmtId="0" fontId="63" fillId="2" borderId="26" xfId="0" applyFont="1" applyFill="1" applyBorder="1" applyAlignment="1">
      <alignment horizontal="center" vertical="center"/>
    </xf>
    <xf numFmtId="49" fontId="270" fillId="2" borderId="1" xfId="0" applyNumberFormat="1" applyFont="1" applyFill="1" applyBorder="1" applyAlignment="1">
      <alignment horizontal="center" vertical="center"/>
    </xf>
    <xf numFmtId="186" fontId="6" fillId="2" borderId="1" xfId="0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 wrapText="1"/>
    </xf>
    <xf numFmtId="183" fontId="6" fillId="2" borderId="1" xfId="0" applyNumberFormat="1" applyFont="1" applyFill="1" applyBorder="1" applyAlignment="1">
      <alignment horizontal="right" vertical="center"/>
    </xf>
    <xf numFmtId="185" fontId="6" fillId="2" borderId="1" xfId="0" applyNumberFormat="1" applyFont="1" applyFill="1" applyBorder="1">
      <alignment vertical="center"/>
    </xf>
    <xf numFmtId="0" fontId="4" fillId="2" borderId="0" xfId="0" applyFont="1" applyFill="1" applyAlignment="1">
      <alignment horizontal="center" vertical="center"/>
    </xf>
    <xf numFmtId="176" fontId="6" fillId="2" borderId="1" xfId="0" applyNumberFormat="1" applyFont="1" applyFill="1" applyBorder="1" applyAlignment="1">
      <alignment horizontal="center" vertical="center"/>
    </xf>
    <xf numFmtId="184" fontId="6" fillId="2" borderId="1" xfId="0" applyNumberFormat="1" applyFont="1" applyFill="1" applyBorder="1" applyAlignment="1">
      <alignment horizontal="right" vertical="center"/>
    </xf>
    <xf numFmtId="189" fontId="69" fillId="2" borderId="1" xfId="0" applyNumberFormat="1" applyFont="1" applyFill="1" applyBorder="1" applyAlignment="1">
      <alignment horizontal="right" vertical="center"/>
    </xf>
    <xf numFmtId="189" fontId="61" fillId="2" borderId="1" xfId="0" applyNumberFormat="1" applyFont="1" applyFill="1" applyBorder="1">
      <alignment vertical="center"/>
    </xf>
    <xf numFmtId="179" fontId="34" fillId="2" borderId="1" xfId="0" applyNumberFormat="1" applyFont="1" applyFill="1" applyBorder="1" applyAlignment="1">
      <alignment horizontal="center" vertical="center" wrapText="1"/>
    </xf>
    <xf numFmtId="49" fontId="207" fillId="0" borderId="0" xfId="0" applyNumberFormat="1" applyFont="1" applyAlignment="1">
      <alignment horizontal="center" vertical="center" wrapText="1"/>
    </xf>
    <xf numFmtId="0" fontId="213" fillId="0" borderId="1" xfId="0" applyFont="1" applyBorder="1">
      <alignment vertical="center"/>
    </xf>
    <xf numFmtId="184" fontId="16" fillId="6" borderId="1" xfId="0" applyNumberFormat="1" applyFont="1" applyFill="1" applyBorder="1" applyAlignment="1">
      <alignment horizontal="right" vertical="center"/>
    </xf>
    <xf numFmtId="9" fontId="80" fillId="0" borderId="0" xfId="19" applyFont="1" applyBorder="1">
      <alignment vertical="center"/>
    </xf>
    <xf numFmtId="193" fontId="6" fillId="0" borderId="39" xfId="0" applyNumberFormat="1" applyFont="1" applyBorder="1">
      <alignment vertical="center"/>
    </xf>
    <xf numFmtId="193" fontId="6" fillId="0" borderId="1" xfId="0" applyNumberFormat="1" applyFont="1" applyBorder="1">
      <alignment vertical="center"/>
    </xf>
    <xf numFmtId="193" fontId="6" fillId="0" borderId="53" xfId="0" applyNumberFormat="1" applyFont="1" applyBorder="1">
      <alignment vertical="center"/>
    </xf>
    <xf numFmtId="0" fontId="4" fillId="0" borderId="13" xfId="0" applyFont="1" applyBorder="1">
      <alignment vertical="center"/>
    </xf>
    <xf numFmtId="230" fontId="37" fillId="0" borderId="1" xfId="0" applyNumberFormat="1" applyFont="1" applyBorder="1" applyAlignment="1">
      <alignment horizontal="center" vertical="center"/>
    </xf>
    <xf numFmtId="0" fontId="232" fillId="0" borderId="1" xfId="0" applyFont="1" applyBorder="1" applyAlignment="1">
      <alignment horizontal="center" vertical="center"/>
    </xf>
    <xf numFmtId="17" fontId="37" fillId="0" borderId="1" xfId="0" quotePrefix="1" applyNumberFormat="1" applyFont="1" applyBorder="1" applyAlignment="1">
      <alignment horizontal="center" vertical="center"/>
    </xf>
    <xf numFmtId="9" fontId="37" fillId="0" borderId="0" xfId="19" applyFont="1" applyFill="1" applyBorder="1" applyAlignment="1">
      <alignment horizontal="center"/>
    </xf>
    <xf numFmtId="0" fontId="157" fillId="0" borderId="13" xfId="0" applyFont="1" applyBorder="1" applyAlignment="1">
      <alignment horizontal="center" vertical="center"/>
    </xf>
    <xf numFmtId="9" fontId="37" fillId="0" borderId="13" xfId="19" applyFont="1" applyFill="1" applyBorder="1" applyAlignment="1">
      <alignment horizontal="center"/>
    </xf>
    <xf numFmtId="186" fontId="6" fillId="0" borderId="1" xfId="0" applyNumberFormat="1" applyFont="1" applyBorder="1" applyAlignment="1">
      <alignment vertical="center" wrapText="1"/>
    </xf>
    <xf numFmtId="192" fontId="122" fillId="0" borderId="138" xfId="0" applyNumberFormat="1" applyFont="1" applyBorder="1" applyAlignment="1">
      <alignment horizontal="center" vertical="center"/>
    </xf>
    <xf numFmtId="176" fontId="122" fillId="0" borderId="133" xfId="0" applyNumberFormat="1" applyFont="1" applyBorder="1" applyAlignment="1">
      <alignment horizontal="center" vertical="center"/>
    </xf>
    <xf numFmtId="224" fontId="122" fillId="0" borderId="133" xfId="0" applyNumberFormat="1" applyFont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1" xfId="0" applyFont="1" applyFill="1" applyBorder="1">
      <alignment vertical="center"/>
    </xf>
    <xf numFmtId="206" fontId="6" fillId="4" borderId="13" xfId="0" applyNumberFormat="1" applyFont="1" applyFill="1" applyBorder="1" applyAlignment="1">
      <alignment horizontal="right" vertical="center"/>
    </xf>
    <xf numFmtId="206" fontId="6" fillId="4" borderId="1" xfId="0" applyNumberFormat="1" applyFont="1" applyFill="1" applyBorder="1">
      <alignment vertical="center"/>
    </xf>
    <xf numFmtId="229" fontId="183" fillId="4" borderId="0" xfId="19" applyNumberFormat="1" applyFont="1" applyFill="1">
      <alignment vertical="center"/>
    </xf>
    <xf numFmtId="184" fontId="6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right"/>
    </xf>
    <xf numFmtId="179" fontId="78" fillId="0" borderId="1" xfId="0" applyNumberFormat="1" applyFont="1" applyBorder="1" applyAlignment="1">
      <alignment horizontal="right" vertical="center" wrapText="1"/>
    </xf>
    <xf numFmtId="0" fontId="6" fillId="0" borderId="3" xfId="0" applyFont="1" applyBorder="1" applyAlignment="1">
      <alignment horizontal="right"/>
    </xf>
    <xf numFmtId="0" fontId="6" fillId="0" borderId="1" xfId="0" applyFont="1" applyBorder="1" applyAlignment="1">
      <alignment horizontal="right"/>
    </xf>
    <xf numFmtId="0" fontId="5" fillId="0" borderId="1" xfId="0" applyFont="1" applyBorder="1" applyAlignment="1">
      <alignment horizontal="right"/>
    </xf>
    <xf numFmtId="0" fontId="181" fillId="0" borderId="1" xfId="0" applyFont="1" applyBorder="1">
      <alignment vertical="center"/>
    </xf>
    <xf numFmtId="0" fontId="37" fillId="0" borderId="1" xfId="0" applyFont="1" applyBorder="1">
      <alignment vertical="center"/>
    </xf>
    <xf numFmtId="0" fontId="48" fillId="0" borderId="1" xfId="0" applyFont="1" applyBorder="1">
      <alignment vertical="center"/>
    </xf>
    <xf numFmtId="246" fontId="48" fillId="0" borderId="1" xfId="0" applyNumberFormat="1" applyFont="1" applyBorder="1" applyAlignment="1">
      <alignment horizontal="left" vertical="top"/>
    </xf>
    <xf numFmtId="0" fontId="48" fillId="0" borderId="1" xfId="35" applyFont="1" applyBorder="1" applyAlignment="1">
      <alignment horizontal="center" vertical="center" wrapText="1"/>
    </xf>
    <xf numFmtId="246" fontId="48" fillId="0" borderId="1" xfId="2" applyNumberFormat="1" applyFont="1" applyFill="1" applyBorder="1" applyAlignment="1">
      <alignment horizontal="center" vertical="center"/>
    </xf>
    <xf numFmtId="0" fontId="37" fillId="0" borderId="1" xfId="0" applyFont="1" applyBorder="1" applyAlignment="1"/>
    <xf numFmtId="246" fontId="37" fillId="0" borderId="1" xfId="0" applyNumberFormat="1" applyFont="1" applyBorder="1" applyAlignment="1"/>
    <xf numFmtId="0" fontId="37" fillId="0" borderId="1" xfId="36" applyFont="1" applyFill="1" applyBorder="1">
      <alignment vertical="center"/>
    </xf>
    <xf numFmtId="0" fontId="37" fillId="0" borderId="1" xfId="10" applyFont="1" applyFill="1" applyBorder="1">
      <alignment vertical="center"/>
    </xf>
    <xf numFmtId="0" fontId="181" fillId="0" borderId="1" xfId="35" applyFont="1" applyBorder="1" applyAlignment="1">
      <alignment horizontal="left" vertical="center"/>
    </xf>
    <xf numFmtId="0" fontId="199" fillId="0" borderId="1" xfId="35" applyFont="1" applyBorder="1" applyAlignment="1">
      <alignment horizontal="left" vertical="center"/>
    </xf>
    <xf numFmtId="0" fontId="278" fillId="0" borderId="1" xfId="0" applyFont="1" applyBorder="1">
      <alignment vertical="center"/>
    </xf>
    <xf numFmtId="0" fontId="48" fillId="0" borderId="1" xfId="35" applyFont="1" applyBorder="1" applyAlignment="1">
      <alignment horizontal="right" vertical="center" wrapText="1"/>
    </xf>
    <xf numFmtId="0" fontId="48" fillId="0" borderId="1" xfId="0" applyFont="1" applyBorder="1" applyAlignment="1">
      <alignment horizontal="right"/>
    </xf>
    <xf numFmtId="0" fontId="48" fillId="0" borderId="1" xfId="2" applyNumberFormat="1" applyFont="1" applyFill="1" applyBorder="1" applyAlignment="1">
      <alignment horizontal="right" vertical="center" wrapText="1"/>
    </xf>
    <xf numFmtId="38" fontId="48" fillId="0" borderId="1" xfId="2" applyFont="1" applyFill="1" applyBorder="1" applyAlignment="1">
      <alignment horizontal="right" wrapText="1"/>
    </xf>
    <xf numFmtId="0" fontId="37" fillId="0" borderId="1" xfId="0" applyFont="1" applyBorder="1" applyAlignment="1">
      <alignment horizontal="right"/>
    </xf>
    <xf numFmtId="0" fontId="37" fillId="0" borderId="1" xfId="0" applyFont="1" applyBorder="1" applyAlignment="1">
      <alignment horizontal="right" vertical="center"/>
    </xf>
    <xf numFmtId="247" fontId="37" fillId="0" borderId="1" xfId="0" applyNumberFormat="1" applyFont="1" applyBorder="1" applyAlignment="1">
      <alignment horizontal="right" vertical="center"/>
    </xf>
    <xf numFmtId="0" fontId="37" fillId="0" borderId="1" xfId="0" applyFont="1" applyBorder="1" applyAlignment="1" applyProtection="1">
      <alignment horizontal="right" vertical="center"/>
      <protection locked="0"/>
    </xf>
    <xf numFmtId="0" fontId="37" fillId="0" borderId="1" xfId="0" applyFont="1" applyBorder="1" applyAlignment="1" applyProtection="1">
      <alignment horizontal="right" vertical="center"/>
      <protection hidden="1"/>
    </xf>
    <xf numFmtId="247" fontId="37" fillId="0" borderId="1" xfId="0" applyNumberFormat="1" applyFont="1" applyBorder="1" applyAlignment="1" applyProtection="1">
      <alignment horizontal="right" vertical="center"/>
      <protection hidden="1"/>
    </xf>
    <xf numFmtId="0" fontId="37" fillId="0" borderId="1" xfId="0" applyFont="1" applyBorder="1" applyAlignment="1">
      <alignment horizontal="left"/>
    </xf>
    <xf numFmtId="0" fontId="37" fillId="0" borderId="1" xfId="0" applyFont="1" applyBorder="1" applyAlignment="1">
      <alignment horizontal="left" vertical="center"/>
    </xf>
    <xf numFmtId="0" fontId="37" fillId="0" borderId="1" xfId="0" applyFont="1" applyBorder="1" applyAlignment="1" applyProtection="1">
      <alignment horizontal="left" vertical="center" shrinkToFit="1"/>
      <protection hidden="1"/>
    </xf>
    <xf numFmtId="0" fontId="6" fillId="4" borderId="0" xfId="0" applyFont="1" applyFill="1" applyAlignment="1">
      <alignment horizontal="right" vertical="center"/>
    </xf>
    <xf numFmtId="229" fontId="183" fillId="0" borderId="0" xfId="19" applyNumberFormat="1" applyFont="1" applyFill="1">
      <alignment vertical="center"/>
    </xf>
    <xf numFmtId="237" fontId="4" fillId="7" borderId="1" xfId="0" applyNumberFormat="1" applyFont="1" applyFill="1" applyBorder="1" applyAlignment="1">
      <alignment horizontal="center" vertical="top"/>
    </xf>
    <xf numFmtId="0" fontId="205" fillId="0" borderId="0" xfId="0" applyFont="1" applyAlignment="1">
      <alignment horizontal="center" vertical="top"/>
    </xf>
    <xf numFmtId="236" fontId="279" fillId="0" borderId="1" xfId="0" applyNumberFormat="1" applyFont="1" applyBorder="1" applyAlignment="1">
      <alignment horizontal="center" vertical="center"/>
    </xf>
    <xf numFmtId="237" fontId="4" fillId="0" borderId="1" xfId="0" applyNumberFormat="1" applyFont="1" applyBorder="1">
      <alignment vertical="center"/>
    </xf>
    <xf numFmtId="237" fontId="12" fillId="0" borderId="1" xfId="0" applyNumberFormat="1" applyFont="1" applyBorder="1">
      <alignment vertical="center"/>
    </xf>
    <xf numFmtId="0" fontId="39" fillId="27" borderId="1" xfId="0" applyFont="1" applyFill="1" applyBorder="1" applyAlignment="1">
      <alignment horizontal="center" vertical="center"/>
    </xf>
    <xf numFmtId="0" fontId="39" fillId="27" borderId="1" xfId="0" applyFont="1" applyFill="1" applyBorder="1" applyAlignment="1">
      <alignment horizontal="center" vertical="center" shrinkToFit="1"/>
    </xf>
    <xf numFmtId="0" fontId="39" fillId="27" borderId="1" xfId="0" applyFont="1" applyFill="1" applyBorder="1" applyAlignment="1">
      <alignment horizontal="center" vertical="center" wrapText="1" shrinkToFit="1"/>
    </xf>
    <xf numFmtId="250" fontId="281" fillId="27" borderId="1" xfId="7" applyNumberFormat="1" applyFont="1" applyFill="1" applyBorder="1" applyAlignment="1">
      <alignment horizontal="center" vertical="center" wrapText="1"/>
    </xf>
    <xf numFmtId="10" fontId="282" fillId="0" borderId="0" xfId="19" applyNumberFormat="1" applyFont="1" applyFill="1" applyAlignment="1">
      <alignment horizontal="center" vertical="center"/>
    </xf>
    <xf numFmtId="205" fontId="194" fillId="0" borderId="0" xfId="0" applyNumberFormat="1" applyFont="1" applyAlignment="1">
      <alignment horizontal="center" vertical="center"/>
    </xf>
    <xf numFmtId="0" fontId="283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0" fontId="196" fillId="0" borderId="1" xfId="0" applyFont="1" applyBorder="1" applyAlignment="1">
      <alignment horizontal="center"/>
    </xf>
    <xf numFmtId="238" fontId="196" fillId="0" borderId="1" xfId="0" applyNumberFormat="1" applyFont="1" applyBorder="1" applyAlignment="1">
      <alignment horizontal="center"/>
    </xf>
    <xf numFmtId="231" fontId="14" fillId="0" borderId="1" xfId="0" applyNumberFormat="1" applyFont="1" applyBorder="1" applyAlignment="1">
      <alignment horizontal="center"/>
    </xf>
    <xf numFmtId="0" fontId="14" fillId="0" borderId="1" xfId="19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253" fontId="14" fillId="0" borderId="1" xfId="0" applyNumberFormat="1" applyFont="1" applyBorder="1" applyAlignment="1">
      <alignment horizontal="center"/>
    </xf>
    <xf numFmtId="241" fontId="14" fillId="0" borderId="1" xfId="0" applyNumberFormat="1" applyFont="1" applyBorder="1" applyAlignment="1">
      <alignment horizontal="center"/>
    </xf>
    <xf numFmtId="254" fontId="196" fillId="0" borderId="1" xfId="0" applyNumberFormat="1" applyFont="1" applyBorder="1" applyAlignment="1">
      <alignment horizontal="center"/>
    </xf>
    <xf numFmtId="193" fontId="183" fillId="0" borderId="1" xfId="0" applyNumberFormat="1" applyFont="1" applyBorder="1" applyAlignment="1">
      <alignment horizontal="right" vertical="center"/>
    </xf>
    <xf numFmtId="255" fontId="194" fillId="0" borderId="0" xfId="0" applyNumberFormat="1" applyFont="1" applyAlignment="1">
      <alignment horizontal="right"/>
    </xf>
    <xf numFmtId="0" fontId="284" fillId="0" borderId="0" xfId="0" applyFont="1" applyAlignment="1">
      <alignment horizontal="justify" vertical="center"/>
    </xf>
    <xf numFmtId="0" fontId="41" fillId="0" borderId="0" xfId="0" applyFont="1" applyAlignment="1">
      <alignment horizontal="justify" vertical="center"/>
    </xf>
    <xf numFmtId="0" fontId="284" fillId="0" borderId="1" xfId="0" applyFont="1" applyBorder="1" applyAlignment="1">
      <alignment horizontal="center" vertical="center"/>
    </xf>
    <xf numFmtId="0" fontId="285" fillId="0" borderId="1" xfId="0" applyFont="1" applyBorder="1" applyAlignment="1">
      <alignment horizontal="center" vertical="center"/>
    </xf>
    <xf numFmtId="178" fontId="69" fillId="0" borderId="1" xfId="0" applyNumberFormat="1" applyFont="1" applyBorder="1" applyAlignment="1">
      <alignment horizontal="right" vertical="center"/>
    </xf>
    <xf numFmtId="0" fontId="286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245" fontId="207" fillId="0" borderId="1" xfId="0" applyNumberFormat="1" applyFont="1" applyBorder="1" applyAlignment="1">
      <alignment horizontal="center" vertical="center"/>
    </xf>
    <xf numFmtId="190" fontId="287" fillId="0" borderId="1" xfId="0" applyNumberFormat="1" applyFont="1" applyBorder="1" applyAlignment="1">
      <alignment horizontal="center" vertical="center"/>
    </xf>
    <xf numFmtId="0" fontId="61" fillId="6" borderId="26" xfId="0" applyFont="1" applyFill="1" applyBorder="1" applyAlignment="1">
      <alignment horizontal="right" vertical="center"/>
    </xf>
    <xf numFmtId="0" fontId="66" fillId="6" borderId="0" xfId="0" applyFont="1" applyFill="1" applyAlignment="1">
      <alignment horizontal="right" vertical="center"/>
    </xf>
    <xf numFmtId="0" fontId="61" fillId="6" borderId="1" xfId="0" applyFont="1" applyFill="1" applyBorder="1" applyAlignment="1">
      <alignment horizontal="right" vertical="center"/>
    </xf>
    <xf numFmtId="179" fontId="55" fillId="0" borderId="132" xfId="0" applyNumberFormat="1" applyFont="1" applyBorder="1" applyAlignment="1" applyProtection="1">
      <alignment horizontal="center" vertical="center"/>
      <protection locked="0"/>
    </xf>
    <xf numFmtId="190" fontId="288" fillId="0" borderId="1" xfId="0" applyNumberFormat="1" applyFont="1" applyBorder="1" applyAlignment="1">
      <alignment horizontal="center" vertical="center"/>
    </xf>
    <xf numFmtId="0" fontId="64" fillId="0" borderId="1" xfId="0" applyFont="1" applyBorder="1" applyAlignment="1">
      <alignment horizontal="left" vertical="center"/>
    </xf>
    <xf numFmtId="203" fontId="263" fillId="0" borderId="1" xfId="0" applyNumberFormat="1" applyFont="1" applyBorder="1" applyAlignment="1">
      <alignment horizontal="right" vertical="center"/>
    </xf>
    <xf numFmtId="0" fontId="263" fillId="0" borderId="0" xfId="0" applyFont="1">
      <alignment vertical="center"/>
    </xf>
    <xf numFmtId="256" fontId="281" fillId="27" borderId="1" xfId="7" applyNumberFormat="1" applyFont="1" applyFill="1" applyBorder="1" applyAlignment="1">
      <alignment horizontal="center" vertical="center" wrapText="1"/>
    </xf>
    <xf numFmtId="257" fontId="24" fillId="0" borderId="3" xfId="0" applyNumberFormat="1" applyFont="1" applyBorder="1" applyAlignment="1">
      <alignment horizontal="right" vertical="center"/>
    </xf>
    <xf numFmtId="0" fontId="290" fillId="0" borderId="0" xfId="0" applyFont="1" applyAlignment="1">
      <alignment horizontal="center" vertical="center"/>
    </xf>
    <xf numFmtId="206" fontId="39" fillId="0" borderId="1" xfId="0" applyNumberFormat="1" applyFont="1" applyBorder="1" applyAlignment="1">
      <alignment horizontal="right" vertical="center"/>
    </xf>
    <xf numFmtId="198" fontId="14" fillId="0" borderId="1" xfId="0" applyNumberFormat="1" applyFont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183" fillId="0" borderId="1" xfId="0" applyFont="1" applyBorder="1" applyAlignment="1">
      <alignment horizontal="center" vertical="center"/>
    </xf>
    <xf numFmtId="199" fontId="14" fillId="0" borderId="1" xfId="0" applyNumberFormat="1" applyFont="1" applyBorder="1" applyAlignment="1">
      <alignment horizontal="center" vertical="center"/>
    </xf>
    <xf numFmtId="258" fontId="96" fillId="0" borderId="0" xfId="0" applyNumberFormat="1" applyFont="1" applyAlignment="1">
      <alignment horizontal="center" vertical="center"/>
    </xf>
    <xf numFmtId="0" fontId="95" fillId="0" borderId="0" xfId="0" applyFont="1" applyAlignment="1">
      <alignment horizontal="center" vertical="center" wrapText="1"/>
    </xf>
    <xf numFmtId="179" fontId="291" fillId="5" borderId="1" xfId="0" applyNumberFormat="1" applyFont="1" applyFill="1" applyBorder="1" applyAlignment="1">
      <alignment horizontal="center" vertical="center" wrapText="1"/>
    </xf>
    <xf numFmtId="191" fontId="122" fillId="0" borderId="138" xfId="0" applyNumberFormat="1" applyFont="1" applyBorder="1" applyAlignment="1">
      <alignment horizontal="center" vertical="center"/>
    </xf>
    <xf numFmtId="178" fontId="122" fillId="0" borderId="138" xfId="0" applyNumberFormat="1" applyFont="1" applyBorder="1" applyAlignment="1">
      <alignment horizontal="center" vertical="center"/>
    </xf>
    <xf numFmtId="188" fontId="6" fillId="0" borderId="1" xfId="0" applyNumberFormat="1" applyFont="1" applyBorder="1" applyAlignment="1">
      <alignment horizontal="right" vertical="center"/>
    </xf>
    <xf numFmtId="247" fontId="6" fillId="0" borderId="0" xfId="0" applyNumberFormat="1" applyFont="1">
      <alignment vertical="center"/>
    </xf>
    <xf numFmtId="0" fontId="122" fillId="0" borderId="138" xfId="0" applyFont="1" applyBorder="1" applyAlignment="1">
      <alignment horizontal="center" vertical="center" wrapText="1"/>
    </xf>
    <xf numFmtId="188" fontId="5" fillId="0" borderId="1" xfId="0" applyNumberFormat="1" applyFont="1" applyBorder="1" applyAlignment="1">
      <alignment horizontal="right" vertical="center"/>
    </xf>
    <xf numFmtId="0" fontId="292" fillId="4" borderId="117" xfId="0" applyFont="1" applyFill="1" applyBorder="1" applyProtection="1">
      <alignment vertical="center"/>
      <protection locked="0"/>
    </xf>
    <xf numFmtId="0" fontId="293" fillId="4" borderId="117" xfId="0" applyFont="1" applyFill="1" applyBorder="1" applyProtection="1">
      <alignment vertical="center"/>
      <protection locked="0"/>
    </xf>
    <xf numFmtId="0" fontId="48" fillId="0" borderId="1" xfId="0" applyFont="1" applyBorder="1" applyAlignment="1"/>
    <xf numFmtId="0" fontId="48" fillId="0" borderId="1" xfId="2" applyNumberFormat="1" applyFont="1" applyFill="1" applyBorder="1" applyAlignment="1">
      <alignment horizontal="center" vertical="center" wrapText="1"/>
    </xf>
    <xf numFmtId="247" fontId="37" fillId="0" borderId="1" xfId="0" applyNumberFormat="1" applyFont="1" applyBorder="1">
      <alignment vertical="center"/>
    </xf>
    <xf numFmtId="0" fontId="37" fillId="0" borderId="1" xfId="0" applyFont="1" applyBorder="1" applyProtection="1">
      <alignment vertical="center"/>
      <protection locked="0"/>
    </xf>
    <xf numFmtId="0" fontId="37" fillId="0" borderId="1" xfId="0" applyFont="1" applyBorder="1" applyProtection="1">
      <alignment vertical="center"/>
      <protection hidden="1"/>
    </xf>
    <xf numFmtId="0" fontId="37" fillId="0" borderId="1" xfId="0" applyFont="1" applyBorder="1" applyAlignment="1" applyProtection="1">
      <alignment horizontal="center" vertical="center"/>
      <protection hidden="1"/>
    </xf>
    <xf numFmtId="247" fontId="37" fillId="0" borderId="1" xfId="0" applyNumberFormat="1" applyFont="1" applyBorder="1" applyProtection="1">
      <alignment vertical="center"/>
      <protection hidden="1"/>
    </xf>
    <xf numFmtId="0" fontId="37" fillId="0" borderId="1" xfId="0" applyFont="1" applyBorder="1" applyAlignment="1" applyProtection="1">
      <alignment vertical="center" shrinkToFit="1"/>
      <protection hidden="1"/>
    </xf>
    <xf numFmtId="246" fontId="37" fillId="0" borderId="1" xfId="0" applyNumberFormat="1" applyFont="1" applyBorder="1">
      <alignment vertical="center"/>
    </xf>
    <xf numFmtId="246" fontId="37" fillId="0" borderId="1" xfId="0" applyNumberFormat="1" applyFont="1" applyBorder="1" applyProtection="1">
      <alignment vertical="center"/>
      <protection hidden="1"/>
    </xf>
    <xf numFmtId="49" fontId="207" fillId="0" borderId="1" xfId="0" applyNumberFormat="1" applyFont="1" applyBorder="1" applyAlignment="1">
      <alignment horizontal="center" vertical="center" shrinkToFit="1"/>
    </xf>
    <xf numFmtId="259" fontId="37" fillId="0" borderId="1" xfId="0" applyNumberFormat="1" applyFont="1" applyBorder="1" applyAlignment="1">
      <alignment horizontal="center" vertical="center" shrinkToFit="1"/>
    </xf>
    <xf numFmtId="0" fontId="294" fillId="0" borderId="1" xfId="0" applyFont="1" applyBorder="1" applyAlignment="1">
      <alignment horizontal="center" vertical="center"/>
    </xf>
    <xf numFmtId="49" fontId="37" fillId="0" borderId="1" xfId="0" applyNumberFormat="1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/>
    </xf>
    <xf numFmtId="259" fontId="32" fillId="0" borderId="1" xfId="0" applyNumberFormat="1" applyFont="1" applyBorder="1" applyAlignment="1">
      <alignment horizontal="center" vertical="center" shrinkToFit="1"/>
    </xf>
    <xf numFmtId="259" fontId="3" fillId="0" borderId="1" xfId="0" applyNumberFormat="1" applyFont="1" applyBorder="1" applyAlignment="1">
      <alignment horizontal="center" vertical="center" shrinkToFit="1"/>
    </xf>
    <xf numFmtId="259" fontId="295" fillId="0" borderId="1" xfId="0" applyNumberFormat="1" applyFont="1" applyBorder="1" applyAlignment="1">
      <alignment horizontal="center" vertical="center" wrapText="1" shrinkToFit="1"/>
    </xf>
    <xf numFmtId="205" fontId="202" fillId="0" borderId="1" xfId="7" applyFont="1" applyFill="1" applyBorder="1" applyAlignment="1">
      <alignment horizontal="center" vertical="center"/>
    </xf>
    <xf numFmtId="49" fontId="207" fillId="0" borderId="1" xfId="0" applyNumberFormat="1" applyFont="1" applyBorder="1" applyAlignment="1">
      <alignment horizontal="center" vertical="center" wrapText="1" shrinkToFit="1"/>
    </xf>
    <xf numFmtId="189" fontId="5" fillId="0" borderId="1" xfId="0" applyNumberFormat="1" applyFont="1" applyBorder="1" applyAlignment="1">
      <alignment horizontal="center" vertical="center" wrapText="1"/>
    </xf>
    <xf numFmtId="188" fontId="6" fillId="0" borderId="1" xfId="0" applyNumberFormat="1" applyFont="1" applyBorder="1" applyAlignment="1">
      <alignment horizontal="right"/>
    </xf>
    <xf numFmtId="188" fontId="6" fillId="0" borderId="1" xfId="0" applyNumberFormat="1" applyFont="1" applyBorder="1" applyAlignment="1">
      <alignment horizontal="right" wrapText="1"/>
    </xf>
    <xf numFmtId="49" fontId="122" fillId="0" borderId="133" xfId="0" applyNumberFormat="1" applyFont="1" applyBorder="1" applyAlignment="1">
      <alignment horizontal="left" vertical="center"/>
    </xf>
    <xf numFmtId="188" fontId="5" fillId="0" borderId="1" xfId="0" applyNumberFormat="1" applyFont="1" applyBorder="1" applyAlignment="1">
      <alignment horizontal="right"/>
    </xf>
    <xf numFmtId="49" fontId="37" fillId="0" borderId="1" xfId="0" applyNumberFormat="1" applyFont="1" applyBorder="1" applyAlignment="1">
      <alignment horizontal="center" vertical="center" wrapText="1"/>
    </xf>
    <xf numFmtId="188" fontId="5" fillId="0" borderId="1" xfId="0" applyNumberFormat="1" applyFont="1" applyBorder="1" applyAlignment="1">
      <alignment horizontal="right" wrapText="1"/>
    </xf>
    <xf numFmtId="188" fontId="5" fillId="0" borderId="1" xfId="0" applyNumberFormat="1" applyFont="1" applyBorder="1">
      <alignment vertical="center"/>
    </xf>
    <xf numFmtId="0" fontId="6" fillId="0" borderId="46" xfId="0" applyFont="1" applyBorder="1">
      <alignment vertical="center"/>
    </xf>
    <xf numFmtId="0" fontId="6" fillId="0" borderId="174" xfId="0" applyFont="1" applyBorder="1">
      <alignment vertical="center"/>
    </xf>
    <xf numFmtId="189" fontId="61" fillId="6" borderId="175" xfId="0" applyNumberFormat="1" applyFont="1" applyFill="1" applyBorder="1">
      <alignment vertical="center"/>
    </xf>
    <xf numFmtId="190" fontId="288" fillId="6" borderId="1" xfId="0" applyNumberFormat="1" applyFont="1" applyFill="1" applyBorder="1" applyAlignment="1">
      <alignment horizontal="center" vertical="center"/>
    </xf>
    <xf numFmtId="49" fontId="257" fillId="0" borderId="1" xfId="0" applyNumberFormat="1" applyFont="1" applyBorder="1" applyAlignment="1">
      <alignment horizontal="center" vertical="center" wrapText="1"/>
    </xf>
    <xf numFmtId="49" fontId="96" fillId="0" borderId="1" xfId="0" applyNumberFormat="1" applyFont="1" applyBorder="1" applyAlignment="1">
      <alignment horizontal="center" vertical="center" wrapText="1"/>
    </xf>
    <xf numFmtId="0" fontId="16" fillId="0" borderId="1" xfId="0" applyFont="1" applyBorder="1" applyAlignment="1">
      <alignment horizontal="left" vertical="center"/>
    </xf>
    <xf numFmtId="0" fontId="0" fillId="6" borderId="1" xfId="0" applyFill="1" applyBorder="1">
      <alignment vertical="center"/>
    </xf>
    <xf numFmtId="0" fontId="220" fillId="0" borderId="1" xfId="0" applyFont="1" applyBorder="1" applyAlignment="1">
      <alignment horizontal="center" vertical="center"/>
    </xf>
    <xf numFmtId="0" fontId="199" fillId="0" borderId="1" xfId="0" applyFont="1" applyBorder="1" applyAlignment="1">
      <alignment horizontal="center" vertical="center"/>
    </xf>
    <xf numFmtId="9" fontId="201" fillId="0" borderId="0" xfId="19" applyFont="1">
      <alignment vertical="center"/>
    </xf>
    <xf numFmtId="0" fontId="48" fillId="0" borderId="13" xfId="0" applyFont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189" fontId="62" fillId="6" borderId="1" xfId="0" applyNumberFormat="1" applyFont="1" applyFill="1" applyBorder="1" applyAlignment="1">
      <alignment horizontal="center" vertical="center"/>
    </xf>
    <xf numFmtId="49" fontId="61" fillId="6" borderId="1" xfId="0" applyNumberFormat="1" applyFont="1" applyFill="1" applyBorder="1" applyAlignment="1">
      <alignment horizontal="left" vertical="center"/>
    </xf>
    <xf numFmtId="0" fontId="122" fillId="0" borderId="138" xfId="0" applyFont="1" applyBorder="1" applyAlignment="1">
      <alignment horizontal="left" vertical="center"/>
    </xf>
    <xf numFmtId="187" fontId="122" fillId="0" borderId="138" xfId="0" applyNumberFormat="1" applyFont="1" applyBorder="1" applyAlignment="1">
      <alignment horizontal="center" vertical="center"/>
    </xf>
    <xf numFmtId="176" fontId="55" fillId="0" borderId="132" xfId="0" applyNumberFormat="1" applyFont="1" applyBorder="1" applyAlignment="1" applyProtection="1">
      <alignment horizontal="center" vertical="center"/>
      <protection locked="0"/>
    </xf>
    <xf numFmtId="191" fontId="55" fillId="0" borderId="132" xfId="0" applyNumberFormat="1" applyFont="1" applyBorder="1" applyAlignment="1" applyProtection="1">
      <alignment horizontal="center" vertical="center"/>
      <protection locked="0"/>
    </xf>
    <xf numFmtId="189" fontId="55" fillId="0" borderId="132" xfId="0" applyNumberFormat="1" applyFont="1" applyBorder="1" applyAlignment="1" applyProtection="1">
      <alignment horizontal="center" vertical="center"/>
      <protection locked="0"/>
    </xf>
    <xf numFmtId="183" fontId="55" fillId="0" borderId="133" xfId="0" applyNumberFormat="1" applyFont="1" applyBorder="1" applyAlignment="1" applyProtection="1">
      <alignment horizontal="center" vertical="center"/>
      <protection locked="0"/>
    </xf>
    <xf numFmtId="185" fontId="61" fillId="0" borderId="11" xfId="0" applyNumberFormat="1" applyFont="1" applyBorder="1">
      <alignment vertical="center"/>
    </xf>
    <xf numFmtId="189" fontId="60" fillId="0" borderId="12" xfId="0" applyNumberFormat="1" applyFont="1" applyBorder="1">
      <alignment vertical="center"/>
    </xf>
    <xf numFmtId="0" fontId="202" fillId="0" borderId="13" xfId="11" applyFont="1" applyBorder="1" applyAlignment="1">
      <alignment horizontal="center" vertical="center" wrapText="1"/>
    </xf>
    <xf numFmtId="260" fontId="221" fillId="0" borderId="1" xfId="0" applyNumberFormat="1" applyFont="1" applyBorder="1" applyAlignment="1">
      <alignment horizontal="center" vertical="center"/>
    </xf>
    <xf numFmtId="258" fontId="2" fillId="0" borderId="0" xfId="0" applyNumberFormat="1" applyFont="1" applyAlignment="1">
      <alignment horizontal="right" vertical="center"/>
    </xf>
    <xf numFmtId="243" fontId="2" fillId="0" borderId="0" xfId="0" applyNumberFormat="1" applyFont="1" applyAlignment="1">
      <alignment horizontal="right" vertical="center"/>
    </xf>
    <xf numFmtId="0" fontId="296" fillId="0" borderId="0" xfId="0" applyFont="1" applyAlignment="1">
      <alignment horizontal="left" vertical="center"/>
    </xf>
    <xf numFmtId="0" fontId="262" fillId="0" borderId="0" xfId="0" applyFont="1" applyAlignment="1">
      <alignment horizontal="left" vertical="center"/>
    </xf>
    <xf numFmtId="17" fontId="221" fillId="0" borderId="0" xfId="0" quotePrefix="1" applyNumberFormat="1" applyFont="1" applyAlignment="1">
      <alignment horizontal="left" vertical="center"/>
    </xf>
    <xf numFmtId="5" fontId="262" fillId="0" borderId="0" xfId="0" applyNumberFormat="1" applyFont="1" applyAlignment="1">
      <alignment horizontal="center" vertical="center"/>
    </xf>
    <xf numFmtId="0" fontId="41" fillId="0" borderId="39" xfId="0" applyFont="1" applyBorder="1" applyAlignment="1">
      <alignment horizontal="center" vertical="center"/>
    </xf>
    <xf numFmtId="0" fontId="262" fillId="0" borderId="1" xfId="0" applyFont="1" applyBorder="1" applyAlignment="1">
      <alignment horizontal="left" vertical="center"/>
    </xf>
    <xf numFmtId="0" fontId="262" fillId="0" borderId="1" xfId="0" applyFont="1" applyBorder="1" applyAlignment="1">
      <alignment horizontal="center" vertical="center"/>
    </xf>
    <xf numFmtId="206" fontId="207" fillId="0" borderId="1" xfId="0" applyNumberFormat="1" applyFont="1" applyBorder="1" applyAlignment="1">
      <alignment horizontal="center" vertical="center"/>
    </xf>
    <xf numFmtId="21" fontId="221" fillId="0" borderId="1" xfId="0" applyNumberFormat="1" applyFont="1" applyBorder="1" applyAlignment="1">
      <alignment horizontal="left" vertical="center"/>
    </xf>
    <xf numFmtId="21" fontId="221" fillId="0" borderId="1" xfId="0" applyNumberFormat="1" applyFont="1" applyBorder="1" applyAlignment="1">
      <alignment horizontal="center" vertical="center"/>
    </xf>
    <xf numFmtId="187" fontId="5" fillId="0" borderId="1" xfId="0" applyNumberFormat="1" applyFont="1" applyBorder="1" applyAlignment="1"/>
    <xf numFmtId="0" fontId="298" fillId="0" borderId="0" xfId="0" applyFont="1">
      <alignment vertical="center"/>
    </xf>
    <xf numFmtId="0" fontId="299" fillId="7" borderId="1" xfId="0" applyFont="1" applyFill="1" applyBorder="1" applyAlignment="1">
      <alignment horizontal="center" vertical="top"/>
    </xf>
    <xf numFmtId="0" fontId="300" fillId="7" borderId="1" xfId="0" applyFont="1" applyFill="1" applyBorder="1" applyAlignment="1">
      <alignment horizontal="center" vertical="top"/>
    </xf>
    <xf numFmtId="0" fontId="301" fillId="7" borderId="1" xfId="0" applyFont="1" applyFill="1" applyBorder="1" applyAlignment="1">
      <alignment horizontal="center" vertical="top"/>
    </xf>
    <xf numFmtId="0" fontId="302" fillId="0" borderId="1" xfId="0" applyFont="1" applyBorder="1" applyAlignment="1">
      <alignment horizontal="center" vertical="center"/>
    </xf>
    <xf numFmtId="0" fontId="205" fillId="0" borderId="1" xfId="0" applyFont="1" applyBorder="1" applyAlignment="1">
      <alignment horizontal="left" vertical="center"/>
    </xf>
    <xf numFmtId="3" fontId="6" fillId="7" borderId="0" xfId="0" applyNumberFormat="1" applyFont="1" applyFill="1">
      <alignment vertical="center"/>
    </xf>
    <xf numFmtId="0" fontId="182" fillId="0" borderId="0" xfId="0" applyFont="1" applyAlignment="1">
      <alignment horizontal="justify" vertical="center"/>
    </xf>
    <xf numFmtId="0" fontId="303" fillId="28" borderId="7" xfId="0" applyFont="1" applyFill="1" applyBorder="1" applyAlignment="1">
      <alignment horizontal="center" vertical="center" wrapText="1"/>
    </xf>
    <xf numFmtId="0" fontId="303" fillId="28" borderId="8" xfId="0" applyFont="1" applyFill="1" applyBorder="1" applyAlignment="1">
      <alignment horizontal="center" vertical="center" wrapText="1"/>
    </xf>
    <xf numFmtId="0" fontId="300" fillId="28" borderId="8" xfId="0" applyFont="1" applyFill="1" applyBorder="1" applyAlignment="1">
      <alignment horizontal="center" vertical="center" wrapText="1"/>
    </xf>
    <xf numFmtId="0" fontId="81" fillId="28" borderId="8" xfId="0" applyFont="1" applyFill="1" applyBorder="1" applyAlignment="1">
      <alignment horizontal="center" vertical="center" wrapText="1"/>
    </xf>
    <xf numFmtId="0" fontId="303" fillId="29" borderId="9" xfId="0" applyFont="1" applyFill="1" applyBorder="1" applyAlignment="1">
      <alignment horizontal="center" vertical="center" wrapText="1"/>
    </xf>
    <xf numFmtId="0" fontId="303" fillId="29" borderId="10" xfId="0" applyFont="1" applyFill="1" applyBorder="1" applyAlignment="1">
      <alignment horizontal="center" vertical="center" wrapText="1"/>
    </xf>
    <xf numFmtId="0" fontId="300" fillId="29" borderId="10" xfId="0" applyFont="1" applyFill="1" applyBorder="1" applyAlignment="1">
      <alignment horizontal="center" vertical="center" wrapText="1"/>
    </xf>
    <xf numFmtId="0" fontId="81" fillId="29" borderId="10" xfId="0" applyFont="1" applyFill="1" applyBorder="1" applyAlignment="1">
      <alignment horizontal="right" vertical="center" wrapText="1"/>
    </xf>
    <xf numFmtId="0" fontId="303" fillId="0" borderId="9" xfId="0" applyFont="1" applyBorder="1" applyAlignment="1">
      <alignment horizontal="center" vertical="center" wrapText="1"/>
    </xf>
    <xf numFmtId="261" fontId="303" fillId="0" borderId="10" xfId="0" applyNumberFormat="1" applyFont="1" applyBorder="1" applyAlignment="1">
      <alignment horizontal="center" vertical="center" wrapText="1"/>
    </xf>
    <xf numFmtId="0" fontId="303" fillId="0" borderId="10" xfId="0" applyFont="1" applyBorder="1" applyAlignment="1">
      <alignment horizontal="center" vertical="center" wrapText="1"/>
    </xf>
    <xf numFmtId="0" fontId="300" fillId="0" borderId="10" xfId="0" applyFont="1" applyBorder="1" applyAlignment="1">
      <alignment horizontal="center" vertical="center" wrapText="1"/>
    </xf>
    <xf numFmtId="0" fontId="81" fillId="0" borderId="10" xfId="0" applyFont="1" applyBorder="1" applyAlignment="1">
      <alignment horizontal="right" vertical="center" wrapText="1"/>
    </xf>
    <xf numFmtId="193" fontId="37" fillId="0" borderId="1" xfId="0" applyNumberFormat="1" applyFont="1" applyBorder="1" applyAlignment="1">
      <alignment horizontal="center" vertical="center"/>
    </xf>
    <xf numFmtId="3" fontId="69" fillId="0" borderId="0" xfId="0" applyNumberFormat="1" applyFont="1">
      <alignment vertical="center"/>
    </xf>
    <xf numFmtId="205" fontId="202" fillId="0" borderId="13" xfId="7" applyFont="1" applyFill="1" applyBorder="1" applyAlignment="1">
      <alignment horizontal="center" vertical="center" wrapText="1"/>
    </xf>
    <xf numFmtId="0" fontId="304" fillId="0" borderId="1" xfId="0" applyFont="1" applyBorder="1" applyAlignment="1">
      <alignment horizontal="center" vertical="center"/>
    </xf>
    <xf numFmtId="206" fontId="57" fillId="0" borderId="108" xfId="0" applyNumberFormat="1" applyFont="1" applyBorder="1" applyAlignment="1" applyProtection="1">
      <alignment horizontal="center" vertical="center"/>
      <protection locked="0"/>
    </xf>
    <xf numFmtId="206" fontId="57" fillId="0" borderId="140" xfId="0" applyNumberFormat="1" applyFont="1" applyBorder="1" applyAlignment="1" applyProtection="1">
      <alignment horizontal="center" vertical="center"/>
      <protection locked="0"/>
    </xf>
    <xf numFmtId="206" fontId="55" fillId="0" borderId="16" xfId="0" applyNumberFormat="1" applyFont="1" applyBorder="1" applyAlignment="1" applyProtection="1">
      <alignment horizontal="center" vertical="center"/>
      <protection locked="0"/>
    </xf>
    <xf numFmtId="0" fontId="57" fillId="0" borderId="68" xfId="0" applyFont="1" applyBorder="1" applyAlignment="1" applyProtection="1">
      <alignment horizontal="center" vertical="center"/>
      <protection locked="0"/>
    </xf>
    <xf numFmtId="0" fontId="57" fillId="0" borderId="69" xfId="0" applyFont="1" applyBorder="1" applyAlignment="1" applyProtection="1">
      <alignment horizontal="center" vertical="center"/>
      <protection locked="0"/>
    </xf>
    <xf numFmtId="0" fontId="132" fillId="12" borderId="120" xfId="0" applyFont="1" applyFill="1" applyBorder="1" applyAlignment="1" applyProtection="1">
      <alignment horizontal="center" vertical="center"/>
      <protection locked="0"/>
    </xf>
    <xf numFmtId="0" fontId="108" fillId="12" borderId="117" xfId="0" applyFont="1" applyFill="1" applyBorder="1" applyAlignment="1" applyProtection="1">
      <alignment horizontal="center" vertical="center"/>
      <protection locked="0"/>
    </xf>
    <xf numFmtId="0" fontId="57" fillId="0" borderId="132" xfId="0" applyFont="1" applyBorder="1" applyAlignment="1" applyProtection="1">
      <alignment horizontal="center" vertical="center"/>
      <protection locked="0"/>
    </xf>
    <xf numFmtId="0" fontId="57" fillId="0" borderId="131" xfId="0" applyFont="1" applyBorder="1" applyAlignment="1" applyProtection="1">
      <alignment horizontal="center" vertical="center"/>
      <protection locked="0"/>
    </xf>
    <xf numFmtId="0" fontId="57" fillId="0" borderId="135" xfId="0" applyFont="1" applyBorder="1" applyAlignment="1" applyProtection="1">
      <alignment horizontal="center" vertical="center"/>
      <protection locked="0"/>
    </xf>
    <xf numFmtId="0" fontId="57" fillId="0" borderId="136" xfId="0" applyFont="1" applyBorder="1" applyAlignment="1" applyProtection="1">
      <alignment horizontal="center" vertical="center"/>
      <protection locked="0"/>
    </xf>
    <xf numFmtId="0" fontId="57" fillId="0" borderId="66" xfId="0" applyFont="1" applyBorder="1" applyAlignment="1" applyProtection="1">
      <alignment horizontal="center" vertical="center"/>
      <protection locked="0"/>
    </xf>
    <xf numFmtId="0" fontId="57" fillId="0" borderId="67" xfId="0" applyFont="1" applyBorder="1" applyAlignment="1" applyProtection="1">
      <alignment horizontal="center" vertical="center"/>
      <protection locked="0"/>
    </xf>
    <xf numFmtId="0" fontId="57" fillId="0" borderId="139" xfId="0" applyFont="1" applyBorder="1" applyAlignment="1" applyProtection="1">
      <alignment horizontal="center" vertical="center"/>
      <protection locked="0"/>
    </xf>
    <xf numFmtId="0" fontId="57" fillId="0" borderId="36" xfId="0" applyFont="1" applyBorder="1" applyAlignment="1" applyProtection="1">
      <alignment horizontal="center" vertical="center"/>
      <protection locked="0"/>
    </xf>
    <xf numFmtId="0" fontId="57" fillId="0" borderId="64" xfId="0" applyFont="1" applyBorder="1" applyAlignment="1" applyProtection="1">
      <alignment horizontal="center" vertical="center"/>
      <protection locked="0"/>
    </xf>
    <xf numFmtId="0" fontId="57" fillId="0" borderId="57" xfId="0" applyFont="1" applyBorder="1" applyAlignment="1" applyProtection="1">
      <alignment horizontal="center" vertical="center"/>
      <protection locked="0"/>
    </xf>
    <xf numFmtId="214" fontId="55" fillId="12" borderId="120" xfId="0" applyNumberFormat="1" applyFont="1" applyFill="1" applyBorder="1" applyAlignment="1" applyProtection="1">
      <alignment horizontal="left" vertical="center"/>
      <protection locked="0"/>
    </xf>
    <xf numFmtId="0" fontId="55" fillId="12" borderId="117" xfId="0" applyFont="1" applyFill="1" applyBorder="1" applyAlignment="1" applyProtection="1">
      <alignment horizontal="left" vertical="center"/>
      <protection locked="0"/>
    </xf>
    <xf numFmtId="0" fontId="55" fillId="12" borderId="118" xfId="0" applyFont="1" applyFill="1" applyBorder="1" applyAlignment="1" applyProtection="1">
      <alignment horizontal="left" vertical="center"/>
      <protection locked="0"/>
    </xf>
    <xf numFmtId="0" fontId="55" fillId="12" borderId="120" xfId="0" applyFont="1" applyFill="1" applyBorder="1" applyAlignment="1" applyProtection="1">
      <alignment horizontal="left" vertical="center"/>
      <protection locked="0"/>
    </xf>
    <xf numFmtId="0" fontId="55" fillId="12" borderId="124" xfId="0" applyFont="1" applyFill="1" applyBorder="1" applyAlignment="1" applyProtection="1">
      <alignment horizontal="left" vertical="center"/>
      <protection locked="0"/>
    </xf>
    <xf numFmtId="0" fontId="55" fillId="12" borderId="125" xfId="0" applyFont="1" applyFill="1" applyBorder="1" applyAlignment="1" applyProtection="1">
      <alignment horizontal="left" vertical="center"/>
      <protection locked="0"/>
    </xf>
    <xf numFmtId="0" fontId="122" fillId="0" borderId="163" xfId="0" applyFont="1" applyBorder="1" applyAlignment="1" applyProtection="1">
      <alignment horizontal="center" vertical="center"/>
      <protection locked="0"/>
    </xf>
    <xf numFmtId="0" fontId="122" fillId="0" borderId="164" xfId="0" applyFont="1" applyBorder="1" applyAlignment="1" applyProtection="1">
      <alignment horizontal="center" vertical="center"/>
      <protection locked="0"/>
    </xf>
    <xf numFmtId="0" fontId="122" fillId="16" borderId="37" xfId="0" applyFont="1" applyFill="1" applyBorder="1" applyAlignment="1">
      <alignment horizontal="center" vertical="center" wrapText="1"/>
    </xf>
    <xf numFmtId="0" fontId="122" fillId="16" borderId="38" xfId="0" applyFont="1" applyFill="1" applyBorder="1" applyAlignment="1">
      <alignment horizontal="center" vertical="center"/>
    </xf>
    <xf numFmtId="0" fontId="122" fillId="16" borderId="9" xfId="0" applyFont="1" applyFill="1" applyBorder="1" applyAlignment="1">
      <alignment horizontal="center" vertical="center"/>
    </xf>
    <xf numFmtId="0" fontId="52" fillId="0" borderId="0" xfId="0" applyFont="1" applyAlignment="1" applyProtection="1">
      <alignment horizontal="left" vertical="center" wrapText="1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46" xfId="0" applyFont="1" applyBorder="1" applyAlignment="1" applyProtection="1">
      <alignment horizontal="left" vertical="center"/>
      <protection locked="0"/>
    </xf>
    <xf numFmtId="0" fontId="56" fillId="0" borderId="0" xfId="0" applyFont="1" applyAlignment="1" applyProtection="1">
      <alignment horizontal="left" vertical="top"/>
      <protection locked="0"/>
    </xf>
    <xf numFmtId="0" fontId="115" fillId="0" borderId="0" xfId="0" applyFont="1" applyAlignment="1" applyProtection="1">
      <alignment horizontal="left" vertical="center"/>
      <protection locked="0"/>
    </xf>
    <xf numFmtId="214" fontId="55" fillId="0" borderId="46" xfId="0" applyNumberFormat="1" applyFont="1" applyBorder="1" applyAlignment="1" applyProtection="1">
      <alignment horizontal="left" vertical="center"/>
      <protection locked="0"/>
    </xf>
    <xf numFmtId="0" fontId="55" fillId="12" borderId="130" xfId="0" applyFont="1" applyFill="1" applyBorder="1" applyAlignment="1" applyProtection="1">
      <alignment horizontal="left" vertical="center"/>
      <protection locked="0"/>
    </xf>
    <xf numFmtId="0" fontId="55" fillId="12" borderId="93" xfId="0" applyFont="1" applyFill="1" applyBorder="1" applyAlignment="1" applyProtection="1">
      <alignment horizontal="left" vertical="center"/>
      <protection locked="0"/>
    </xf>
    <xf numFmtId="0" fontId="55" fillId="0" borderId="124" xfId="0" applyFont="1" applyBorder="1" applyAlignment="1" applyProtection="1">
      <alignment horizontal="left" vertical="center"/>
      <protection locked="0"/>
    </xf>
    <xf numFmtId="0" fontId="55" fillId="0" borderId="126" xfId="0" applyFont="1" applyBorder="1" applyAlignment="1" applyProtection="1">
      <alignment horizontal="left" vertical="center"/>
      <protection locked="0"/>
    </xf>
    <xf numFmtId="0" fontId="55" fillId="0" borderId="125" xfId="0" applyFont="1" applyBorder="1" applyAlignment="1" applyProtection="1">
      <alignment horizontal="left" vertical="center"/>
      <protection locked="0"/>
    </xf>
    <xf numFmtId="206" fontId="55" fillId="0" borderId="108" xfId="0" applyNumberFormat="1" applyFont="1" applyBorder="1" applyAlignment="1" applyProtection="1">
      <alignment horizontal="center" vertical="center"/>
      <protection locked="0"/>
    </xf>
    <xf numFmtId="206" fontId="55" fillId="0" borderId="140" xfId="0" applyNumberFormat="1" applyFont="1" applyBorder="1" applyAlignment="1" applyProtection="1">
      <alignment horizontal="center" vertical="center"/>
      <protection locked="0"/>
    </xf>
    <xf numFmtId="0" fontId="108" fillId="0" borderId="120" xfId="0" applyFont="1" applyBorder="1" applyAlignment="1" applyProtection="1">
      <alignment horizontal="left" vertical="center"/>
      <protection locked="0"/>
    </xf>
    <xf numFmtId="0" fontId="108" fillId="0" borderId="117" xfId="0" applyFont="1" applyBorder="1" applyAlignment="1" applyProtection="1">
      <alignment horizontal="left" vertical="center"/>
      <protection locked="0"/>
    </xf>
    <xf numFmtId="0" fontId="57" fillId="0" borderId="39" xfId="0" applyFont="1" applyBorder="1" applyAlignment="1" applyProtection="1">
      <alignment horizontal="center" vertical="center"/>
      <protection locked="0"/>
    </xf>
    <xf numFmtId="0" fontId="57" fillId="0" borderId="3" xfId="0" applyFont="1" applyBorder="1" applyAlignment="1" applyProtection="1">
      <alignment horizontal="center" vertical="center"/>
      <protection locked="0"/>
    </xf>
    <xf numFmtId="0" fontId="57" fillId="0" borderId="72" xfId="0" applyFont="1" applyBorder="1" applyAlignment="1" applyProtection="1">
      <alignment horizontal="center" vertical="center"/>
      <protection locked="0"/>
    </xf>
    <xf numFmtId="0" fontId="57" fillId="0" borderId="21" xfId="0" applyFont="1" applyBorder="1" applyAlignment="1" applyProtection="1">
      <alignment horizontal="center" vertical="center"/>
      <protection locked="0"/>
    </xf>
    <xf numFmtId="0" fontId="122" fillId="0" borderId="158" xfId="0" applyFont="1" applyBorder="1" applyAlignment="1">
      <alignment horizontal="left" vertical="center" shrinkToFit="1"/>
    </xf>
    <xf numFmtId="0" fontId="122" fillId="0" borderId="159" xfId="0" applyFont="1" applyBorder="1" applyAlignment="1">
      <alignment horizontal="left" vertical="center" shrinkToFit="1"/>
    </xf>
    <xf numFmtId="0" fontId="122" fillId="0" borderId="160" xfId="0" applyFont="1" applyBorder="1" applyAlignment="1">
      <alignment horizontal="left" vertical="center" shrinkToFit="1"/>
    </xf>
    <xf numFmtId="0" fontId="122" fillId="0" borderId="0" xfId="0" applyFont="1" applyAlignment="1">
      <alignment horizontal="left" vertical="center" shrinkToFit="1"/>
    </xf>
    <xf numFmtId="0" fontId="121" fillId="0" borderId="0" xfId="0" applyFont="1" applyAlignment="1">
      <alignment horizontal="left" vertical="center"/>
    </xf>
    <xf numFmtId="0" fontId="126" fillId="0" borderId="0" xfId="0" applyFont="1" applyAlignment="1">
      <alignment horizontal="center" vertical="center"/>
    </xf>
    <xf numFmtId="0" fontId="122" fillId="0" borderId="152" xfId="0" applyFont="1" applyBorder="1" applyAlignment="1">
      <alignment horizontal="left" vertical="center" shrinkToFit="1"/>
    </xf>
    <xf numFmtId="0" fontId="122" fillId="0" borderId="153" xfId="0" applyFont="1" applyBorder="1" applyAlignment="1">
      <alignment horizontal="left" vertical="center" shrinkToFit="1"/>
    </xf>
    <xf numFmtId="0" fontId="122" fillId="0" borderId="154" xfId="0" applyFont="1" applyBorder="1" applyAlignment="1">
      <alignment horizontal="left" vertical="center" shrinkToFit="1"/>
    </xf>
    <xf numFmtId="0" fontId="122" fillId="0" borderId="121" xfId="0" applyFont="1" applyBorder="1" applyAlignment="1">
      <alignment horizontal="left" vertical="center" shrinkToFit="1"/>
    </xf>
    <xf numFmtId="0" fontId="122" fillId="0" borderId="114" xfId="0" applyFont="1" applyBorder="1" applyAlignment="1">
      <alignment horizontal="left" vertical="center" shrinkToFit="1"/>
    </xf>
    <xf numFmtId="0" fontId="122" fillId="0" borderId="156" xfId="0" applyFont="1" applyBorder="1" applyAlignment="1">
      <alignment horizontal="left" vertical="center" shrinkToFit="1"/>
    </xf>
    <xf numFmtId="0" fontId="122" fillId="0" borderId="121" xfId="0" applyFont="1" applyBorder="1" applyAlignment="1">
      <alignment horizontal="left" vertical="center" wrapText="1" shrinkToFit="1"/>
    </xf>
    <xf numFmtId="0" fontId="122" fillId="0" borderId="114" xfId="0" applyFont="1" applyBorder="1" applyAlignment="1">
      <alignment horizontal="left" vertical="center" wrapText="1" shrinkToFit="1"/>
    </xf>
    <xf numFmtId="0" fontId="122" fillId="0" borderId="156" xfId="0" applyFont="1" applyBorder="1" applyAlignment="1">
      <alignment horizontal="left" vertical="center" wrapText="1" shrinkToFit="1"/>
    </xf>
    <xf numFmtId="0" fontId="247" fillId="0" borderId="0" xfId="18" applyFont="1" applyAlignment="1">
      <alignment horizontal="center"/>
    </xf>
    <xf numFmtId="0" fontId="247" fillId="0" borderId="0" xfId="18" applyFont="1" applyAlignment="1">
      <alignment horizontal="center" vertical="center"/>
    </xf>
    <xf numFmtId="0" fontId="247" fillId="0" borderId="0" xfId="18" applyFont="1" applyAlignment="1">
      <alignment horizontal="right"/>
    </xf>
    <xf numFmtId="0" fontId="251" fillId="0" borderId="0" xfId="18" applyFont="1" applyAlignment="1">
      <alignment horizontal="center"/>
    </xf>
    <xf numFmtId="178" fontId="6" fillId="0" borderId="16" xfId="0" applyNumberFormat="1" applyFont="1" applyBorder="1" applyAlignment="1">
      <alignment horizontal="center" vertical="center"/>
    </xf>
    <xf numFmtId="178" fontId="6" fillId="0" borderId="3" xfId="0" applyNumberFormat="1" applyFont="1" applyBorder="1" applyAlignment="1">
      <alignment horizontal="center" vertical="center"/>
    </xf>
    <xf numFmtId="178" fontId="6" fillId="0" borderId="21" xfId="0" applyNumberFormat="1" applyFont="1" applyBorder="1" applyAlignment="1">
      <alignment horizontal="center" vertical="center"/>
    </xf>
    <xf numFmtId="176" fontId="16" fillId="0" borderId="12" xfId="0" applyNumberFormat="1" applyFont="1" applyBorder="1" applyAlignment="1">
      <alignment horizontal="center" vertical="center"/>
    </xf>
    <xf numFmtId="176" fontId="16" fillId="0" borderId="13" xfId="0" applyNumberFormat="1" applyFont="1" applyBorder="1" applyAlignment="1">
      <alignment horizontal="center" vertical="center"/>
    </xf>
    <xf numFmtId="190" fontId="12" fillId="0" borderId="16" xfId="0" applyNumberFormat="1" applyFont="1" applyBorder="1" applyAlignment="1">
      <alignment horizontal="center" vertical="center"/>
    </xf>
    <xf numFmtId="190" fontId="12" fillId="0" borderId="3" xfId="0" applyNumberFormat="1" applyFont="1" applyBorder="1" applyAlignment="1">
      <alignment horizontal="center" vertical="center"/>
    </xf>
    <xf numFmtId="190" fontId="12" fillId="0" borderId="21" xfId="0" applyNumberFormat="1" applyFont="1" applyBorder="1" applyAlignment="1">
      <alignment horizontal="center" vertical="center"/>
    </xf>
    <xf numFmtId="189" fontId="6" fillId="0" borderId="16" xfId="0" applyNumberFormat="1" applyFont="1" applyBorder="1" applyAlignment="1">
      <alignment horizontal="center" vertical="center"/>
    </xf>
    <xf numFmtId="189" fontId="6" fillId="0" borderId="3" xfId="0" applyNumberFormat="1" applyFont="1" applyBorder="1" applyAlignment="1">
      <alignment horizontal="center" vertical="center"/>
    </xf>
    <xf numFmtId="189" fontId="6" fillId="0" borderId="21" xfId="0" applyNumberFormat="1" applyFont="1" applyBorder="1" applyAlignment="1">
      <alignment horizontal="center" vertical="center"/>
    </xf>
    <xf numFmtId="178" fontId="6" fillId="0" borderId="16" xfId="0" applyNumberFormat="1" applyFont="1" applyBorder="1" applyAlignment="1">
      <alignment horizontal="center" vertical="center" wrapText="1"/>
    </xf>
    <xf numFmtId="178" fontId="6" fillId="0" borderId="3" xfId="0" applyNumberFormat="1" applyFont="1" applyBorder="1" applyAlignment="1">
      <alignment horizontal="center" vertical="center" wrapText="1"/>
    </xf>
    <xf numFmtId="178" fontId="6" fillId="0" borderId="21" xfId="0" applyNumberFormat="1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70" xfId="0" applyFont="1" applyBorder="1" applyAlignment="1">
      <alignment horizontal="center" vertical="center"/>
    </xf>
    <xf numFmtId="0" fontId="101" fillId="0" borderId="37" xfId="0" applyFont="1" applyBorder="1" applyAlignment="1">
      <alignment horizontal="center" vertical="center"/>
    </xf>
    <xf numFmtId="0" fontId="101" fillId="0" borderId="172" xfId="0" applyFont="1" applyBorder="1" applyAlignment="1">
      <alignment horizontal="center" vertical="center"/>
    </xf>
    <xf numFmtId="0" fontId="173" fillId="24" borderId="86" xfId="0" applyFont="1" applyFill="1" applyBorder="1" applyAlignment="1">
      <alignment horizontal="center" vertical="center"/>
    </xf>
    <xf numFmtId="0" fontId="173" fillId="24" borderId="87" xfId="0" applyFont="1" applyFill="1" applyBorder="1" applyAlignment="1">
      <alignment horizontal="center" vertical="center"/>
    </xf>
    <xf numFmtId="0" fontId="173" fillId="24" borderId="171" xfId="0" applyFont="1" applyFill="1" applyBorder="1" applyAlignment="1">
      <alignment horizontal="center" vertical="center"/>
    </xf>
    <xf numFmtId="0" fontId="235" fillId="0" borderId="1" xfId="35" applyFont="1" applyBorder="1" applyAlignment="1">
      <alignment horizontal="center" vertical="center"/>
    </xf>
    <xf numFmtId="0" fontId="238" fillId="0" borderId="16" xfId="2" applyNumberFormat="1" applyFont="1" applyFill="1" applyBorder="1" applyAlignment="1">
      <alignment horizontal="center" vertical="center" wrapText="1"/>
    </xf>
    <xf numFmtId="0" fontId="238" fillId="0" borderId="21" xfId="2" applyNumberFormat="1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38" fontId="235" fillId="0" borderId="16" xfId="2" applyFont="1" applyFill="1" applyBorder="1" applyAlignment="1">
      <alignment horizontal="center" wrapText="1"/>
    </xf>
    <xf numFmtId="38" fontId="235" fillId="0" borderId="21" xfId="2" applyFont="1" applyFill="1" applyBorder="1" applyAlignment="1">
      <alignment horizontal="center" wrapText="1"/>
    </xf>
    <xf numFmtId="0" fontId="235" fillId="0" borderId="16" xfId="35" applyFont="1" applyBorder="1" applyAlignment="1">
      <alignment horizontal="center" vertical="center"/>
    </xf>
    <xf numFmtId="0" fontId="235" fillId="0" borderId="21" xfId="35" applyFont="1" applyBorder="1" applyAlignment="1">
      <alignment horizontal="center" vertical="center"/>
    </xf>
    <xf numFmtId="0" fontId="84" fillId="0" borderId="37" xfId="0" applyFont="1" applyBorder="1" applyAlignment="1">
      <alignment horizontal="center" vertical="center" wrapText="1"/>
    </xf>
    <xf numFmtId="0" fontId="84" fillId="0" borderId="9" xfId="0" applyFont="1" applyBorder="1" applyAlignment="1">
      <alignment horizontal="center" vertical="center" wrapText="1"/>
    </xf>
    <xf numFmtId="0" fontId="171" fillId="0" borderId="170" xfId="0" applyFont="1" applyBorder="1" applyAlignment="1">
      <alignment horizontal="center" vertical="center" wrapText="1"/>
    </xf>
    <xf numFmtId="0" fontId="171" fillId="0" borderId="9" xfId="0" applyFont="1" applyBorder="1" applyAlignment="1">
      <alignment horizontal="center" vertical="center" wrapText="1"/>
    </xf>
    <xf numFmtId="38" fontId="48" fillId="0" borderId="1" xfId="2" applyFont="1" applyFill="1" applyBorder="1" applyAlignment="1">
      <alignment horizontal="right" wrapText="1"/>
    </xf>
    <xf numFmtId="0" fontId="181" fillId="0" borderId="1" xfId="35" applyFont="1" applyBorder="1" applyAlignment="1">
      <alignment horizontal="left" vertical="center"/>
    </xf>
    <xf numFmtId="0" fontId="181" fillId="0" borderId="1" xfId="35" applyFont="1" applyBorder="1" applyAlignment="1">
      <alignment horizontal="center" vertical="center"/>
    </xf>
    <xf numFmtId="0" fontId="48" fillId="0" borderId="1" xfId="35" applyFont="1" applyBorder="1" applyAlignment="1">
      <alignment horizontal="center" vertical="center" wrapText="1"/>
    </xf>
    <xf numFmtId="0" fontId="48" fillId="0" borderId="1" xfId="35" applyFont="1" applyBorder="1" applyAlignment="1">
      <alignment horizontal="right" vertical="center" wrapText="1"/>
    </xf>
    <xf numFmtId="0" fontId="48" fillId="0" borderId="1" xfId="2" applyNumberFormat="1" applyFont="1" applyFill="1" applyBorder="1" applyAlignment="1">
      <alignment horizontal="right" vertical="center" wrapText="1"/>
    </xf>
    <xf numFmtId="38" fontId="48" fillId="0" borderId="1" xfId="2" applyFont="1" applyFill="1" applyBorder="1" applyAlignment="1">
      <alignment horizontal="center" wrapText="1"/>
    </xf>
    <xf numFmtId="0" fontId="48" fillId="0" borderId="1" xfId="35" applyFont="1" applyBorder="1" applyAlignment="1">
      <alignment horizontal="center" vertical="center"/>
    </xf>
    <xf numFmtId="0" fontId="48" fillId="0" borderId="1" xfId="2" applyNumberFormat="1" applyFont="1" applyFill="1" applyBorder="1" applyAlignment="1">
      <alignment horizontal="center" vertical="center" wrapText="1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184" fontId="4" fillId="0" borderId="12" xfId="0" applyNumberFormat="1" applyFont="1" applyBorder="1" applyAlignment="1">
      <alignment horizontal="center" vertical="center"/>
    </xf>
    <xf numFmtId="184" fontId="4" fillId="0" borderId="11" xfId="0" applyNumberFormat="1" applyFont="1" applyBorder="1" applyAlignment="1">
      <alignment horizontal="center" vertical="center"/>
    </xf>
    <xf numFmtId="184" fontId="4" fillId="0" borderId="13" xfId="0" applyNumberFormat="1" applyFont="1" applyBorder="1" applyAlignment="1">
      <alignment horizontal="center" vertical="center"/>
    </xf>
    <xf numFmtId="0" fontId="103" fillId="0" borderId="0" xfId="0" applyFont="1" applyAlignment="1">
      <alignment horizontal="center" vertical="center"/>
    </xf>
    <xf numFmtId="215" fontId="103" fillId="0" borderId="60" xfId="0" applyNumberFormat="1" applyFont="1" applyBorder="1" applyAlignment="1">
      <alignment horizontal="center" vertical="center"/>
    </xf>
    <xf numFmtId="215" fontId="103" fillId="0" borderId="61" xfId="0" applyNumberFormat="1" applyFont="1" applyBorder="1" applyAlignment="1">
      <alignment horizontal="center" vertical="center"/>
    </xf>
    <xf numFmtId="215" fontId="103" fillId="0" borderId="75" xfId="0" applyNumberFormat="1" applyFont="1" applyBorder="1" applyAlignment="1">
      <alignment horizontal="center" vertical="center"/>
    </xf>
    <xf numFmtId="215" fontId="103" fillId="0" borderId="85" xfId="0" applyNumberFormat="1" applyFont="1" applyBorder="1" applyAlignment="1">
      <alignment horizontal="center" vertical="center"/>
    </xf>
    <xf numFmtId="0" fontId="103" fillId="0" borderId="75" xfId="0" applyFont="1" applyBorder="1" applyAlignment="1">
      <alignment horizontal="left" vertical="center" shrinkToFit="1"/>
    </xf>
    <xf numFmtId="0" fontId="103" fillId="0" borderId="47" xfId="0" applyFont="1" applyBorder="1" applyAlignment="1">
      <alignment horizontal="left" vertical="center" shrinkToFit="1"/>
    </xf>
    <xf numFmtId="213" fontId="103" fillId="0" borderId="60" xfId="0" applyNumberFormat="1" applyFont="1" applyBorder="1" applyAlignment="1">
      <alignment horizontal="center" vertical="center"/>
    </xf>
    <xf numFmtId="213" fontId="103" fillId="0" borderId="55" xfId="0" applyNumberFormat="1" applyFont="1" applyBorder="1" applyAlignment="1">
      <alignment horizontal="center" vertical="center"/>
    </xf>
    <xf numFmtId="213" fontId="103" fillId="0" borderId="56" xfId="0" applyNumberFormat="1" applyFont="1" applyBorder="1" applyAlignment="1">
      <alignment horizontal="center" vertical="center"/>
    </xf>
    <xf numFmtId="216" fontId="103" fillId="0" borderId="59" xfId="0" applyNumberFormat="1" applyFont="1" applyBorder="1" applyAlignment="1">
      <alignment horizontal="center" vertical="center"/>
    </xf>
    <xf numFmtId="216" fontId="103" fillId="0" borderId="61" xfId="0" applyNumberFormat="1" applyFont="1" applyBorder="1" applyAlignment="1">
      <alignment horizontal="center" vertical="center"/>
    </xf>
    <xf numFmtId="0" fontId="103" fillId="0" borderId="60" xfId="0" applyFont="1" applyBorder="1" applyAlignment="1">
      <alignment horizontal="left" vertical="center" shrinkToFit="1"/>
    </xf>
    <xf numFmtId="0" fontId="103" fillId="0" borderId="55" xfId="0" applyFont="1" applyBorder="1" applyAlignment="1">
      <alignment horizontal="left" vertical="center" shrinkToFit="1"/>
    </xf>
    <xf numFmtId="0" fontId="103" fillId="0" borderId="59" xfId="0" applyFont="1" applyBorder="1" applyAlignment="1">
      <alignment horizontal="left" vertical="center" shrinkToFit="1"/>
    </xf>
    <xf numFmtId="0" fontId="103" fillId="0" borderId="61" xfId="0" applyFont="1" applyBorder="1" applyAlignment="1">
      <alignment horizontal="left" vertical="center" shrinkToFit="1"/>
    </xf>
    <xf numFmtId="0" fontId="103" fillId="0" borderId="62" xfId="0" applyFont="1" applyBorder="1" applyAlignment="1">
      <alignment horizontal="center" vertical="center"/>
    </xf>
    <xf numFmtId="0" fontId="103" fillId="0" borderId="0" xfId="0" applyFont="1" applyAlignment="1">
      <alignment horizontal="left" vertical="center"/>
    </xf>
    <xf numFmtId="0" fontId="103" fillId="0" borderId="56" xfId="0" applyFont="1" applyBorder="1" applyAlignment="1">
      <alignment horizontal="left" vertical="center" shrinkToFit="1"/>
    </xf>
    <xf numFmtId="0" fontId="105" fillId="0" borderId="45" xfId="0" applyFont="1" applyBorder="1" applyAlignment="1">
      <alignment horizontal="right" vertical="center"/>
    </xf>
    <xf numFmtId="213" fontId="103" fillId="0" borderId="75" xfId="0" applyNumberFormat="1" applyFont="1" applyBorder="1" applyAlignment="1">
      <alignment horizontal="center" vertical="center"/>
    </xf>
    <xf numFmtId="213" fontId="103" fillId="0" borderId="47" xfId="0" applyNumberFormat="1" applyFont="1" applyBorder="1" applyAlignment="1">
      <alignment horizontal="center" vertical="center"/>
    </xf>
    <xf numFmtId="213" fontId="103" fillId="0" borderId="48" xfId="0" applyNumberFormat="1" applyFont="1" applyBorder="1" applyAlignment="1">
      <alignment horizontal="center" vertical="center"/>
    </xf>
    <xf numFmtId="183" fontId="103" fillId="0" borderId="59" xfId="0" applyNumberFormat="1" applyFont="1" applyBorder="1" applyAlignment="1">
      <alignment horizontal="center" vertical="center"/>
    </xf>
    <xf numFmtId="183" fontId="103" fillId="0" borderId="56" xfId="0" applyNumberFormat="1" applyFont="1" applyBorder="1" applyAlignment="1">
      <alignment horizontal="center" vertical="center"/>
    </xf>
    <xf numFmtId="0" fontId="103" fillId="0" borderId="86" xfId="0" applyFont="1" applyBorder="1" applyAlignment="1">
      <alignment horizontal="center" vertical="center"/>
    </xf>
    <xf numFmtId="0" fontId="103" fillId="0" borderId="87" xfId="0" applyFont="1" applyBorder="1" applyAlignment="1">
      <alignment horizontal="center" vertical="center"/>
    </xf>
    <xf numFmtId="0" fontId="103" fillId="0" borderId="60" xfId="0" applyFont="1" applyBorder="1" applyAlignment="1">
      <alignment horizontal="center" vertical="center"/>
    </xf>
    <xf numFmtId="0" fontId="103" fillId="0" borderId="55" xfId="0" applyFont="1" applyBorder="1" applyAlignment="1">
      <alignment horizontal="center" vertical="center"/>
    </xf>
    <xf numFmtId="0" fontId="103" fillId="0" borderId="56" xfId="0" applyFont="1" applyBorder="1" applyAlignment="1">
      <alignment horizontal="center" vertical="center"/>
    </xf>
    <xf numFmtId="0" fontId="105" fillId="0" borderId="45" xfId="0" applyFont="1" applyBorder="1" applyAlignment="1">
      <alignment horizontal="left" vertical="center"/>
    </xf>
    <xf numFmtId="213" fontId="103" fillId="0" borderId="63" xfId="0" applyNumberFormat="1" applyFont="1" applyBorder="1" applyAlignment="1">
      <alignment horizontal="center" vertical="center"/>
    </xf>
    <xf numFmtId="213" fontId="103" fillId="0" borderId="43" xfId="0" applyNumberFormat="1" applyFont="1" applyBorder="1" applyAlignment="1">
      <alignment horizontal="center" vertical="center"/>
    </xf>
    <xf numFmtId="213" fontId="103" fillId="0" borderId="44" xfId="0" applyNumberFormat="1" applyFont="1" applyBorder="1" applyAlignment="1">
      <alignment horizontal="center" vertical="center"/>
    </xf>
    <xf numFmtId="183" fontId="103" fillId="0" borderId="74" xfId="0" applyNumberFormat="1" applyFont="1" applyBorder="1" applyAlignment="1">
      <alignment horizontal="center" vertical="center"/>
    </xf>
    <xf numFmtId="183" fontId="103" fillId="0" borderId="44" xfId="0" applyNumberFormat="1" applyFont="1" applyBorder="1" applyAlignment="1">
      <alignment horizontal="center" vertical="center"/>
    </xf>
    <xf numFmtId="216" fontId="103" fillId="0" borderId="74" xfId="0" applyNumberFormat="1" applyFont="1" applyBorder="1" applyAlignment="1">
      <alignment horizontal="center" vertical="center"/>
    </xf>
    <xf numFmtId="216" fontId="103" fillId="0" borderId="97" xfId="0" applyNumberFormat="1" applyFont="1" applyBorder="1" applyAlignment="1">
      <alignment horizontal="center" vertical="center"/>
    </xf>
    <xf numFmtId="215" fontId="103" fillId="0" borderId="63" xfId="0" applyNumberFormat="1" applyFont="1" applyBorder="1" applyAlignment="1">
      <alignment horizontal="center" vertical="center"/>
    </xf>
    <xf numFmtId="215" fontId="103" fillId="0" borderId="97" xfId="0" applyNumberFormat="1" applyFont="1" applyBorder="1" applyAlignment="1">
      <alignment horizontal="center" vertical="center"/>
    </xf>
    <xf numFmtId="0" fontId="103" fillId="0" borderId="89" xfId="0" applyFont="1" applyBorder="1" applyAlignment="1">
      <alignment horizontal="right" vertical="center"/>
    </xf>
    <xf numFmtId="0" fontId="103" fillId="0" borderId="1" xfId="0" applyFont="1" applyBorder="1" applyAlignment="1">
      <alignment horizontal="center" vertical="center"/>
    </xf>
    <xf numFmtId="0" fontId="103" fillId="0" borderId="12" xfId="0" applyFont="1" applyBorder="1" applyAlignment="1">
      <alignment horizontal="left" vertical="center"/>
    </xf>
    <xf numFmtId="0" fontId="103" fillId="0" borderId="11" xfId="0" applyFont="1" applyBorder="1" applyAlignment="1">
      <alignment horizontal="left" vertical="center"/>
    </xf>
    <xf numFmtId="0" fontId="103" fillId="0" borderId="13" xfId="0" applyFont="1" applyBorder="1" applyAlignment="1">
      <alignment horizontal="left" vertical="center"/>
    </xf>
    <xf numFmtId="0" fontId="103" fillId="0" borderId="64" xfId="0" applyFont="1" applyBorder="1" applyAlignment="1">
      <alignment horizontal="center" vertical="center"/>
    </xf>
    <xf numFmtId="0" fontId="103" fillId="0" borderId="65" xfId="0" applyFont="1" applyBorder="1" applyAlignment="1">
      <alignment horizontal="center" vertical="center"/>
    </xf>
    <xf numFmtId="0" fontId="103" fillId="0" borderId="66" xfId="0" applyFont="1" applyBorder="1" applyAlignment="1">
      <alignment horizontal="center" vertical="center"/>
    </xf>
    <xf numFmtId="0" fontId="103" fillId="0" borderId="57" xfId="0" applyFont="1" applyBorder="1" applyAlignment="1">
      <alignment horizontal="center" vertical="center"/>
    </xf>
    <xf numFmtId="0" fontId="103" fillId="0" borderId="50" xfId="0" applyFont="1" applyBorder="1" applyAlignment="1">
      <alignment horizontal="center" vertical="center"/>
    </xf>
    <xf numFmtId="0" fontId="103" fillId="0" borderId="67" xfId="0" applyFont="1" applyBorder="1" applyAlignment="1">
      <alignment horizontal="center" vertical="center"/>
    </xf>
    <xf numFmtId="213" fontId="103" fillId="0" borderId="90" xfId="0" applyNumberFormat="1" applyFont="1" applyBorder="1" applyAlignment="1">
      <alignment horizontal="center" vertical="center"/>
    </xf>
    <xf numFmtId="213" fontId="103" fillId="0" borderId="87" xfId="0" applyNumberFormat="1" applyFont="1" applyBorder="1" applyAlignment="1">
      <alignment horizontal="center" vertical="center"/>
    </xf>
    <xf numFmtId="213" fontId="103" fillId="0" borderId="8" xfId="0" applyNumberFormat="1" applyFont="1" applyBorder="1" applyAlignment="1">
      <alignment horizontal="center" vertical="center"/>
    </xf>
    <xf numFmtId="2" fontId="104" fillId="0" borderId="91" xfId="0" applyNumberFormat="1" applyFont="1" applyBorder="1" applyAlignment="1">
      <alignment horizontal="center" vertical="center"/>
    </xf>
    <xf numFmtId="2" fontId="104" fillId="0" borderId="92" xfId="0" applyNumberFormat="1" applyFont="1" applyBorder="1" applyAlignment="1">
      <alignment horizontal="center" vertical="center"/>
    </xf>
    <xf numFmtId="2" fontId="104" fillId="0" borderId="93" xfId="0" applyNumberFormat="1" applyFont="1" applyBorder="1" applyAlignment="1">
      <alignment horizontal="center" vertical="center"/>
    </xf>
    <xf numFmtId="0" fontId="103" fillId="0" borderId="71" xfId="0" applyFont="1" applyBorder="1" applyAlignment="1">
      <alignment horizontal="center" vertical="center"/>
    </xf>
    <xf numFmtId="0" fontId="103" fillId="0" borderId="45" xfId="0" applyFont="1" applyBorder="1" applyAlignment="1">
      <alignment horizontal="center" vertical="center"/>
    </xf>
    <xf numFmtId="0" fontId="103" fillId="0" borderId="94" xfId="0" applyFont="1" applyBorder="1" applyAlignment="1">
      <alignment horizontal="left" vertical="center"/>
    </xf>
    <xf numFmtId="0" fontId="103" fillId="0" borderId="83" xfId="0" applyFont="1" applyBorder="1" applyAlignment="1">
      <alignment horizontal="left" vertical="center"/>
    </xf>
    <xf numFmtId="213" fontId="103" fillId="0" borderId="12" xfId="0" applyNumberFormat="1" applyFont="1" applyBorder="1" applyAlignment="1">
      <alignment horizontal="center" vertical="center"/>
    </xf>
    <xf numFmtId="213" fontId="103" fillId="0" borderId="11" xfId="0" applyNumberFormat="1" applyFont="1" applyBorder="1" applyAlignment="1">
      <alignment horizontal="center" vertical="center"/>
    </xf>
    <xf numFmtId="213" fontId="103" fillId="0" borderId="13" xfId="0" applyNumberFormat="1" applyFont="1" applyBorder="1" applyAlignment="1">
      <alignment horizontal="center" vertical="center"/>
    </xf>
    <xf numFmtId="0" fontId="103" fillId="0" borderId="76" xfId="0" applyFont="1" applyBorder="1" applyAlignment="1">
      <alignment horizontal="left" vertical="center" shrinkToFit="1"/>
    </xf>
    <xf numFmtId="0" fontId="103" fillId="0" borderId="85" xfId="0" applyFont="1" applyBorder="1" applyAlignment="1">
      <alignment horizontal="left" vertical="center" shrinkToFit="1"/>
    </xf>
    <xf numFmtId="0" fontId="103" fillId="0" borderId="91" xfId="0" applyFont="1" applyBorder="1" applyAlignment="1">
      <alignment horizontal="center" vertical="center"/>
    </xf>
    <xf numFmtId="0" fontId="103" fillId="0" borderId="93" xfId="0" applyFont="1" applyBorder="1" applyAlignment="1">
      <alignment horizontal="center" vertical="center"/>
    </xf>
    <xf numFmtId="0" fontId="103" fillId="0" borderId="95" xfId="0" applyFont="1" applyBorder="1" applyAlignment="1">
      <alignment horizontal="center" vertical="center"/>
    </xf>
    <xf numFmtId="0" fontId="103" fillId="0" borderId="96" xfId="0" applyFont="1" applyBorder="1" applyAlignment="1">
      <alignment horizontal="center" vertical="center"/>
    </xf>
    <xf numFmtId="0" fontId="103" fillId="0" borderId="88" xfId="0" applyFont="1" applyBorder="1" applyAlignment="1">
      <alignment horizontal="center" vertical="center"/>
    </xf>
    <xf numFmtId="213" fontId="103" fillId="0" borderId="71" xfId="0" applyNumberFormat="1" applyFont="1" applyBorder="1" applyAlignment="1">
      <alignment horizontal="center" vertical="center"/>
    </xf>
    <xf numFmtId="213" fontId="103" fillId="0" borderId="45" xfId="0" applyNumberFormat="1" applyFont="1" applyBorder="1" applyAlignment="1">
      <alignment horizontal="center" vertical="center"/>
    </xf>
    <xf numFmtId="213" fontId="103" fillId="0" borderId="84" xfId="0" applyNumberFormat="1" applyFont="1" applyBorder="1" applyAlignment="1">
      <alignment horizontal="center" vertical="center"/>
    </xf>
    <xf numFmtId="0" fontId="105" fillId="0" borderId="84" xfId="0" applyFont="1" applyBorder="1" applyAlignment="1">
      <alignment horizontal="left" vertical="center"/>
    </xf>
    <xf numFmtId="0" fontId="103" fillId="0" borderId="12" xfId="0" applyFont="1" applyBorder="1" applyAlignment="1">
      <alignment horizontal="center" vertical="center"/>
    </xf>
    <xf numFmtId="0" fontId="103" fillId="0" borderId="11" xfId="0" applyFont="1" applyBorder="1" applyAlignment="1">
      <alignment horizontal="center" vertical="center"/>
    </xf>
    <xf numFmtId="216" fontId="103" fillId="0" borderId="76" xfId="0" applyNumberFormat="1" applyFont="1" applyBorder="1" applyAlignment="1">
      <alignment horizontal="center" vertical="center"/>
    </xf>
    <xf numFmtId="216" fontId="103" fillId="0" borderId="85" xfId="0" applyNumberFormat="1" applyFont="1" applyBorder="1" applyAlignment="1">
      <alignment horizontal="center" vertical="center"/>
    </xf>
    <xf numFmtId="183" fontId="103" fillId="0" borderId="76" xfId="0" applyNumberFormat="1" applyFont="1" applyBorder="1" applyAlignment="1">
      <alignment horizontal="center" vertical="center"/>
    </xf>
    <xf numFmtId="183" fontId="103" fillId="0" borderId="48" xfId="0" applyNumberFormat="1" applyFont="1" applyBorder="1" applyAlignment="1">
      <alignment horizontal="center" vertical="center"/>
    </xf>
    <xf numFmtId="0" fontId="103" fillId="0" borderId="75" xfId="0" applyFont="1" applyBorder="1" applyAlignment="1">
      <alignment horizontal="center" vertical="center"/>
    </xf>
    <xf numFmtId="0" fontId="103" fillId="0" borderId="47" xfId="0" applyFont="1" applyBorder="1" applyAlignment="1">
      <alignment horizontal="center" vertical="center"/>
    </xf>
    <xf numFmtId="0" fontId="103" fillId="0" borderId="48" xfId="0" applyFont="1" applyBorder="1" applyAlignment="1">
      <alignment horizontal="center" vertical="center"/>
    </xf>
    <xf numFmtId="0" fontId="104" fillId="0" borderId="42" xfId="0" applyFont="1" applyBorder="1">
      <alignment vertical="center"/>
    </xf>
    <xf numFmtId="0" fontId="104" fillId="0" borderId="40" xfId="0" applyFont="1" applyBorder="1">
      <alignment vertical="center"/>
    </xf>
    <xf numFmtId="0" fontId="104" fillId="0" borderId="41" xfId="0" applyFont="1" applyBorder="1">
      <alignment vertical="center"/>
    </xf>
    <xf numFmtId="0" fontId="103" fillId="0" borderId="59" xfId="0" applyFont="1" applyBorder="1" applyAlignment="1">
      <alignment horizontal="left" vertical="center"/>
    </xf>
    <xf numFmtId="0" fontId="103" fillId="0" borderId="55" xfId="0" applyFont="1" applyBorder="1" applyAlignment="1">
      <alignment horizontal="left" vertical="center"/>
    </xf>
    <xf numFmtId="0" fontId="103" fillId="0" borderId="56" xfId="0" applyFont="1" applyBorder="1" applyAlignment="1">
      <alignment horizontal="left" vertical="center"/>
    </xf>
    <xf numFmtId="0" fontId="104" fillId="0" borderId="75" xfId="0" applyFont="1" applyBorder="1">
      <alignment vertical="center"/>
    </xf>
    <xf numFmtId="0" fontId="104" fillId="0" borderId="47" xfId="0" applyFont="1" applyBorder="1">
      <alignment vertical="center"/>
    </xf>
    <xf numFmtId="0" fontId="103" fillId="0" borderId="76" xfId="0" applyFont="1" applyBorder="1" applyAlignment="1">
      <alignment horizontal="left" vertical="center"/>
    </xf>
    <xf numFmtId="0" fontId="103" fillId="0" borderId="47" xfId="0" applyFont="1" applyBorder="1" applyAlignment="1">
      <alignment horizontal="left" vertical="center"/>
    </xf>
    <xf numFmtId="0" fontId="103" fillId="0" borderId="81" xfId="0" applyFont="1" applyBorder="1">
      <alignment vertical="center"/>
    </xf>
    <xf numFmtId="0" fontId="103" fillId="0" borderId="82" xfId="0" applyFont="1" applyBorder="1">
      <alignment vertical="center"/>
    </xf>
    <xf numFmtId="0" fontId="103" fillId="0" borderId="83" xfId="0" applyFont="1" applyBorder="1">
      <alignment vertical="center"/>
    </xf>
    <xf numFmtId="0" fontId="103" fillId="0" borderId="63" xfId="0" applyFont="1" applyBorder="1" applyAlignment="1">
      <alignment horizontal="left" vertical="center" shrinkToFit="1"/>
    </xf>
    <xf numFmtId="0" fontId="103" fillId="0" borderId="43" xfId="0" applyFont="1" applyBorder="1" applyAlignment="1">
      <alignment horizontal="left" vertical="center" shrinkToFit="1"/>
    </xf>
    <xf numFmtId="0" fontId="103" fillId="0" borderId="44" xfId="0" applyFont="1" applyBorder="1" applyAlignment="1">
      <alignment horizontal="left" vertical="center" shrinkToFit="1"/>
    </xf>
    <xf numFmtId="0" fontId="103" fillId="0" borderId="75" xfId="0" applyFont="1" applyBorder="1" applyAlignment="1">
      <alignment horizontal="left" vertical="center"/>
    </xf>
    <xf numFmtId="0" fontId="103" fillId="0" borderId="48" xfId="0" applyFont="1" applyBorder="1" applyAlignment="1">
      <alignment horizontal="left" vertical="center"/>
    </xf>
    <xf numFmtId="214" fontId="103" fillId="0" borderId="75" xfId="0" applyNumberFormat="1" applyFont="1" applyBorder="1" applyAlignment="1">
      <alignment horizontal="left" vertical="center"/>
    </xf>
    <xf numFmtId="214" fontId="103" fillId="0" borderId="47" xfId="0" applyNumberFormat="1" applyFont="1" applyBorder="1" applyAlignment="1">
      <alignment horizontal="left" vertical="center"/>
    </xf>
    <xf numFmtId="214" fontId="103" fillId="0" borderId="48" xfId="0" applyNumberFormat="1" applyFont="1" applyBorder="1" applyAlignment="1">
      <alignment horizontal="left" vertical="center"/>
    </xf>
    <xf numFmtId="0" fontId="104" fillId="0" borderId="71" xfId="0" applyFont="1" applyBorder="1" applyAlignment="1">
      <alignment horizontal="left" vertical="top"/>
    </xf>
    <xf numFmtId="0" fontId="104" fillId="0" borderId="45" xfId="0" applyFont="1" applyBorder="1" applyAlignment="1">
      <alignment horizontal="left" vertical="top"/>
    </xf>
    <xf numFmtId="0" fontId="104" fillId="0" borderId="72" xfId="0" applyFont="1" applyBorder="1" applyAlignment="1">
      <alignment horizontal="left" vertical="top"/>
    </xf>
    <xf numFmtId="0" fontId="104" fillId="0" borderId="0" xfId="0" applyFont="1" applyAlignment="1">
      <alignment horizontal="left" vertical="top"/>
    </xf>
    <xf numFmtId="0" fontId="103" fillId="0" borderId="77" xfId="0" applyFont="1" applyBorder="1" applyAlignment="1">
      <alignment horizontal="left" vertical="center"/>
    </xf>
    <xf numFmtId="0" fontId="103" fillId="0" borderId="49" xfId="0" applyFont="1" applyBorder="1" applyAlignment="1">
      <alignment horizontal="left" vertical="center"/>
    </xf>
    <xf numFmtId="0" fontId="103" fillId="0" borderId="63" xfId="0" applyFont="1" applyBorder="1" applyAlignment="1">
      <alignment horizontal="center" vertical="center"/>
    </xf>
    <xf numFmtId="0" fontId="103" fillId="0" borderId="43" xfId="0" applyFont="1" applyBorder="1" applyAlignment="1">
      <alignment horizontal="center" vertical="center"/>
    </xf>
    <xf numFmtId="0" fontId="103" fillId="0" borderId="44" xfId="0" applyFont="1" applyBorder="1" applyAlignment="1">
      <alignment horizontal="center" vertical="center"/>
    </xf>
    <xf numFmtId="0" fontId="103" fillId="0" borderId="68" xfId="0" applyFont="1" applyBorder="1" applyAlignment="1">
      <alignment horizontal="center" vertical="center"/>
    </xf>
    <xf numFmtId="0" fontId="103" fillId="0" borderId="69" xfId="0" applyFont="1" applyBorder="1" applyAlignment="1">
      <alignment horizontal="center" vertical="center"/>
    </xf>
    <xf numFmtId="0" fontId="103" fillId="0" borderId="70" xfId="0" applyFont="1" applyBorder="1" applyAlignment="1">
      <alignment horizontal="center" vertical="center"/>
    </xf>
    <xf numFmtId="0" fontId="103" fillId="0" borderId="78" xfId="0" applyFont="1" applyBorder="1" applyAlignment="1">
      <alignment horizontal="center" vertical="center"/>
    </xf>
    <xf numFmtId="0" fontId="103" fillId="0" borderId="79" xfId="0" applyFont="1" applyBorder="1" applyAlignment="1">
      <alignment horizontal="center" vertical="center"/>
    </xf>
    <xf numFmtId="0" fontId="103" fillId="0" borderId="80" xfId="0" applyFont="1" applyBorder="1" applyAlignment="1">
      <alignment horizontal="center" vertical="center"/>
    </xf>
    <xf numFmtId="0" fontId="103" fillId="0" borderId="98" xfId="0" applyFont="1" applyBorder="1" applyAlignment="1">
      <alignment horizontal="left" vertical="center"/>
    </xf>
    <xf numFmtId="0" fontId="103" fillId="0" borderId="99" xfId="0" applyFont="1" applyBorder="1" applyAlignment="1">
      <alignment horizontal="left" vertical="center"/>
    </xf>
    <xf numFmtId="0" fontId="103" fillId="0" borderId="100" xfId="0" applyFont="1" applyBorder="1" applyAlignment="1">
      <alignment horizontal="left" vertical="center"/>
    </xf>
    <xf numFmtId="0" fontId="51" fillId="0" borderId="0" xfId="0" applyFont="1" applyAlignment="1">
      <alignment horizontal="left" vertical="center" wrapText="1"/>
    </xf>
    <xf numFmtId="0" fontId="100" fillId="0" borderId="0" xfId="0" applyFont="1" applyAlignment="1">
      <alignment horizontal="left" vertical="center"/>
    </xf>
    <xf numFmtId="0" fontId="100" fillId="0" borderId="46" xfId="0" applyFont="1" applyBorder="1" applyAlignment="1">
      <alignment horizontal="left" vertical="center"/>
    </xf>
    <xf numFmtId="0" fontId="106" fillId="0" borderId="0" xfId="0" applyFont="1" applyAlignment="1">
      <alignment horizontal="left" vertical="center"/>
    </xf>
    <xf numFmtId="0" fontId="107" fillId="0" borderId="0" xfId="0" applyFont="1" applyAlignment="1">
      <alignment horizontal="left" vertical="center"/>
    </xf>
    <xf numFmtId="0" fontId="103" fillId="0" borderId="46" xfId="0" applyFont="1" applyBorder="1" applyAlignment="1">
      <alignment horizontal="left" vertical="center"/>
    </xf>
    <xf numFmtId="214" fontId="103" fillId="0" borderId="46" xfId="0" applyNumberFormat="1" applyFont="1" applyBorder="1" applyAlignment="1">
      <alignment horizontal="center" vertical="center"/>
    </xf>
    <xf numFmtId="0" fontId="104" fillId="0" borderId="60" xfId="0" applyFont="1" applyBorder="1">
      <alignment vertical="center"/>
    </xf>
    <xf numFmtId="0" fontId="104" fillId="0" borderId="55" xfId="0" applyFont="1" applyBorder="1">
      <alignment vertical="center"/>
    </xf>
    <xf numFmtId="0" fontId="103" fillId="0" borderId="59" xfId="0" applyFont="1" applyBorder="1">
      <alignment vertical="center"/>
    </xf>
    <xf numFmtId="0" fontId="103" fillId="0" borderId="55" xfId="0" applyFont="1" applyBorder="1">
      <alignment vertical="center"/>
    </xf>
    <xf numFmtId="0" fontId="103" fillId="0" borderId="56" xfId="0" applyFont="1" applyBorder="1">
      <alignment vertical="center"/>
    </xf>
    <xf numFmtId="0" fontId="104" fillId="0" borderId="52" xfId="0" applyFont="1" applyBorder="1" applyAlignment="1">
      <alignment horizontal="left" vertical="top"/>
    </xf>
    <xf numFmtId="0" fontId="104" fillId="0" borderId="46" xfId="0" applyFont="1" applyBorder="1" applyAlignment="1">
      <alignment horizontal="left" vertical="top"/>
    </xf>
    <xf numFmtId="0" fontId="104" fillId="0" borderId="73" xfId="0" applyFont="1" applyBorder="1" applyAlignment="1">
      <alignment horizontal="left" vertical="center"/>
    </xf>
    <xf numFmtId="0" fontId="104" fillId="0" borderId="40" xfId="0" applyFont="1" applyBorder="1" applyAlignment="1">
      <alignment horizontal="left" vertical="center"/>
    </xf>
    <xf numFmtId="0" fontId="104" fillId="0" borderId="41" xfId="0" applyFont="1" applyBorder="1" applyAlignment="1">
      <alignment horizontal="left" vertical="center"/>
    </xf>
    <xf numFmtId="0" fontId="104" fillId="0" borderId="73" xfId="0" applyFont="1" applyBorder="1">
      <alignment vertical="center"/>
    </xf>
    <xf numFmtId="0" fontId="103" fillId="0" borderId="60" xfId="0" applyFont="1" applyBorder="1">
      <alignment vertical="center"/>
    </xf>
    <xf numFmtId="0" fontId="103" fillId="0" borderId="75" xfId="0" applyFont="1" applyBorder="1">
      <alignment vertical="center"/>
    </xf>
    <xf numFmtId="0" fontId="103" fillId="0" borderId="47" xfId="0" applyFont="1" applyBorder="1">
      <alignment vertical="center"/>
    </xf>
    <xf numFmtId="0" fontId="103" fillId="0" borderId="76" xfId="0" applyFont="1" applyBorder="1">
      <alignment vertical="center"/>
    </xf>
    <xf numFmtId="0" fontId="103" fillId="0" borderId="48" xfId="0" applyFont="1" applyBorder="1">
      <alignment vertical="center"/>
    </xf>
    <xf numFmtId="0" fontId="104" fillId="0" borderId="59" xfId="0" applyFont="1" applyBorder="1">
      <alignment vertical="center"/>
    </xf>
    <xf numFmtId="0" fontId="104" fillId="0" borderId="56" xfId="0" applyFont="1" applyBorder="1">
      <alignment vertical="center"/>
    </xf>
    <xf numFmtId="0" fontId="103" fillId="0" borderId="74" xfId="0" applyFont="1" applyBorder="1">
      <alignment vertical="center"/>
    </xf>
    <xf numFmtId="0" fontId="103" fillId="0" borderId="43" xfId="0" applyFont="1" applyBorder="1">
      <alignment vertical="center"/>
    </xf>
    <xf numFmtId="0" fontId="103" fillId="0" borderId="44" xfId="0" applyFont="1" applyBorder="1">
      <alignment vertical="center"/>
    </xf>
    <xf numFmtId="0" fontId="104" fillId="0" borderId="76" xfId="0" applyFont="1" applyBorder="1" applyAlignment="1">
      <alignment horizontal="left" vertical="center"/>
    </xf>
    <xf numFmtId="0" fontId="104" fillId="0" borderId="47" xfId="0" applyFont="1" applyBorder="1" applyAlignment="1">
      <alignment horizontal="left" vertical="center"/>
    </xf>
    <xf numFmtId="0" fontId="104" fillId="0" borderId="63" xfId="0" applyFont="1" applyBorder="1">
      <alignment vertical="center"/>
    </xf>
    <xf numFmtId="0" fontId="104" fillId="0" borderId="43" xfId="0" applyFont="1" applyBorder="1">
      <alignment vertical="center"/>
    </xf>
  </cellXfs>
  <cellStyles count="38">
    <cellStyle name="Normal 2" xfId="1" xr:uid="{00000000-0005-0000-0000-000000000000}"/>
    <cellStyle name="パーセント" xfId="19" builtinId="5"/>
    <cellStyle name="ハイパーリンク" xfId="37" builtinId="8"/>
    <cellStyle name="桁区切り" xfId="2" builtinId="6"/>
    <cellStyle name="桁区切り 2" xfId="3" xr:uid="{00000000-0005-0000-0000-000002000000}"/>
    <cellStyle name="桁区切り 3" xfId="4" xr:uid="{00000000-0005-0000-0000-000003000000}"/>
    <cellStyle name="桁区切り 4" xfId="33" xr:uid="{3723354A-08B3-4BAB-A7BD-FD8C7EC3136E}"/>
    <cellStyle name="通貨" xfId="5" builtinId="7"/>
    <cellStyle name="通貨 2" xfId="6" xr:uid="{00000000-0005-0000-0000-000005000000}"/>
    <cellStyle name="通貨 3" xfId="7" xr:uid="{00000000-0005-0000-0000-000006000000}"/>
    <cellStyle name="通貨 3 2" xfId="31" xr:uid="{6674FED8-2B9A-41AC-980C-BD3868E9EED1}"/>
    <cellStyle name="通貨 4" xfId="34" xr:uid="{BCFF4F48-DF3A-4E47-9E0C-8BAE26E8C2D0}"/>
    <cellStyle name="標準" xfId="0" builtinId="0"/>
    <cellStyle name="標準 10" xfId="26" xr:uid="{E6865F7D-C4AA-4C98-AE44-145CF1F34B77}"/>
    <cellStyle name="標準 11" xfId="17" xr:uid="{3FA020E9-A79C-4058-B757-1929A34B0FF7}"/>
    <cellStyle name="標準 12" xfId="27" xr:uid="{5E71E43B-EF83-497E-A72C-F9E64C0271EF}"/>
    <cellStyle name="標準 13" xfId="28" xr:uid="{D19536F5-D2CA-4E4B-B48C-960B6E996B52}"/>
    <cellStyle name="標準 14" xfId="29" xr:uid="{15B80412-313A-4FFE-B808-8E3102C91388}"/>
    <cellStyle name="標準 15" xfId="8" xr:uid="{00000000-0005-0000-0000-000008000000}"/>
    <cellStyle name="標準 16" xfId="30" xr:uid="{41BBB06C-C175-43F6-918F-1F657ED312CE}"/>
    <cellStyle name="標準 17" xfId="18" xr:uid="{52689775-D2AF-451D-AB82-D969E17736AC}"/>
    <cellStyle name="標準 18" xfId="32" xr:uid="{8EA4420C-ADCE-473B-8284-2C15100CE304}"/>
    <cellStyle name="標準 2" xfId="9" xr:uid="{00000000-0005-0000-0000-000009000000}"/>
    <cellStyle name="標準 2 2" xfId="10" xr:uid="{00000000-0005-0000-0000-00000A000000}"/>
    <cellStyle name="標準 2 2 2" xfId="16" xr:uid="{00000000-0005-0000-0000-00000B000000}"/>
    <cellStyle name="標準 2 3" xfId="11" xr:uid="{00000000-0005-0000-0000-00000C000000}"/>
    <cellStyle name="標準 2 4" xfId="13" xr:uid="{00000000-0005-0000-0000-00000D000000}"/>
    <cellStyle name="標準 3" xfId="12" xr:uid="{00000000-0005-0000-0000-00000E000000}"/>
    <cellStyle name="標準 3 2" xfId="14" xr:uid="{00000000-0005-0000-0000-00000F000000}"/>
    <cellStyle name="標準 4" xfId="15" xr:uid="{00000000-0005-0000-0000-000010000000}"/>
    <cellStyle name="標準 4 2" xfId="20" xr:uid="{E078701B-DF58-476F-8A1D-3FF42E023698}"/>
    <cellStyle name="標準 5" xfId="21" xr:uid="{B7468410-268E-40A3-87B7-930E89C3012E}"/>
    <cellStyle name="標準 6" xfId="22" xr:uid="{E098531F-9790-45A8-8A3A-84A50831F272}"/>
    <cellStyle name="標準 7" xfId="23" xr:uid="{EFD7CCEF-32B7-4F47-AA1D-A8FE15209EA2}"/>
    <cellStyle name="標準 8" xfId="24" xr:uid="{F2599607-C237-4344-888B-2F8FBB0AD684}"/>
    <cellStyle name="標準 9" xfId="25" xr:uid="{687DBE96-7EBD-401D-961B-74746BC12E15}"/>
    <cellStyle name="標準_Sheet1" xfId="35" xr:uid="{2749ADED-0D6E-49BF-AE98-985042DB7F94}"/>
    <cellStyle name="標準_TempData1" xfId="36" xr:uid="{10755A48-D6F9-4F73-A8D8-0488E9248A5B}"/>
  </cellStyles>
  <dxfs count="91">
    <dxf>
      <font>
        <b/>
        <i val="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 patternType="none">
          <bgColor indexed="6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 patternType="none">
          <bgColor auto="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checked="Checked" firstButton="1" fmlaLink="$H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263002</xdr:colOff>
      <xdr:row>1</xdr:row>
      <xdr:rowOff>50426</xdr:rowOff>
    </xdr:from>
    <xdr:ext cx="65" cy="190834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377552" y="250451"/>
          <a:ext cx="65" cy="1908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ja-JP" altLang="en-US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171450</xdr:colOff>
      <xdr:row>3</xdr:row>
      <xdr:rowOff>81645</xdr:rowOff>
    </xdr:from>
    <xdr:to>
      <xdr:col>10</xdr:col>
      <xdr:colOff>776475</xdr:colOff>
      <xdr:row>4</xdr:row>
      <xdr:rowOff>166008</xdr:rowOff>
    </xdr:to>
    <xdr:sp macro="[0]!PDF_BackOrder_SFAmerica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925175" y="738870"/>
          <a:ext cx="1548000" cy="303438"/>
        </a:xfrm>
        <a:prstGeom prst="bevel">
          <a:avLst/>
        </a:prstGeom>
        <a:ln w="9525"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latin typeface="+mn-ea"/>
              <a:ea typeface="+mn-ea"/>
            </a:rPr>
            <a:t>PDF</a:t>
          </a:r>
          <a:r>
            <a:rPr kumimoji="1" lang="ja-JP" altLang="en-US" sz="1200">
              <a:latin typeface="+mn-ea"/>
              <a:ea typeface="+mn-ea"/>
            </a:rPr>
            <a:t>で保存</a:t>
          </a:r>
        </a:p>
      </xdr:txBody>
    </xdr:sp>
    <xdr:clientData/>
  </xdr:twoCellAnchor>
  <xdr:twoCellAnchor>
    <xdr:from>
      <xdr:col>11</xdr:col>
      <xdr:colOff>195943</xdr:colOff>
      <xdr:row>3</xdr:row>
      <xdr:rowOff>81645</xdr:rowOff>
    </xdr:from>
    <xdr:to>
      <xdr:col>12</xdr:col>
      <xdr:colOff>791443</xdr:colOff>
      <xdr:row>4</xdr:row>
      <xdr:rowOff>166008</xdr:rowOff>
    </xdr:to>
    <xdr:sp macro="[0]!PDF_BackOrder_SFOsaka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845143" y="738870"/>
          <a:ext cx="1548000" cy="303438"/>
        </a:xfrm>
        <a:prstGeom prst="bevel">
          <a:avLst/>
        </a:prstGeom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latin typeface="+mn-ea"/>
              <a:ea typeface="+mn-ea"/>
            </a:rPr>
            <a:t>PDF</a:t>
          </a:r>
          <a:r>
            <a:rPr kumimoji="1" lang="ja-JP" altLang="en-US" sz="1200">
              <a:latin typeface="+mn-ea"/>
              <a:ea typeface="+mn-ea"/>
            </a:rPr>
            <a:t>で保存</a:t>
          </a:r>
        </a:p>
      </xdr:txBody>
    </xdr:sp>
    <xdr:clientData/>
  </xdr:twoCellAnchor>
  <xdr:twoCellAnchor>
    <xdr:from>
      <xdr:col>13</xdr:col>
      <xdr:colOff>186418</xdr:colOff>
      <xdr:row>3</xdr:row>
      <xdr:rowOff>81645</xdr:rowOff>
    </xdr:from>
    <xdr:to>
      <xdr:col>14</xdr:col>
      <xdr:colOff>781918</xdr:colOff>
      <xdr:row>4</xdr:row>
      <xdr:rowOff>166008</xdr:rowOff>
    </xdr:to>
    <xdr:sp macro="[0]!PDF_同時実行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4740618" y="738870"/>
          <a:ext cx="1548000" cy="303438"/>
        </a:xfrm>
        <a:prstGeom prst="bevel">
          <a:avLst/>
        </a:prstGeom>
        <a:ln w="9525"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latin typeface="+mn-ea"/>
              <a:ea typeface="+mn-ea"/>
            </a:rPr>
            <a:t>PDF</a:t>
          </a:r>
          <a:r>
            <a:rPr kumimoji="1" lang="ja-JP" altLang="en-US" sz="1200">
              <a:latin typeface="+mn-ea"/>
              <a:ea typeface="+mn-ea"/>
            </a:rPr>
            <a:t>で保存</a:t>
          </a:r>
        </a:p>
      </xdr:txBody>
    </xdr:sp>
    <xdr:clientData/>
  </xdr:twoCellAnchor>
  <xdr:twoCellAnchor>
    <xdr:from>
      <xdr:col>9</xdr:col>
      <xdr:colOff>171450</xdr:colOff>
      <xdr:row>5</xdr:row>
      <xdr:rowOff>39462</xdr:rowOff>
    </xdr:from>
    <xdr:to>
      <xdr:col>10</xdr:col>
      <xdr:colOff>776475</xdr:colOff>
      <xdr:row>6</xdr:row>
      <xdr:rowOff>123825</xdr:rowOff>
    </xdr:to>
    <xdr:sp macro="[0]!EXCEL_BackOrder_SFAmerica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0925175" y="1134837"/>
          <a:ext cx="1548000" cy="303438"/>
        </a:xfrm>
        <a:prstGeom prst="bevel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latin typeface="+mn-ea"/>
              <a:ea typeface="+mn-ea"/>
            </a:rPr>
            <a:t>EXCEL</a:t>
          </a:r>
          <a:r>
            <a:rPr kumimoji="1" lang="ja-JP" altLang="en-US" sz="1200">
              <a:latin typeface="+mn-ea"/>
              <a:ea typeface="+mn-ea"/>
            </a:rPr>
            <a:t>で保存</a:t>
          </a:r>
        </a:p>
      </xdr:txBody>
    </xdr:sp>
    <xdr:clientData/>
  </xdr:twoCellAnchor>
  <xdr:twoCellAnchor>
    <xdr:from>
      <xdr:col>11</xdr:col>
      <xdr:colOff>195943</xdr:colOff>
      <xdr:row>5</xdr:row>
      <xdr:rowOff>39462</xdr:rowOff>
    </xdr:from>
    <xdr:to>
      <xdr:col>12</xdr:col>
      <xdr:colOff>791443</xdr:colOff>
      <xdr:row>6</xdr:row>
      <xdr:rowOff>123825</xdr:rowOff>
    </xdr:to>
    <xdr:sp macro="[0]!EXCEL_BackOrder_SFOsaka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2845143" y="1134837"/>
          <a:ext cx="1548000" cy="303438"/>
        </a:xfrm>
        <a:prstGeom prst="bevel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latin typeface="+mn-ea"/>
              <a:ea typeface="+mn-ea"/>
            </a:rPr>
            <a:t>EXCEL</a:t>
          </a:r>
          <a:r>
            <a:rPr kumimoji="1" lang="ja-JP" altLang="en-US" sz="1200">
              <a:latin typeface="+mn-ea"/>
              <a:ea typeface="+mn-ea"/>
            </a:rPr>
            <a:t>で保存</a:t>
          </a:r>
        </a:p>
      </xdr:txBody>
    </xdr:sp>
    <xdr:clientData/>
  </xdr:twoCellAnchor>
  <xdr:twoCellAnchor editAs="oneCell">
    <xdr:from>
      <xdr:col>6</xdr:col>
      <xdr:colOff>28575</xdr:colOff>
      <xdr:row>15</xdr:row>
      <xdr:rowOff>228600</xdr:rowOff>
    </xdr:from>
    <xdr:to>
      <xdr:col>6</xdr:col>
      <xdr:colOff>333375</xdr:colOff>
      <xdr:row>17</xdr:row>
      <xdr:rowOff>1</xdr:rowOff>
    </xdr:to>
    <xdr:sp macro="" textlink="">
      <xdr:nvSpPr>
        <xdr:cNvPr id="17412" name="Option Button 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300-000004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9525</xdr:colOff>
      <xdr:row>15</xdr:row>
      <xdr:rowOff>228600</xdr:rowOff>
    </xdr:from>
    <xdr:to>
      <xdr:col>7</xdr:col>
      <xdr:colOff>314325</xdr:colOff>
      <xdr:row>17</xdr:row>
      <xdr:rowOff>1</xdr:rowOff>
    </xdr:to>
    <xdr:sp macro="" textlink="">
      <xdr:nvSpPr>
        <xdr:cNvPr id="17413" name="Option Button 5" hidden="1">
          <a:extLst>
            <a:ext uri="{63B3BB69-23CF-44E3-9099-C40C66FF867C}">
              <a14:compatExt xmlns:a14="http://schemas.microsoft.com/office/drawing/2010/main" spid="_x0000_s17413"/>
            </a:ext>
            <a:ext uri="{FF2B5EF4-FFF2-40B4-BE49-F238E27FC236}">
              <a16:creationId xmlns:a16="http://schemas.microsoft.com/office/drawing/2014/main" id="{00000000-0008-0000-0300-000005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186417</xdr:colOff>
      <xdr:row>5</xdr:row>
      <xdr:rowOff>39462</xdr:rowOff>
    </xdr:from>
    <xdr:to>
      <xdr:col>14</xdr:col>
      <xdr:colOff>781917</xdr:colOff>
      <xdr:row>6</xdr:row>
      <xdr:rowOff>123825</xdr:rowOff>
    </xdr:to>
    <xdr:sp macro="[0]!EXCEL_BackOrder_BOTH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4740617" y="1134837"/>
          <a:ext cx="1548000" cy="303438"/>
        </a:xfrm>
        <a:prstGeom prst="bevel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latin typeface="+mn-ea"/>
              <a:ea typeface="+mn-ea"/>
            </a:rPr>
            <a:t>EXCEL</a:t>
          </a:r>
          <a:r>
            <a:rPr kumimoji="1" lang="ja-JP" altLang="en-US" sz="1200">
              <a:latin typeface="+mn-ea"/>
              <a:ea typeface="+mn-ea"/>
            </a:rPr>
            <a:t>で保存</a:t>
          </a:r>
        </a:p>
      </xdr:txBody>
    </xdr:sp>
    <xdr:clientData/>
  </xdr:twoCellAnchor>
  <xdr:twoCellAnchor>
    <xdr:from>
      <xdr:col>5</xdr:col>
      <xdr:colOff>57150</xdr:colOff>
      <xdr:row>2</xdr:row>
      <xdr:rowOff>0</xdr:rowOff>
    </xdr:from>
    <xdr:to>
      <xdr:col>5</xdr:col>
      <xdr:colOff>904875</xdr:colOff>
      <xdr:row>4</xdr:row>
      <xdr:rowOff>114300</xdr:rowOff>
    </xdr:to>
    <xdr:sp macro="" textlink="">
      <xdr:nvSpPr>
        <xdr:cNvPr id="17417" name="Button 9" hidden="1">
          <a:extLst>
            <a:ext uri="{63B3BB69-23CF-44E3-9099-C40C66FF867C}">
              <a14:compatExt xmlns:a14="http://schemas.microsoft.com/office/drawing/2010/main" spid="_x0000_s17417"/>
            </a:ext>
            <a:ext uri="{FF2B5EF4-FFF2-40B4-BE49-F238E27FC236}">
              <a16:creationId xmlns:a16="http://schemas.microsoft.com/office/drawing/2014/main" id="{00000000-0008-0000-0300-000009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SF米国</a:t>
          </a:r>
        </a:p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明細コピー</a:t>
          </a:r>
        </a:p>
      </xdr:txBody>
    </xdr:sp>
    <xdr:clientData fPrintsWithSheet="0"/>
  </xdr:twoCellAnchor>
  <xdr:twoCellAnchor>
    <xdr:from>
      <xdr:col>6</xdr:col>
      <xdr:colOff>57150</xdr:colOff>
      <xdr:row>2</xdr:row>
      <xdr:rowOff>0</xdr:rowOff>
    </xdr:from>
    <xdr:to>
      <xdr:col>6</xdr:col>
      <xdr:colOff>904875</xdr:colOff>
      <xdr:row>4</xdr:row>
      <xdr:rowOff>114300</xdr:rowOff>
    </xdr:to>
    <xdr:sp macro="" textlink="">
      <xdr:nvSpPr>
        <xdr:cNvPr id="17418" name="Button 10" hidden="1">
          <a:extLst>
            <a:ext uri="{63B3BB69-23CF-44E3-9099-C40C66FF867C}">
              <a14:compatExt xmlns:a14="http://schemas.microsoft.com/office/drawing/2010/main" spid="_x0000_s17418"/>
            </a:ext>
            <a:ext uri="{FF2B5EF4-FFF2-40B4-BE49-F238E27FC236}">
              <a16:creationId xmlns:a16="http://schemas.microsoft.com/office/drawing/2014/main" id="{00000000-0008-0000-0300-00000A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SF大阪</a:t>
          </a:r>
        </a:p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明細コピー</a:t>
          </a:r>
        </a:p>
      </xdr:txBody>
    </xdr:sp>
    <xdr:clientData fPrintsWithSheet="0"/>
  </xdr:twoCellAnchor>
  <xdr:twoCellAnchor>
    <xdr:from>
      <xdr:col>7</xdr:col>
      <xdr:colOff>57150</xdr:colOff>
      <xdr:row>2</xdr:row>
      <xdr:rowOff>0</xdr:rowOff>
    </xdr:from>
    <xdr:to>
      <xdr:col>7</xdr:col>
      <xdr:colOff>904875</xdr:colOff>
      <xdr:row>4</xdr:row>
      <xdr:rowOff>114300</xdr:rowOff>
    </xdr:to>
    <xdr:sp macro="" textlink="">
      <xdr:nvSpPr>
        <xdr:cNvPr id="17422" name="Button 14" hidden="1">
          <a:extLst>
            <a:ext uri="{63B3BB69-23CF-44E3-9099-C40C66FF867C}">
              <a14:compatExt xmlns:a14="http://schemas.microsoft.com/office/drawing/2010/main" spid="_x0000_s17422"/>
            </a:ext>
            <a:ext uri="{FF2B5EF4-FFF2-40B4-BE49-F238E27FC236}">
              <a16:creationId xmlns:a16="http://schemas.microsoft.com/office/drawing/2014/main" id="{00000000-0008-0000-0300-00000E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明細を</a:t>
          </a:r>
        </a:p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クリア</a:t>
          </a:r>
        </a:p>
      </xdr:txBody>
    </xdr:sp>
    <xdr:clientData fPrintsWithSheet="0"/>
  </xdr:twoCellAnchor>
  <xdr:twoCellAnchor>
    <xdr:from>
      <xdr:col>8</xdr:col>
      <xdr:colOff>49306</xdr:colOff>
      <xdr:row>1</xdr:row>
      <xdr:rowOff>219075</xdr:rowOff>
    </xdr:from>
    <xdr:to>
      <xdr:col>8</xdr:col>
      <xdr:colOff>897031</xdr:colOff>
      <xdr:row>4</xdr:row>
      <xdr:rowOff>114300</xdr:rowOff>
    </xdr:to>
    <xdr:sp macro="" textlink="">
      <xdr:nvSpPr>
        <xdr:cNvPr id="17427" name="Button 19" hidden="1">
          <a:extLst>
            <a:ext uri="{63B3BB69-23CF-44E3-9099-C40C66FF867C}">
              <a14:compatExt xmlns:a14="http://schemas.microsoft.com/office/drawing/2010/main" spid="_x0000_s17427"/>
            </a:ext>
            <a:ext uri="{FF2B5EF4-FFF2-40B4-BE49-F238E27FC236}">
              <a16:creationId xmlns:a16="http://schemas.microsoft.com/office/drawing/2014/main" id="{00000000-0008-0000-0300-000013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改ページ</a:t>
          </a:r>
        </a:p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設定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15</xdr:row>
          <xdr:rowOff>228600</xdr:rowOff>
        </xdr:from>
        <xdr:to>
          <xdr:col>6</xdr:col>
          <xdr:colOff>333375</xdr:colOff>
          <xdr:row>17</xdr:row>
          <xdr:rowOff>0</xdr:rowOff>
        </xdr:to>
        <xdr:sp macro="" textlink="">
          <xdr:nvSpPr>
            <xdr:cNvPr id="50177" name="Option 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3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228600</xdr:rowOff>
        </xdr:from>
        <xdr:to>
          <xdr:col>7</xdr:col>
          <xdr:colOff>323850</xdr:colOff>
          <xdr:row>17</xdr:row>
          <xdr:rowOff>0</xdr:rowOff>
        </xdr:to>
        <xdr:sp macro="" textlink="">
          <xdr:nvSpPr>
            <xdr:cNvPr id="50178" name="Option 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3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2</xdr:row>
          <xdr:rowOff>0</xdr:rowOff>
        </xdr:from>
        <xdr:to>
          <xdr:col>5</xdr:col>
          <xdr:colOff>904875</xdr:colOff>
          <xdr:row>4</xdr:row>
          <xdr:rowOff>114300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3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SF米国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</xdr:row>
          <xdr:rowOff>0</xdr:rowOff>
        </xdr:from>
        <xdr:to>
          <xdr:col>6</xdr:col>
          <xdr:colOff>904875</xdr:colOff>
          <xdr:row>4</xdr:row>
          <xdr:rowOff>114300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3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SF大阪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2</xdr:row>
          <xdr:rowOff>0</xdr:rowOff>
        </xdr:from>
        <xdr:to>
          <xdr:col>7</xdr:col>
          <xdr:colOff>904875</xdr:colOff>
          <xdr:row>4</xdr:row>
          <xdr:rowOff>114300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明細を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</xdr:row>
          <xdr:rowOff>0</xdr:rowOff>
        </xdr:from>
        <xdr:to>
          <xdr:col>8</xdr:col>
          <xdr:colOff>895350</xdr:colOff>
          <xdr:row>4</xdr:row>
          <xdr:rowOff>114300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3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改ページ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設定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228600</xdr:rowOff>
        </xdr:from>
        <xdr:to>
          <xdr:col>6</xdr:col>
          <xdr:colOff>314325</xdr:colOff>
          <xdr:row>17</xdr:row>
          <xdr:rowOff>0</xdr:rowOff>
        </xdr:to>
        <xdr:sp macro="" textlink="">
          <xdr:nvSpPr>
            <xdr:cNvPr id="18435" name="Option 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4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914400</xdr:colOff>
          <xdr:row>15</xdr:row>
          <xdr:rowOff>228600</xdr:rowOff>
        </xdr:from>
        <xdr:to>
          <xdr:col>7</xdr:col>
          <xdr:colOff>276225</xdr:colOff>
          <xdr:row>17</xdr:row>
          <xdr:rowOff>0</xdr:rowOff>
        </xdr:to>
        <xdr:sp macro="" textlink="">
          <xdr:nvSpPr>
            <xdr:cNvPr id="18436" name="Option 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4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2</xdr:row>
          <xdr:rowOff>0</xdr:rowOff>
        </xdr:from>
        <xdr:to>
          <xdr:col>5</xdr:col>
          <xdr:colOff>904875</xdr:colOff>
          <xdr:row>4</xdr:row>
          <xdr:rowOff>114300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4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SF米国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</xdr:row>
          <xdr:rowOff>0</xdr:rowOff>
        </xdr:from>
        <xdr:to>
          <xdr:col>6</xdr:col>
          <xdr:colOff>904875</xdr:colOff>
          <xdr:row>4</xdr:row>
          <xdr:rowOff>114300</xdr:rowOff>
        </xdr:to>
        <xdr:sp macro="" textlink="">
          <xdr:nvSpPr>
            <xdr:cNvPr id="18444" name="Button 12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4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SF大阪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2</xdr:row>
          <xdr:rowOff>0</xdr:rowOff>
        </xdr:from>
        <xdr:to>
          <xdr:col>7</xdr:col>
          <xdr:colOff>904875</xdr:colOff>
          <xdr:row>4</xdr:row>
          <xdr:rowOff>114300</xdr:rowOff>
        </xdr:to>
        <xdr:sp macro="" textlink="">
          <xdr:nvSpPr>
            <xdr:cNvPr id="18445" name="Button 13" hidden="1">
              <a:extLst>
                <a:ext uri="{63B3BB69-23CF-44E3-9099-C40C66FF867C}">
                  <a14:compatExt spid="_x0000_s18445"/>
                </a:ext>
                <a:ext uri="{FF2B5EF4-FFF2-40B4-BE49-F238E27FC236}">
                  <a16:creationId xmlns:a16="http://schemas.microsoft.com/office/drawing/2014/main" id="{00000000-0008-0000-0400-00000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明細を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</xdr:row>
          <xdr:rowOff>0</xdr:rowOff>
        </xdr:from>
        <xdr:to>
          <xdr:col>8</xdr:col>
          <xdr:colOff>895350</xdr:colOff>
          <xdr:row>4</xdr:row>
          <xdr:rowOff>114300</xdr:rowOff>
        </xdr:to>
        <xdr:sp macro="" textlink="">
          <xdr:nvSpPr>
            <xdr:cNvPr id="18446" name="Button 14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4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改ページ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設定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</xdr:row>
          <xdr:rowOff>38100</xdr:rowOff>
        </xdr:from>
        <xdr:to>
          <xdr:col>5</xdr:col>
          <xdr:colOff>942975</xdr:colOff>
          <xdr:row>5</xdr:row>
          <xdr:rowOff>85725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5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2</xdr:row>
          <xdr:rowOff>19050</xdr:rowOff>
        </xdr:from>
        <xdr:to>
          <xdr:col>8</xdr:col>
          <xdr:colOff>876300</xdr:colOff>
          <xdr:row>4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5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注文明細コピー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4</xdr:row>
          <xdr:rowOff>38100</xdr:rowOff>
        </xdr:from>
        <xdr:to>
          <xdr:col>6</xdr:col>
          <xdr:colOff>914400</xdr:colOff>
          <xdr:row>5</xdr:row>
          <xdr:rowOff>85725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5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注記クリア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4</xdr:row>
          <xdr:rowOff>38100</xdr:rowOff>
        </xdr:from>
        <xdr:to>
          <xdr:col>7</xdr:col>
          <xdr:colOff>885825</xdr:colOff>
          <xdr:row>5</xdr:row>
          <xdr:rowOff>85725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5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メモクリア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38100</xdr:rowOff>
        </xdr:from>
        <xdr:to>
          <xdr:col>8</xdr:col>
          <xdr:colOff>876300</xdr:colOff>
          <xdr:row>5</xdr:row>
          <xdr:rowOff>85725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5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改ページ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56030</xdr:colOff>
      <xdr:row>2</xdr:row>
      <xdr:rowOff>49999</xdr:rowOff>
    </xdr:from>
    <xdr:to>
      <xdr:col>10</xdr:col>
      <xdr:colOff>526676</xdr:colOff>
      <xdr:row>4</xdr:row>
      <xdr:rowOff>131641</xdr:rowOff>
    </xdr:to>
    <xdr:sp macro="[0]!PDF_発注書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0668001" y="419793"/>
          <a:ext cx="1423146" cy="417819"/>
        </a:xfrm>
        <a:prstGeom prst="bevel">
          <a:avLst/>
        </a:prstGeom>
        <a:ln w="12700"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>
              <a:latin typeface="+mn-ea"/>
              <a:ea typeface="+mn-ea"/>
            </a:rPr>
            <a:t>PDF</a:t>
          </a:r>
          <a:r>
            <a:rPr kumimoji="1" lang="ja-JP" altLang="en-US" sz="1400">
              <a:latin typeface="+mn-ea"/>
              <a:ea typeface="+mn-ea"/>
            </a:rPr>
            <a:t>で保存</a:t>
          </a:r>
        </a:p>
      </xdr:txBody>
    </xdr:sp>
    <xdr:clientData/>
  </xdr:twoCellAnchor>
  <xdr:twoCellAnchor>
    <xdr:from>
      <xdr:col>10</xdr:col>
      <xdr:colOff>593913</xdr:colOff>
      <xdr:row>2</xdr:row>
      <xdr:rowOff>44824</xdr:rowOff>
    </xdr:from>
    <xdr:to>
      <xdr:col>11</xdr:col>
      <xdr:colOff>302559</xdr:colOff>
      <xdr:row>4</xdr:row>
      <xdr:rowOff>131641</xdr:rowOff>
    </xdr:to>
    <xdr:sp macro="[0]!EXCEL_発注書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2158384" y="414618"/>
          <a:ext cx="1423146" cy="422994"/>
        </a:xfrm>
        <a:prstGeom prst="bevel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>
              <a:latin typeface="+mn-ea"/>
              <a:ea typeface="+mn-ea"/>
            </a:rPr>
            <a:t>EXCEL</a:t>
          </a:r>
          <a:r>
            <a:rPr kumimoji="1" lang="ja-JP" altLang="en-US" sz="1400">
              <a:latin typeface="+mn-ea"/>
              <a:ea typeface="+mn-ea"/>
            </a:rPr>
            <a:t>で保存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</xdr:colOff>
          <xdr:row>5</xdr:row>
          <xdr:rowOff>228600</xdr:rowOff>
        </xdr:from>
        <xdr:to>
          <xdr:col>22</xdr:col>
          <xdr:colOff>323850</xdr:colOff>
          <xdr:row>7</xdr:row>
          <xdr:rowOff>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133350</xdr:colOff>
          <xdr:row>5</xdr:row>
          <xdr:rowOff>228600</xdr:rowOff>
        </xdr:from>
        <xdr:to>
          <xdr:col>26</xdr:col>
          <xdr:colOff>66675</xdr:colOff>
          <xdr:row>7</xdr:row>
          <xdr:rowOff>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User001/Desktop/Outerwear%20Quotation%20=%20Offer%20List%20=%2030-JULY-2019/Updated%20Price%20List%20by%20Dickson%20-%2015-JULY-2022/20220715%20%20EU%20USA%20Market%20Price%20List%20US%20with%20new%20column%20heading-15JULY2022.xlsm" TargetMode="External"/><Relationship Id="rId1" Type="http://schemas.openxmlformats.org/officeDocument/2006/relationships/externalLinkPath" Target="/Users/User001/Desktop/Outerwear%20Quotation%20=%20Offer%20List%20=%2030-JULY-2019/Updated%20Price%20List%20by%20Dickson%20-%2015-JULY-2022/20220715%20%20EU%20USA%20Market%20Price%20List%20US%20with%20new%20column%20heading-15JULY20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How To"/>
      <sheetName val="OfferList"/>
      <sheetName val="History"/>
      <sheetName val="Unit_List"/>
      <sheetName val="Master"/>
    </sheetNames>
    <sheetDataSet>
      <sheetData sheetId="0"/>
      <sheetData sheetId="1"/>
      <sheetData sheetId="2"/>
      <sheetData sheetId="3"/>
      <sheetData sheetId="4">
        <row r="2">
          <cell r="D2" t="str">
            <v>FOB Qingdao China</v>
          </cell>
          <cell r="K2" t="str">
            <v>USD</v>
          </cell>
        </row>
        <row r="3">
          <cell r="D3" t="str">
            <v>FOB Chiang Mai Thailand</v>
          </cell>
          <cell r="K3" t="str">
            <v>RMB</v>
          </cell>
        </row>
        <row r="4">
          <cell r="D4" t="str">
            <v>FOB</v>
          </cell>
          <cell r="K4" t="str">
            <v>EUR</v>
          </cell>
        </row>
        <row r="5">
          <cell r="D5" t="str">
            <v>CIF by air or courier</v>
          </cell>
          <cell r="K5" t="str">
            <v>THB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&#36890;&#24120;&#21336;&#20385;@580&#20870;/m&#12391;&#12398;&#12461;&#12496;&#12479;&#29983;&#29987;&#12525;&#12483;&#12488;&#12399;20&#21453;&#12391;&#12377;&#12290;1&#12316;9&#21453;&#12391;&#12398;&#29983;&#29987;&#12399;@100&#20870;/m&#12450;&#12483;&#12503;10&#12316;19&#21453;&#12384;&#12392;@50&#20870;/m&#12450;&#12483;&#12503;&#12392;&#12394;&#12426;&#12414;&#12377;&#12290;" TargetMode="External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Y11649"/>
  <sheetViews>
    <sheetView tabSelected="1" view="pageBreakPreview" zoomScale="85" zoomScaleNormal="100" zoomScaleSheetLayoutView="85" workbookViewId="0">
      <pane xSplit="11" ySplit="8" topLeftCell="L5262" activePane="bottomRight" state="frozen"/>
      <selection pane="topRight" activeCell="L1" sqref="L1"/>
      <selection pane="bottomLeft" activeCell="A8" sqref="A8"/>
      <selection pane="bottomRight" activeCell="E5287" sqref="E5287"/>
    </sheetView>
  </sheetViews>
  <sheetFormatPr defaultRowHeight="18" customHeight="1"/>
  <cols>
    <col min="1" max="1" width="5.375" style="1" bestFit="1" customWidth="1"/>
    <col min="2" max="2" width="4.75" style="26" customWidth="1"/>
    <col min="3" max="3" width="31.125" style="3" customWidth="1"/>
    <col min="4" max="4" width="21" style="1" customWidth="1"/>
    <col min="5" max="5" width="22" style="1" customWidth="1"/>
    <col min="6" max="6" width="12" style="1" customWidth="1"/>
    <col min="7" max="7" width="40.75" style="1" customWidth="1"/>
    <col min="8" max="8" width="11.5" style="1" customWidth="1"/>
    <col min="9" max="9" width="11.375" style="1" bestFit="1" customWidth="1"/>
    <col min="10" max="10" width="12.5" style="1" customWidth="1"/>
    <col min="11" max="11" width="16.375" style="1" bestFit="1" customWidth="1"/>
    <col min="12" max="12" width="17.875" style="1" customWidth="1"/>
    <col min="13" max="13" width="14.875" style="26" customWidth="1"/>
    <col min="14" max="14" width="17" style="1" customWidth="1"/>
    <col min="15" max="15" width="14.75" style="2" bestFit="1" customWidth="1"/>
    <col min="16" max="16" width="13.625" style="330" bestFit="1" customWidth="1"/>
    <col min="17" max="17" width="16.375" style="967" bestFit="1" customWidth="1"/>
    <col min="18" max="18" width="15.875" style="1" customWidth="1"/>
    <col min="19" max="19" width="16.25" style="1" bestFit="1" customWidth="1"/>
    <col min="20" max="20" width="15.625" style="1" customWidth="1"/>
    <col min="21" max="21" width="16.25" style="1" customWidth="1"/>
    <col min="22" max="22" width="16.625" style="256" bestFit="1" customWidth="1"/>
    <col min="23" max="23" width="17" bestFit="1" customWidth="1"/>
    <col min="24" max="256" width="9" style="1"/>
    <col min="257" max="257" width="5.375" style="1" bestFit="1" customWidth="1"/>
    <col min="258" max="258" width="4.75" style="1" customWidth="1"/>
    <col min="259" max="259" width="17.625" style="1" customWidth="1"/>
    <col min="260" max="260" width="22.125" style="1" customWidth="1"/>
    <col min="261" max="261" width="17.5" style="1" customWidth="1"/>
    <col min="262" max="262" width="12" style="1" customWidth="1"/>
    <col min="263" max="263" width="40.75" style="1" customWidth="1"/>
    <col min="264" max="264" width="11.5" style="1" customWidth="1"/>
    <col min="265" max="265" width="11.375" style="1" bestFit="1" customWidth="1"/>
    <col min="266" max="266" width="12.5" style="1" customWidth="1"/>
    <col min="267" max="267" width="16.375" style="1" bestFit="1" customWidth="1"/>
    <col min="268" max="268" width="14.875" style="1" bestFit="1" customWidth="1"/>
    <col min="269" max="269" width="14.875" style="1" customWidth="1"/>
    <col min="270" max="270" width="14.875" style="1" bestFit="1" customWidth="1"/>
    <col min="271" max="271" width="14.75" style="1" bestFit="1" customWidth="1"/>
    <col min="272" max="272" width="13.625" style="1" bestFit="1" customWidth="1"/>
    <col min="273" max="273" width="16.375" style="1" bestFit="1" customWidth="1"/>
    <col min="274" max="274" width="15.875" style="1" customWidth="1"/>
    <col min="275" max="275" width="14.875" style="1" bestFit="1" customWidth="1"/>
    <col min="276" max="276" width="15.625" style="1" customWidth="1"/>
    <col min="277" max="277" width="16.25" style="1" customWidth="1"/>
    <col min="278" max="278" width="16.625" style="1" bestFit="1" customWidth="1"/>
    <col min="279" max="512" width="9" style="1"/>
    <col min="513" max="513" width="5.375" style="1" bestFit="1" customWidth="1"/>
    <col min="514" max="514" width="4.75" style="1" customWidth="1"/>
    <col min="515" max="515" width="17.625" style="1" customWidth="1"/>
    <col min="516" max="516" width="22.125" style="1" customWidth="1"/>
    <col min="517" max="517" width="17.5" style="1" customWidth="1"/>
    <col min="518" max="518" width="12" style="1" customWidth="1"/>
    <col min="519" max="519" width="40.75" style="1" customWidth="1"/>
    <col min="520" max="520" width="11.5" style="1" customWidth="1"/>
    <col min="521" max="521" width="11.375" style="1" bestFit="1" customWidth="1"/>
    <col min="522" max="522" width="12.5" style="1" customWidth="1"/>
    <col min="523" max="523" width="16.375" style="1" bestFit="1" customWidth="1"/>
    <col min="524" max="524" width="14.875" style="1" bestFit="1" customWidth="1"/>
    <col min="525" max="525" width="14.875" style="1" customWidth="1"/>
    <col min="526" max="526" width="14.875" style="1" bestFit="1" customWidth="1"/>
    <col min="527" max="527" width="14.75" style="1" bestFit="1" customWidth="1"/>
    <col min="528" max="528" width="13.625" style="1" bestFit="1" customWidth="1"/>
    <col min="529" max="529" width="16.375" style="1" bestFit="1" customWidth="1"/>
    <col min="530" max="530" width="15.875" style="1" customWidth="1"/>
    <col min="531" max="531" width="14.875" style="1" bestFit="1" customWidth="1"/>
    <col min="532" max="532" width="15.625" style="1" customWidth="1"/>
    <col min="533" max="533" width="16.25" style="1" customWidth="1"/>
    <col min="534" max="534" width="16.625" style="1" bestFit="1" customWidth="1"/>
    <col min="535" max="768" width="9" style="1"/>
    <col min="769" max="769" width="5.375" style="1" bestFit="1" customWidth="1"/>
    <col min="770" max="770" width="4.75" style="1" customWidth="1"/>
    <col min="771" max="771" width="17.625" style="1" customWidth="1"/>
    <col min="772" max="772" width="22.125" style="1" customWidth="1"/>
    <col min="773" max="773" width="17.5" style="1" customWidth="1"/>
    <col min="774" max="774" width="12" style="1" customWidth="1"/>
    <col min="775" max="775" width="40.75" style="1" customWidth="1"/>
    <col min="776" max="776" width="11.5" style="1" customWidth="1"/>
    <col min="777" max="777" width="11.375" style="1" bestFit="1" customWidth="1"/>
    <col min="778" max="778" width="12.5" style="1" customWidth="1"/>
    <col min="779" max="779" width="16.375" style="1" bestFit="1" customWidth="1"/>
    <col min="780" max="780" width="14.875" style="1" bestFit="1" customWidth="1"/>
    <col min="781" max="781" width="14.875" style="1" customWidth="1"/>
    <col min="782" max="782" width="14.875" style="1" bestFit="1" customWidth="1"/>
    <col min="783" max="783" width="14.75" style="1" bestFit="1" customWidth="1"/>
    <col min="784" max="784" width="13.625" style="1" bestFit="1" customWidth="1"/>
    <col min="785" max="785" width="16.375" style="1" bestFit="1" customWidth="1"/>
    <col min="786" max="786" width="15.875" style="1" customWidth="1"/>
    <col min="787" max="787" width="14.875" style="1" bestFit="1" customWidth="1"/>
    <col min="788" max="788" width="15.625" style="1" customWidth="1"/>
    <col min="789" max="789" width="16.25" style="1" customWidth="1"/>
    <col min="790" max="790" width="16.625" style="1" bestFit="1" customWidth="1"/>
    <col min="791" max="1024" width="9" style="1"/>
    <col min="1025" max="1025" width="5.375" style="1" bestFit="1" customWidth="1"/>
    <col min="1026" max="1026" width="4.75" style="1" customWidth="1"/>
    <col min="1027" max="1027" width="17.625" style="1" customWidth="1"/>
    <col min="1028" max="1028" width="22.125" style="1" customWidth="1"/>
    <col min="1029" max="1029" width="17.5" style="1" customWidth="1"/>
    <col min="1030" max="1030" width="12" style="1" customWidth="1"/>
    <col min="1031" max="1031" width="40.75" style="1" customWidth="1"/>
    <col min="1032" max="1032" width="11.5" style="1" customWidth="1"/>
    <col min="1033" max="1033" width="11.375" style="1" bestFit="1" customWidth="1"/>
    <col min="1034" max="1034" width="12.5" style="1" customWidth="1"/>
    <col min="1035" max="1035" width="16.375" style="1" bestFit="1" customWidth="1"/>
    <col min="1036" max="1036" width="14.875" style="1" bestFit="1" customWidth="1"/>
    <col min="1037" max="1037" width="14.875" style="1" customWidth="1"/>
    <col min="1038" max="1038" width="14.875" style="1" bestFit="1" customWidth="1"/>
    <col min="1039" max="1039" width="14.75" style="1" bestFit="1" customWidth="1"/>
    <col min="1040" max="1040" width="13.625" style="1" bestFit="1" customWidth="1"/>
    <col min="1041" max="1041" width="16.375" style="1" bestFit="1" customWidth="1"/>
    <col min="1042" max="1042" width="15.875" style="1" customWidth="1"/>
    <col min="1043" max="1043" width="14.875" style="1" bestFit="1" customWidth="1"/>
    <col min="1044" max="1044" width="15.625" style="1" customWidth="1"/>
    <col min="1045" max="1045" width="16.25" style="1" customWidth="1"/>
    <col min="1046" max="1046" width="16.625" style="1" bestFit="1" customWidth="1"/>
    <col min="1047" max="1280" width="9" style="1"/>
    <col min="1281" max="1281" width="5.375" style="1" bestFit="1" customWidth="1"/>
    <col min="1282" max="1282" width="4.75" style="1" customWidth="1"/>
    <col min="1283" max="1283" width="17.625" style="1" customWidth="1"/>
    <col min="1284" max="1284" width="22.125" style="1" customWidth="1"/>
    <col min="1285" max="1285" width="17.5" style="1" customWidth="1"/>
    <col min="1286" max="1286" width="12" style="1" customWidth="1"/>
    <col min="1287" max="1287" width="40.75" style="1" customWidth="1"/>
    <col min="1288" max="1288" width="11.5" style="1" customWidth="1"/>
    <col min="1289" max="1289" width="11.375" style="1" bestFit="1" customWidth="1"/>
    <col min="1290" max="1290" width="12.5" style="1" customWidth="1"/>
    <col min="1291" max="1291" width="16.375" style="1" bestFit="1" customWidth="1"/>
    <col min="1292" max="1292" width="14.875" style="1" bestFit="1" customWidth="1"/>
    <col min="1293" max="1293" width="14.875" style="1" customWidth="1"/>
    <col min="1294" max="1294" width="14.875" style="1" bestFit="1" customWidth="1"/>
    <col min="1295" max="1295" width="14.75" style="1" bestFit="1" customWidth="1"/>
    <col min="1296" max="1296" width="13.625" style="1" bestFit="1" customWidth="1"/>
    <col min="1297" max="1297" width="16.375" style="1" bestFit="1" customWidth="1"/>
    <col min="1298" max="1298" width="15.875" style="1" customWidth="1"/>
    <col min="1299" max="1299" width="14.875" style="1" bestFit="1" customWidth="1"/>
    <col min="1300" max="1300" width="15.625" style="1" customWidth="1"/>
    <col min="1301" max="1301" width="16.25" style="1" customWidth="1"/>
    <col min="1302" max="1302" width="16.625" style="1" bestFit="1" customWidth="1"/>
    <col min="1303" max="1536" width="9" style="1"/>
    <col min="1537" max="1537" width="5.375" style="1" bestFit="1" customWidth="1"/>
    <col min="1538" max="1538" width="4.75" style="1" customWidth="1"/>
    <col min="1539" max="1539" width="17.625" style="1" customWidth="1"/>
    <col min="1540" max="1540" width="22.125" style="1" customWidth="1"/>
    <col min="1541" max="1541" width="17.5" style="1" customWidth="1"/>
    <col min="1542" max="1542" width="12" style="1" customWidth="1"/>
    <col min="1543" max="1543" width="40.75" style="1" customWidth="1"/>
    <col min="1544" max="1544" width="11.5" style="1" customWidth="1"/>
    <col min="1545" max="1545" width="11.375" style="1" bestFit="1" customWidth="1"/>
    <col min="1546" max="1546" width="12.5" style="1" customWidth="1"/>
    <col min="1547" max="1547" width="16.375" style="1" bestFit="1" customWidth="1"/>
    <col min="1548" max="1548" width="14.875" style="1" bestFit="1" customWidth="1"/>
    <col min="1549" max="1549" width="14.875" style="1" customWidth="1"/>
    <col min="1550" max="1550" width="14.875" style="1" bestFit="1" customWidth="1"/>
    <col min="1551" max="1551" width="14.75" style="1" bestFit="1" customWidth="1"/>
    <col min="1552" max="1552" width="13.625" style="1" bestFit="1" customWidth="1"/>
    <col min="1553" max="1553" width="16.375" style="1" bestFit="1" customWidth="1"/>
    <col min="1554" max="1554" width="15.875" style="1" customWidth="1"/>
    <col min="1555" max="1555" width="14.875" style="1" bestFit="1" customWidth="1"/>
    <col min="1556" max="1556" width="15.625" style="1" customWidth="1"/>
    <col min="1557" max="1557" width="16.25" style="1" customWidth="1"/>
    <col min="1558" max="1558" width="16.625" style="1" bestFit="1" customWidth="1"/>
    <col min="1559" max="1792" width="9" style="1"/>
    <col min="1793" max="1793" width="5.375" style="1" bestFit="1" customWidth="1"/>
    <col min="1794" max="1794" width="4.75" style="1" customWidth="1"/>
    <col min="1795" max="1795" width="17.625" style="1" customWidth="1"/>
    <col min="1796" max="1796" width="22.125" style="1" customWidth="1"/>
    <col min="1797" max="1797" width="17.5" style="1" customWidth="1"/>
    <col min="1798" max="1798" width="12" style="1" customWidth="1"/>
    <col min="1799" max="1799" width="40.75" style="1" customWidth="1"/>
    <col min="1800" max="1800" width="11.5" style="1" customWidth="1"/>
    <col min="1801" max="1801" width="11.375" style="1" bestFit="1" customWidth="1"/>
    <col min="1802" max="1802" width="12.5" style="1" customWidth="1"/>
    <col min="1803" max="1803" width="16.375" style="1" bestFit="1" customWidth="1"/>
    <col min="1804" max="1804" width="14.875" style="1" bestFit="1" customWidth="1"/>
    <col min="1805" max="1805" width="14.875" style="1" customWidth="1"/>
    <col min="1806" max="1806" width="14.875" style="1" bestFit="1" customWidth="1"/>
    <col min="1807" max="1807" width="14.75" style="1" bestFit="1" customWidth="1"/>
    <col min="1808" max="1808" width="13.625" style="1" bestFit="1" customWidth="1"/>
    <col min="1809" max="1809" width="16.375" style="1" bestFit="1" customWidth="1"/>
    <col min="1810" max="1810" width="15.875" style="1" customWidth="1"/>
    <col min="1811" max="1811" width="14.875" style="1" bestFit="1" customWidth="1"/>
    <col min="1812" max="1812" width="15.625" style="1" customWidth="1"/>
    <col min="1813" max="1813" width="16.25" style="1" customWidth="1"/>
    <col min="1814" max="1814" width="16.625" style="1" bestFit="1" customWidth="1"/>
    <col min="1815" max="2048" width="9" style="1"/>
    <col min="2049" max="2049" width="5.375" style="1" bestFit="1" customWidth="1"/>
    <col min="2050" max="2050" width="4.75" style="1" customWidth="1"/>
    <col min="2051" max="2051" width="17.625" style="1" customWidth="1"/>
    <col min="2052" max="2052" width="22.125" style="1" customWidth="1"/>
    <col min="2053" max="2053" width="17.5" style="1" customWidth="1"/>
    <col min="2054" max="2054" width="12" style="1" customWidth="1"/>
    <col min="2055" max="2055" width="40.75" style="1" customWidth="1"/>
    <col min="2056" max="2056" width="11.5" style="1" customWidth="1"/>
    <col min="2057" max="2057" width="11.375" style="1" bestFit="1" customWidth="1"/>
    <col min="2058" max="2058" width="12.5" style="1" customWidth="1"/>
    <col min="2059" max="2059" width="16.375" style="1" bestFit="1" customWidth="1"/>
    <col min="2060" max="2060" width="14.875" style="1" bestFit="1" customWidth="1"/>
    <col min="2061" max="2061" width="14.875" style="1" customWidth="1"/>
    <col min="2062" max="2062" width="14.875" style="1" bestFit="1" customWidth="1"/>
    <col min="2063" max="2063" width="14.75" style="1" bestFit="1" customWidth="1"/>
    <col min="2064" max="2064" width="13.625" style="1" bestFit="1" customWidth="1"/>
    <col min="2065" max="2065" width="16.375" style="1" bestFit="1" customWidth="1"/>
    <col min="2066" max="2066" width="15.875" style="1" customWidth="1"/>
    <col min="2067" max="2067" width="14.875" style="1" bestFit="1" customWidth="1"/>
    <col min="2068" max="2068" width="15.625" style="1" customWidth="1"/>
    <col min="2069" max="2069" width="16.25" style="1" customWidth="1"/>
    <col min="2070" max="2070" width="16.625" style="1" bestFit="1" customWidth="1"/>
    <col min="2071" max="2304" width="9" style="1"/>
    <col min="2305" max="2305" width="5.375" style="1" bestFit="1" customWidth="1"/>
    <col min="2306" max="2306" width="4.75" style="1" customWidth="1"/>
    <col min="2307" max="2307" width="17.625" style="1" customWidth="1"/>
    <col min="2308" max="2308" width="22.125" style="1" customWidth="1"/>
    <col min="2309" max="2309" width="17.5" style="1" customWidth="1"/>
    <col min="2310" max="2310" width="12" style="1" customWidth="1"/>
    <col min="2311" max="2311" width="40.75" style="1" customWidth="1"/>
    <col min="2312" max="2312" width="11.5" style="1" customWidth="1"/>
    <col min="2313" max="2313" width="11.375" style="1" bestFit="1" customWidth="1"/>
    <col min="2314" max="2314" width="12.5" style="1" customWidth="1"/>
    <col min="2315" max="2315" width="16.375" style="1" bestFit="1" customWidth="1"/>
    <col min="2316" max="2316" width="14.875" style="1" bestFit="1" customWidth="1"/>
    <col min="2317" max="2317" width="14.875" style="1" customWidth="1"/>
    <col min="2318" max="2318" width="14.875" style="1" bestFit="1" customWidth="1"/>
    <col min="2319" max="2319" width="14.75" style="1" bestFit="1" customWidth="1"/>
    <col min="2320" max="2320" width="13.625" style="1" bestFit="1" customWidth="1"/>
    <col min="2321" max="2321" width="16.375" style="1" bestFit="1" customWidth="1"/>
    <col min="2322" max="2322" width="15.875" style="1" customWidth="1"/>
    <col min="2323" max="2323" width="14.875" style="1" bestFit="1" customWidth="1"/>
    <col min="2324" max="2324" width="15.625" style="1" customWidth="1"/>
    <col min="2325" max="2325" width="16.25" style="1" customWidth="1"/>
    <col min="2326" max="2326" width="16.625" style="1" bestFit="1" customWidth="1"/>
    <col min="2327" max="2560" width="9" style="1"/>
    <col min="2561" max="2561" width="5.375" style="1" bestFit="1" customWidth="1"/>
    <col min="2562" max="2562" width="4.75" style="1" customWidth="1"/>
    <col min="2563" max="2563" width="17.625" style="1" customWidth="1"/>
    <col min="2564" max="2564" width="22.125" style="1" customWidth="1"/>
    <col min="2565" max="2565" width="17.5" style="1" customWidth="1"/>
    <col min="2566" max="2566" width="12" style="1" customWidth="1"/>
    <col min="2567" max="2567" width="40.75" style="1" customWidth="1"/>
    <col min="2568" max="2568" width="11.5" style="1" customWidth="1"/>
    <col min="2569" max="2569" width="11.375" style="1" bestFit="1" customWidth="1"/>
    <col min="2570" max="2570" width="12.5" style="1" customWidth="1"/>
    <col min="2571" max="2571" width="16.375" style="1" bestFit="1" customWidth="1"/>
    <col min="2572" max="2572" width="14.875" style="1" bestFit="1" customWidth="1"/>
    <col min="2573" max="2573" width="14.875" style="1" customWidth="1"/>
    <col min="2574" max="2574" width="14.875" style="1" bestFit="1" customWidth="1"/>
    <col min="2575" max="2575" width="14.75" style="1" bestFit="1" customWidth="1"/>
    <col min="2576" max="2576" width="13.625" style="1" bestFit="1" customWidth="1"/>
    <col min="2577" max="2577" width="16.375" style="1" bestFit="1" customWidth="1"/>
    <col min="2578" max="2578" width="15.875" style="1" customWidth="1"/>
    <col min="2579" max="2579" width="14.875" style="1" bestFit="1" customWidth="1"/>
    <col min="2580" max="2580" width="15.625" style="1" customWidth="1"/>
    <col min="2581" max="2581" width="16.25" style="1" customWidth="1"/>
    <col min="2582" max="2582" width="16.625" style="1" bestFit="1" customWidth="1"/>
    <col min="2583" max="2816" width="9" style="1"/>
    <col min="2817" max="2817" width="5.375" style="1" bestFit="1" customWidth="1"/>
    <col min="2818" max="2818" width="4.75" style="1" customWidth="1"/>
    <col min="2819" max="2819" width="17.625" style="1" customWidth="1"/>
    <col min="2820" max="2820" width="22.125" style="1" customWidth="1"/>
    <col min="2821" max="2821" width="17.5" style="1" customWidth="1"/>
    <col min="2822" max="2822" width="12" style="1" customWidth="1"/>
    <col min="2823" max="2823" width="40.75" style="1" customWidth="1"/>
    <col min="2824" max="2824" width="11.5" style="1" customWidth="1"/>
    <col min="2825" max="2825" width="11.375" style="1" bestFit="1" customWidth="1"/>
    <col min="2826" max="2826" width="12.5" style="1" customWidth="1"/>
    <col min="2827" max="2827" width="16.375" style="1" bestFit="1" customWidth="1"/>
    <col min="2828" max="2828" width="14.875" style="1" bestFit="1" customWidth="1"/>
    <col min="2829" max="2829" width="14.875" style="1" customWidth="1"/>
    <col min="2830" max="2830" width="14.875" style="1" bestFit="1" customWidth="1"/>
    <col min="2831" max="2831" width="14.75" style="1" bestFit="1" customWidth="1"/>
    <col min="2832" max="2832" width="13.625" style="1" bestFit="1" customWidth="1"/>
    <col min="2833" max="2833" width="16.375" style="1" bestFit="1" customWidth="1"/>
    <col min="2834" max="2834" width="15.875" style="1" customWidth="1"/>
    <col min="2835" max="2835" width="14.875" style="1" bestFit="1" customWidth="1"/>
    <col min="2836" max="2836" width="15.625" style="1" customWidth="1"/>
    <col min="2837" max="2837" width="16.25" style="1" customWidth="1"/>
    <col min="2838" max="2838" width="16.625" style="1" bestFit="1" customWidth="1"/>
    <col min="2839" max="3072" width="9" style="1"/>
    <col min="3073" max="3073" width="5.375" style="1" bestFit="1" customWidth="1"/>
    <col min="3074" max="3074" width="4.75" style="1" customWidth="1"/>
    <col min="3075" max="3075" width="17.625" style="1" customWidth="1"/>
    <col min="3076" max="3076" width="22.125" style="1" customWidth="1"/>
    <col min="3077" max="3077" width="17.5" style="1" customWidth="1"/>
    <col min="3078" max="3078" width="12" style="1" customWidth="1"/>
    <col min="3079" max="3079" width="40.75" style="1" customWidth="1"/>
    <col min="3080" max="3080" width="11.5" style="1" customWidth="1"/>
    <col min="3081" max="3081" width="11.375" style="1" bestFit="1" customWidth="1"/>
    <col min="3082" max="3082" width="12.5" style="1" customWidth="1"/>
    <col min="3083" max="3083" width="16.375" style="1" bestFit="1" customWidth="1"/>
    <col min="3084" max="3084" width="14.875" style="1" bestFit="1" customWidth="1"/>
    <col min="3085" max="3085" width="14.875" style="1" customWidth="1"/>
    <col min="3086" max="3086" width="14.875" style="1" bestFit="1" customWidth="1"/>
    <col min="3087" max="3087" width="14.75" style="1" bestFit="1" customWidth="1"/>
    <col min="3088" max="3088" width="13.625" style="1" bestFit="1" customWidth="1"/>
    <col min="3089" max="3089" width="16.375" style="1" bestFit="1" customWidth="1"/>
    <col min="3090" max="3090" width="15.875" style="1" customWidth="1"/>
    <col min="3091" max="3091" width="14.875" style="1" bestFit="1" customWidth="1"/>
    <col min="3092" max="3092" width="15.625" style="1" customWidth="1"/>
    <col min="3093" max="3093" width="16.25" style="1" customWidth="1"/>
    <col min="3094" max="3094" width="16.625" style="1" bestFit="1" customWidth="1"/>
    <col min="3095" max="3328" width="9" style="1"/>
    <col min="3329" max="3329" width="5.375" style="1" bestFit="1" customWidth="1"/>
    <col min="3330" max="3330" width="4.75" style="1" customWidth="1"/>
    <col min="3331" max="3331" width="17.625" style="1" customWidth="1"/>
    <col min="3332" max="3332" width="22.125" style="1" customWidth="1"/>
    <col min="3333" max="3333" width="17.5" style="1" customWidth="1"/>
    <col min="3334" max="3334" width="12" style="1" customWidth="1"/>
    <col min="3335" max="3335" width="40.75" style="1" customWidth="1"/>
    <col min="3336" max="3336" width="11.5" style="1" customWidth="1"/>
    <col min="3337" max="3337" width="11.375" style="1" bestFit="1" customWidth="1"/>
    <col min="3338" max="3338" width="12.5" style="1" customWidth="1"/>
    <col min="3339" max="3339" width="16.375" style="1" bestFit="1" customWidth="1"/>
    <col min="3340" max="3340" width="14.875" style="1" bestFit="1" customWidth="1"/>
    <col min="3341" max="3341" width="14.875" style="1" customWidth="1"/>
    <col min="3342" max="3342" width="14.875" style="1" bestFit="1" customWidth="1"/>
    <col min="3343" max="3343" width="14.75" style="1" bestFit="1" customWidth="1"/>
    <col min="3344" max="3344" width="13.625" style="1" bestFit="1" customWidth="1"/>
    <col min="3345" max="3345" width="16.375" style="1" bestFit="1" customWidth="1"/>
    <col min="3346" max="3346" width="15.875" style="1" customWidth="1"/>
    <col min="3347" max="3347" width="14.875" style="1" bestFit="1" customWidth="1"/>
    <col min="3348" max="3348" width="15.625" style="1" customWidth="1"/>
    <col min="3349" max="3349" width="16.25" style="1" customWidth="1"/>
    <col min="3350" max="3350" width="16.625" style="1" bestFit="1" customWidth="1"/>
    <col min="3351" max="3584" width="9" style="1"/>
    <col min="3585" max="3585" width="5.375" style="1" bestFit="1" customWidth="1"/>
    <col min="3586" max="3586" width="4.75" style="1" customWidth="1"/>
    <col min="3587" max="3587" width="17.625" style="1" customWidth="1"/>
    <col min="3588" max="3588" width="22.125" style="1" customWidth="1"/>
    <col min="3589" max="3589" width="17.5" style="1" customWidth="1"/>
    <col min="3590" max="3590" width="12" style="1" customWidth="1"/>
    <col min="3591" max="3591" width="40.75" style="1" customWidth="1"/>
    <col min="3592" max="3592" width="11.5" style="1" customWidth="1"/>
    <col min="3593" max="3593" width="11.375" style="1" bestFit="1" customWidth="1"/>
    <col min="3594" max="3594" width="12.5" style="1" customWidth="1"/>
    <col min="3595" max="3595" width="16.375" style="1" bestFit="1" customWidth="1"/>
    <col min="3596" max="3596" width="14.875" style="1" bestFit="1" customWidth="1"/>
    <col min="3597" max="3597" width="14.875" style="1" customWidth="1"/>
    <col min="3598" max="3598" width="14.875" style="1" bestFit="1" customWidth="1"/>
    <col min="3599" max="3599" width="14.75" style="1" bestFit="1" customWidth="1"/>
    <col min="3600" max="3600" width="13.625" style="1" bestFit="1" customWidth="1"/>
    <col min="3601" max="3601" width="16.375" style="1" bestFit="1" customWidth="1"/>
    <col min="3602" max="3602" width="15.875" style="1" customWidth="1"/>
    <col min="3603" max="3603" width="14.875" style="1" bestFit="1" customWidth="1"/>
    <col min="3604" max="3604" width="15.625" style="1" customWidth="1"/>
    <col min="3605" max="3605" width="16.25" style="1" customWidth="1"/>
    <col min="3606" max="3606" width="16.625" style="1" bestFit="1" customWidth="1"/>
    <col min="3607" max="3840" width="9" style="1"/>
    <col min="3841" max="3841" width="5.375" style="1" bestFit="1" customWidth="1"/>
    <col min="3842" max="3842" width="4.75" style="1" customWidth="1"/>
    <col min="3843" max="3843" width="17.625" style="1" customWidth="1"/>
    <col min="3844" max="3844" width="22.125" style="1" customWidth="1"/>
    <col min="3845" max="3845" width="17.5" style="1" customWidth="1"/>
    <col min="3846" max="3846" width="12" style="1" customWidth="1"/>
    <col min="3847" max="3847" width="40.75" style="1" customWidth="1"/>
    <col min="3848" max="3848" width="11.5" style="1" customWidth="1"/>
    <col min="3849" max="3849" width="11.375" style="1" bestFit="1" customWidth="1"/>
    <col min="3850" max="3850" width="12.5" style="1" customWidth="1"/>
    <col min="3851" max="3851" width="16.375" style="1" bestFit="1" customWidth="1"/>
    <col min="3852" max="3852" width="14.875" style="1" bestFit="1" customWidth="1"/>
    <col min="3853" max="3853" width="14.875" style="1" customWidth="1"/>
    <col min="3854" max="3854" width="14.875" style="1" bestFit="1" customWidth="1"/>
    <col min="3855" max="3855" width="14.75" style="1" bestFit="1" customWidth="1"/>
    <col min="3856" max="3856" width="13.625" style="1" bestFit="1" customWidth="1"/>
    <col min="3857" max="3857" width="16.375" style="1" bestFit="1" customWidth="1"/>
    <col min="3858" max="3858" width="15.875" style="1" customWidth="1"/>
    <col min="3859" max="3859" width="14.875" style="1" bestFit="1" customWidth="1"/>
    <col min="3860" max="3860" width="15.625" style="1" customWidth="1"/>
    <col min="3861" max="3861" width="16.25" style="1" customWidth="1"/>
    <col min="3862" max="3862" width="16.625" style="1" bestFit="1" customWidth="1"/>
    <col min="3863" max="4096" width="9" style="1"/>
    <col min="4097" max="4097" width="5.375" style="1" bestFit="1" customWidth="1"/>
    <col min="4098" max="4098" width="4.75" style="1" customWidth="1"/>
    <col min="4099" max="4099" width="17.625" style="1" customWidth="1"/>
    <col min="4100" max="4100" width="22.125" style="1" customWidth="1"/>
    <col min="4101" max="4101" width="17.5" style="1" customWidth="1"/>
    <col min="4102" max="4102" width="12" style="1" customWidth="1"/>
    <col min="4103" max="4103" width="40.75" style="1" customWidth="1"/>
    <col min="4104" max="4104" width="11.5" style="1" customWidth="1"/>
    <col min="4105" max="4105" width="11.375" style="1" bestFit="1" customWidth="1"/>
    <col min="4106" max="4106" width="12.5" style="1" customWidth="1"/>
    <col min="4107" max="4107" width="16.375" style="1" bestFit="1" customWidth="1"/>
    <col min="4108" max="4108" width="14.875" style="1" bestFit="1" customWidth="1"/>
    <col min="4109" max="4109" width="14.875" style="1" customWidth="1"/>
    <col min="4110" max="4110" width="14.875" style="1" bestFit="1" customWidth="1"/>
    <col min="4111" max="4111" width="14.75" style="1" bestFit="1" customWidth="1"/>
    <col min="4112" max="4112" width="13.625" style="1" bestFit="1" customWidth="1"/>
    <col min="4113" max="4113" width="16.375" style="1" bestFit="1" customWidth="1"/>
    <col min="4114" max="4114" width="15.875" style="1" customWidth="1"/>
    <col min="4115" max="4115" width="14.875" style="1" bestFit="1" customWidth="1"/>
    <col min="4116" max="4116" width="15.625" style="1" customWidth="1"/>
    <col min="4117" max="4117" width="16.25" style="1" customWidth="1"/>
    <col min="4118" max="4118" width="16.625" style="1" bestFit="1" customWidth="1"/>
    <col min="4119" max="4352" width="9" style="1"/>
    <col min="4353" max="4353" width="5.375" style="1" bestFit="1" customWidth="1"/>
    <col min="4354" max="4354" width="4.75" style="1" customWidth="1"/>
    <col min="4355" max="4355" width="17.625" style="1" customWidth="1"/>
    <col min="4356" max="4356" width="22.125" style="1" customWidth="1"/>
    <col min="4357" max="4357" width="17.5" style="1" customWidth="1"/>
    <col min="4358" max="4358" width="12" style="1" customWidth="1"/>
    <col min="4359" max="4359" width="40.75" style="1" customWidth="1"/>
    <col min="4360" max="4360" width="11.5" style="1" customWidth="1"/>
    <col min="4361" max="4361" width="11.375" style="1" bestFit="1" customWidth="1"/>
    <col min="4362" max="4362" width="12.5" style="1" customWidth="1"/>
    <col min="4363" max="4363" width="16.375" style="1" bestFit="1" customWidth="1"/>
    <col min="4364" max="4364" width="14.875" style="1" bestFit="1" customWidth="1"/>
    <col min="4365" max="4365" width="14.875" style="1" customWidth="1"/>
    <col min="4366" max="4366" width="14.875" style="1" bestFit="1" customWidth="1"/>
    <col min="4367" max="4367" width="14.75" style="1" bestFit="1" customWidth="1"/>
    <col min="4368" max="4368" width="13.625" style="1" bestFit="1" customWidth="1"/>
    <col min="4369" max="4369" width="16.375" style="1" bestFit="1" customWidth="1"/>
    <col min="4370" max="4370" width="15.875" style="1" customWidth="1"/>
    <col min="4371" max="4371" width="14.875" style="1" bestFit="1" customWidth="1"/>
    <col min="4372" max="4372" width="15.625" style="1" customWidth="1"/>
    <col min="4373" max="4373" width="16.25" style="1" customWidth="1"/>
    <col min="4374" max="4374" width="16.625" style="1" bestFit="1" customWidth="1"/>
    <col min="4375" max="4608" width="9" style="1"/>
    <col min="4609" max="4609" width="5.375" style="1" bestFit="1" customWidth="1"/>
    <col min="4610" max="4610" width="4.75" style="1" customWidth="1"/>
    <col min="4611" max="4611" width="17.625" style="1" customWidth="1"/>
    <col min="4612" max="4612" width="22.125" style="1" customWidth="1"/>
    <col min="4613" max="4613" width="17.5" style="1" customWidth="1"/>
    <col min="4614" max="4614" width="12" style="1" customWidth="1"/>
    <col min="4615" max="4615" width="40.75" style="1" customWidth="1"/>
    <col min="4616" max="4616" width="11.5" style="1" customWidth="1"/>
    <col min="4617" max="4617" width="11.375" style="1" bestFit="1" customWidth="1"/>
    <col min="4618" max="4618" width="12.5" style="1" customWidth="1"/>
    <col min="4619" max="4619" width="16.375" style="1" bestFit="1" customWidth="1"/>
    <col min="4620" max="4620" width="14.875" style="1" bestFit="1" customWidth="1"/>
    <col min="4621" max="4621" width="14.875" style="1" customWidth="1"/>
    <col min="4622" max="4622" width="14.875" style="1" bestFit="1" customWidth="1"/>
    <col min="4623" max="4623" width="14.75" style="1" bestFit="1" customWidth="1"/>
    <col min="4624" max="4624" width="13.625" style="1" bestFit="1" customWidth="1"/>
    <col min="4625" max="4625" width="16.375" style="1" bestFit="1" customWidth="1"/>
    <col min="4626" max="4626" width="15.875" style="1" customWidth="1"/>
    <col min="4627" max="4627" width="14.875" style="1" bestFit="1" customWidth="1"/>
    <col min="4628" max="4628" width="15.625" style="1" customWidth="1"/>
    <col min="4629" max="4629" width="16.25" style="1" customWidth="1"/>
    <col min="4630" max="4630" width="16.625" style="1" bestFit="1" customWidth="1"/>
    <col min="4631" max="4864" width="9" style="1"/>
    <col min="4865" max="4865" width="5.375" style="1" bestFit="1" customWidth="1"/>
    <col min="4866" max="4866" width="4.75" style="1" customWidth="1"/>
    <col min="4867" max="4867" width="17.625" style="1" customWidth="1"/>
    <col min="4868" max="4868" width="22.125" style="1" customWidth="1"/>
    <col min="4869" max="4869" width="17.5" style="1" customWidth="1"/>
    <col min="4870" max="4870" width="12" style="1" customWidth="1"/>
    <col min="4871" max="4871" width="40.75" style="1" customWidth="1"/>
    <col min="4872" max="4872" width="11.5" style="1" customWidth="1"/>
    <col min="4873" max="4873" width="11.375" style="1" bestFit="1" customWidth="1"/>
    <col min="4874" max="4874" width="12.5" style="1" customWidth="1"/>
    <col min="4875" max="4875" width="16.375" style="1" bestFit="1" customWidth="1"/>
    <col min="4876" max="4876" width="14.875" style="1" bestFit="1" customWidth="1"/>
    <col min="4877" max="4877" width="14.875" style="1" customWidth="1"/>
    <col min="4878" max="4878" width="14.875" style="1" bestFit="1" customWidth="1"/>
    <col min="4879" max="4879" width="14.75" style="1" bestFit="1" customWidth="1"/>
    <col min="4880" max="4880" width="13.625" style="1" bestFit="1" customWidth="1"/>
    <col min="4881" max="4881" width="16.375" style="1" bestFit="1" customWidth="1"/>
    <col min="4882" max="4882" width="15.875" style="1" customWidth="1"/>
    <col min="4883" max="4883" width="14.875" style="1" bestFit="1" customWidth="1"/>
    <col min="4884" max="4884" width="15.625" style="1" customWidth="1"/>
    <col min="4885" max="4885" width="16.25" style="1" customWidth="1"/>
    <col min="4886" max="4886" width="16.625" style="1" bestFit="1" customWidth="1"/>
    <col min="4887" max="5120" width="9" style="1"/>
    <col min="5121" max="5121" width="5.375" style="1" bestFit="1" customWidth="1"/>
    <col min="5122" max="5122" width="4.75" style="1" customWidth="1"/>
    <col min="5123" max="5123" width="17.625" style="1" customWidth="1"/>
    <col min="5124" max="5124" width="22.125" style="1" customWidth="1"/>
    <col min="5125" max="5125" width="17.5" style="1" customWidth="1"/>
    <col min="5126" max="5126" width="12" style="1" customWidth="1"/>
    <col min="5127" max="5127" width="40.75" style="1" customWidth="1"/>
    <col min="5128" max="5128" width="11.5" style="1" customWidth="1"/>
    <col min="5129" max="5129" width="11.375" style="1" bestFit="1" customWidth="1"/>
    <col min="5130" max="5130" width="12.5" style="1" customWidth="1"/>
    <col min="5131" max="5131" width="16.375" style="1" bestFit="1" customWidth="1"/>
    <col min="5132" max="5132" width="14.875" style="1" bestFit="1" customWidth="1"/>
    <col min="5133" max="5133" width="14.875" style="1" customWidth="1"/>
    <col min="5134" max="5134" width="14.875" style="1" bestFit="1" customWidth="1"/>
    <col min="5135" max="5135" width="14.75" style="1" bestFit="1" customWidth="1"/>
    <col min="5136" max="5136" width="13.625" style="1" bestFit="1" customWidth="1"/>
    <col min="5137" max="5137" width="16.375" style="1" bestFit="1" customWidth="1"/>
    <col min="5138" max="5138" width="15.875" style="1" customWidth="1"/>
    <col min="5139" max="5139" width="14.875" style="1" bestFit="1" customWidth="1"/>
    <col min="5140" max="5140" width="15.625" style="1" customWidth="1"/>
    <col min="5141" max="5141" width="16.25" style="1" customWidth="1"/>
    <col min="5142" max="5142" width="16.625" style="1" bestFit="1" customWidth="1"/>
    <col min="5143" max="5376" width="9" style="1"/>
    <col min="5377" max="5377" width="5.375" style="1" bestFit="1" customWidth="1"/>
    <col min="5378" max="5378" width="4.75" style="1" customWidth="1"/>
    <col min="5379" max="5379" width="17.625" style="1" customWidth="1"/>
    <col min="5380" max="5380" width="22.125" style="1" customWidth="1"/>
    <col min="5381" max="5381" width="17.5" style="1" customWidth="1"/>
    <col min="5382" max="5382" width="12" style="1" customWidth="1"/>
    <col min="5383" max="5383" width="40.75" style="1" customWidth="1"/>
    <col min="5384" max="5384" width="11.5" style="1" customWidth="1"/>
    <col min="5385" max="5385" width="11.375" style="1" bestFit="1" customWidth="1"/>
    <col min="5386" max="5386" width="12.5" style="1" customWidth="1"/>
    <col min="5387" max="5387" width="16.375" style="1" bestFit="1" customWidth="1"/>
    <col min="5388" max="5388" width="14.875" style="1" bestFit="1" customWidth="1"/>
    <col min="5389" max="5389" width="14.875" style="1" customWidth="1"/>
    <col min="5390" max="5390" width="14.875" style="1" bestFit="1" customWidth="1"/>
    <col min="5391" max="5391" width="14.75" style="1" bestFit="1" customWidth="1"/>
    <col min="5392" max="5392" width="13.625" style="1" bestFit="1" customWidth="1"/>
    <col min="5393" max="5393" width="16.375" style="1" bestFit="1" customWidth="1"/>
    <col min="5394" max="5394" width="15.875" style="1" customWidth="1"/>
    <col min="5395" max="5395" width="14.875" style="1" bestFit="1" customWidth="1"/>
    <col min="5396" max="5396" width="15.625" style="1" customWidth="1"/>
    <col min="5397" max="5397" width="16.25" style="1" customWidth="1"/>
    <col min="5398" max="5398" width="16.625" style="1" bestFit="1" customWidth="1"/>
    <col min="5399" max="5632" width="9" style="1"/>
    <col min="5633" max="5633" width="5.375" style="1" bestFit="1" customWidth="1"/>
    <col min="5634" max="5634" width="4.75" style="1" customWidth="1"/>
    <col min="5635" max="5635" width="17.625" style="1" customWidth="1"/>
    <col min="5636" max="5636" width="22.125" style="1" customWidth="1"/>
    <col min="5637" max="5637" width="17.5" style="1" customWidth="1"/>
    <col min="5638" max="5638" width="12" style="1" customWidth="1"/>
    <col min="5639" max="5639" width="40.75" style="1" customWidth="1"/>
    <col min="5640" max="5640" width="11.5" style="1" customWidth="1"/>
    <col min="5641" max="5641" width="11.375" style="1" bestFit="1" customWidth="1"/>
    <col min="5642" max="5642" width="12.5" style="1" customWidth="1"/>
    <col min="5643" max="5643" width="16.375" style="1" bestFit="1" customWidth="1"/>
    <col min="5644" max="5644" width="14.875" style="1" bestFit="1" customWidth="1"/>
    <col min="5645" max="5645" width="14.875" style="1" customWidth="1"/>
    <col min="5646" max="5646" width="14.875" style="1" bestFit="1" customWidth="1"/>
    <col min="5647" max="5647" width="14.75" style="1" bestFit="1" customWidth="1"/>
    <col min="5648" max="5648" width="13.625" style="1" bestFit="1" customWidth="1"/>
    <col min="5649" max="5649" width="16.375" style="1" bestFit="1" customWidth="1"/>
    <col min="5650" max="5650" width="15.875" style="1" customWidth="1"/>
    <col min="5651" max="5651" width="14.875" style="1" bestFit="1" customWidth="1"/>
    <col min="5652" max="5652" width="15.625" style="1" customWidth="1"/>
    <col min="5653" max="5653" width="16.25" style="1" customWidth="1"/>
    <col min="5654" max="5654" width="16.625" style="1" bestFit="1" customWidth="1"/>
    <col min="5655" max="5888" width="9" style="1"/>
    <col min="5889" max="5889" width="5.375" style="1" bestFit="1" customWidth="1"/>
    <col min="5890" max="5890" width="4.75" style="1" customWidth="1"/>
    <col min="5891" max="5891" width="17.625" style="1" customWidth="1"/>
    <col min="5892" max="5892" width="22.125" style="1" customWidth="1"/>
    <col min="5893" max="5893" width="17.5" style="1" customWidth="1"/>
    <col min="5894" max="5894" width="12" style="1" customWidth="1"/>
    <col min="5895" max="5895" width="40.75" style="1" customWidth="1"/>
    <col min="5896" max="5896" width="11.5" style="1" customWidth="1"/>
    <col min="5897" max="5897" width="11.375" style="1" bestFit="1" customWidth="1"/>
    <col min="5898" max="5898" width="12.5" style="1" customWidth="1"/>
    <col min="5899" max="5899" width="16.375" style="1" bestFit="1" customWidth="1"/>
    <col min="5900" max="5900" width="14.875" style="1" bestFit="1" customWidth="1"/>
    <col min="5901" max="5901" width="14.875" style="1" customWidth="1"/>
    <col min="5902" max="5902" width="14.875" style="1" bestFit="1" customWidth="1"/>
    <col min="5903" max="5903" width="14.75" style="1" bestFit="1" customWidth="1"/>
    <col min="5904" max="5904" width="13.625" style="1" bestFit="1" customWidth="1"/>
    <col min="5905" max="5905" width="16.375" style="1" bestFit="1" customWidth="1"/>
    <col min="5906" max="5906" width="15.875" style="1" customWidth="1"/>
    <col min="5907" max="5907" width="14.875" style="1" bestFit="1" customWidth="1"/>
    <col min="5908" max="5908" width="15.625" style="1" customWidth="1"/>
    <col min="5909" max="5909" width="16.25" style="1" customWidth="1"/>
    <col min="5910" max="5910" width="16.625" style="1" bestFit="1" customWidth="1"/>
    <col min="5911" max="6144" width="9" style="1"/>
    <col min="6145" max="6145" width="5.375" style="1" bestFit="1" customWidth="1"/>
    <col min="6146" max="6146" width="4.75" style="1" customWidth="1"/>
    <col min="6147" max="6147" width="17.625" style="1" customWidth="1"/>
    <col min="6148" max="6148" width="22.125" style="1" customWidth="1"/>
    <col min="6149" max="6149" width="17.5" style="1" customWidth="1"/>
    <col min="6150" max="6150" width="12" style="1" customWidth="1"/>
    <col min="6151" max="6151" width="40.75" style="1" customWidth="1"/>
    <col min="6152" max="6152" width="11.5" style="1" customWidth="1"/>
    <col min="6153" max="6153" width="11.375" style="1" bestFit="1" customWidth="1"/>
    <col min="6154" max="6154" width="12.5" style="1" customWidth="1"/>
    <col min="6155" max="6155" width="16.375" style="1" bestFit="1" customWidth="1"/>
    <col min="6156" max="6156" width="14.875" style="1" bestFit="1" customWidth="1"/>
    <col min="6157" max="6157" width="14.875" style="1" customWidth="1"/>
    <col min="6158" max="6158" width="14.875" style="1" bestFit="1" customWidth="1"/>
    <col min="6159" max="6159" width="14.75" style="1" bestFit="1" customWidth="1"/>
    <col min="6160" max="6160" width="13.625" style="1" bestFit="1" customWidth="1"/>
    <col min="6161" max="6161" width="16.375" style="1" bestFit="1" customWidth="1"/>
    <col min="6162" max="6162" width="15.875" style="1" customWidth="1"/>
    <col min="6163" max="6163" width="14.875" style="1" bestFit="1" customWidth="1"/>
    <col min="6164" max="6164" width="15.625" style="1" customWidth="1"/>
    <col min="6165" max="6165" width="16.25" style="1" customWidth="1"/>
    <col min="6166" max="6166" width="16.625" style="1" bestFit="1" customWidth="1"/>
    <col min="6167" max="6400" width="9" style="1"/>
    <col min="6401" max="6401" width="5.375" style="1" bestFit="1" customWidth="1"/>
    <col min="6402" max="6402" width="4.75" style="1" customWidth="1"/>
    <col min="6403" max="6403" width="17.625" style="1" customWidth="1"/>
    <col min="6404" max="6404" width="22.125" style="1" customWidth="1"/>
    <col min="6405" max="6405" width="17.5" style="1" customWidth="1"/>
    <col min="6406" max="6406" width="12" style="1" customWidth="1"/>
    <col min="6407" max="6407" width="40.75" style="1" customWidth="1"/>
    <col min="6408" max="6408" width="11.5" style="1" customWidth="1"/>
    <col min="6409" max="6409" width="11.375" style="1" bestFit="1" customWidth="1"/>
    <col min="6410" max="6410" width="12.5" style="1" customWidth="1"/>
    <col min="6411" max="6411" width="16.375" style="1" bestFit="1" customWidth="1"/>
    <col min="6412" max="6412" width="14.875" style="1" bestFit="1" customWidth="1"/>
    <col min="6413" max="6413" width="14.875" style="1" customWidth="1"/>
    <col min="6414" max="6414" width="14.875" style="1" bestFit="1" customWidth="1"/>
    <col min="6415" max="6415" width="14.75" style="1" bestFit="1" customWidth="1"/>
    <col min="6416" max="6416" width="13.625" style="1" bestFit="1" customWidth="1"/>
    <col min="6417" max="6417" width="16.375" style="1" bestFit="1" customWidth="1"/>
    <col min="6418" max="6418" width="15.875" style="1" customWidth="1"/>
    <col min="6419" max="6419" width="14.875" style="1" bestFit="1" customWidth="1"/>
    <col min="6420" max="6420" width="15.625" style="1" customWidth="1"/>
    <col min="6421" max="6421" width="16.25" style="1" customWidth="1"/>
    <col min="6422" max="6422" width="16.625" style="1" bestFit="1" customWidth="1"/>
    <col min="6423" max="6656" width="9" style="1"/>
    <col min="6657" max="6657" width="5.375" style="1" bestFit="1" customWidth="1"/>
    <col min="6658" max="6658" width="4.75" style="1" customWidth="1"/>
    <col min="6659" max="6659" width="17.625" style="1" customWidth="1"/>
    <col min="6660" max="6660" width="22.125" style="1" customWidth="1"/>
    <col min="6661" max="6661" width="17.5" style="1" customWidth="1"/>
    <col min="6662" max="6662" width="12" style="1" customWidth="1"/>
    <col min="6663" max="6663" width="40.75" style="1" customWidth="1"/>
    <col min="6664" max="6664" width="11.5" style="1" customWidth="1"/>
    <col min="6665" max="6665" width="11.375" style="1" bestFit="1" customWidth="1"/>
    <col min="6666" max="6666" width="12.5" style="1" customWidth="1"/>
    <col min="6667" max="6667" width="16.375" style="1" bestFit="1" customWidth="1"/>
    <col min="6668" max="6668" width="14.875" style="1" bestFit="1" customWidth="1"/>
    <col min="6669" max="6669" width="14.875" style="1" customWidth="1"/>
    <col min="6670" max="6670" width="14.875" style="1" bestFit="1" customWidth="1"/>
    <col min="6671" max="6671" width="14.75" style="1" bestFit="1" customWidth="1"/>
    <col min="6672" max="6672" width="13.625" style="1" bestFit="1" customWidth="1"/>
    <col min="6673" max="6673" width="16.375" style="1" bestFit="1" customWidth="1"/>
    <col min="6674" max="6674" width="15.875" style="1" customWidth="1"/>
    <col min="6675" max="6675" width="14.875" style="1" bestFit="1" customWidth="1"/>
    <col min="6676" max="6676" width="15.625" style="1" customWidth="1"/>
    <col min="6677" max="6677" width="16.25" style="1" customWidth="1"/>
    <col min="6678" max="6678" width="16.625" style="1" bestFit="1" customWidth="1"/>
    <col min="6679" max="6912" width="9" style="1"/>
    <col min="6913" max="6913" width="5.375" style="1" bestFit="1" customWidth="1"/>
    <col min="6914" max="6914" width="4.75" style="1" customWidth="1"/>
    <col min="6915" max="6915" width="17.625" style="1" customWidth="1"/>
    <col min="6916" max="6916" width="22.125" style="1" customWidth="1"/>
    <col min="6917" max="6917" width="17.5" style="1" customWidth="1"/>
    <col min="6918" max="6918" width="12" style="1" customWidth="1"/>
    <col min="6919" max="6919" width="40.75" style="1" customWidth="1"/>
    <col min="6920" max="6920" width="11.5" style="1" customWidth="1"/>
    <col min="6921" max="6921" width="11.375" style="1" bestFit="1" customWidth="1"/>
    <col min="6922" max="6922" width="12.5" style="1" customWidth="1"/>
    <col min="6923" max="6923" width="16.375" style="1" bestFit="1" customWidth="1"/>
    <col min="6924" max="6924" width="14.875" style="1" bestFit="1" customWidth="1"/>
    <col min="6925" max="6925" width="14.875" style="1" customWidth="1"/>
    <col min="6926" max="6926" width="14.875" style="1" bestFit="1" customWidth="1"/>
    <col min="6927" max="6927" width="14.75" style="1" bestFit="1" customWidth="1"/>
    <col min="6928" max="6928" width="13.625" style="1" bestFit="1" customWidth="1"/>
    <col min="6929" max="6929" width="16.375" style="1" bestFit="1" customWidth="1"/>
    <col min="6930" max="6930" width="15.875" style="1" customWidth="1"/>
    <col min="6931" max="6931" width="14.875" style="1" bestFit="1" customWidth="1"/>
    <col min="6932" max="6932" width="15.625" style="1" customWidth="1"/>
    <col min="6933" max="6933" width="16.25" style="1" customWidth="1"/>
    <col min="6934" max="6934" width="16.625" style="1" bestFit="1" customWidth="1"/>
    <col min="6935" max="7168" width="9" style="1"/>
    <col min="7169" max="7169" width="5.375" style="1" bestFit="1" customWidth="1"/>
    <col min="7170" max="7170" width="4.75" style="1" customWidth="1"/>
    <col min="7171" max="7171" width="17.625" style="1" customWidth="1"/>
    <col min="7172" max="7172" width="22.125" style="1" customWidth="1"/>
    <col min="7173" max="7173" width="17.5" style="1" customWidth="1"/>
    <col min="7174" max="7174" width="12" style="1" customWidth="1"/>
    <col min="7175" max="7175" width="40.75" style="1" customWidth="1"/>
    <col min="7176" max="7176" width="11.5" style="1" customWidth="1"/>
    <col min="7177" max="7177" width="11.375" style="1" bestFit="1" customWidth="1"/>
    <col min="7178" max="7178" width="12.5" style="1" customWidth="1"/>
    <col min="7179" max="7179" width="16.375" style="1" bestFit="1" customWidth="1"/>
    <col min="7180" max="7180" width="14.875" style="1" bestFit="1" customWidth="1"/>
    <col min="7181" max="7181" width="14.875" style="1" customWidth="1"/>
    <col min="7182" max="7182" width="14.875" style="1" bestFit="1" customWidth="1"/>
    <col min="7183" max="7183" width="14.75" style="1" bestFit="1" customWidth="1"/>
    <col min="7184" max="7184" width="13.625" style="1" bestFit="1" customWidth="1"/>
    <col min="7185" max="7185" width="16.375" style="1" bestFit="1" customWidth="1"/>
    <col min="7186" max="7186" width="15.875" style="1" customWidth="1"/>
    <col min="7187" max="7187" width="14.875" style="1" bestFit="1" customWidth="1"/>
    <col min="7188" max="7188" width="15.625" style="1" customWidth="1"/>
    <col min="7189" max="7189" width="16.25" style="1" customWidth="1"/>
    <col min="7190" max="7190" width="16.625" style="1" bestFit="1" customWidth="1"/>
    <col min="7191" max="7424" width="9" style="1"/>
    <col min="7425" max="7425" width="5.375" style="1" bestFit="1" customWidth="1"/>
    <col min="7426" max="7426" width="4.75" style="1" customWidth="1"/>
    <col min="7427" max="7427" width="17.625" style="1" customWidth="1"/>
    <col min="7428" max="7428" width="22.125" style="1" customWidth="1"/>
    <col min="7429" max="7429" width="17.5" style="1" customWidth="1"/>
    <col min="7430" max="7430" width="12" style="1" customWidth="1"/>
    <col min="7431" max="7431" width="40.75" style="1" customWidth="1"/>
    <col min="7432" max="7432" width="11.5" style="1" customWidth="1"/>
    <col min="7433" max="7433" width="11.375" style="1" bestFit="1" customWidth="1"/>
    <col min="7434" max="7434" width="12.5" style="1" customWidth="1"/>
    <col min="7435" max="7435" width="16.375" style="1" bestFit="1" customWidth="1"/>
    <col min="7436" max="7436" width="14.875" style="1" bestFit="1" customWidth="1"/>
    <col min="7437" max="7437" width="14.875" style="1" customWidth="1"/>
    <col min="7438" max="7438" width="14.875" style="1" bestFit="1" customWidth="1"/>
    <col min="7439" max="7439" width="14.75" style="1" bestFit="1" customWidth="1"/>
    <col min="7440" max="7440" width="13.625" style="1" bestFit="1" customWidth="1"/>
    <col min="7441" max="7441" width="16.375" style="1" bestFit="1" customWidth="1"/>
    <col min="7442" max="7442" width="15.875" style="1" customWidth="1"/>
    <col min="7443" max="7443" width="14.875" style="1" bestFit="1" customWidth="1"/>
    <col min="7444" max="7444" width="15.625" style="1" customWidth="1"/>
    <col min="7445" max="7445" width="16.25" style="1" customWidth="1"/>
    <col min="7446" max="7446" width="16.625" style="1" bestFit="1" customWidth="1"/>
    <col min="7447" max="7680" width="9" style="1"/>
    <col min="7681" max="7681" width="5.375" style="1" bestFit="1" customWidth="1"/>
    <col min="7682" max="7682" width="4.75" style="1" customWidth="1"/>
    <col min="7683" max="7683" width="17.625" style="1" customWidth="1"/>
    <col min="7684" max="7684" width="22.125" style="1" customWidth="1"/>
    <col min="7685" max="7685" width="17.5" style="1" customWidth="1"/>
    <col min="7686" max="7686" width="12" style="1" customWidth="1"/>
    <col min="7687" max="7687" width="40.75" style="1" customWidth="1"/>
    <col min="7688" max="7688" width="11.5" style="1" customWidth="1"/>
    <col min="7689" max="7689" width="11.375" style="1" bestFit="1" customWidth="1"/>
    <col min="7690" max="7690" width="12.5" style="1" customWidth="1"/>
    <col min="7691" max="7691" width="16.375" style="1" bestFit="1" customWidth="1"/>
    <col min="7692" max="7692" width="14.875" style="1" bestFit="1" customWidth="1"/>
    <col min="7693" max="7693" width="14.875" style="1" customWidth="1"/>
    <col min="7694" max="7694" width="14.875" style="1" bestFit="1" customWidth="1"/>
    <col min="7695" max="7695" width="14.75" style="1" bestFit="1" customWidth="1"/>
    <col min="7696" max="7696" width="13.625" style="1" bestFit="1" customWidth="1"/>
    <col min="7697" max="7697" width="16.375" style="1" bestFit="1" customWidth="1"/>
    <col min="7698" max="7698" width="15.875" style="1" customWidth="1"/>
    <col min="7699" max="7699" width="14.875" style="1" bestFit="1" customWidth="1"/>
    <col min="7700" max="7700" width="15.625" style="1" customWidth="1"/>
    <col min="7701" max="7701" width="16.25" style="1" customWidth="1"/>
    <col min="7702" max="7702" width="16.625" style="1" bestFit="1" customWidth="1"/>
    <col min="7703" max="7936" width="9" style="1"/>
    <col min="7937" max="7937" width="5.375" style="1" bestFit="1" customWidth="1"/>
    <col min="7938" max="7938" width="4.75" style="1" customWidth="1"/>
    <col min="7939" max="7939" width="17.625" style="1" customWidth="1"/>
    <col min="7940" max="7940" width="22.125" style="1" customWidth="1"/>
    <col min="7941" max="7941" width="17.5" style="1" customWidth="1"/>
    <col min="7942" max="7942" width="12" style="1" customWidth="1"/>
    <col min="7943" max="7943" width="40.75" style="1" customWidth="1"/>
    <col min="7944" max="7944" width="11.5" style="1" customWidth="1"/>
    <col min="7945" max="7945" width="11.375" style="1" bestFit="1" customWidth="1"/>
    <col min="7946" max="7946" width="12.5" style="1" customWidth="1"/>
    <col min="7947" max="7947" width="16.375" style="1" bestFit="1" customWidth="1"/>
    <col min="7948" max="7948" width="14.875" style="1" bestFit="1" customWidth="1"/>
    <col min="7949" max="7949" width="14.875" style="1" customWidth="1"/>
    <col min="7950" max="7950" width="14.875" style="1" bestFit="1" customWidth="1"/>
    <col min="7951" max="7951" width="14.75" style="1" bestFit="1" customWidth="1"/>
    <col min="7952" max="7952" width="13.625" style="1" bestFit="1" customWidth="1"/>
    <col min="7953" max="7953" width="16.375" style="1" bestFit="1" customWidth="1"/>
    <col min="7954" max="7954" width="15.875" style="1" customWidth="1"/>
    <col min="7955" max="7955" width="14.875" style="1" bestFit="1" customWidth="1"/>
    <col min="7956" max="7956" width="15.625" style="1" customWidth="1"/>
    <col min="7957" max="7957" width="16.25" style="1" customWidth="1"/>
    <col min="7958" max="7958" width="16.625" style="1" bestFit="1" customWidth="1"/>
    <col min="7959" max="8192" width="9" style="1"/>
    <col min="8193" max="8193" width="5.375" style="1" bestFit="1" customWidth="1"/>
    <col min="8194" max="8194" width="4.75" style="1" customWidth="1"/>
    <col min="8195" max="8195" width="17.625" style="1" customWidth="1"/>
    <col min="8196" max="8196" width="22.125" style="1" customWidth="1"/>
    <col min="8197" max="8197" width="17.5" style="1" customWidth="1"/>
    <col min="8198" max="8198" width="12" style="1" customWidth="1"/>
    <col min="8199" max="8199" width="40.75" style="1" customWidth="1"/>
    <col min="8200" max="8200" width="11.5" style="1" customWidth="1"/>
    <col min="8201" max="8201" width="11.375" style="1" bestFit="1" customWidth="1"/>
    <col min="8202" max="8202" width="12.5" style="1" customWidth="1"/>
    <col min="8203" max="8203" width="16.375" style="1" bestFit="1" customWidth="1"/>
    <col min="8204" max="8204" width="14.875" style="1" bestFit="1" customWidth="1"/>
    <col min="8205" max="8205" width="14.875" style="1" customWidth="1"/>
    <col min="8206" max="8206" width="14.875" style="1" bestFit="1" customWidth="1"/>
    <col min="8207" max="8207" width="14.75" style="1" bestFit="1" customWidth="1"/>
    <col min="8208" max="8208" width="13.625" style="1" bestFit="1" customWidth="1"/>
    <col min="8209" max="8209" width="16.375" style="1" bestFit="1" customWidth="1"/>
    <col min="8210" max="8210" width="15.875" style="1" customWidth="1"/>
    <col min="8211" max="8211" width="14.875" style="1" bestFit="1" customWidth="1"/>
    <col min="8212" max="8212" width="15.625" style="1" customWidth="1"/>
    <col min="8213" max="8213" width="16.25" style="1" customWidth="1"/>
    <col min="8214" max="8214" width="16.625" style="1" bestFit="1" customWidth="1"/>
    <col min="8215" max="8448" width="9" style="1"/>
    <col min="8449" max="8449" width="5.375" style="1" bestFit="1" customWidth="1"/>
    <col min="8450" max="8450" width="4.75" style="1" customWidth="1"/>
    <col min="8451" max="8451" width="17.625" style="1" customWidth="1"/>
    <col min="8452" max="8452" width="22.125" style="1" customWidth="1"/>
    <col min="8453" max="8453" width="17.5" style="1" customWidth="1"/>
    <col min="8454" max="8454" width="12" style="1" customWidth="1"/>
    <col min="8455" max="8455" width="40.75" style="1" customWidth="1"/>
    <col min="8456" max="8456" width="11.5" style="1" customWidth="1"/>
    <col min="8457" max="8457" width="11.375" style="1" bestFit="1" customWidth="1"/>
    <col min="8458" max="8458" width="12.5" style="1" customWidth="1"/>
    <col min="8459" max="8459" width="16.375" style="1" bestFit="1" customWidth="1"/>
    <col min="8460" max="8460" width="14.875" style="1" bestFit="1" customWidth="1"/>
    <col min="8461" max="8461" width="14.875" style="1" customWidth="1"/>
    <col min="8462" max="8462" width="14.875" style="1" bestFit="1" customWidth="1"/>
    <col min="8463" max="8463" width="14.75" style="1" bestFit="1" customWidth="1"/>
    <col min="8464" max="8464" width="13.625" style="1" bestFit="1" customWidth="1"/>
    <col min="8465" max="8465" width="16.375" style="1" bestFit="1" customWidth="1"/>
    <col min="8466" max="8466" width="15.875" style="1" customWidth="1"/>
    <col min="8467" max="8467" width="14.875" style="1" bestFit="1" customWidth="1"/>
    <col min="8468" max="8468" width="15.625" style="1" customWidth="1"/>
    <col min="8469" max="8469" width="16.25" style="1" customWidth="1"/>
    <col min="8470" max="8470" width="16.625" style="1" bestFit="1" customWidth="1"/>
    <col min="8471" max="8704" width="9" style="1"/>
    <col min="8705" max="8705" width="5.375" style="1" bestFit="1" customWidth="1"/>
    <col min="8706" max="8706" width="4.75" style="1" customWidth="1"/>
    <col min="8707" max="8707" width="17.625" style="1" customWidth="1"/>
    <col min="8708" max="8708" width="22.125" style="1" customWidth="1"/>
    <col min="8709" max="8709" width="17.5" style="1" customWidth="1"/>
    <col min="8710" max="8710" width="12" style="1" customWidth="1"/>
    <col min="8711" max="8711" width="40.75" style="1" customWidth="1"/>
    <col min="8712" max="8712" width="11.5" style="1" customWidth="1"/>
    <col min="8713" max="8713" width="11.375" style="1" bestFit="1" customWidth="1"/>
    <col min="8714" max="8714" width="12.5" style="1" customWidth="1"/>
    <col min="8715" max="8715" width="16.375" style="1" bestFit="1" customWidth="1"/>
    <col min="8716" max="8716" width="14.875" style="1" bestFit="1" customWidth="1"/>
    <col min="8717" max="8717" width="14.875" style="1" customWidth="1"/>
    <col min="8718" max="8718" width="14.875" style="1" bestFit="1" customWidth="1"/>
    <col min="8719" max="8719" width="14.75" style="1" bestFit="1" customWidth="1"/>
    <col min="8720" max="8720" width="13.625" style="1" bestFit="1" customWidth="1"/>
    <col min="8721" max="8721" width="16.375" style="1" bestFit="1" customWidth="1"/>
    <col min="8722" max="8722" width="15.875" style="1" customWidth="1"/>
    <col min="8723" max="8723" width="14.875" style="1" bestFit="1" customWidth="1"/>
    <col min="8724" max="8724" width="15.625" style="1" customWidth="1"/>
    <col min="8725" max="8725" width="16.25" style="1" customWidth="1"/>
    <col min="8726" max="8726" width="16.625" style="1" bestFit="1" customWidth="1"/>
    <col min="8727" max="8960" width="9" style="1"/>
    <col min="8961" max="8961" width="5.375" style="1" bestFit="1" customWidth="1"/>
    <col min="8962" max="8962" width="4.75" style="1" customWidth="1"/>
    <col min="8963" max="8963" width="17.625" style="1" customWidth="1"/>
    <col min="8964" max="8964" width="22.125" style="1" customWidth="1"/>
    <col min="8965" max="8965" width="17.5" style="1" customWidth="1"/>
    <col min="8966" max="8966" width="12" style="1" customWidth="1"/>
    <col min="8967" max="8967" width="40.75" style="1" customWidth="1"/>
    <col min="8968" max="8968" width="11.5" style="1" customWidth="1"/>
    <col min="8969" max="8969" width="11.375" style="1" bestFit="1" customWidth="1"/>
    <col min="8970" max="8970" width="12.5" style="1" customWidth="1"/>
    <col min="8971" max="8971" width="16.375" style="1" bestFit="1" customWidth="1"/>
    <col min="8972" max="8972" width="14.875" style="1" bestFit="1" customWidth="1"/>
    <col min="8973" max="8973" width="14.875" style="1" customWidth="1"/>
    <col min="8974" max="8974" width="14.875" style="1" bestFit="1" customWidth="1"/>
    <col min="8975" max="8975" width="14.75" style="1" bestFit="1" customWidth="1"/>
    <col min="8976" max="8976" width="13.625" style="1" bestFit="1" customWidth="1"/>
    <col min="8977" max="8977" width="16.375" style="1" bestFit="1" customWidth="1"/>
    <col min="8978" max="8978" width="15.875" style="1" customWidth="1"/>
    <col min="8979" max="8979" width="14.875" style="1" bestFit="1" customWidth="1"/>
    <col min="8980" max="8980" width="15.625" style="1" customWidth="1"/>
    <col min="8981" max="8981" width="16.25" style="1" customWidth="1"/>
    <col min="8982" max="8982" width="16.625" style="1" bestFit="1" customWidth="1"/>
    <col min="8983" max="9216" width="9" style="1"/>
    <col min="9217" max="9217" width="5.375" style="1" bestFit="1" customWidth="1"/>
    <col min="9218" max="9218" width="4.75" style="1" customWidth="1"/>
    <col min="9219" max="9219" width="17.625" style="1" customWidth="1"/>
    <col min="9220" max="9220" width="22.125" style="1" customWidth="1"/>
    <col min="9221" max="9221" width="17.5" style="1" customWidth="1"/>
    <col min="9222" max="9222" width="12" style="1" customWidth="1"/>
    <col min="9223" max="9223" width="40.75" style="1" customWidth="1"/>
    <col min="9224" max="9224" width="11.5" style="1" customWidth="1"/>
    <col min="9225" max="9225" width="11.375" style="1" bestFit="1" customWidth="1"/>
    <col min="9226" max="9226" width="12.5" style="1" customWidth="1"/>
    <col min="9227" max="9227" width="16.375" style="1" bestFit="1" customWidth="1"/>
    <col min="9228" max="9228" width="14.875" style="1" bestFit="1" customWidth="1"/>
    <col min="9229" max="9229" width="14.875" style="1" customWidth="1"/>
    <col min="9230" max="9230" width="14.875" style="1" bestFit="1" customWidth="1"/>
    <col min="9231" max="9231" width="14.75" style="1" bestFit="1" customWidth="1"/>
    <col min="9232" max="9232" width="13.625" style="1" bestFit="1" customWidth="1"/>
    <col min="9233" max="9233" width="16.375" style="1" bestFit="1" customWidth="1"/>
    <col min="9234" max="9234" width="15.875" style="1" customWidth="1"/>
    <col min="9235" max="9235" width="14.875" style="1" bestFit="1" customWidth="1"/>
    <col min="9236" max="9236" width="15.625" style="1" customWidth="1"/>
    <col min="9237" max="9237" width="16.25" style="1" customWidth="1"/>
    <col min="9238" max="9238" width="16.625" style="1" bestFit="1" customWidth="1"/>
    <col min="9239" max="9472" width="9" style="1"/>
    <col min="9473" max="9473" width="5.375" style="1" bestFit="1" customWidth="1"/>
    <col min="9474" max="9474" width="4.75" style="1" customWidth="1"/>
    <col min="9475" max="9475" width="17.625" style="1" customWidth="1"/>
    <col min="9476" max="9476" width="22.125" style="1" customWidth="1"/>
    <col min="9477" max="9477" width="17.5" style="1" customWidth="1"/>
    <col min="9478" max="9478" width="12" style="1" customWidth="1"/>
    <col min="9479" max="9479" width="40.75" style="1" customWidth="1"/>
    <col min="9480" max="9480" width="11.5" style="1" customWidth="1"/>
    <col min="9481" max="9481" width="11.375" style="1" bestFit="1" customWidth="1"/>
    <col min="9482" max="9482" width="12.5" style="1" customWidth="1"/>
    <col min="9483" max="9483" width="16.375" style="1" bestFit="1" customWidth="1"/>
    <col min="9484" max="9484" width="14.875" style="1" bestFit="1" customWidth="1"/>
    <col min="9485" max="9485" width="14.875" style="1" customWidth="1"/>
    <col min="9486" max="9486" width="14.875" style="1" bestFit="1" customWidth="1"/>
    <col min="9487" max="9487" width="14.75" style="1" bestFit="1" customWidth="1"/>
    <col min="9488" max="9488" width="13.625" style="1" bestFit="1" customWidth="1"/>
    <col min="9489" max="9489" width="16.375" style="1" bestFit="1" customWidth="1"/>
    <col min="9490" max="9490" width="15.875" style="1" customWidth="1"/>
    <col min="9491" max="9491" width="14.875" style="1" bestFit="1" customWidth="1"/>
    <col min="9492" max="9492" width="15.625" style="1" customWidth="1"/>
    <col min="9493" max="9493" width="16.25" style="1" customWidth="1"/>
    <col min="9494" max="9494" width="16.625" style="1" bestFit="1" customWidth="1"/>
    <col min="9495" max="9728" width="9" style="1"/>
    <col min="9729" max="9729" width="5.375" style="1" bestFit="1" customWidth="1"/>
    <col min="9730" max="9730" width="4.75" style="1" customWidth="1"/>
    <col min="9731" max="9731" width="17.625" style="1" customWidth="1"/>
    <col min="9732" max="9732" width="22.125" style="1" customWidth="1"/>
    <col min="9733" max="9733" width="17.5" style="1" customWidth="1"/>
    <col min="9734" max="9734" width="12" style="1" customWidth="1"/>
    <col min="9735" max="9735" width="40.75" style="1" customWidth="1"/>
    <col min="9736" max="9736" width="11.5" style="1" customWidth="1"/>
    <col min="9737" max="9737" width="11.375" style="1" bestFit="1" customWidth="1"/>
    <col min="9738" max="9738" width="12.5" style="1" customWidth="1"/>
    <col min="9739" max="9739" width="16.375" style="1" bestFit="1" customWidth="1"/>
    <col min="9740" max="9740" width="14.875" style="1" bestFit="1" customWidth="1"/>
    <col min="9741" max="9741" width="14.875" style="1" customWidth="1"/>
    <col min="9742" max="9742" width="14.875" style="1" bestFit="1" customWidth="1"/>
    <col min="9743" max="9743" width="14.75" style="1" bestFit="1" customWidth="1"/>
    <col min="9744" max="9744" width="13.625" style="1" bestFit="1" customWidth="1"/>
    <col min="9745" max="9745" width="16.375" style="1" bestFit="1" customWidth="1"/>
    <col min="9746" max="9746" width="15.875" style="1" customWidth="1"/>
    <col min="9747" max="9747" width="14.875" style="1" bestFit="1" customWidth="1"/>
    <col min="9748" max="9748" width="15.625" style="1" customWidth="1"/>
    <col min="9749" max="9749" width="16.25" style="1" customWidth="1"/>
    <col min="9750" max="9750" width="16.625" style="1" bestFit="1" customWidth="1"/>
    <col min="9751" max="9984" width="9" style="1"/>
    <col min="9985" max="9985" width="5.375" style="1" bestFit="1" customWidth="1"/>
    <col min="9986" max="9986" width="4.75" style="1" customWidth="1"/>
    <col min="9987" max="9987" width="17.625" style="1" customWidth="1"/>
    <col min="9988" max="9988" width="22.125" style="1" customWidth="1"/>
    <col min="9989" max="9989" width="17.5" style="1" customWidth="1"/>
    <col min="9990" max="9990" width="12" style="1" customWidth="1"/>
    <col min="9991" max="9991" width="40.75" style="1" customWidth="1"/>
    <col min="9992" max="9992" width="11.5" style="1" customWidth="1"/>
    <col min="9993" max="9993" width="11.375" style="1" bestFit="1" customWidth="1"/>
    <col min="9994" max="9994" width="12.5" style="1" customWidth="1"/>
    <col min="9995" max="9995" width="16.375" style="1" bestFit="1" customWidth="1"/>
    <col min="9996" max="9996" width="14.875" style="1" bestFit="1" customWidth="1"/>
    <col min="9997" max="9997" width="14.875" style="1" customWidth="1"/>
    <col min="9998" max="9998" width="14.875" style="1" bestFit="1" customWidth="1"/>
    <col min="9999" max="9999" width="14.75" style="1" bestFit="1" customWidth="1"/>
    <col min="10000" max="10000" width="13.625" style="1" bestFit="1" customWidth="1"/>
    <col min="10001" max="10001" width="16.375" style="1" bestFit="1" customWidth="1"/>
    <col min="10002" max="10002" width="15.875" style="1" customWidth="1"/>
    <col min="10003" max="10003" width="14.875" style="1" bestFit="1" customWidth="1"/>
    <col min="10004" max="10004" width="15.625" style="1" customWidth="1"/>
    <col min="10005" max="10005" width="16.25" style="1" customWidth="1"/>
    <col min="10006" max="10006" width="16.625" style="1" bestFit="1" customWidth="1"/>
    <col min="10007" max="10240" width="9" style="1"/>
    <col min="10241" max="10241" width="5.375" style="1" bestFit="1" customWidth="1"/>
    <col min="10242" max="10242" width="4.75" style="1" customWidth="1"/>
    <col min="10243" max="10243" width="17.625" style="1" customWidth="1"/>
    <col min="10244" max="10244" width="22.125" style="1" customWidth="1"/>
    <col min="10245" max="10245" width="17.5" style="1" customWidth="1"/>
    <col min="10246" max="10246" width="12" style="1" customWidth="1"/>
    <col min="10247" max="10247" width="40.75" style="1" customWidth="1"/>
    <col min="10248" max="10248" width="11.5" style="1" customWidth="1"/>
    <col min="10249" max="10249" width="11.375" style="1" bestFit="1" customWidth="1"/>
    <col min="10250" max="10250" width="12.5" style="1" customWidth="1"/>
    <col min="10251" max="10251" width="16.375" style="1" bestFit="1" customWidth="1"/>
    <col min="10252" max="10252" width="14.875" style="1" bestFit="1" customWidth="1"/>
    <col min="10253" max="10253" width="14.875" style="1" customWidth="1"/>
    <col min="10254" max="10254" width="14.875" style="1" bestFit="1" customWidth="1"/>
    <col min="10255" max="10255" width="14.75" style="1" bestFit="1" customWidth="1"/>
    <col min="10256" max="10256" width="13.625" style="1" bestFit="1" customWidth="1"/>
    <col min="10257" max="10257" width="16.375" style="1" bestFit="1" customWidth="1"/>
    <col min="10258" max="10258" width="15.875" style="1" customWidth="1"/>
    <col min="10259" max="10259" width="14.875" style="1" bestFit="1" customWidth="1"/>
    <col min="10260" max="10260" width="15.625" style="1" customWidth="1"/>
    <col min="10261" max="10261" width="16.25" style="1" customWidth="1"/>
    <col min="10262" max="10262" width="16.625" style="1" bestFit="1" customWidth="1"/>
    <col min="10263" max="10496" width="9" style="1"/>
    <col min="10497" max="10497" width="5.375" style="1" bestFit="1" customWidth="1"/>
    <col min="10498" max="10498" width="4.75" style="1" customWidth="1"/>
    <col min="10499" max="10499" width="17.625" style="1" customWidth="1"/>
    <col min="10500" max="10500" width="22.125" style="1" customWidth="1"/>
    <col min="10501" max="10501" width="17.5" style="1" customWidth="1"/>
    <col min="10502" max="10502" width="12" style="1" customWidth="1"/>
    <col min="10503" max="10503" width="40.75" style="1" customWidth="1"/>
    <col min="10504" max="10504" width="11.5" style="1" customWidth="1"/>
    <col min="10505" max="10505" width="11.375" style="1" bestFit="1" customWidth="1"/>
    <col min="10506" max="10506" width="12.5" style="1" customWidth="1"/>
    <col min="10507" max="10507" width="16.375" style="1" bestFit="1" customWidth="1"/>
    <col min="10508" max="10508" width="14.875" style="1" bestFit="1" customWidth="1"/>
    <col min="10509" max="10509" width="14.875" style="1" customWidth="1"/>
    <col min="10510" max="10510" width="14.875" style="1" bestFit="1" customWidth="1"/>
    <col min="10511" max="10511" width="14.75" style="1" bestFit="1" customWidth="1"/>
    <col min="10512" max="10512" width="13.625" style="1" bestFit="1" customWidth="1"/>
    <col min="10513" max="10513" width="16.375" style="1" bestFit="1" customWidth="1"/>
    <col min="10514" max="10514" width="15.875" style="1" customWidth="1"/>
    <col min="10515" max="10515" width="14.875" style="1" bestFit="1" customWidth="1"/>
    <col min="10516" max="10516" width="15.625" style="1" customWidth="1"/>
    <col min="10517" max="10517" width="16.25" style="1" customWidth="1"/>
    <col min="10518" max="10518" width="16.625" style="1" bestFit="1" customWidth="1"/>
    <col min="10519" max="10752" width="9" style="1"/>
    <col min="10753" max="10753" width="5.375" style="1" bestFit="1" customWidth="1"/>
    <col min="10754" max="10754" width="4.75" style="1" customWidth="1"/>
    <col min="10755" max="10755" width="17.625" style="1" customWidth="1"/>
    <col min="10756" max="10756" width="22.125" style="1" customWidth="1"/>
    <col min="10757" max="10757" width="17.5" style="1" customWidth="1"/>
    <col min="10758" max="10758" width="12" style="1" customWidth="1"/>
    <col min="10759" max="10759" width="40.75" style="1" customWidth="1"/>
    <col min="10760" max="10760" width="11.5" style="1" customWidth="1"/>
    <col min="10761" max="10761" width="11.375" style="1" bestFit="1" customWidth="1"/>
    <col min="10762" max="10762" width="12.5" style="1" customWidth="1"/>
    <col min="10763" max="10763" width="16.375" style="1" bestFit="1" customWidth="1"/>
    <col min="10764" max="10764" width="14.875" style="1" bestFit="1" customWidth="1"/>
    <col min="10765" max="10765" width="14.875" style="1" customWidth="1"/>
    <col min="10766" max="10766" width="14.875" style="1" bestFit="1" customWidth="1"/>
    <col min="10767" max="10767" width="14.75" style="1" bestFit="1" customWidth="1"/>
    <col min="10768" max="10768" width="13.625" style="1" bestFit="1" customWidth="1"/>
    <col min="10769" max="10769" width="16.375" style="1" bestFit="1" customWidth="1"/>
    <col min="10770" max="10770" width="15.875" style="1" customWidth="1"/>
    <col min="10771" max="10771" width="14.875" style="1" bestFit="1" customWidth="1"/>
    <col min="10772" max="10772" width="15.625" style="1" customWidth="1"/>
    <col min="10773" max="10773" width="16.25" style="1" customWidth="1"/>
    <col min="10774" max="10774" width="16.625" style="1" bestFit="1" customWidth="1"/>
    <col min="10775" max="11008" width="9" style="1"/>
    <col min="11009" max="11009" width="5.375" style="1" bestFit="1" customWidth="1"/>
    <col min="11010" max="11010" width="4.75" style="1" customWidth="1"/>
    <col min="11011" max="11011" width="17.625" style="1" customWidth="1"/>
    <col min="11012" max="11012" width="22.125" style="1" customWidth="1"/>
    <col min="11013" max="11013" width="17.5" style="1" customWidth="1"/>
    <col min="11014" max="11014" width="12" style="1" customWidth="1"/>
    <col min="11015" max="11015" width="40.75" style="1" customWidth="1"/>
    <col min="11016" max="11016" width="11.5" style="1" customWidth="1"/>
    <col min="11017" max="11017" width="11.375" style="1" bestFit="1" customWidth="1"/>
    <col min="11018" max="11018" width="12.5" style="1" customWidth="1"/>
    <col min="11019" max="11019" width="16.375" style="1" bestFit="1" customWidth="1"/>
    <col min="11020" max="11020" width="14.875" style="1" bestFit="1" customWidth="1"/>
    <col min="11021" max="11021" width="14.875" style="1" customWidth="1"/>
    <col min="11022" max="11022" width="14.875" style="1" bestFit="1" customWidth="1"/>
    <col min="11023" max="11023" width="14.75" style="1" bestFit="1" customWidth="1"/>
    <col min="11024" max="11024" width="13.625" style="1" bestFit="1" customWidth="1"/>
    <col min="11025" max="11025" width="16.375" style="1" bestFit="1" customWidth="1"/>
    <col min="11026" max="11026" width="15.875" style="1" customWidth="1"/>
    <col min="11027" max="11027" width="14.875" style="1" bestFit="1" customWidth="1"/>
    <col min="11028" max="11028" width="15.625" style="1" customWidth="1"/>
    <col min="11029" max="11029" width="16.25" style="1" customWidth="1"/>
    <col min="11030" max="11030" width="16.625" style="1" bestFit="1" customWidth="1"/>
    <col min="11031" max="11264" width="9" style="1"/>
    <col min="11265" max="11265" width="5.375" style="1" bestFit="1" customWidth="1"/>
    <col min="11266" max="11266" width="4.75" style="1" customWidth="1"/>
    <col min="11267" max="11267" width="17.625" style="1" customWidth="1"/>
    <col min="11268" max="11268" width="22.125" style="1" customWidth="1"/>
    <col min="11269" max="11269" width="17.5" style="1" customWidth="1"/>
    <col min="11270" max="11270" width="12" style="1" customWidth="1"/>
    <col min="11271" max="11271" width="40.75" style="1" customWidth="1"/>
    <col min="11272" max="11272" width="11.5" style="1" customWidth="1"/>
    <col min="11273" max="11273" width="11.375" style="1" bestFit="1" customWidth="1"/>
    <col min="11274" max="11274" width="12.5" style="1" customWidth="1"/>
    <col min="11275" max="11275" width="16.375" style="1" bestFit="1" customWidth="1"/>
    <col min="11276" max="11276" width="14.875" style="1" bestFit="1" customWidth="1"/>
    <col min="11277" max="11277" width="14.875" style="1" customWidth="1"/>
    <col min="11278" max="11278" width="14.875" style="1" bestFit="1" customWidth="1"/>
    <col min="11279" max="11279" width="14.75" style="1" bestFit="1" customWidth="1"/>
    <col min="11280" max="11280" width="13.625" style="1" bestFit="1" customWidth="1"/>
    <col min="11281" max="11281" width="16.375" style="1" bestFit="1" customWidth="1"/>
    <col min="11282" max="11282" width="15.875" style="1" customWidth="1"/>
    <col min="11283" max="11283" width="14.875" style="1" bestFit="1" customWidth="1"/>
    <col min="11284" max="11284" width="15.625" style="1" customWidth="1"/>
    <col min="11285" max="11285" width="16.25" style="1" customWidth="1"/>
    <col min="11286" max="11286" width="16.625" style="1" bestFit="1" customWidth="1"/>
    <col min="11287" max="11520" width="9" style="1"/>
    <col min="11521" max="11521" width="5.375" style="1" bestFit="1" customWidth="1"/>
    <col min="11522" max="11522" width="4.75" style="1" customWidth="1"/>
    <col min="11523" max="11523" width="17.625" style="1" customWidth="1"/>
    <col min="11524" max="11524" width="22.125" style="1" customWidth="1"/>
    <col min="11525" max="11525" width="17.5" style="1" customWidth="1"/>
    <col min="11526" max="11526" width="12" style="1" customWidth="1"/>
    <col min="11527" max="11527" width="40.75" style="1" customWidth="1"/>
    <col min="11528" max="11528" width="11.5" style="1" customWidth="1"/>
    <col min="11529" max="11529" width="11.375" style="1" bestFit="1" customWidth="1"/>
    <col min="11530" max="11530" width="12.5" style="1" customWidth="1"/>
    <col min="11531" max="11531" width="16.375" style="1" bestFit="1" customWidth="1"/>
    <col min="11532" max="11532" width="14.875" style="1" bestFit="1" customWidth="1"/>
    <col min="11533" max="11533" width="14.875" style="1" customWidth="1"/>
    <col min="11534" max="11534" width="14.875" style="1" bestFit="1" customWidth="1"/>
    <col min="11535" max="11535" width="14.75" style="1" bestFit="1" customWidth="1"/>
    <col min="11536" max="11536" width="13.625" style="1" bestFit="1" customWidth="1"/>
    <col min="11537" max="11537" width="16.375" style="1" bestFit="1" customWidth="1"/>
    <col min="11538" max="11538" width="15.875" style="1" customWidth="1"/>
    <col min="11539" max="11539" width="14.875" style="1" bestFit="1" customWidth="1"/>
    <col min="11540" max="11540" width="15.625" style="1" customWidth="1"/>
    <col min="11541" max="11541" width="16.25" style="1" customWidth="1"/>
    <col min="11542" max="11542" width="16.625" style="1" bestFit="1" customWidth="1"/>
    <col min="11543" max="11776" width="9" style="1"/>
    <col min="11777" max="11777" width="5.375" style="1" bestFit="1" customWidth="1"/>
    <col min="11778" max="11778" width="4.75" style="1" customWidth="1"/>
    <col min="11779" max="11779" width="17.625" style="1" customWidth="1"/>
    <col min="11780" max="11780" width="22.125" style="1" customWidth="1"/>
    <col min="11781" max="11781" width="17.5" style="1" customWidth="1"/>
    <col min="11782" max="11782" width="12" style="1" customWidth="1"/>
    <col min="11783" max="11783" width="40.75" style="1" customWidth="1"/>
    <col min="11784" max="11784" width="11.5" style="1" customWidth="1"/>
    <col min="11785" max="11785" width="11.375" style="1" bestFit="1" customWidth="1"/>
    <col min="11786" max="11786" width="12.5" style="1" customWidth="1"/>
    <col min="11787" max="11787" width="16.375" style="1" bestFit="1" customWidth="1"/>
    <col min="11788" max="11788" width="14.875" style="1" bestFit="1" customWidth="1"/>
    <col min="11789" max="11789" width="14.875" style="1" customWidth="1"/>
    <col min="11790" max="11790" width="14.875" style="1" bestFit="1" customWidth="1"/>
    <col min="11791" max="11791" width="14.75" style="1" bestFit="1" customWidth="1"/>
    <col min="11792" max="11792" width="13.625" style="1" bestFit="1" customWidth="1"/>
    <col min="11793" max="11793" width="16.375" style="1" bestFit="1" customWidth="1"/>
    <col min="11794" max="11794" width="15.875" style="1" customWidth="1"/>
    <col min="11795" max="11795" width="14.875" style="1" bestFit="1" customWidth="1"/>
    <col min="11796" max="11796" width="15.625" style="1" customWidth="1"/>
    <col min="11797" max="11797" width="16.25" style="1" customWidth="1"/>
    <col min="11798" max="11798" width="16.625" style="1" bestFit="1" customWidth="1"/>
    <col min="11799" max="12032" width="9" style="1"/>
    <col min="12033" max="12033" width="5.375" style="1" bestFit="1" customWidth="1"/>
    <col min="12034" max="12034" width="4.75" style="1" customWidth="1"/>
    <col min="12035" max="12035" width="17.625" style="1" customWidth="1"/>
    <col min="12036" max="12036" width="22.125" style="1" customWidth="1"/>
    <col min="12037" max="12037" width="17.5" style="1" customWidth="1"/>
    <col min="12038" max="12038" width="12" style="1" customWidth="1"/>
    <col min="12039" max="12039" width="40.75" style="1" customWidth="1"/>
    <col min="12040" max="12040" width="11.5" style="1" customWidth="1"/>
    <col min="12041" max="12041" width="11.375" style="1" bestFit="1" customWidth="1"/>
    <col min="12042" max="12042" width="12.5" style="1" customWidth="1"/>
    <col min="12043" max="12043" width="16.375" style="1" bestFit="1" customWidth="1"/>
    <col min="12044" max="12044" width="14.875" style="1" bestFit="1" customWidth="1"/>
    <col min="12045" max="12045" width="14.875" style="1" customWidth="1"/>
    <col min="12046" max="12046" width="14.875" style="1" bestFit="1" customWidth="1"/>
    <col min="12047" max="12047" width="14.75" style="1" bestFit="1" customWidth="1"/>
    <col min="12048" max="12048" width="13.625" style="1" bestFit="1" customWidth="1"/>
    <col min="12049" max="12049" width="16.375" style="1" bestFit="1" customWidth="1"/>
    <col min="12050" max="12050" width="15.875" style="1" customWidth="1"/>
    <col min="12051" max="12051" width="14.875" style="1" bestFit="1" customWidth="1"/>
    <col min="12052" max="12052" width="15.625" style="1" customWidth="1"/>
    <col min="12053" max="12053" width="16.25" style="1" customWidth="1"/>
    <col min="12054" max="12054" width="16.625" style="1" bestFit="1" customWidth="1"/>
    <col min="12055" max="12288" width="9" style="1"/>
    <col min="12289" max="12289" width="5.375" style="1" bestFit="1" customWidth="1"/>
    <col min="12290" max="12290" width="4.75" style="1" customWidth="1"/>
    <col min="12291" max="12291" width="17.625" style="1" customWidth="1"/>
    <col min="12292" max="12292" width="22.125" style="1" customWidth="1"/>
    <col min="12293" max="12293" width="17.5" style="1" customWidth="1"/>
    <col min="12294" max="12294" width="12" style="1" customWidth="1"/>
    <col min="12295" max="12295" width="40.75" style="1" customWidth="1"/>
    <col min="12296" max="12296" width="11.5" style="1" customWidth="1"/>
    <col min="12297" max="12297" width="11.375" style="1" bestFit="1" customWidth="1"/>
    <col min="12298" max="12298" width="12.5" style="1" customWidth="1"/>
    <col min="12299" max="12299" width="16.375" style="1" bestFit="1" customWidth="1"/>
    <col min="12300" max="12300" width="14.875" style="1" bestFit="1" customWidth="1"/>
    <col min="12301" max="12301" width="14.875" style="1" customWidth="1"/>
    <col min="12302" max="12302" width="14.875" style="1" bestFit="1" customWidth="1"/>
    <col min="12303" max="12303" width="14.75" style="1" bestFit="1" customWidth="1"/>
    <col min="12304" max="12304" width="13.625" style="1" bestFit="1" customWidth="1"/>
    <col min="12305" max="12305" width="16.375" style="1" bestFit="1" customWidth="1"/>
    <col min="12306" max="12306" width="15.875" style="1" customWidth="1"/>
    <col min="12307" max="12307" width="14.875" style="1" bestFit="1" customWidth="1"/>
    <col min="12308" max="12308" width="15.625" style="1" customWidth="1"/>
    <col min="12309" max="12309" width="16.25" style="1" customWidth="1"/>
    <col min="12310" max="12310" width="16.625" style="1" bestFit="1" customWidth="1"/>
    <col min="12311" max="12544" width="9" style="1"/>
    <col min="12545" max="12545" width="5.375" style="1" bestFit="1" customWidth="1"/>
    <col min="12546" max="12546" width="4.75" style="1" customWidth="1"/>
    <col min="12547" max="12547" width="17.625" style="1" customWidth="1"/>
    <col min="12548" max="12548" width="22.125" style="1" customWidth="1"/>
    <col min="12549" max="12549" width="17.5" style="1" customWidth="1"/>
    <col min="12550" max="12550" width="12" style="1" customWidth="1"/>
    <col min="12551" max="12551" width="40.75" style="1" customWidth="1"/>
    <col min="12552" max="12552" width="11.5" style="1" customWidth="1"/>
    <col min="12553" max="12553" width="11.375" style="1" bestFit="1" customWidth="1"/>
    <col min="12554" max="12554" width="12.5" style="1" customWidth="1"/>
    <col min="12555" max="12555" width="16.375" style="1" bestFit="1" customWidth="1"/>
    <col min="12556" max="12556" width="14.875" style="1" bestFit="1" customWidth="1"/>
    <col min="12557" max="12557" width="14.875" style="1" customWidth="1"/>
    <col min="12558" max="12558" width="14.875" style="1" bestFit="1" customWidth="1"/>
    <col min="12559" max="12559" width="14.75" style="1" bestFit="1" customWidth="1"/>
    <col min="12560" max="12560" width="13.625" style="1" bestFit="1" customWidth="1"/>
    <col min="12561" max="12561" width="16.375" style="1" bestFit="1" customWidth="1"/>
    <col min="12562" max="12562" width="15.875" style="1" customWidth="1"/>
    <col min="12563" max="12563" width="14.875" style="1" bestFit="1" customWidth="1"/>
    <col min="12564" max="12564" width="15.625" style="1" customWidth="1"/>
    <col min="12565" max="12565" width="16.25" style="1" customWidth="1"/>
    <col min="12566" max="12566" width="16.625" style="1" bestFit="1" customWidth="1"/>
    <col min="12567" max="12800" width="9" style="1"/>
    <col min="12801" max="12801" width="5.375" style="1" bestFit="1" customWidth="1"/>
    <col min="12802" max="12802" width="4.75" style="1" customWidth="1"/>
    <col min="12803" max="12803" width="17.625" style="1" customWidth="1"/>
    <col min="12804" max="12804" width="22.125" style="1" customWidth="1"/>
    <col min="12805" max="12805" width="17.5" style="1" customWidth="1"/>
    <col min="12806" max="12806" width="12" style="1" customWidth="1"/>
    <col min="12807" max="12807" width="40.75" style="1" customWidth="1"/>
    <col min="12808" max="12808" width="11.5" style="1" customWidth="1"/>
    <col min="12809" max="12809" width="11.375" style="1" bestFit="1" customWidth="1"/>
    <col min="12810" max="12810" width="12.5" style="1" customWidth="1"/>
    <col min="12811" max="12811" width="16.375" style="1" bestFit="1" customWidth="1"/>
    <col min="12812" max="12812" width="14.875" style="1" bestFit="1" customWidth="1"/>
    <col min="12813" max="12813" width="14.875" style="1" customWidth="1"/>
    <col min="12814" max="12814" width="14.875" style="1" bestFit="1" customWidth="1"/>
    <col min="12815" max="12815" width="14.75" style="1" bestFit="1" customWidth="1"/>
    <col min="12816" max="12816" width="13.625" style="1" bestFit="1" customWidth="1"/>
    <col min="12817" max="12817" width="16.375" style="1" bestFit="1" customWidth="1"/>
    <col min="12818" max="12818" width="15.875" style="1" customWidth="1"/>
    <col min="12819" max="12819" width="14.875" style="1" bestFit="1" customWidth="1"/>
    <col min="12820" max="12820" width="15.625" style="1" customWidth="1"/>
    <col min="12821" max="12821" width="16.25" style="1" customWidth="1"/>
    <col min="12822" max="12822" width="16.625" style="1" bestFit="1" customWidth="1"/>
    <col min="12823" max="13056" width="9" style="1"/>
    <col min="13057" max="13057" width="5.375" style="1" bestFit="1" customWidth="1"/>
    <col min="13058" max="13058" width="4.75" style="1" customWidth="1"/>
    <col min="13059" max="13059" width="17.625" style="1" customWidth="1"/>
    <col min="13060" max="13060" width="22.125" style="1" customWidth="1"/>
    <col min="13061" max="13061" width="17.5" style="1" customWidth="1"/>
    <col min="13062" max="13062" width="12" style="1" customWidth="1"/>
    <col min="13063" max="13063" width="40.75" style="1" customWidth="1"/>
    <col min="13064" max="13064" width="11.5" style="1" customWidth="1"/>
    <col min="13065" max="13065" width="11.375" style="1" bestFit="1" customWidth="1"/>
    <col min="13066" max="13066" width="12.5" style="1" customWidth="1"/>
    <col min="13067" max="13067" width="16.375" style="1" bestFit="1" customWidth="1"/>
    <col min="13068" max="13068" width="14.875" style="1" bestFit="1" customWidth="1"/>
    <col min="13069" max="13069" width="14.875" style="1" customWidth="1"/>
    <col min="13070" max="13070" width="14.875" style="1" bestFit="1" customWidth="1"/>
    <col min="13071" max="13071" width="14.75" style="1" bestFit="1" customWidth="1"/>
    <col min="13072" max="13072" width="13.625" style="1" bestFit="1" customWidth="1"/>
    <col min="13073" max="13073" width="16.375" style="1" bestFit="1" customWidth="1"/>
    <col min="13074" max="13074" width="15.875" style="1" customWidth="1"/>
    <col min="13075" max="13075" width="14.875" style="1" bestFit="1" customWidth="1"/>
    <col min="13076" max="13076" width="15.625" style="1" customWidth="1"/>
    <col min="13077" max="13077" width="16.25" style="1" customWidth="1"/>
    <col min="13078" max="13078" width="16.625" style="1" bestFit="1" customWidth="1"/>
    <col min="13079" max="13312" width="9" style="1"/>
    <col min="13313" max="13313" width="5.375" style="1" bestFit="1" customWidth="1"/>
    <col min="13314" max="13314" width="4.75" style="1" customWidth="1"/>
    <col min="13315" max="13315" width="17.625" style="1" customWidth="1"/>
    <col min="13316" max="13316" width="22.125" style="1" customWidth="1"/>
    <col min="13317" max="13317" width="17.5" style="1" customWidth="1"/>
    <col min="13318" max="13318" width="12" style="1" customWidth="1"/>
    <col min="13319" max="13319" width="40.75" style="1" customWidth="1"/>
    <col min="13320" max="13320" width="11.5" style="1" customWidth="1"/>
    <col min="13321" max="13321" width="11.375" style="1" bestFit="1" customWidth="1"/>
    <col min="13322" max="13322" width="12.5" style="1" customWidth="1"/>
    <col min="13323" max="13323" width="16.375" style="1" bestFit="1" customWidth="1"/>
    <col min="13324" max="13324" width="14.875" style="1" bestFit="1" customWidth="1"/>
    <col min="13325" max="13325" width="14.875" style="1" customWidth="1"/>
    <col min="13326" max="13326" width="14.875" style="1" bestFit="1" customWidth="1"/>
    <col min="13327" max="13327" width="14.75" style="1" bestFit="1" customWidth="1"/>
    <col min="13328" max="13328" width="13.625" style="1" bestFit="1" customWidth="1"/>
    <col min="13329" max="13329" width="16.375" style="1" bestFit="1" customWidth="1"/>
    <col min="13330" max="13330" width="15.875" style="1" customWidth="1"/>
    <col min="13331" max="13331" width="14.875" style="1" bestFit="1" customWidth="1"/>
    <col min="13332" max="13332" width="15.625" style="1" customWidth="1"/>
    <col min="13333" max="13333" width="16.25" style="1" customWidth="1"/>
    <col min="13334" max="13334" width="16.625" style="1" bestFit="1" customWidth="1"/>
    <col min="13335" max="13568" width="9" style="1"/>
    <col min="13569" max="13569" width="5.375" style="1" bestFit="1" customWidth="1"/>
    <col min="13570" max="13570" width="4.75" style="1" customWidth="1"/>
    <col min="13571" max="13571" width="17.625" style="1" customWidth="1"/>
    <col min="13572" max="13572" width="22.125" style="1" customWidth="1"/>
    <col min="13573" max="13573" width="17.5" style="1" customWidth="1"/>
    <col min="13574" max="13574" width="12" style="1" customWidth="1"/>
    <col min="13575" max="13575" width="40.75" style="1" customWidth="1"/>
    <col min="13576" max="13576" width="11.5" style="1" customWidth="1"/>
    <col min="13577" max="13577" width="11.375" style="1" bestFit="1" customWidth="1"/>
    <col min="13578" max="13578" width="12.5" style="1" customWidth="1"/>
    <col min="13579" max="13579" width="16.375" style="1" bestFit="1" customWidth="1"/>
    <col min="13580" max="13580" width="14.875" style="1" bestFit="1" customWidth="1"/>
    <col min="13581" max="13581" width="14.875" style="1" customWidth="1"/>
    <col min="13582" max="13582" width="14.875" style="1" bestFit="1" customWidth="1"/>
    <col min="13583" max="13583" width="14.75" style="1" bestFit="1" customWidth="1"/>
    <col min="13584" max="13584" width="13.625" style="1" bestFit="1" customWidth="1"/>
    <col min="13585" max="13585" width="16.375" style="1" bestFit="1" customWidth="1"/>
    <col min="13586" max="13586" width="15.875" style="1" customWidth="1"/>
    <col min="13587" max="13587" width="14.875" style="1" bestFit="1" customWidth="1"/>
    <col min="13588" max="13588" width="15.625" style="1" customWidth="1"/>
    <col min="13589" max="13589" width="16.25" style="1" customWidth="1"/>
    <col min="13590" max="13590" width="16.625" style="1" bestFit="1" customWidth="1"/>
    <col min="13591" max="13824" width="9" style="1"/>
    <col min="13825" max="13825" width="5.375" style="1" bestFit="1" customWidth="1"/>
    <col min="13826" max="13826" width="4.75" style="1" customWidth="1"/>
    <col min="13827" max="13827" width="17.625" style="1" customWidth="1"/>
    <col min="13828" max="13828" width="22.125" style="1" customWidth="1"/>
    <col min="13829" max="13829" width="17.5" style="1" customWidth="1"/>
    <col min="13830" max="13830" width="12" style="1" customWidth="1"/>
    <col min="13831" max="13831" width="40.75" style="1" customWidth="1"/>
    <col min="13832" max="13832" width="11.5" style="1" customWidth="1"/>
    <col min="13833" max="13833" width="11.375" style="1" bestFit="1" customWidth="1"/>
    <col min="13834" max="13834" width="12.5" style="1" customWidth="1"/>
    <col min="13835" max="13835" width="16.375" style="1" bestFit="1" customWidth="1"/>
    <col min="13836" max="13836" width="14.875" style="1" bestFit="1" customWidth="1"/>
    <col min="13837" max="13837" width="14.875" style="1" customWidth="1"/>
    <col min="13838" max="13838" width="14.875" style="1" bestFit="1" customWidth="1"/>
    <col min="13839" max="13839" width="14.75" style="1" bestFit="1" customWidth="1"/>
    <col min="13840" max="13840" width="13.625" style="1" bestFit="1" customWidth="1"/>
    <col min="13841" max="13841" width="16.375" style="1" bestFit="1" customWidth="1"/>
    <col min="13842" max="13842" width="15.875" style="1" customWidth="1"/>
    <col min="13843" max="13843" width="14.875" style="1" bestFit="1" customWidth="1"/>
    <col min="13844" max="13844" width="15.625" style="1" customWidth="1"/>
    <col min="13845" max="13845" width="16.25" style="1" customWidth="1"/>
    <col min="13846" max="13846" width="16.625" style="1" bestFit="1" customWidth="1"/>
    <col min="13847" max="14080" width="9" style="1"/>
    <col min="14081" max="14081" width="5.375" style="1" bestFit="1" customWidth="1"/>
    <col min="14082" max="14082" width="4.75" style="1" customWidth="1"/>
    <col min="14083" max="14083" width="17.625" style="1" customWidth="1"/>
    <col min="14084" max="14084" width="22.125" style="1" customWidth="1"/>
    <col min="14085" max="14085" width="17.5" style="1" customWidth="1"/>
    <col min="14086" max="14086" width="12" style="1" customWidth="1"/>
    <col min="14087" max="14087" width="40.75" style="1" customWidth="1"/>
    <col min="14088" max="14088" width="11.5" style="1" customWidth="1"/>
    <col min="14089" max="14089" width="11.375" style="1" bestFit="1" customWidth="1"/>
    <col min="14090" max="14090" width="12.5" style="1" customWidth="1"/>
    <col min="14091" max="14091" width="16.375" style="1" bestFit="1" customWidth="1"/>
    <col min="14092" max="14092" width="14.875" style="1" bestFit="1" customWidth="1"/>
    <col min="14093" max="14093" width="14.875" style="1" customWidth="1"/>
    <col min="14094" max="14094" width="14.875" style="1" bestFit="1" customWidth="1"/>
    <col min="14095" max="14095" width="14.75" style="1" bestFit="1" customWidth="1"/>
    <col min="14096" max="14096" width="13.625" style="1" bestFit="1" customWidth="1"/>
    <col min="14097" max="14097" width="16.375" style="1" bestFit="1" customWidth="1"/>
    <col min="14098" max="14098" width="15.875" style="1" customWidth="1"/>
    <col min="14099" max="14099" width="14.875" style="1" bestFit="1" customWidth="1"/>
    <col min="14100" max="14100" width="15.625" style="1" customWidth="1"/>
    <col min="14101" max="14101" width="16.25" style="1" customWidth="1"/>
    <col min="14102" max="14102" width="16.625" style="1" bestFit="1" customWidth="1"/>
    <col min="14103" max="14336" width="9" style="1"/>
    <col min="14337" max="14337" width="5.375" style="1" bestFit="1" customWidth="1"/>
    <col min="14338" max="14338" width="4.75" style="1" customWidth="1"/>
    <col min="14339" max="14339" width="17.625" style="1" customWidth="1"/>
    <col min="14340" max="14340" width="22.125" style="1" customWidth="1"/>
    <col min="14341" max="14341" width="17.5" style="1" customWidth="1"/>
    <col min="14342" max="14342" width="12" style="1" customWidth="1"/>
    <col min="14343" max="14343" width="40.75" style="1" customWidth="1"/>
    <col min="14344" max="14344" width="11.5" style="1" customWidth="1"/>
    <col min="14345" max="14345" width="11.375" style="1" bestFit="1" customWidth="1"/>
    <col min="14346" max="14346" width="12.5" style="1" customWidth="1"/>
    <col min="14347" max="14347" width="16.375" style="1" bestFit="1" customWidth="1"/>
    <col min="14348" max="14348" width="14.875" style="1" bestFit="1" customWidth="1"/>
    <col min="14349" max="14349" width="14.875" style="1" customWidth="1"/>
    <col min="14350" max="14350" width="14.875" style="1" bestFit="1" customWidth="1"/>
    <col min="14351" max="14351" width="14.75" style="1" bestFit="1" customWidth="1"/>
    <col min="14352" max="14352" width="13.625" style="1" bestFit="1" customWidth="1"/>
    <col min="14353" max="14353" width="16.375" style="1" bestFit="1" customWidth="1"/>
    <col min="14354" max="14354" width="15.875" style="1" customWidth="1"/>
    <col min="14355" max="14355" width="14.875" style="1" bestFit="1" customWidth="1"/>
    <col min="14356" max="14356" width="15.625" style="1" customWidth="1"/>
    <col min="14357" max="14357" width="16.25" style="1" customWidth="1"/>
    <col min="14358" max="14358" width="16.625" style="1" bestFit="1" customWidth="1"/>
    <col min="14359" max="14592" width="9" style="1"/>
    <col min="14593" max="14593" width="5.375" style="1" bestFit="1" customWidth="1"/>
    <col min="14594" max="14594" width="4.75" style="1" customWidth="1"/>
    <col min="14595" max="14595" width="17.625" style="1" customWidth="1"/>
    <col min="14596" max="14596" width="22.125" style="1" customWidth="1"/>
    <col min="14597" max="14597" width="17.5" style="1" customWidth="1"/>
    <col min="14598" max="14598" width="12" style="1" customWidth="1"/>
    <col min="14599" max="14599" width="40.75" style="1" customWidth="1"/>
    <col min="14600" max="14600" width="11.5" style="1" customWidth="1"/>
    <col min="14601" max="14601" width="11.375" style="1" bestFit="1" customWidth="1"/>
    <col min="14602" max="14602" width="12.5" style="1" customWidth="1"/>
    <col min="14603" max="14603" width="16.375" style="1" bestFit="1" customWidth="1"/>
    <col min="14604" max="14604" width="14.875" style="1" bestFit="1" customWidth="1"/>
    <col min="14605" max="14605" width="14.875" style="1" customWidth="1"/>
    <col min="14606" max="14606" width="14.875" style="1" bestFit="1" customWidth="1"/>
    <col min="14607" max="14607" width="14.75" style="1" bestFit="1" customWidth="1"/>
    <col min="14608" max="14608" width="13.625" style="1" bestFit="1" customWidth="1"/>
    <col min="14609" max="14609" width="16.375" style="1" bestFit="1" customWidth="1"/>
    <col min="14610" max="14610" width="15.875" style="1" customWidth="1"/>
    <col min="14611" max="14611" width="14.875" style="1" bestFit="1" customWidth="1"/>
    <col min="14612" max="14612" width="15.625" style="1" customWidth="1"/>
    <col min="14613" max="14613" width="16.25" style="1" customWidth="1"/>
    <col min="14614" max="14614" width="16.625" style="1" bestFit="1" customWidth="1"/>
    <col min="14615" max="14848" width="9" style="1"/>
    <col min="14849" max="14849" width="5.375" style="1" bestFit="1" customWidth="1"/>
    <col min="14850" max="14850" width="4.75" style="1" customWidth="1"/>
    <col min="14851" max="14851" width="17.625" style="1" customWidth="1"/>
    <col min="14852" max="14852" width="22.125" style="1" customWidth="1"/>
    <col min="14853" max="14853" width="17.5" style="1" customWidth="1"/>
    <col min="14854" max="14854" width="12" style="1" customWidth="1"/>
    <col min="14855" max="14855" width="40.75" style="1" customWidth="1"/>
    <col min="14856" max="14856" width="11.5" style="1" customWidth="1"/>
    <col min="14857" max="14857" width="11.375" style="1" bestFit="1" customWidth="1"/>
    <col min="14858" max="14858" width="12.5" style="1" customWidth="1"/>
    <col min="14859" max="14859" width="16.375" style="1" bestFit="1" customWidth="1"/>
    <col min="14860" max="14860" width="14.875" style="1" bestFit="1" customWidth="1"/>
    <col min="14861" max="14861" width="14.875" style="1" customWidth="1"/>
    <col min="14862" max="14862" width="14.875" style="1" bestFit="1" customWidth="1"/>
    <col min="14863" max="14863" width="14.75" style="1" bestFit="1" customWidth="1"/>
    <col min="14864" max="14864" width="13.625" style="1" bestFit="1" customWidth="1"/>
    <col min="14865" max="14865" width="16.375" style="1" bestFit="1" customWidth="1"/>
    <col min="14866" max="14866" width="15.875" style="1" customWidth="1"/>
    <col min="14867" max="14867" width="14.875" style="1" bestFit="1" customWidth="1"/>
    <col min="14868" max="14868" width="15.625" style="1" customWidth="1"/>
    <col min="14869" max="14869" width="16.25" style="1" customWidth="1"/>
    <col min="14870" max="14870" width="16.625" style="1" bestFit="1" customWidth="1"/>
    <col min="14871" max="15104" width="9" style="1"/>
    <col min="15105" max="15105" width="5.375" style="1" bestFit="1" customWidth="1"/>
    <col min="15106" max="15106" width="4.75" style="1" customWidth="1"/>
    <col min="15107" max="15107" width="17.625" style="1" customWidth="1"/>
    <col min="15108" max="15108" width="22.125" style="1" customWidth="1"/>
    <col min="15109" max="15109" width="17.5" style="1" customWidth="1"/>
    <col min="15110" max="15110" width="12" style="1" customWidth="1"/>
    <col min="15111" max="15111" width="40.75" style="1" customWidth="1"/>
    <col min="15112" max="15112" width="11.5" style="1" customWidth="1"/>
    <col min="15113" max="15113" width="11.375" style="1" bestFit="1" customWidth="1"/>
    <col min="15114" max="15114" width="12.5" style="1" customWidth="1"/>
    <col min="15115" max="15115" width="16.375" style="1" bestFit="1" customWidth="1"/>
    <col min="15116" max="15116" width="14.875" style="1" bestFit="1" customWidth="1"/>
    <col min="15117" max="15117" width="14.875" style="1" customWidth="1"/>
    <col min="15118" max="15118" width="14.875" style="1" bestFit="1" customWidth="1"/>
    <col min="15119" max="15119" width="14.75" style="1" bestFit="1" customWidth="1"/>
    <col min="15120" max="15120" width="13.625" style="1" bestFit="1" customWidth="1"/>
    <col min="15121" max="15121" width="16.375" style="1" bestFit="1" customWidth="1"/>
    <col min="15122" max="15122" width="15.875" style="1" customWidth="1"/>
    <col min="15123" max="15123" width="14.875" style="1" bestFit="1" customWidth="1"/>
    <col min="15124" max="15124" width="15.625" style="1" customWidth="1"/>
    <col min="15125" max="15125" width="16.25" style="1" customWidth="1"/>
    <col min="15126" max="15126" width="16.625" style="1" bestFit="1" customWidth="1"/>
    <col min="15127" max="15360" width="9" style="1"/>
    <col min="15361" max="15361" width="5.375" style="1" bestFit="1" customWidth="1"/>
    <col min="15362" max="15362" width="4.75" style="1" customWidth="1"/>
    <col min="15363" max="15363" width="17.625" style="1" customWidth="1"/>
    <col min="15364" max="15364" width="22.125" style="1" customWidth="1"/>
    <col min="15365" max="15365" width="17.5" style="1" customWidth="1"/>
    <col min="15366" max="15366" width="12" style="1" customWidth="1"/>
    <col min="15367" max="15367" width="40.75" style="1" customWidth="1"/>
    <col min="15368" max="15368" width="11.5" style="1" customWidth="1"/>
    <col min="15369" max="15369" width="11.375" style="1" bestFit="1" customWidth="1"/>
    <col min="15370" max="15370" width="12.5" style="1" customWidth="1"/>
    <col min="15371" max="15371" width="16.375" style="1" bestFit="1" customWidth="1"/>
    <col min="15372" max="15372" width="14.875" style="1" bestFit="1" customWidth="1"/>
    <col min="15373" max="15373" width="14.875" style="1" customWidth="1"/>
    <col min="15374" max="15374" width="14.875" style="1" bestFit="1" customWidth="1"/>
    <col min="15375" max="15375" width="14.75" style="1" bestFit="1" customWidth="1"/>
    <col min="15376" max="15376" width="13.625" style="1" bestFit="1" customWidth="1"/>
    <col min="15377" max="15377" width="16.375" style="1" bestFit="1" customWidth="1"/>
    <col min="15378" max="15378" width="15.875" style="1" customWidth="1"/>
    <col min="15379" max="15379" width="14.875" style="1" bestFit="1" customWidth="1"/>
    <col min="15380" max="15380" width="15.625" style="1" customWidth="1"/>
    <col min="15381" max="15381" width="16.25" style="1" customWidth="1"/>
    <col min="15382" max="15382" width="16.625" style="1" bestFit="1" customWidth="1"/>
    <col min="15383" max="15616" width="9" style="1"/>
    <col min="15617" max="15617" width="5.375" style="1" bestFit="1" customWidth="1"/>
    <col min="15618" max="15618" width="4.75" style="1" customWidth="1"/>
    <col min="15619" max="15619" width="17.625" style="1" customWidth="1"/>
    <col min="15620" max="15620" width="22.125" style="1" customWidth="1"/>
    <col min="15621" max="15621" width="17.5" style="1" customWidth="1"/>
    <col min="15622" max="15622" width="12" style="1" customWidth="1"/>
    <col min="15623" max="15623" width="40.75" style="1" customWidth="1"/>
    <col min="15624" max="15624" width="11.5" style="1" customWidth="1"/>
    <col min="15625" max="15625" width="11.375" style="1" bestFit="1" customWidth="1"/>
    <col min="15626" max="15626" width="12.5" style="1" customWidth="1"/>
    <col min="15627" max="15627" width="16.375" style="1" bestFit="1" customWidth="1"/>
    <col min="15628" max="15628" width="14.875" style="1" bestFit="1" customWidth="1"/>
    <col min="15629" max="15629" width="14.875" style="1" customWidth="1"/>
    <col min="15630" max="15630" width="14.875" style="1" bestFit="1" customWidth="1"/>
    <col min="15631" max="15631" width="14.75" style="1" bestFit="1" customWidth="1"/>
    <col min="15632" max="15632" width="13.625" style="1" bestFit="1" customWidth="1"/>
    <col min="15633" max="15633" width="16.375" style="1" bestFit="1" customWidth="1"/>
    <col min="15634" max="15634" width="15.875" style="1" customWidth="1"/>
    <col min="15635" max="15635" width="14.875" style="1" bestFit="1" customWidth="1"/>
    <col min="15636" max="15636" width="15.625" style="1" customWidth="1"/>
    <col min="15637" max="15637" width="16.25" style="1" customWidth="1"/>
    <col min="15638" max="15638" width="16.625" style="1" bestFit="1" customWidth="1"/>
    <col min="15639" max="15872" width="9" style="1"/>
    <col min="15873" max="15873" width="5.375" style="1" bestFit="1" customWidth="1"/>
    <col min="15874" max="15874" width="4.75" style="1" customWidth="1"/>
    <col min="15875" max="15875" width="17.625" style="1" customWidth="1"/>
    <col min="15876" max="15876" width="22.125" style="1" customWidth="1"/>
    <col min="15877" max="15877" width="17.5" style="1" customWidth="1"/>
    <col min="15878" max="15878" width="12" style="1" customWidth="1"/>
    <col min="15879" max="15879" width="40.75" style="1" customWidth="1"/>
    <col min="15880" max="15880" width="11.5" style="1" customWidth="1"/>
    <col min="15881" max="15881" width="11.375" style="1" bestFit="1" customWidth="1"/>
    <col min="15882" max="15882" width="12.5" style="1" customWidth="1"/>
    <col min="15883" max="15883" width="16.375" style="1" bestFit="1" customWidth="1"/>
    <col min="15884" max="15884" width="14.875" style="1" bestFit="1" customWidth="1"/>
    <col min="15885" max="15885" width="14.875" style="1" customWidth="1"/>
    <col min="15886" max="15886" width="14.875" style="1" bestFit="1" customWidth="1"/>
    <col min="15887" max="15887" width="14.75" style="1" bestFit="1" customWidth="1"/>
    <col min="15888" max="15888" width="13.625" style="1" bestFit="1" customWidth="1"/>
    <col min="15889" max="15889" width="16.375" style="1" bestFit="1" customWidth="1"/>
    <col min="15890" max="15890" width="15.875" style="1" customWidth="1"/>
    <col min="15891" max="15891" width="14.875" style="1" bestFit="1" customWidth="1"/>
    <col min="15892" max="15892" width="15.625" style="1" customWidth="1"/>
    <col min="15893" max="15893" width="16.25" style="1" customWidth="1"/>
    <col min="15894" max="15894" width="16.625" style="1" bestFit="1" customWidth="1"/>
    <col min="15895" max="16128" width="9" style="1"/>
    <col min="16129" max="16129" width="5.375" style="1" bestFit="1" customWidth="1"/>
    <col min="16130" max="16130" width="4.75" style="1" customWidth="1"/>
    <col min="16131" max="16131" width="17.625" style="1" customWidth="1"/>
    <col min="16132" max="16132" width="22.125" style="1" customWidth="1"/>
    <col min="16133" max="16133" width="17.5" style="1" customWidth="1"/>
    <col min="16134" max="16134" width="12" style="1" customWidth="1"/>
    <col min="16135" max="16135" width="40.75" style="1" customWidth="1"/>
    <col min="16136" max="16136" width="11.5" style="1" customWidth="1"/>
    <col min="16137" max="16137" width="11.375" style="1" bestFit="1" customWidth="1"/>
    <col min="16138" max="16138" width="12.5" style="1" customWidth="1"/>
    <col min="16139" max="16139" width="16.375" style="1" bestFit="1" customWidth="1"/>
    <col min="16140" max="16140" width="14.875" style="1" bestFit="1" customWidth="1"/>
    <col min="16141" max="16141" width="14.875" style="1" customWidth="1"/>
    <col min="16142" max="16142" width="14.875" style="1" bestFit="1" customWidth="1"/>
    <col min="16143" max="16143" width="14.75" style="1" bestFit="1" customWidth="1"/>
    <col min="16144" max="16144" width="13.625" style="1" bestFit="1" customWidth="1"/>
    <col min="16145" max="16145" width="16.375" style="1" bestFit="1" customWidth="1"/>
    <col min="16146" max="16146" width="15.875" style="1" customWidth="1"/>
    <col min="16147" max="16147" width="14.875" style="1" bestFit="1" customWidth="1"/>
    <col min="16148" max="16148" width="15.625" style="1" customWidth="1"/>
    <col min="16149" max="16149" width="16.25" style="1" customWidth="1"/>
    <col min="16150" max="16150" width="16.625" style="1" bestFit="1" customWidth="1"/>
    <col min="16151" max="16384" width="9" style="1"/>
  </cols>
  <sheetData>
    <row r="1" spans="1:23" s="7" customFormat="1" ht="15.75" thickBot="1">
      <c r="B1" s="12"/>
      <c r="C1" s="250" t="s">
        <v>296</v>
      </c>
      <c r="D1" s="251" t="s">
        <v>297</v>
      </c>
      <c r="E1" s="251" t="s">
        <v>298</v>
      </c>
      <c r="F1" s="1241" t="s">
        <v>299</v>
      </c>
      <c r="G1" s="12"/>
      <c r="H1" s="700" t="s">
        <v>1933</v>
      </c>
      <c r="I1" s="236"/>
      <c r="J1" s="235"/>
      <c r="K1" s="39"/>
      <c r="L1" s="39"/>
      <c r="M1" s="238"/>
      <c r="N1" s="39">
        <f>ROUNDUP(V1/0.6/90,2)</f>
        <v>0</v>
      </c>
      <c r="O1" s="1178" t="s">
        <v>4452</v>
      </c>
      <c r="P1" s="123"/>
      <c r="Q1" s="701"/>
      <c r="U1" s="155"/>
      <c r="V1" s="257"/>
    </row>
    <row r="2" spans="1:23" s="7" customFormat="1" ht="15.75" thickTop="1">
      <c r="B2" s="12"/>
      <c r="C2" s="702" t="s">
        <v>300</v>
      </c>
      <c r="D2" s="703" t="s">
        <v>301</v>
      </c>
      <c r="E2" s="704">
        <v>0.7</v>
      </c>
      <c r="F2" s="705">
        <v>0.6</v>
      </c>
      <c r="G2" s="12"/>
      <c r="H2" s="235"/>
      <c r="I2" s="236"/>
      <c r="J2" s="235"/>
      <c r="K2" s="124"/>
      <c r="L2" s="239"/>
      <c r="M2" s="238"/>
      <c r="N2" s="238"/>
      <c r="O2" s="237"/>
      <c r="P2" s="123"/>
      <c r="Q2" s="701"/>
      <c r="U2" s="155"/>
      <c r="V2" s="257"/>
    </row>
    <row r="3" spans="1:23" s="7" customFormat="1" ht="15">
      <c r="B3" s="12"/>
      <c r="C3" s="706" t="s">
        <v>302</v>
      </c>
      <c r="D3" s="707" t="s">
        <v>303</v>
      </c>
      <c r="E3" s="708">
        <v>0.88</v>
      </c>
      <c r="F3" s="709">
        <v>0.8</v>
      </c>
      <c r="G3" s="12"/>
      <c r="H3" s="235"/>
      <c r="I3" s="236"/>
      <c r="J3" s="235"/>
      <c r="K3" s="124"/>
      <c r="L3" s="239"/>
      <c r="M3" s="238"/>
      <c r="N3" s="238"/>
      <c r="O3" s="237"/>
      <c r="P3" s="123"/>
      <c r="Q3" s="701"/>
      <c r="U3" s="155"/>
      <c r="V3" s="257"/>
    </row>
    <row r="4" spans="1:23" s="7" customFormat="1" ht="15">
      <c r="B4" s="12"/>
      <c r="C4" s="706" t="s">
        <v>304</v>
      </c>
      <c r="D4" s="707" t="s">
        <v>1934</v>
      </c>
      <c r="E4" s="708">
        <v>0.7</v>
      </c>
      <c r="F4" s="709">
        <v>0.6</v>
      </c>
      <c r="G4" s="12"/>
      <c r="H4" s="235"/>
      <c r="I4" s="236"/>
      <c r="J4" s="235"/>
      <c r="K4" s="124"/>
      <c r="L4" s="239"/>
      <c r="M4" s="238"/>
      <c r="N4" s="238"/>
      <c r="O4" s="237"/>
      <c r="P4" s="123"/>
      <c r="Q4" s="701"/>
      <c r="U4" s="155"/>
      <c r="V4" s="257"/>
    </row>
    <row r="5" spans="1:23" s="7" customFormat="1" ht="15">
      <c r="B5" s="12"/>
      <c r="C5" s="706" t="s">
        <v>305</v>
      </c>
      <c r="D5" s="707" t="s">
        <v>1935</v>
      </c>
      <c r="E5" s="708">
        <v>0.88</v>
      </c>
      <c r="F5" s="709">
        <v>0.8</v>
      </c>
      <c r="G5" s="12"/>
      <c r="H5" s="235"/>
      <c r="I5" s="236"/>
      <c r="J5" s="235"/>
      <c r="K5" s="124"/>
      <c r="L5" s="239"/>
      <c r="M5" s="238"/>
      <c r="N5" s="238"/>
      <c r="O5" s="237"/>
      <c r="P5" s="123"/>
      <c r="Q5" s="701"/>
      <c r="U5" s="155"/>
      <c r="V5" s="257"/>
    </row>
    <row r="6" spans="1:23" s="7" customFormat="1" ht="15.75" thickBot="1">
      <c r="B6" s="12"/>
      <c r="C6" s="710" t="s">
        <v>306</v>
      </c>
      <c r="D6" s="336" t="s">
        <v>307</v>
      </c>
      <c r="E6" s="708">
        <v>0.88</v>
      </c>
      <c r="F6" s="709">
        <v>0.8</v>
      </c>
      <c r="G6" s="12"/>
      <c r="H6" s="235"/>
      <c r="I6" s="236"/>
      <c r="J6" s="235"/>
      <c r="K6" s="124"/>
      <c r="L6" s="239"/>
      <c r="M6" s="238"/>
      <c r="N6" s="238"/>
      <c r="O6" s="237"/>
      <c r="P6" s="123"/>
      <c r="Q6" s="701"/>
      <c r="U6" s="155"/>
      <c r="V6" s="257"/>
    </row>
    <row r="7" spans="1:23" s="214" customFormat="1" ht="15.75">
      <c r="A7" s="1105" t="s">
        <v>310</v>
      </c>
      <c r="B7" s="240" t="s">
        <v>290</v>
      </c>
      <c r="C7" s="241" t="s">
        <v>81</v>
      </c>
      <c r="D7" s="242" t="s">
        <v>121</v>
      </c>
      <c r="E7" s="243" t="s">
        <v>266</v>
      </c>
      <c r="F7" s="244" t="s">
        <v>35</v>
      </c>
      <c r="G7" s="245" t="s">
        <v>99</v>
      </c>
      <c r="H7" s="246" t="s">
        <v>2</v>
      </c>
      <c r="I7" s="246" t="s">
        <v>117</v>
      </c>
      <c r="J7" s="246" t="s">
        <v>116</v>
      </c>
      <c r="K7" s="247" t="s">
        <v>246</v>
      </c>
      <c r="L7" s="283" t="s">
        <v>215</v>
      </c>
      <c r="M7" s="247" t="s">
        <v>321</v>
      </c>
      <c r="N7" s="289" t="s">
        <v>309</v>
      </c>
      <c r="O7" s="248" t="s">
        <v>291</v>
      </c>
      <c r="P7" s="249" t="s">
        <v>292</v>
      </c>
      <c r="Q7" s="711" t="s">
        <v>293</v>
      </c>
      <c r="R7" s="712" t="s">
        <v>1936</v>
      </c>
      <c r="S7" s="281" t="s">
        <v>248</v>
      </c>
      <c r="T7" s="713" t="s">
        <v>249</v>
      </c>
      <c r="U7" s="281" t="s">
        <v>294</v>
      </c>
      <c r="V7" s="282" t="s">
        <v>295</v>
      </c>
      <c r="W7" s="1137" t="s">
        <v>4332</v>
      </c>
    </row>
    <row r="8" spans="1:23" s="7" customFormat="1" ht="15.75">
      <c r="B8" s="12"/>
      <c r="C8" s="169" t="s">
        <v>1937</v>
      </c>
      <c r="D8" s="170"/>
      <c r="E8" s="171"/>
      <c r="F8" s="172"/>
      <c r="G8" s="173"/>
      <c r="H8" s="174"/>
      <c r="I8" s="174"/>
      <c r="J8" s="174"/>
      <c r="K8" s="175"/>
      <c r="L8" s="6"/>
      <c r="M8" s="28"/>
      <c r="N8" s="9"/>
      <c r="O8" s="176"/>
      <c r="P8" s="168"/>
      <c r="Q8" s="714"/>
      <c r="V8" s="257"/>
    </row>
    <row r="9" spans="1:23" s="7" customFormat="1" ht="15.75">
      <c r="B9" s="12"/>
      <c r="C9" s="232" t="s">
        <v>1938</v>
      </c>
      <c r="D9" s="170"/>
      <c r="E9" s="171"/>
      <c r="F9" s="172"/>
      <c r="G9" s="173"/>
      <c r="H9" s="174"/>
      <c r="I9" s="174"/>
      <c r="J9" s="174"/>
      <c r="K9" s="175"/>
      <c r="L9" s="6"/>
      <c r="M9" s="28"/>
      <c r="N9" s="201"/>
      <c r="O9" s="176"/>
      <c r="P9" s="168"/>
      <c r="Q9" s="714"/>
      <c r="V9" s="257"/>
    </row>
    <row r="10" spans="1:23" s="7" customFormat="1" ht="15.75">
      <c r="B10" s="12"/>
      <c r="C10" s="232" t="s">
        <v>1939</v>
      </c>
      <c r="D10" s="170"/>
      <c r="E10" s="171"/>
      <c r="F10" s="172"/>
      <c r="G10" s="173"/>
      <c r="H10" s="174"/>
      <c r="I10" s="174"/>
      <c r="J10" s="174"/>
      <c r="K10" s="175"/>
      <c r="L10" s="6"/>
      <c r="M10" s="28"/>
      <c r="N10" s="9"/>
      <c r="O10" s="176"/>
      <c r="P10" s="168"/>
      <c r="Q10" s="714"/>
      <c r="V10" s="257"/>
    </row>
    <row r="11" spans="1:23" s="7" customFormat="1" ht="15.75">
      <c r="B11" s="12"/>
      <c r="C11" s="698" t="s">
        <v>1940</v>
      </c>
      <c r="D11" s="170"/>
      <c r="E11" s="171"/>
      <c r="F11" s="172"/>
      <c r="G11" s="173"/>
      <c r="H11" s="174"/>
      <c r="I11" s="174"/>
      <c r="J11" s="174"/>
      <c r="K11" s="175"/>
      <c r="L11" s="6"/>
      <c r="M11" s="28"/>
      <c r="N11" s="9"/>
      <c r="O11" s="176"/>
      <c r="P11" s="168"/>
      <c r="Q11" s="714"/>
      <c r="V11" s="257"/>
    </row>
    <row r="12" spans="1:23" s="7" customFormat="1" ht="15.75">
      <c r="B12" s="12"/>
      <c r="C12" s="698" t="s">
        <v>1941</v>
      </c>
      <c r="D12" s="170"/>
      <c r="E12" s="171"/>
      <c r="F12" s="172"/>
      <c r="G12" s="173"/>
      <c r="H12" s="174"/>
      <c r="I12" s="174"/>
      <c r="J12" s="174"/>
      <c r="K12" s="175"/>
      <c r="L12" s="6"/>
      <c r="M12" s="28"/>
      <c r="N12" s="9"/>
      <c r="O12" s="176"/>
      <c r="P12" s="168"/>
      <c r="Q12" s="714"/>
      <c r="V12" s="257"/>
    </row>
    <row r="13" spans="1:23" s="7" customFormat="1" ht="15.75">
      <c r="B13" s="12"/>
      <c r="C13" s="698" t="s">
        <v>1942</v>
      </c>
      <c r="D13" s="170"/>
      <c r="E13" s="171"/>
      <c r="F13" s="172"/>
      <c r="G13" s="173"/>
      <c r="H13" s="174"/>
      <c r="I13" s="174"/>
      <c r="J13" s="174"/>
      <c r="K13" s="175"/>
      <c r="L13" s="6"/>
      <c r="M13" s="28"/>
      <c r="N13" s="9"/>
      <c r="O13" s="176"/>
      <c r="P13" s="168"/>
      <c r="Q13" s="714"/>
      <c r="S13" s="715"/>
      <c r="U13" s="716"/>
      <c r="V13" s="257"/>
    </row>
    <row r="14" spans="1:23" s="7" customFormat="1" ht="15.75" hidden="1">
      <c r="B14" s="12"/>
      <c r="C14" s="169" t="s">
        <v>268</v>
      </c>
      <c r="D14" s="170"/>
      <c r="E14" s="171"/>
      <c r="F14" s="172"/>
      <c r="G14" s="173"/>
      <c r="H14" s="174"/>
      <c r="I14" s="174"/>
      <c r="J14" s="174"/>
      <c r="K14" s="175"/>
      <c r="L14" s="6"/>
      <c r="M14" s="28"/>
      <c r="N14" s="9"/>
      <c r="O14" s="176"/>
      <c r="P14" s="168"/>
      <c r="Q14" s="714"/>
      <c r="V14" s="257"/>
    </row>
    <row r="15" spans="1:23" s="7" customFormat="1" ht="15.75" hidden="1">
      <c r="B15" s="12"/>
      <c r="C15" s="232" t="s">
        <v>1943</v>
      </c>
      <c r="D15" s="170"/>
      <c r="E15" s="171"/>
      <c r="F15" s="172"/>
      <c r="G15" s="173"/>
      <c r="H15" s="174"/>
      <c r="I15" s="174"/>
      <c r="J15" s="174"/>
      <c r="K15" s="175"/>
      <c r="L15" s="6"/>
      <c r="M15" s="28"/>
      <c r="N15" s="201"/>
      <c r="O15" s="176"/>
      <c r="P15" s="168"/>
      <c r="Q15" s="714"/>
      <c r="V15" s="257"/>
    </row>
    <row r="16" spans="1:23" s="7" customFormat="1" ht="15.75" hidden="1">
      <c r="B16" s="12"/>
      <c r="C16" s="232" t="s">
        <v>1944</v>
      </c>
      <c r="D16" s="170"/>
      <c r="E16" s="171"/>
      <c r="F16" s="172"/>
      <c r="G16" s="173"/>
      <c r="H16" s="174"/>
      <c r="I16" s="174"/>
      <c r="J16" s="174"/>
      <c r="K16" s="175"/>
      <c r="L16" s="6"/>
      <c r="M16" s="28"/>
      <c r="N16" s="9"/>
      <c r="O16" s="176"/>
      <c r="P16" s="168"/>
      <c r="Q16" s="714"/>
      <c r="V16" s="257"/>
    </row>
    <row r="17" spans="2:22" s="7" customFormat="1" ht="15.75" hidden="1">
      <c r="B17" s="12"/>
      <c r="C17" s="698" t="s">
        <v>1945</v>
      </c>
      <c r="D17" s="170"/>
      <c r="E17" s="171"/>
      <c r="F17" s="172"/>
      <c r="G17" s="173"/>
      <c r="H17" s="174"/>
      <c r="I17" s="174"/>
      <c r="J17" s="174"/>
      <c r="K17" s="175"/>
      <c r="L17" s="6"/>
      <c r="M17" s="28"/>
      <c r="N17" s="9"/>
      <c r="O17" s="176"/>
      <c r="P17" s="168"/>
      <c r="Q17" s="714"/>
      <c r="V17" s="257"/>
    </row>
    <row r="18" spans="2:22" s="7" customFormat="1" ht="15.75" hidden="1">
      <c r="B18" s="12"/>
      <c r="C18" s="698" t="s">
        <v>1946</v>
      </c>
      <c r="D18" s="170"/>
      <c r="E18" s="171"/>
      <c r="F18" s="172"/>
      <c r="G18" s="173"/>
      <c r="H18" s="174"/>
      <c r="I18" s="174"/>
      <c r="J18" s="174"/>
      <c r="K18" s="175"/>
      <c r="L18" s="6"/>
      <c r="M18" s="28"/>
      <c r="N18" s="9"/>
      <c r="O18" s="176"/>
      <c r="P18" s="168"/>
      <c r="Q18" s="714"/>
      <c r="V18" s="257"/>
    </row>
    <row r="19" spans="2:22" s="7" customFormat="1" ht="15.75" hidden="1">
      <c r="B19" s="12"/>
      <c r="C19" s="698" t="s">
        <v>1947</v>
      </c>
      <c r="D19" s="170"/>
      <c r="E19" s="171"/>
      <c r="F19" s="172"/>
      <c r="G19" s="173"/>
      <c r="H19" s="174"/>
      <c r="I19" s="174"/>
      <c r="J19" s="174"/>
      <c r="K19" s="175"/>
      <c r="L19" s="6"/>
      <c r="M19" s="28"/>
      <c r="N19" s="9"/>
      <c r="O19" s="176"/>
      <c r="P19" s="168"/>
      <c r="Q19" s="714"/>
      <c r="S19" s="715"/>
      <c r="U19" s="716"/>
      <c r="V19" s="257"/>
    </row>
    <row r="20" spans="2:22" s="178" customFormat="1" ht="18" customHeight="1">
      <c r="B20" s="277"/>
      <c r="C20" s="717"/>
      <c r="M20" s="277"/>
      <c r="O20" s="718"/>
      <c r="P20" s="719"/>
      <c r="Q20" s="720"/>
      <c r="V20" s="721"/>
    </row>
    <row r="21" spans="2:22" s="7" customFormat="1" ht="18" customHeight="1">
      <c r="B21" s="12"/>
      <c r="C21" s="6" t="s">
        <v>1948</v>
      </c>
      <c r="D21" s="14" t="s">
        <v>1949</v>
      </c>
      <c r="E21" s="19" t="s">
        <v>1950</v>
      </c>
      <c r="F21" s="37"/>
      <c r="G21" s="37"/>
      <c r="H21" s="108"/>
      <c r="I21" s="108"/>
      <c r="J21" s="108"/>
      <c r="K21" s="29" t="s">
        <v>5</v>
      </c>
      <c r="L21" s="139">
        <v>44148</v>
      </c>
      <c r="M21" s="33"/>
      <c r="N21" s="33">
        <v>44148</v>
      </c>
      <c r="O21" s="32" t="s">
        <v>1951</v>
      </c>
      <c r="P21" s="6"/>
      <c r="Q21" s="339"/>
      <c r="U21" s="21"/>
      <c r="V21" s="257"/>
    </row>
    <row r="22" spans="2:22" s="7" customFormat="1" ht="17.25" customHeight="1">
      <c r="B22" s="12"/>
      <c r="C22" s="6" t="s">
        <v>1948</v>
      </c>
      <c r="D22" s="14" t="s">
        <v>1949</v>
      </c>
      <c r="E22" s="22">
        <v>3808</v>
      </c>
      <c r="F22" s="37">
        <v>9</v>
      </c>
      <c r="G22" s="37" t="s">
        <v>1952</v>
      </c>
      <c r="H22" s="108">
        <v>50</v>
      </c>
      <c r="I22" s="109">
        <v>5</v>
      </c>
      <c r="J22" s="8">
        <f>H22*I22</f>
        <v>250</v>
      </c>
      <c r="K22" s="39">
        <v>0.56999999999999995</v>
      </c>
      <c r="L22" s="139">
        <v>44148</v>
      </c>
      <c r="M22" s="33"/>
      <c r="N22" s="33">
        <v>44148</v>
      </c>
      <c r="O22" s="32" t="s">
        <v>1951</v>
      </c>
      <c r="P22" s="722"/>
      <c r="Q22" s="322">
        <v>0.27</v>
      </c>
      <c r="S22" s="7">
        <v>18</v>
      </c>
      <c r="T22" s="7">
        <f>S22*J22</f>
        <v>4500</v>
      </c>
      <c r="U22" s="21"/>
      <c r="V22" s="257"/>
    </row>
    <row r="23" spans="2:22" s="7" customFormat="1" ht="17.25" customHeight="1">
      <c r="B23" s="12"/>
      <c r="C23" s="6" t="s">
        <v>1948</v>
      </c>
      <c r="D23" s="14" t="s">
        <v>1949</v>
      </c>
      <c r="E23" s="22">
        <v>3808</v>
      </c>
      <c r="F23" s="37">
        <v>9</v>
      </c>
      <c r="G23" s="37" t="s">
        <v>1953</v>
      </c>
      <c r="H23" s="108">
        <v>50</v>
      </c>
      <c r="I23" s="109">
        <v>7</v>
      </c>
      <c r="J23" s="8">
        <f>H23*I23</f>
        <v>350</v>
      </c>
      <c r="K23" s="39">
        <v>0.56999999999999995</v>
      </c>
      <c r="L23" s="139">
        <v>44148</v>
      </c>
      <c r="M23" s="33"/>
      <c r="N23" s="33">
        <v>44148</v>
      </c>
      <c r="O23" s="32" t="s">
        <v>1951</v>
      </c>
      <c r="P23" s="722"/>
      <c r="Q23" s="322">
        <v>0.27</v>
      </c>
      <c r="S23" s="7">
        <v>18</v>
      </c>
      <c r="T23" s="7">
        <f>S23*J23</f>
        <v>6300</v>
      </c>
      <c r="U23" s="21"/>
      <c r="V23" s="257"/>
    </row>
    <row r="24" spans="2:22" s="7" customFormat="1" ht="17.25" customHeight="1">
      <c r="B24" s="12"/>
      <c r="C24" s="6" t="s">
        <v>1948</v>
      </c>
      <c r="D24" s="14" t="s">
        <v>1949</v>
      </c>
      <c r="E24" s="22">
        <v>3808</v>
      </c>
      <c r="F24" s="37">
        <v>9</v>
      </c>
      <c r="G24" s="37" t="s">
        <v>1954</v>
      </c>
      <c r="H24" s="108">
        <v>50</v>
      </c>
      <c r="I24" s="109">
        <v>6</v>
      </c>
      <c r="J24" s="8">
        <f>H24*I24</f>
        <v>300</v>
      </c>
      <c r="K24" s="39">
        <v>0.56999999999999995</v>
      </c>
      <c r="L24" s="139">
        <v>44148</v>
      </c>
      <c r="M24" s="33"/>
      <c r="N24" s="33">
        <v>44148</v>
      </c>
      <c r="O24" s="32" t="s">
        <v>1951</v>
      </c>
      <c r="P24" s="722"/>
      <c r="Q24" s="322">
        <v>0.27</v>
      </c>
      <c r="S24" s="7">
        <v>18</v>
      </c>
      <c r="T24" s="7">
        <f>S24*J24</f>
        <v>5400</v>
      </c>
      <c r="U24" s="21"/>
      <c r="V24" s="257"/>
    </row>
    <row r="25" spans="2:22" customFormat="1" ht="18" customHeight="1">
      <c r="B25" s="26"/>
      <c r="C25" s="6" t="s">
        <v>1948</v>
      </c>
      <c r="D25" s="14" t="s">
        <v>1949</v>
      </c>
      <c r="E25" s="723"/>
      <c r="F25" s="64"/>
      <c r="G25" s="37" t="s">
        <v>14</v>
      </c>
      <c r="H25" s="8"/>
      <c r="I25" s="8"/>
      <c r="J25" s="38">
        <v>1</v>
      </c>
      <c r="K25" s="39">
        <v>12</v>
      </c>
      <c r="L25" s="139">
        <v>44148</v>
      </c>
      <c r="M25" s="33"/>
      <c r="N25" s="33">
        <v>44148</v>
      </c>
      <c r="O25" s="32" t="s">
        <v>1951</v>
      </c>
      <c r="P25" s="4"/>
      <c r="Q25" s="724">
        <v>12</v>
      </c>
      <c r="R25" s="1"/>
      <c r="S25" s="7">
        <v>0</v>
      </c>
      <c r="T25" s="7">
        <v>0</v>
      </c>
      <c r="U25" s="34"/>
      <c r="V25" s="256"/>
    </row>
    <row r="26" spans="2:22" customFormat="1" ht="18" customHeight="1">
      <c r="B26" s="26"/>
      <c r="C26" s="6" t="s">
        <v>1948</v>
      </c>
      <c r="D26" s="14" t="s">
        <v>1949</v>
      </c>
      <c r="E26" s="723"/>
      <c r="F26" s="64"/>
      <c r="G26" s="37" t="s">
        <v>1955</v>
      </c>
      <c r="H26" s="8">
        <v>900</v>
      </c>
      <c r="I26" s="8"/>
      <c r="J26" s="8"/>
      <c r="K26" s="39">
        <v>0.2</v>
      </c>
      <c r="L26" s="139">
        <v>44148</v>
      </c>
      <c r="M26" s="33"/>
      <c r="N26" s="33">
        <v>44148</v>
      </c>
      <c r="O26" s="32" t="s">
        <v>1951</v>
      </c>
      <c r="P26" s="4"/>
      <c r="Q26" s="724">
        <v>180</v>
      </c>
      <c r="R26" s="1"/>
      <c r="S26" s="1">
        <v>4343</v>
      </c>
      <c r="T26" s="7">
        <v>4343</v>
      </c>
      <c r="U26" s="34"/>
      <c r="V26" s="256"/>
    </row>
    <row r="27" spans="2:22" customFormat="1" ht="18" customHeight="1">
      <c r="B27" s="26"/>
      <c r="C27" s="6" t="s">
        <v>1948</v>
      </c>
      <c r="D27" s="14" t="s">
        <v>1949</v>
      </c>
      <c r="E27" s="723"/>
      <c r="F27" s="64"/>
      <c r="G27" s="37" t="s">
        <v>119</v>
      </c>
      <c r="H27" s="8">
        <v>900</v>
      </c>
      <c r="I27" s="8"/>
      <c r="J27" s="8"/>
      <c r="K27" s="39">
        <v>0.03</v>
      </c>
      <c r="L27" s="139">
        <v>44148</v>
      </c>
      <c r="M27" s="33"/>
      <c r="N27" s="33">
        <v>44148</v>
      </c>
      <c r="O27" s="32" t="s">
        <v>1951</v>
      </c>
      <c r="P27" s="4"/>
      <c r="Q27" s="724">
        <v>27</v>
      </c>
      <c r="R27" s="1"/>
      <c r="S27" s="1">
        <v>3000</v>
      </c>
      <c r="T27" s="7">
        <v>3000</v>
      </c>
      <c r="U27" s="34"/>
      <c r="V27" s="256"/>
    </row>
    <row r="28" spans="2:22" s="7" customFormat="1" ht="18" customHeight="1">
      <c r="B28" s="12"/>
      <c r="C28" s="6" t="s">
        <v>1956</v>
      </c>
      <c r="D28" s="14" t="s">
        <v>1957</v>
      </c>
      <c r="E28" s="19" t="s">
        <v>1958</v>
      </c>
      <c r="F28" s="37"/>
      <c r="G28" s="37"/>
      <c r="H28" s="108"/>
      <c r="I28" s="108"/>
      <c r="J28" s="108"/>
      <c r="K28" s="29" t="s">
        <v>5</v>
      </c>
      <c r="L28" s="139">
        <v>44134</v>
      </c>
      <c r="M28" s="33"/>
      <c r="N28" s="33">
        <v>44134</v>
      </c>
      <c r="O28" s="32" t="s">
        <v>1959</v>
      </c>
      <c r="P28" s="6"/>
      <c r="Q28" s="339"/>
      <c r="U28" s="21"/>
      <c r="V28" s="257"/>
    </row>
    <row r="29" spans="2:22" s="7" customFormat="1" ht="17.25" customHeight="1">
      <c r="B29" s="12"/>
      <c r="C29" s="6" t="s">
        <v>1956</v>
      </c>
      <c r="D29" s="14" t="s">
        <v>1957</v>
      </c>
      <c r="E29" s="22" t="s">
        <v>1960</v>
      </c>
      <c r="F29" s="107">
        <v>148</v>
      </c>
      <c r="G29" s="37" t="s">
        <v>218</v>
      </c>
      <c r="H29" s="108">
        <v>12</v>
      </c>
      <c r="I29" s="109">
        <v>1</v>
      </c>
      <c r="J29" s="8">
        <f>H29*I29</f>
        <v>12</v>
      </c>
      <c r="K29" s="39">
        <v>8.48</v>
      </c>
      <c r="L29" s="139">
        <v>44134</v>
      </c>
      <c r="M29" s="33"/>
      <c r="N29" s="33">
        <v>44134</v>
      </c>
      <c r="O29" s="32" t="s">
        <v>1959</v>
      </c>
      <c r="P29" s="722"/>
      <c r="Q29" s="322">
        <v>7.53</v>
      </c>
      <c r="S29" s="7">
        <v>610</v>
      </c>
      <c r="T29" s="7">
        <f>S29*J29</f>
        <v>7320</v>
      </c>
      <c r="U29" s="21"/>
      <c r="V29" s="257"/>
    </row>
    <row r="30" spans="2:22" s="7" customFormat="1" ht="17.25" customHeight="1">
      <c r="B30" s="12"/>
      <c r="C30" s="6" t="s">
        <v>1956</v>
      </c>
      <c r="D30" s="14" t="s">
        <v>1957</v>
      </c>
      <c r="E30" s="22" t="s">
        <v>1960</v>
      </c>
      <c r="F30" s="107">
        <v>148</v>
      </c>
      <c r="G30" s="37" t="s">
        <v>1961</v>
      </c>
      <c r="H30" s="108">
        <v>24.5</v>
      </c>
      <c r="I30" s="109">
        <v>1</v>
      </c>
      <c r="J30" s="131">
        <f>H30*I30</f>
        <v>24.5</v>
      </c>
      <c r="K30" s="39">
        <v>8.48</v>
      </c>
      <c r="L30" s="139">
        <v>44134</v>
      </c>
      <c r="M30" s="33"/>
      <c r="N30" s="33">
        <v>44134</v>
      </c>
      <c r="O30" s="32" t="s">
        <v>1959</v>
      </c>
      <c r="P30" s="722"/>
      <c r="Q30" s="322">
        <v>7.53</v>
      </c>
      <c r="S30" s="7">
        <v>610</v>
      </c>
      <c r="T30" s="7">
        <f>S30*J30</f>
        <v>14945</v>
      </c>
      <c r="U30" s="21"/>
      <c r="V30" s="257"/>
    </row>
    <row r="31" spans="2:22" s="7" customFormat="1" ht="15">
      <c r="B31" s="12"/>
      <c r="C31" s="6" t="s">
        <v>1956</v>
      </c>
      <c r="D31" s="14" t="s">
        <v>1957</v>
      </c>
      <c r="E31" s="49"/>
      <c r="F31" s="102"/>
      <c r="G31" s="22" t="s">
        <v>14</v>
      </c>
      <c r="H31" s="8"/>
      <c r="I31" s="35"/>
      <c r="J31" s="38">
        <v>1</v>
      </c>
      <c r="K31" s="39">
        <v>20</v>
      </c>
      <c r="L31" s="139">
        <v>44134</v>
      </c>
      <c r="M31" s="33"/>
      <c r="N31" s="33">
        <v>44134</v>
      </c>
      <c r="O31" s="32" t="s">
        <v>1959</v>
      </c>
      <c r="P31" s="6"/>
      <c r="Q31" s="322">
        <v>20</v>
      </c>
      <c r="S31" s="7">
        <v>1000</v>
      </c>
      <c r="T31" s="7">
        <f>S31*J31</f>
        <v>1000</v>
      </c>
      <c r="U31" s="21"/>
      <c r="V31" s="257"/>
    </row>
    <row r="32" spans="2:22" s="191" customFormat="1" ht="15">
      <c r="B32" s="190"/>
      <c r="C32" s="179" t="s">
        <v>1956</v>
      </c>
      <c r="D32" s="180" t="s">
        <v>1957</v>
      </c>
      <c r="E32" s="181"/>
      <c r="F32" s="182"/>
      <c r="G32" s="182" t="s">
        <v>250</v>
      </c>
      <c r="H32" s="184" t="s">
        <v>251</v>
      </c>
      <c r="I32" s="185"/>
      <c r="J32" s="183"/>
      <c r="K32" s="192">
        <v>0</v>
      </c>
      <c r="L32" s="188">
        <v>44134</v>
      </c>
      <c r="M32" s="187"/>
      <c r="N32" s="187">
        <v>44134</v>
      </c>
      <c r="O32" s="186" t="s">
        <v>1959</v>
      </c>
      <c r="P32" s="179"/>
      <c r="Q32" s="725">
        <v>0</v>
      </c>
      <c r="S32" s="197">
        <v>0</v>
      </c>
      <c r="T32" s="198">
        <v>0</v>
      </c>
      <c r="U32" s="335"/>
      <c r="V32" s="726"/>
    </row>
    <row r="33" spans="2:22" s="7" customFormat="1" ht="18" customHeight="1">
      <c r="B33" s="12"/>
      <c r="C33" s="6" t="s">
        <v>1962</v>
      </c>
      <c r="D33" s="14" t="s">
        <v>1963</v>
      </c>
      <c r="E33" s="19" t="s">
        <v>238</v>
      </c>
      <c r="F33" s="107"/>
      <c r="G33" s="22"/>
      <c r="H33" s="108"/>
      <c r="I33" s="109"/>
      <c r="J33" s="108"/>
      <c r="K33" s="110" t="s">
        <v>5</v>
      </c>
      <c r="L33" s="139">
        <v>44134</v>
      </c>
      <c r="M33" s="33"/>
      <c r="N33" s="33">
        <v>44134</v>
      </c>
      <c r="O33" s="32" t="s">
        <v>1964</v>
      </c>
      <c r="P33" s="14"/>
      <c r="Q33" s="322"/>
      <c r="U33" s="14"/>
      <c r="V33" s="257"/>
    </row>
    <row r="34" spans="2:22" s="7" customFormat="1" ht="18" customHeight="1">
      <c r="B34" s="12"/>
      <c r="C34" s="6" t="s">
        <v>1962</v>
      </c>
      <c r="D34" s="14" t="s">
        <v>1963</v>
      </c>
      <c r="E34" s="22" t="s">
        <v>239</v>
      </c>
      <c r="F34" s="107">
        <v>150</v>
      </c>
      <c r="G34" s="22" t="s">
        <v>1965</v>
      </c>
      <c r="H34" s="108">
        <v>10</v>
      </c>
      <c r="I34" s="109">
        <v>1</v>
      </c>
      <c r="J34" s="8">
        <f>H34*I34</f>
        <v>10</v>
      </c>
      <c r="K34" s="39">
        <v>6.53</v>
      </c>
      <c r="L34" s="139">
        <v>44134</v>
      </c>
      <c r="M34" s="33"/>
      <c r="N34" s="33">
        <v>44134</v>
      </c>
      <c r="O34" s="32" t="s">
        <v>1964</v>
      </c>
      <c r="P34" s="6"/>
      <c r="Q34" s="322">
        <v>5.81</v>
      </c>
      <c r="S34" s="7">
        <v>470</v>
      </c>
      <c r="T34" s="7">
        <f>S34*J34</f>
        <v>4700</v>
      </c>
      <c r="U34" s="21"/>
      <c r="V34" s="257"/>
    </row>
    <row r="35" spans="2:22" s="7" customFormat="1" ht="18" customHeight="1">
      <c r="B35" s="12"/>
      <c r="C35" s="6" t="s">
        <v>1962</v>
      </c>
      <c r="D35" s="14" t="s">
        <v>1963</v>
      </c>
      <c r="E35" s="22" t="s">
        <v>239</v>
      </c>
      <c r="F35" s="107">
        <v>150</v>
      </c>
      <c r="G35" s="22" t="s">
        <v>1966</v>
      </c>
      <c r="H35" s="108">
        <v>10</v>
      </c>
      <c r="I35" s="109">
        <v>1</v>
      </c>
      <c r="J35" s="8">
        <f>H35*I35</f>
        <v>10</v>
      </c>
      <c r="K35" s="39">
        <v>6.53</v>
      </c>
      <c r="L35" s="139">
        <v>44134</v>
      </c>
      <c r="M35" s="33"/>
      <c r="N35" s="33">
        <v>44134</v>
      </c>
      <c r="O35" s="32" t="s">
        <v>1964</v>
      </c>
      <c r="P35" s="6"/>
      <c r="Q35" s="322">
        <v>5.81</v>
      </c>
      <c r="S35" s="7">
        <v>470</v>
      </c>
      <c r="T35" s="7">
        <f>S35*J35</f>
        <v>4700</v>
      </c>
      <c r="U35" s="21"/>
      <c r="V35" s="257"/>
    </row>
    <row r="36" spans="2:22" s="7" customFormat="1" ht="15">
      <c r="B36" s="12"/>
      <c r="C36" s="6" t="s">
        <v>1962</v>
      </c>
      <c r="D36" s="14" t="s">
        <v>1963</v>
      </c>
      <c r="E36" s="22"/>
      <c r="F36" s="102"/>
      <c r="G36" s="22" t="s">
        <v>57</v>
      </c>
      <c r="H36" s="195"/>
      <c r="I36" s="35"/>
      <c r="J36" s="195">
        <v>2</v>
      </c>
      <c r="K36" s="39">
        <v>15</v>
      </c>
      <c r="L36" s="139">
        <v>44134</v>
      </c>
      <c r="M36" s="33"/>
      <c r="N36" s="33">
        <v>44134</v>
      </c>
      <c r="O36" s="32" t="s">
        <v>1964</v>
      </c>
      <c r="P36" s="6"/>
      <c r="Q36" s="322">
        <v>15</v>
      </c>
      <c r="S36" s="7">
        <v>1000</v>
      </c>
      <c r="T36" s="7">
        <f>S36*J36</f>
        <v>2000</v>
      </c>
      <c r="U36" s="21"/>
      <c r="V36" s="257"/>
    </row>
    <row r="37" spans="2:22" s="7" customFormat="1" ht="15">
      <c r="B37" s="12"/>
      <c r="C37" s="6" t="s">
        <v>1962</v>
      </c>
      <c r="D37" s="14" t="s">
        <v>1963</v>
      </c>
      <c r="E37" s="49"/>
      <c r="F37" s="102"/>
      <c r="G37" s="22" t="s">
        <v>14</v>
      </c>
      <c r="H37" s="38"/>
      <c r="I37" s="35"/>
      <c r="J37" s="38">
        <v>1</v>
      </c>
      <c r="K37" s="39">
        <v>20</v>
      </c>
      <c r="L37" s="139">
        <v>44134</v>
      </c>
      <c r="M37" s="33"/>
      <c r="N37" s="33">
        <v>44134</v>
      </c>
      <c r="O37" s="32" t="s">
        <v>1964</v>
      </c>
      <c r="P37" s="6"/>
      <c r="Q37" s="322">
        <v>20</v>
      </c>
      <c r="S37" s="7">
        <v>1000</v>
      </c>
      <c r="T37" s="7">
        <f>S37*J37</f>
        <v>1000</v>
      </c>
      <c r="U37" s="21"/>
      <c r="V37" s="257"/>
    </row>
    <row r="38" spans="2:22" s="191" customFormat="1" ht="15">
      <c r="B38" s="190"/>
      <c r="C38" s="179" t="s">
        <v>1962</v>
      </c>
      <c r="D38" s="180" t="s">
        <v>1963</v>
      </c>
      <c r="E38" s="181"/>
      <c r="F38" s="182"/>
      <c r="G38" s="182" t="s">
        <v>250</v>
      </c>
      <c r="H38" s="184" t="s">
        <v>251</v>
      </c>
      <c r="I38" s="185"/>
      <c r="J38" s="183"/>
      <c r="K38" s="192">
        <v>0</v>
      </c>
      <c r="L38" s="188">
        <v>44134</v>
      </c>
      <c r="M38" s="187"/>
      <c r="N38" s="187">
        <v>44134</v>
      </c>
      <c r="O38" s="186" t="s">
        <v>1964</v>
      </c>
      <c r="P38" s="179"/>
      <c r="Q38" s="725">
        <v>0</v>
      </c>
      <c r="S38" s="197">
        <v>0</v>
      </c>
      <c r="T38" s="198">
        <v>0</v>
      </c>
      <c r="U38" s="335"/>
      <c r="V38" s="726"/>
    </row>
    <row r="39" spans="2:22" s="7" customFormat="1" ht="18" customHeight="1">
      <c r="B39" s="12"/>
      <c r="C39" s="6" t="s">
        <v>1967</v>
      </c>
      <c r="D39" s="14" t="s">
        <v>1963</v>
      </c>
      <c r="E39" s="19" t="s">
        <v>238</v>
      </c>
      <c r="F39" s="107"/>
      <c r="G39" s="22"/>
      <c r="H39" s="108"/>
      <c r="I39" s="109"/>
      <c r="J39" s="108"/>
      <c r="K39" s="110" t="s">
        <v>5</v>
      </c>
      <c r="L39" s="139">
        <v>44140</v>
      </c>
      <c r="M39" s="33"/>
      <c r="N39" s="33">
        <v>44140</v>
      </c>
      <c r="O39" s="32" t="s">
        <v>1968</v>
      </c>
      <c r="P39" s="14"/>
      <c r="Q39" s="322"/>
      <c r="U39" s="14"/>
      <c r="V39" s="257"/>
    </row>
    <row r="40" spans="2:22" s="7" customFormat="1" ht="18" customHeight="1">
      <c r="B40" s="12"/>
      <c r="C40" s="6" t="s">
        <v>1967</v>
      </c>
      <c r="D40" s="14" t="s">
        <v>1963</v>
      </c>
      <c r="E40" s="22" t="s">
        <v>239</v>
      </c>
      <c r="F40" s="107">
        <v>150</v>
      </c>
      <c r="G40" s="22" t="s">
        <v>1965</v>
      </c>
      <c r="H40" s="108">
        <v>10</v>
      </c>
      <c r="I40" s="109">
        <v>1</v>
      </c>
      <c r="J40" s="8">
        <f>H40*I40</f>
        <v>10</v>
      </c>
      <c r="K40" s="39">
        <v>6.53</v>
      </c>
      <c r="L40" s="139">
        <v>44140</v>
      </c>
      <c r="M40" s="33"/>
      <c r="N40" s="33">
        <v>44140</v>
      </c>
      <c r="O40" s="32" t="s">
        <v>1968</v>
      </c>
      <c r="P40" s="6"/>
      <c r="Q40" s="322">
        <v>5.81</v>
      </c>
      <c r="S40" s="7">
        <v>470</v>
      </c>
      <c r="T40" s="7">
        <f>S40*J40</f>
        <v>4700</v>
      </c>
      <c r="U40" s="21"/>
      <c r="V40" s="257"/>
    </row>
    <row r="41" spans="2:22" s="7" customFormat="1" ht="18" customHeight="1">
      <c r="B41" s="12"/>
      <c r="C41" s="6" t="s">
        <v>1967</v>
      </c>
      <c r="D41" s="14" t="s">
        <v>1963</v>
      </c>
      <c r="E41" s="22" t="s">
        <v>239</v>
      </c>
      <c r="F41" s="107">
        <v>150</v>
      </c>
      <c r="G41" s="22" t="s">
        <v>1966</v>
      </c>
      <c r="H41" s="108">
        <v>10</v>
      </c>
      <c r="I41" s="109">
        <v>1</v>
      </c>
      <c r="J41" s="8">
        <f>H41*I41</f>
        <v>10</v>
      </c>
      <c r="K41" s="39">
        <v>6.53</v>
      </c>
      <c r="L41" s="139">
        <v>44140</v>
      </c>
      <c r="M41" s="33"/>
      <c r="N41" s="33">
        <v>44140</v>
      </c>
      <c r="O41" s="32" t="s">
        <v>1968</v>
      </c>
      <c r="P41" s="6"/>
      <c r="Q41" s="322">
        <v>5.81</v>
      </c>
      <c r="S41" s="7">
        <v>470</v>
      </c>
      <c r="T41" s="7">
        <f>S41*J41</f>
        <v>4700</v>
      </c>
      <c r="U41" s="21"/>
      <c r="V41" s="257"/>
    </row>
    <row r="42" spans="2:22" s="7" customFormat="1" ht="15">
      <c r="B42" s="12"/>
      <c r="C42" s="6" t="s">
        <v>1967</v>
      </c>
      <c r="D42" s="14" t="s">
        <v>1963</v>
      </c>
      <c r="E42" s="49"/>
      <c r="F42" s="102"/>
      <c r="G42" s="22" t="s">
        <v>57</v>
      </c>
      <c r="H42" s="195"/>
      <c r="I42" s="35"/>
      <c r="J42" s="195">
        <v>2</v>
      </c>
      <c r="K42" s="39">
        <v>15</v>
      </c>
      <c r="L42" s="139">
        <v>44140</v>
      </c>
      <c r="M42" s="33"/>
      <c r="N42" s="33">
        <v>44140</v>
      </c>
      <c r="O42" s="32" t="s">
        <v>1968</v>
      </c>
      <c r="P42" s="6"/>
      <c r="Q42" s="322">
        <v>15</v>
      </c>
      <c r="S42" s="7">
        <v>1000</v>
      </c>
      <c r="T42" s="7">
        <f>S42*J42</f>
        <v>2000</v>
      </c>
      <c r="U42" s="21"/>
      <c r="V42" s="257"/>
    </row>
    <row r="43" spans="2:22" s="7" customFormat="1" ht="15">
      <c r="B43" s="12"/>
      <c r="C43" s="6" t="s">
        <v>1967</v>
      </c>
      <c r="D43" s="14" t="s">
        <v>1963</v>
      </c>
      <c r="E43" s="49"/>
      <c r="F43" s="102"/>
      <c r="G43" s="22" t="s">
        <v>14</v>
      </c>
      <c r="H43" s="38"/>
      <c r="I43" s="35"/>
      <c r="J43" s="38">
        <v>1</v>
      </c>
      <c r="K43" s="39">
        <v>20</v>
      </c>
      <c r="L43" s="139">
        <v>44140</v>
      </c>
      <c r="M43" s="33"/>
      <c r="N43" s="33">
        <v>44140</v>
      </c>
      <c r="O43" s="32" t="s">
        <v>1968</v>
      </c>
      <c r="P43" s="6"/>
      <c r="Q43" s="322">
        <v>20</v>
      </c>
      <c r="S43" s="7">
        <v>1000</v>
      </c>
      <c r="T43" s="7">
        <f>S43*J43</f>
        <v>1000</v>
      </c>
      <c r="U43" s="21"/>
      <c r="V43" s="257"/>
    </row>
    <row r="44" spans="2:22" s="191" customFormat="1" ht="15">
      <c r="B44" s="190"/>
      <c r="C44" s="179" t="s">
        <v>1967</v>
      </c>
      <c r="D44" s="180" t="s">
        <v>1963</v>
      </c>
      <c r="E44" s="181"/>
      <c r="F44" s="182"/>
      <c r="G44" s="182" t="s">
        <v>250</v>
      </c>
      <c r="H44" s="184" t="s">
        <v>251</v>
      </c>
      <c r="I44" s="185"/>
      <c r="J44" s="183"/>
      <c r="K44" s="192">
        <v>0</v>
      </c>
      <c r="L44" s="188">
        <v>44140</v>
      </c>
      <c r="M44" s="187"/>
      <c r="N44" s="187">
        <v>44140</v>
      </c>
      <c r="O44" s="186" t="s">
        <v>1968</v>
      </c>
      <c r="P44" s="179"/>
      <c r="Q44" s="725">
        <v>0</v>
      </c>
      <c r="S44" s="197">
        <v>0</v>
      </c>
      <c r="T44" s="198">
        <v>0</v>
      </c>
      <c r="U44" s="335"/>
      <c r="V44" s="726"/>
    </row>
    <row r="45" spans="2:22" s="7" customFormat="1" ht="15">
      <c r="B45" s="12"/>
      <c r="C45" s="6" t="s">
        <v>1969</v>
      </c>
      <c r="D45" s="14" t="s">
        <v>1970</v>
      </c>
      <c r="E45" s="19" t="s">
        <v>1971</v>
      </c>
      <c r="F45" s="24"/>
      <c r="G45" s="22"/>
      <c r="H45" s="60"/>
      <c r="I45" s="61"/>
      <c r="J45" s="8"/>
      <c r="K45" s="110" t="s">
        <v>5</v>
      </c>
      <c r="L45" s="139">
        <v>44139</v>
      </c>
      <c r="M45" s="33"/>
      <c r="N45" s="33">
        <v>44139</v>
      </c>
      <c r="O45" s="32" t="s">
        <v>1972</v>
      </c>
      <c r="P45" s="6" t="s">
        <v>8</v>
      </c>
      <c r="Q45" s="358"/>
      <c r="U45" s="120"/>
      <c r="V45" s="257"/>
    </row>
    <row r="46" spans="2:22" s="7" customFormat="1" ht="18" customHeight="1">
      <c r="B46" s="12"/>
      <c r="C46" s="6" t="s">
        <v>1969</v>
      </c>
      <c r="D46" s="14" t="s">
        <v>1970</v>
      </c>
      <c r="E46" s="22">
        <v>11700</v>
      </c>
      <c r="F46" s="37">
        <v>24</v>
      </c>
      <c r="G46" s="22" t="s">
        <v>1973</v>
      </c>
      <c r="H46" s="8">
        <v>10</v>
      </c>
      <c r="I46" s="35">
        <v>1</v>
      </c>
      <c r="J46" s="8">
        <f>H46*I46</f>
        <v>10</v>
      </c>
      <c r="K46" s="39">
        <v>2.35</v>
      </c>
      <c r="L46" s="139">
        <v>44139</v>
      </c>
      <c r="M46" s="33"/>
      <c r="N46" s="33">
        <v>44139</v>
      </c>
      <c r="O46" s="32" t="s">
        <v>1972</v>
      </c>
      <c r="P46" s="6"/>
      <c r="Q46" s="322">
        <f>ROUNDUP(S46/0.75/90,2)</f>
        <v>1.8800000000000001</v>
      </c>
      <c r="S46" s="7">
        <v>126.7</v>
      </c>
      <c r="T46" s="7">
        <f>S46*J46</f>
        <v>1267</v>
      </c>
      <c r="U46" s="39"/>
      <c r="V46" s="257"/>
    </row>
    <row r="47" spans="2:22" s="7" customFormat="1" ht="15">
      <c r="B47" s="12"/>
      <c r="C47" s="6" t="s">
        <v>1969</v>
      </c>
      <c r="D47" s="14" t="s">
        <v>1970</v>
      </c>
      <c r="E47" s="49"/>
      <c r="F47" s="102"/>
      <c r="G47" s="22" t="s">
        <v>14</v>
      </c>
      <c r="H47" s="8" t="s">
        <v>64</v>
      </c>
      <c r="I47" s="35"/>
      <c r="J47" s="8"/>
      <c r="K47" s="39">
        <v>12</v>
      </c>
      <c r="L47" s="139">
        <v>44139</v>
      </c>
      <c r="M47" s="33"/>
      <c r="N47" s="33">
        <v>44139</v>
      </c>
      <c r="O47" s="32" t="s">
        <v>1972</v>
      </c>
      <c r="P47" s="6"/>
      <c r="Q47" s="322">
        <v>12</v>
      </c>
      <c r="S47" s="7">
        <v>0</v>
      </c>
      <c r="T47" s="7">
        <v>0</v>
      </c>
      <c r="U47" s="21"/>
      <c r="V47" s="257"/>
    </row>
    <row r="48" spans="2:22" s="191" customFormat="1" ht="15">
      <c r="B48" s="190"/>
      <c r="C48" s="179" t="s">
        <v>1969</v>
      </c>
      <c r="D48" s="180" t="s">
        <v>1970</v>
      </c>
      <c r="E48" s="181"/>
      <c r="F48" s="182"/>
      <c r="G48" s="182" t="s">
        <v>250</v>
      </c>
      <c r="H48" s="184" t="s">
        <v>251</v>
      </c>
      <c r="I48" s="185"/>
      <c r="J48" s="183"/>
      <c r="K48" s="192">
        <v>0</v>
      </c>
      <c r="L48" s="188">
        <v>44139</v>
      </c>
      <c r="M48" s="187"/>
      <c r="N48" s="187">
        <v>44139</v>
      </c>
      <c r="O48" s="186" t="s">
        <v>1972</v>
      </c>
      <c r="P48" s="179"/>
      <c r="Q48" s="725">
        <v>0</v>
      </c>
      <c r="S48" s="197">
        <v>0</v>
      </c>
      <c r="T48" s="198">
        <v>0</v>
      </c>
      <c r="U48" s="335"/>
      <c r="V48" s="726"/>
    </row>
    <row r="49" spans="2:22" s="7" customFormat="1" ht="18" customHeight="1">
      <c r="B49" s="12"/>
      <c r="C49" s="6" t="s">
        <v>1974</v>
      </c>
      <c r="D49" s="14" t="s">
        <v>1975</v>
      </c>
      <c r="E49" s="17" t="s">
        <v>1976</v>
      </c>
      <c r="F49" s="727"/>
      <c r="G49" s="14"/>
      <c r="H49" s="728"/>
      <c r="I49" s="61"/>
      <c r="J49" s="60"/>
      <c r="K49" s="110" t="s">
        <v>4</v>
      </c>
      <c r="L49" s="139">
        <v>44141</v>
      </c>
      <c r="M49" s="33"/>
      <c r="N49" s="33">
        <v>44141</v>
      </c>
      <c r="O49" s="32" t="s">
        <v>1977</v>
      </c>
      <c r="P49" s="6"/>
      <c r="Q49" s="358"/>
      <c r="U49" s="120"/>
      <c r="V49" s="257"/>
    </row>
    <row r="50" spans="2:22" s="7" customFormat="1" ht="15" customHeight="1">
      <c r="B50" s="12"/>
      <c r="C50" s="6" t="s">
        <v>1974</v>
      </c>
      <c r="D50" s="14" t="s">
        <v>1975</v>
      </c>
      <c r="E50" s="22">
        <v>12701</v>
      </c>
      <c r="F50" s="37">
        <v>9</v>
      </c>
      <c r="G50" s="22" t="s">
        <v>1978</v>
      </c>
      <c r="H50" s="8">
        <v>10</v>
      </c>
      <c r="I50" s="35">
        <v>1</v>
      </c>
      <c r="J50" s="8">
        <f>H50*I50</f>
        <v>10</v>
      </c>
      <c r="K50" s="39">
        <v>5.04</v>
      </c>
      <c r="L50" s="139">
        <v>44141</v>
      </c>
      <c r="M50" s="33"/>
      <c r="N50" s="33">
        <v>44141</v>
      </c>
      <c r="O50" s="32" t="s">
        <v>1977</v>
      </c>
      <c r="P50" s="6"/>
      <c r="Q50" s="322"/>
      <c r="S50" s="7">
        <v>378</v>
      </c>
      <c r="T50" s="7">
        <v>378</v>
      </c>
      <c r="U50" s="39"/>
      <c r="V50" s="257"/>
    </row>
    <row r="51" spans="2:22" s="7" customFormat="1" ht="15" customHeight="1">
      <c r="B51" s="12"/>
      <c r="C51" s="6" t="s">
        <v>1974</v>
      </c>
      <c r="D51" s="14" t="s">
        <v>1975</v>
      </c>
      <c r="E51" s="22">
        <v>12701</v>
      </c>
      <c r="F51" s="37">
        <v>9</v>
      </c>
      <c r="G51" s="22" t="s">
        <v>220</v>
      </c>
      <c r="H51" s="8">
        <v>10</v>
      </c>
      <c r="I51" s="35">
        <v>1</v>
      </c>
      <c r="J51" s="8">
        <f>H51*I51</f>
        <v>10</v>
      </c>
      <c r="K51" s="39">
        <v>5.04</v>
      </c>
      <c r="L51" s="139">
        <v>44141</v>
      </c>
      <c r="M51" s="33"/>
      <c r="N51" s="33">
        <v>44141</v>
      </c>
      <c r="O51" s="32" t="s">
        <v>1977</v>
      </c>
      <c r="P51" s="6"/>
      <c r="Q51" s="322"/>
      <c r="S51" s="7">
        <v>378</v>
      </c>
      <c r="T51" s="7">
        <v>378</v>
      </c>
      <c r="U51" s="39"/>
      <c r="V51" s="257"/>
    </row>
    <row r="52" spans="2:22" s="7" customFormat="1" ht="18" customHeight="1">
      <c r="B52" s="12"/>
      <c r="C52" s="6" t="s">
        <v>1974</v>
      </c>
      <c r="D52" s="14" t="s">
        <v>1975</v>
      </c>
      <c r="E52" s="22">
        <v>12701</v>
      </c>
      <c r="F52" s="37">
        <v>12</v>
      </c>
      <c r="G52" s="22" t="s">
        <v>1979</v>
      </c>
      <c r="H52" s="8">
        <v>10</v>
      </c>
      <c r="I52" s="35">
        <v>1</v>
      </c>
      <c r="J52" s="8">
        <f>H52*I52</f>
        <v>10</v>
      </c>
      <c r="K52" s="39">
        <v>5.68</v>
      </c>
      <c r="L52" s="139">
        <v>44141</v>
      </c>
      <c r="M52" s="33"/>
      <c r="N52" s="33">
        <v>44141</v>
      </c>
      <c r="O52" s="32" t="s">
        <v>1977</v>
      </c>
      <c r="P52" s="6"/>
      <c r="Q52" s="322"/>
      <c r="S52" s="7">
        <v>426</v>
      </c>
      <c r="T52" s="7">
        <v>426</v>
      </c>
      <c r="U52" s="39"/>
      <c r="V52" s="257"/>
    </row>
    <row r="53" spans="2:22" s="7" customFormat="1" ht="18" customHeight="1">
      <c r="B53" s="12"/>
      <c r="C53" s="6" t="s">
        <v>1974</v>
      </c>
      <c r="D53" s="14" t="s">
        <v>1975</v>
      </c>
      <c r="E53" s="19" t="s">
        <v>1980</v>
      </c>
      <c r="F53" s="37"/>
      <c r="G53" s="37"/>
      <c r="H53" s="108"/>
      <c r="I53" s="108"/>
      <c r="J53" s="108"/>
      <c r="K53" s="110" t="s">
        <v>4</v>
      </c>
      <c r="L53" s="139">
        <v>44141</v>
      </c>
      <c r="M53" s="33"/>
      <c r="N53" s="33">
        <v>44141</v>
      </c>
      <c r="O53" s="32" t="s">
        <v>1977</v>
      </c>
      <c r="P53" s="6"/>
      <c r="Q53" s="339"/>
      <c r="U53" s="21"/>
      <c r="V53" s="257"/>
    </row>
    <row r="54" spans="2:22" s="7" customFormat="1" ht="17.25" customHeight="1">
      <c r="B54" s="12"/>
      <c r="C54" s="6" t="s">
        <v>1974</v>
      </c>
      <c r="D54" s="14" t="s">
        <v>1975</v>
      </c>
      <c r="E54" s="22">
        <v>3709</v>
      </c>
      <c r="F54" s="37">
        <v>38</v>
      </c>
      <c r="G54" s="37" t="s">
        <v>118</v>
      </c>
      <c r="H54" s="108">
        <v>30</v>
      </c>
      <c r="I54" s="109">
        <v>1</v>
      </c>
      <c r="J54" s="8">
        <f>H54*I54</f>
        <v>30</v>
      </c>
      <c r="K54" s="39">
        <v>32.200000000000003</v>
      </c>
      <c r="L54" s="139">
        <v>44141</v>
      </c>
      <c r="M54" s="33"/>
      <c r="N54" s="33">
        <v>44141</v>
      </c>
      <c r="O54" s="32" t="s">
        <v>1977</v>
      </c>
      <c r="P54" s="722"/>
      <c r="Q54" s="322"/>
      <c r="S54" s="92">
        <v>2415</v>
      </c>
      <c r="T54" s="92">
        <v>2415</v>
      </c>
      <c r="U54" s="21"/>
      <c r="V54" s="257"/>
    </row>
    <row r="55" spans="2:22" s="7" customFormat="1" ht="17.25" customHeight="1">
      <c r="B55" s="12"/>
      <c r="C55" s="6" t="s">
        <v>1974</v>
      </c>
      <c r="D55" s="14" t="s">
        <v>1975</v>
      </c>
      <c r="E55" s="22">
        <v>3709</v>
      </c>
      <c r="F55" s="37">
        <v>75</v>
      </c>
      <c r="G55" s="37" t="s">
        <v>118</v>
      </c>
      <c r="H55" s="108">
        <v>30</v>
      </c>
      <c r="I55" s="109">
        <v>1</v>
      </c>
      <c r="J55" s="8">
        <f>H55*I55</f>
        <v>30</v>
      </c>
      <c r="K55" s="39">
        <v>77.63</v>
      </c>
      <c r="L55" s="139">
        <v>44141</v>
      </c>
      <c r="M55" s="33"/>
      <c r="N55" s="33">
        <v>44141</v>
      </c>
      <c r="O55" s="32" t="s">
        <v>1977</v>
      </c>
      <c r="P55" s="722"/>
      <c r="Q55" s="322"/>
      <c r="S55" s="92">
        <v>5822</v>
      </c>
      <c r="T55" s="92">
        <v>5822</v>
      </c>
      <c r="U55" s="21"/>
      <c r="V55" s="257"/>
    </row>
    <row r="56" spans="2:22" s="218" customFormat="1" ht="17.25" customHeight="1">
      <c r="B56" s="189"/>
      <c r="C56" s="179" t="s">
        <v>1974</v>
      </c>
      <c r="D56" s="180" t="s">
        <v>1975</v>
      </c>
      <c r="E56" s="217"/>
      <c r="F56" s="182"/>
      <c r="G56" s="182" t="s">
        <v>1955</v>
      </c>
      <c r="H56" s="183" t="s">
        <v>252</v>
      </c>
      <c r="I56" s="185"/>
      <c r="J56" s="222"/>
      <c r="K56" s="192">
        <v>45</v>
      </c>
      <c r="L56" s="188">
        <v>44141</v>
      </c>
      <c r="M56" s="187"/>
      <c r="N56" s="187">
        <v>44141</v>
      </c>
      <c r="O56" s="186" t="s">
        <v>1977</v>
      </c>
      <c r="P56" s="387"/>
      <c r="Q56" s="193"/>
      <c r="S56" s="197">
        <v>3916</v>
      </c>
      <c r="T56" s="197">
        <v>3916</v>
      </c>
      <c r="U56" s="729"/>
      <c r="V56" s="730"/>
    </row>
    <row r="57" spans="2:22" s="7" customFormat="1" ht="18" customHeight="1">
      <c r="B57" s="12"/>
      <c r="C57" s="6" t="s">
        <v>1981</v>
      </c>
      <c r="D57" s="14" t="s">
        <v>1982</v>
      </c>
      <c r="E57" s="17" t="s">
        <v>1983</v>
      </c>
      <c r="F57" s="319"/>
      <c r="G57" s="299"/>
      <c r="H57" s="300"/>
      <c r="I57" s="320"/>
      <c r="J57" s="321"/>
      <c r="K57" s="110" t="s">
        <v>5</v>
      </c>
      <c r="L57" s="139">
        <v>44151</v>
      </c>
      <c r="M57" s="33"/>
      <c r="N57" s="33">
        <v>44151</v>
      </c>
      <c r="O57" s="32" t="s">
        <v>1984</v>
      </c>
      <c r="P57" s="6"/>
      <c r="Q57" s="322"/>
      <c r="U57" s="39"/>
      <c r="V57" s="257"/>
    </row>
    <row r="58" spans="2:22" s="7" customFormat="1" ht="18" customHeight="1">
      <c r="B58" s="12"/>
      <c r="C58" s="6" t="s">
        <v>1981</v>
      </c>
      <c r="D58" s="14" t="s">
        <v>1982</v>
      </c>
      <c r="E58" s="22">
        <v>9527</v>
      </c>
      <c r="F58" s="24"/>
      <c r="G58" s="22" t="s">
        <v>1985</v>
      </c>
      <c r="H58" s="108">
        <v>50</v>
      </c>
      <c r="I58" s="109">
        <v>8</v>
      </c>
      <c r="J58" s="8">
        <f>H58*I58</f>
        <v>400</v>
      </c>
      <c r="K58" s="39">
        <v>0.36</v>
      </c>
      <c r="L58" s="139">
        <v>44151</v>
      </c>
      <c r="M58" s="33"/>
      <c r="N58" s="33">
        <v>44151</v>
      </c>
      <c r="O58" s="32" t="s">
        <v>1984</v>
      </c>
      <c r="P58" s="6"/>
      <c r="Q58" s="322">
        <v>0.28999999999999998</v>
      </c>
      <c r="S58" s="92">
        <v>19</v>
      </c>
      <c r="T58" s="7">
        <f>S58*J58</f>
        <v>7600</v>
      </c>
      <c r="U58" s="731"/>
      <c r="V58" s="257"/>
    </row>
    <row r="59" spans="2:22" s="7" customFormat="1" ht="18" customHeight="1">
      <c r="B59" s="12"/>
      <c r="C59" s="6" t="s">
        <v>1981</v>
      </c>
      <c r="D59" s="14" t="s">
        <v>1982</v>
      </c>
      <c r="E59" s="22">
        <v>9527</v>
      </c>
      <c r="F59" s="24"/>
      <c r="G59" s="22" t="s">
        <v>1986</v>
      </c>
      <c r="H59" s="108">
        <v>50</v>
      </c>
      <c r="I59" s="109">
        <v>3</v>
      </c>
      <c r="J59" s="8">
        <f>H59*I59</f>
        <v>150</v>
      </c>
      <c r="K59" s="39">
        <v>0.36</v>
      </c>
      <c r="L59" s="139">
        <v>44151</v>
      </c>
      <c r="M59" s="33"/>
      <c r="N59" s="33">
        <v>44151</v>
      </c>
      <c r="O59" s="32" t="s">
        <v>1984</v>
      </c>
      <c r="P59" s="6"/>
      <c r="Q59" s="322">
        <v>0.28999999999999998</v>
      </c>
      <c r="S59" s="92">
        <v>19</v>
      </c>
      <c r="T59" s="7">
        <f>S59*J59</f>
        <v>2850</v>
      </c>
      <c r="U59" s="731"/>
      <c r="V59" s="257"/>
    </row>
    <row r="60" spans="2:22" s="7" customFormat="1" ht="18" customHeight="1">
      <c r="B60" s="12"/>
      <c r="C60" s="6" t="s">
        <v>1981</v>
      </c>
      <c r="D60" s="14" t="s">
        <v>1982</v>
      </c>
      <c r="E60" s="22">
        <v>9527</v>
      </c>
      <c r="F60" s="24"/>
      <c r="G60" s="22" t="s">
        <v>1987</v>
      </c>
      <c r="H60" s="108">
        <v>50</v>
      </c>
      <c r="I60" s="109">
        <v>2</v>
      </c>
      <c r="J60" s="8">
        <f>H60*I60</f>
        <v>100</v>
      </c>
      <c r="K60" s="39">
        <v>0.36</v>
      </c>
      <c r="L60" s="139">
        <v>44151</v>
      </c>
      <c r="M60" s="33"/>
      <c r="N60" s="33">
        <v>44151</v>
      </c>
      <c r="O60" s="32" t="s">
        <v>1984</v>
      </c>
      <c r="P60" s="6"/>
      <c r="Q60" s="322">
        <v>0.28999999999999998</v>
      </c>
      <c r="S60" s="92">
        <v>19</v>
      </c>
      <c r="T60" s="7">
        <f>S60*J60</f>
        <v>1900</v>
      </c>
      <c r="U60" s="731"/>
      <c r="V60" s="257"/>
    </row>
    <row r="61" spans="2:22" s="7" customFormat="1" ht="18" customHeight="1">
      <c r="B61" s="12"/>
      <c r="C61" s="6" t="s">
        <v>1981</v>
      </c>
      <c r="D61" s="14" t="s">
        <v>1982</v>
      </c>
      <c r="E61" s="22">
        <v>9527</v>
      </c>
      <c r="F61" s="24"/>
      <c r="G61" s="22" t="s">
        <v>92</v>
      </c>
      <c r="H61" s="108">
        <v>50</v>
      </c>
      <c r="I61" s="109">
        <v>2</v>
      </c>
      <c r="J61" s="8">
        <f>H61*I61</f>
        <v>100</v>
      </c>
      <c r="K61" s="39">
        <v>0.36</v>
      </c>
      <c r="L61" s="139">
        <v>44151</v>
      </c>
      <c r="M61" s="33"/>
      <c r="N61" s="33">
        <v>44151</v>
      </c>
      <c r="O61" s="32" t="s">
        <v>1984</v>
      </c>
      <c r="P61" s="6"/>
      <c r="Q61" s="322">
        <v>0.28999999999999998</v>
      </c>
      <c r="S61" s="92">
        <v>19</v>
      </c>
      <c r="T61" s="7">
        <f>S61*J61</f>
        <v>1900</v>
      </c>
      <c r="U61" s="731"/>
      <c r="V61" s="257"/>
    </row>
    <row r="62" spans="2:22" s="7" customFormat="1" ht="18" customHeight="1">
      <c r="B62" s="12"/>
      <c r="C62" s="6" t="s">
        <v>1981</v>
      </c>
      <c r="D62" s="14" t="s">
        <v>1982</v>
      </c>
      <c r="E62" s="22">
        <v>9527</v>
      </c>
      <c r="F62" s="24"/>
      <c r="G62" s="22" t="s">
        <v>1988</v>
      </c>
      <c r="H62" s="108">
        <v>50</v>
      </c>
      <c r="I62" s="109">
        <v>2</v>
      </c>
      <c r="J62" s="8">
        <f>H62*I62</f>
        <v>100</v>
      </c>
      <c r="K62" s="39">
        <v>0.36</v>
      </c>
      <c r="L62" s="139">
        <v>44151</v>
      </c>
      <c r="M62" s="33"/>
      <c r="N62" s="33">
        <v>44151</v>
      </c>
      <c r="O62" s="32" t="s">
        <v>1984</v>
      </c>
      <c r="P62" s="6"/>
      <c r="Q62" s="322">
        <v>0.28999999999999998</v>
      </c>
      <c r="S62" s="92">
        <v>19</v>
      </c>
      <c r="T62" s="7">
        <f>S62*J62</f>
        <v>1900</v>
      </c>
      <c r="U62" s="731"/>
      <c r="V62" s="257"/>
    </row>
    <row r="63" spans="2:22" s="7" customFormat="1" ht="18" customHeight="1">
      <c r="B63" s="12"/>
      <c r="C63" s="6" t="s">
        <v>1981</v>
      </c>
      <c r="D63" s="14" t="s">
        <v>1982</v>
      </c>
      <c r="E63" s="17" t="s">
        <v>1989</v>
      </c>
      <c r="F63" s="319"/>
      <c r="G63" s="299"/>
      <c r="H63" s="300"/>
      <c r="I63" s="320"/>
      <c r="J63" s="321"/>
      <c r="K63" s="110" t="s">
        <v>5</v>
      </c>
      <c r="L63" s="139">
        <v>44151</v>
      </c>
      <c r="M63" s="33"/>
      <c r="N63" s="33">
        <v>44151</v>
      </c>
      <c r="O63" s="32" t="s">
        <v>1984</v>
      </c>
      <c r="P63" s="6"/>
      <c r="Q63" s="322"/>
      <c r="U63" s="39"/>
      <c r="V63" s="257"/>
    </row>
    <row r="64" spans="2:22" s="7" customFormat="1" ht="18" customHeight="1">
      <c r="B64" s="12"/>
      <c r="C64" s="6" t="s">
        <v>1981</v>
      </c>
      <c r="D64" s="14" t="s">
        <v>1982</v>
      </c>
      <c r="E64" s="22">
        <v>5637</v>
      </c>
      <c r="F64" s="24" t="s">
        <v>230</v>
      </c>
      <c r="G64" s="22" t="s">
        <v>157</v>
      </c>
      <c r="H64" s="108">
        <v>50</v>
      </c>
      <c r="I64" s="109">
        <v>3</v>
      </c>
      <c r="J64" s="8">
        <f>H64*I64</f>
        <v>150</v>
      </c>
      <c r="K64" s="137">
        <v>0.24</v>
      </c>
      <c r="L64" s="139">
        <v>44151</v>
      </c>
      <c r="M64" s="33"/>
      <c r="N64" s="33">
        <v>44151</v>
      </c>
      <c r="O64" s="32" t="s">
        <v>1984</v>
      </c>
      <c r="P64" s="6"/>
      <c r="Q64" s="322">
        <v>0.19</v>
      </c>
      <c r="S64" s="92">
        <v>12.6</v>
      </c>
      <c r="T64" s="7">
        <f>S64*J64</f>
        <v>1890</v>
      </c>
      <c r="U64" s="120"/>
      <c r="V64" s="257"/>
    </row>
    <row r="65" spans="2:22" s="7" customFormat="1" ht="18" customHeight="1">
      <c r="B65" s="12"/>
      <c r="C65" s="6" t="s">
        <v>1981</v>
      </c>
      <c r="D65" s="14" t="s">
        <v>1982</v>
      </c>
      <c r="E65" s="22">
        <v>5637</v>
      </c>
      <c r="F65" s="24" t="s">
        <v>230</v>
      </c>
      <c r="G65" s="22" t="s">
        <v>1990</v>
      </c>
      <c r="H65" s="108">
        <v>50</v>
      </c>
      <c r="I65" s="109">
        <v>2</v>
      </c>
      <c r="J65" s="8">
        <f>H65*I65</f>
        <v>100</v>
      </c>
      <c r="K65" s="137">
        <v>0.24</v>
      </c>
      <c r="L65" s="139">
        <v>44151</v>
      </c>
      <c r="M65" s="33"/>
      <c r="N65" s="33">
        <v>44151</v>
      </c>
      <c r="O65" s="32" t="s">
        <v>1984</v>
      </c>
      <c r="P65" s="6"/>
      <c r="Q65" s="322">
        <v>0.19</v>
      </c>
      <c r="S65" s="92">
        <v>12.6</v>
      </c>
      <c r="T65" s="7">
        <f>S65*J65</f>
        <v>1260</v>
      </c>
      <c r="U65" s="120"/>
      <c r="V65" s="257"/>
    </row>
    <row r="66" spans="2:22" s="7" customFormat="1" ht="18" customHeight="1">
      <c r="B66" s="12"/>
      <c r="C66" s="6" t="s">
        <v>1981</v>
      </c>
      <c r="D66" s="14" t="s">
        <v>1982</v>
      </c>
      <c r="E66" s="17" t="s">
        <v>1991</v>
      </c>
      <c r="F66" s="319"/>
      <c r="G66" s="299"/>
      <c r="H66" s="300"/>
      <c r="I66" s="320"/>
      <c r="J66" s="321"/>
      <c r="K66" s="110" t="s">
        <v>5</v>
      </c>
      <c r="L66" s="139">
        <v>44151</v>
      </c>
      <c r="M66" s="33"/>
      <c r="N66" s="33">
        <v>44151</v>
      </c>
      <c r="O66" s="32" t="s">
        <v>1984</v>
      </c>
      <c r="P66" s="6"/>
      <c r="Q66" s="322"/>
      <c r="U66" s="39"/>
      <c r="V66" s="257"/>
    </row>
    <row r="67" spans="2:22" s="7" customFormat="1" ht="18" customHeight="1">
      <c r="B67" s="12"/>
      <c r="C67" s="6" t="s">
        <v>1981</v>
      </c>
      <c r="D67" s="14" t="s">
        <v>1982</v>
      </c>
      <c r="E67" s="22">
        <v>4255</v>
      </c>
      <c r="F67" s="24">
        <v>50</v>
      </c>
      <c r="G67" s="22" t="s">
        <v>1992</v>
      </c>
      <c r="H67" s="108">
        <v>20</v>
      </c>
      <c r="I67" s="109">
        <v>1</v>
      </c>
      <c r="J67" s="8">
        <f>H67*I67</f>
        <v>20</v>
      </c>
      <c r="K67" s="137">
        <v>3.34</v>
      </c>
      <c r="L67" s="139">
        <v>44151</v>
      </c>
      <c r="M67" s="33"/>
      <c r="N67" s="33">
        <v>44151</v>
      </c>
      <c r="O67" s="32" t="s">
        <v>1984</v>
      </c>
      <c r="P67" s="6"/>
      <c r="Q67" s="322">
        <v>2.67</v>
      </c>
      <c r="S67" s="92">
        <v>180</v>
      </c>
      <c r="T67" s="7">
        <f>S67*J67</f>
        <v>3600</v>
      </c>
      <c r="U67" s="731"/>
      <c r="V67" s="257"/>
    </row>
    <row r="68" spans="2:22" s="7" customFormat="1" ht="18" customHeight="1">
      <c r="B68" s="12"/>
      <c r="C68" s="6" t="s">
        <v>1981</v>
      </c>
      <c r="D68" s="14" t="s">
        <v>1982</v>
      </c>
      <c r="E68" s="22">
        <v>4255</v>
      </c>
      <c r="F68" s="24">
        <v>50</v>
      </c>
      <c r="G68" s="22" t="s">
        <v>123</v>
      </c>
      <c r="H68" s="108">
        <v>20</v>
      </c>
      <c r="I68" s="109">
        <v>1</v>
      </c>
      <c r="J68" s="8">
        <f>H68*I68</f>
        <v>20</v>
      </c>
      <c r="K68" s="137">
        <v>3.34</v>
      </c>
      <c r="L68" s="139">
        <v>44151</v>
      </c>
      <c r="M68" s="33"/>
      <c r="N68" s="33">
        <v>44151</v>
      </c>
      <c r="O68" s="32" t="s">
        <v>1984</v>
      </c>
      <c r="P68" s="6"/>
      <c r="Q68" s="322">
        <v>2.67</v>
      </c>
      <c r="S68" s="92">
        <v>180</v>
      </c>
      <c r="T68" s="7">
        <f>S68*J68</f>
        <v>3600</v>
      </c>
      <c r="U68" s="731"/>
      <c r="V68" s="257"/>
    </row>
    <row r="69" spans="2:22" s="7" customFormat="1" ht="15">
      <c r="B69" s="12"/>
      <c r="C69" s="6" t="s">
        <v>1981</v>
      </c>
      <c r="D69" s="14" t="s">
        <v>1982</v>
      </c>
      <c r="E69" s="49"/>
      <c r="F69" s="102"/>
      <c r="G69" s="22" t="s">
        <v>14</v>
      </c>
      <c r="H69" s="8" t="s">
        <v>64</v>
      </c>
      <c r="I69" s="35"/>
      <c r="J69" s="8"/>
      <c r="K69" s="39">
        <v>30</v>
      </c>
      <c r="L69" s="139">
        <v>44151</v>
      </c>
      <c r="M69" s="33"/>
      <c r="N69" s="33">
        <v>44151</v>
      </c>
      <c r="O69" s="32" t="s">
        <v>1984</v>
      </c>
      <c r="P69" s="6"/>
      <c r="Q69" s="322">
        <v>30</v>
      </c>
      <c r="S69" s="197">
        <v>0</v>
      </c>
      <c r="T69" s="198">
        <v>0</v>
      </c>
      <c r="U69" s="21"/>
      <c r="V69" s="257"/>
    </row>
    <row r="70" spans="2:22" s="191" customFormat="1" ht="15">
      <c r="B70" s="190"/>
      <c r="C70" s="179" t="s">
        <v>1981</v>
      </c>
      <c r="D70" s="180" t="s">
        <v>1982</v>
      </c>
      <c r="E70" s="181"/>
      <c r="F70" s="182"/>
      <c r="G70" s="182" t="s">
        <v>250</v>
      </c>
      <c r="H70" s="184" t="s">
        <v>251</v>
      </c>
      <c r="I70" s="185"/>
      <c r="J70" s="183"/>
      <c r="K70" s="192">
        <v>0</v>
      </c>
      <c r="L70" s="188">
        <v>44151</v>
      </c>
      <c r="M70" s="187"/>
      <c r="N70" s="187">
        <v>44151</v>
      </c>
      <c r="O70" s="186" t="s">
        <v>1984</v>
      </c>
      <c r="P70" s="179"/>
      <c r="Q70" s="725">
        <v>0</v>
      </c>
      <c r="S70" s="197">
        <v>0</v>
      </c>
      <c r="T70" s="198">
        <v>0</v>
      </c>
      <c r="U70" s="335"/>
      <c r="V70" s="726"/>
    </row>
    <row r="71" spans="2:22" s="7" customFormat="1" ht="15">
      <c r="B71" s="12"/>
      <c r="C71" s="6" t="s">
        <v>1993</v>
      </c>
      <c r="D71" s="14" t="s">
        <v>1994</v>
      </c>
      <c r="E71" s="14" t="s">
        <v>1995</v>
      </c>
      <c r="F71" s="15"/>
      <c r="G71" s="14"/>
      <c r="H71" s="60"/>
      <c r="I71" s="61"/>
      <c r="J71" s="60"/>
      <c r="K71" s="16" t="s">
        <v>5</v>
      </c>
      <c r="L71" s="139">
        <v>44180</v>
      </c>
      <c r="M71" s="33"/>
      <c r="N71" s="33">
        <v>44180</v>
      </c>
      <c r="O71" s="32">
        <v>2746</v>
      </c>
      <c r="P71" s="6" t="s">
        <v>3</v>
      </c>
      <c r="Q71" s="732"/>
      <c r="T71" s="308" t="s">
        <v>310</v>
      </c>
      <c r="U71" s="120"/>
      <c r="V71" s="257"/>
    </row>
    <row r="72" spans="2:22" s="7" customFormat="1" ht="18" customHeight="1">
      <c r="B72" s="12"/>
      <c r="C72" s="6" t="s">
        <v>1993</v>
      </c>
      <c r="D72" s="14" t="s">
        <v>1994</v>
      </c>
      <c r="E72" s="22" t="s">
        <v>1996</v>
      </c>
      <c r="F72" s="163" t="s">
        <v>16</v>
      </c>
      <c r="G72" s="22" t="s">
        <v>1997</v>
      </c>
      <c r="H72" s="108">
        <v>30</v>
      </c>
      <c r="I72" s="109">
        <v>57</v>
      </c>
      <c r="J72" s="8">
        <f>H72*I72</f>
        <v>1710</v>
      </c>
      <c r="K72" s="39">
        <v>1.92</v>
      </c>
      <c r="L72" s="139">
        <v>44180</v>
      </c>
      <c r="M72" s="33"/>
      <c r="N72" s="33">
        <v>44180</v>
      </c>
      <c r="O72" s="32">
        <v>2746</v>
      </c>
      <c r="P72" s="6"/>
      <c r="Q72" s="322">
        <v>1.54</v>
      </c>
      <c r="S72" s="92">
        <v>103.5</v>
      </c>
      <c r="T72" s="7">
        <f>S72*J72</f>
        <v>176985</v>
      </c>
      <c r="U72" s="733"/>
      <c r="V72" s="257"/>
    </row>
    <row r="73" spans="2:22" s="7" customFormat="1" ht="18" customHeight="1">
      <c r="B73" s="12"/>
      <c r="C73" s="6" t="s">
        <v>1993</v>
      </c>
      <c r="D73" s="14" t="s">
        <v>1994</v>
      </c>
      <c r="E73" s="22" t="s">
        <v>1996</v>
      </c>
      <c r="F73" s="15">
        <v>15</v>
      </c>
      <c r="G73" s="22" t="s">
        <v>1997</v>
      </c>
      <c r="H73" s="108">
        <v>30</v>
      </c>
      <c r="I73" s="109">
        <v>67</v>
      </c>
      <c r="J73" s="8">
        <f>H73*I73</f>
        <v>2010</v>
      </c>
      <c r="K73" s="39">
        <v>1.2</v>
      </c>
      <c r="L73" s="139">
        <v>44180</v>
      </c>
      <c r="M73" s="33"/>
      <c r="N73" s="33">
        <v>44180</v>
      </c>
      <c r="O73" s="32">
        <v>2746</v>
      </c>
      <c r="P73" s="6"/>
      <c r="Q73" s="322">
        <v>0.96</v>
      </c>
      <c r="S73" s="7">
        <v>64.5</v>
      </c>
      <c r="T73" s="7">
        <f>S73*J73</f>
        <v>129645</v>
      </c>
      <c r="U73" s="733"/>
      <c r="V73" s="257"/>
    </row>
    <row r="74" spans="2:22" s="7" customFormat="1" ht="18" customHeight="1">
      <c r="B74" s="12"/>
      <c r="C74" s="6" t="s">
        <v>1993</v>
      </c>
      <c r="D74" s="14" t="s">
        <v>1994</v>
      </c>
      <c r="E74" s="22" t="s">
        <v>1996</v>
      </c>
      <c r="F74" s="15">
        <v>18</v>
      </c>
      <c r="G74" s="22" t="s">
        <v>1997</v>
      </c>
      <c r="H74" s="108">
        <v>30</v>
      </c>
      <c r="I74" s="109">
        <v>9</v>
      </c>
      <c r="J74" s="8">
        <f>H74*I74</f>
        <v>270</v>
      </c>
      <c r="K74" s="39">
        <v>1.43</v>
      </c>
      <c r="L74" s="139">
        <v>44180</v>
      </c>
      <c r="M74" s="33"/>
      <c r="N74" s="33">
        <v>44180</v>
      </c>
      <c r="O74" s="32">
        <v>2746</v>
      </c>
      <c r="P74" s="6"/>
      <c r="Q74" s="322">
        <v>1.1499999999999999</v>
      </c>
      <c r="S74" s="7">
        <v>77</v>
      </c>
      <c r="T74" s="7">
        <f>S74*J74</f>
        <v>20790</v>
      </c>
      <c r="U74" s="733"/>
      <c r="V74" s="257"/>
    </row>
    <row r="75" spans="2:22" customFormat="1" ht="18" customHeight="1">
      <c r="B75" s="26"/>
      <c r="C75" s="6" t="s">
        <v>1993</v>
      </c>
      <c r="D75" s="14" t="s">
        <v>1994</v>
      </c>
      <c r="E75" s="723"/>
      <c r="F75" s="64"/>
      <c r="G75" s="127" t="s">
        <v>1998</v>
      </c>
      <c r="H75" s="8"/>
      <c r="I75" s="8"/>
      <c r="J75" s="38">
        <v>87</v>
      </c>
      <c r="K75" s="39">
        <v>87</v>
      </c>
      <c r="L75" s="139">
        <v>44180</v>
      </c>
      <c r="M75" s="33"/>
      <c r="N75" s="33">
        <v>44180</v>
      </c>
      <c r="O75" s="32">
        <v>2746</v>
      </c>
      <c r="P75" s="4"/>
      <c r="Q75" s="322">
        <v>87</v>
      </c>
      <c r="R75" s="1"/>
      <c r="S75" s="7">
        <v>100</v>
      </c>
      <c r="T75" s="7">
        <f>S75*J75</f>
        <v>8700</v>
      </c>
      <c r="U75" s="34"/>
      <c r="V75" s="256"/>
    </row>
    <row r="76" spans="2:22" s="191" customFormat="1" ht="15">
      <c r="B76" s="190"/>
      <c r="C76" s="179" t="s">
        <v>1993</v>
      </c>
      <c r="D76" s="180" t="s">
        <v>1994</v>
      </c>
      <c r="E76" s="181"/>
      <c r="F76" s="182"/>
      <c r="G76" s="182" t="s">
        <v>250</v>
      </c>
      <c r="H76" s="184" t="s">
        <v>252</v>
      </c>
      <c r="I76" s="185"/>
      <c r="J76" s="183"/>
      <c r="K76" s="192">
        <v>230</v>
      </c>
      <c r="L76" s="188">
        <v>44180</v>
      </c>
      <c r="M76" s="187"/>
      <c r="N76" s="187">
        <v>44180</v>
      </c>
      <c r="O76" s="186">
        <v>2746</v>
      </c>
      <c r="P76" s="179"/>
      <c r="Q76" s="725">
        <v>143</v>
      </c>
      <c r="S76" s="197">
        <v>14136</v>
      </c>
      <c r="T76" s="197">
        <v>14136</v>
      </c>
      <c r="U76" s="335"/>
      <c r="V76" s="726"/>
    </row>
    <row r="77" spans="2:22" s="7" customFormat="1" ht="15">
      <c r="B77" s="12"/>
      <c r="C77" s="6" t="s">
        <v>1999</v>
      </c>
      <c r="D77" s="14" t="s">
        <v>2000</v>
      </c>
      <c r="E77" s="14" t="s">
        <v>1995</v>
      </c>
      <c r="F77" s="15"/>
      <c r="G77" s="14"/>
      <c r="H77" s="60"/>
      <c r="I77" s="61"/>
      <c r="J77" s="60"/>
      <c r="K77" s="16" t="s">
        <v>5</v>
      </c>
      <c r="L77" s="139">
        <v>44162</v>
      </c>
      <c r="M77" s="33"/>
      <c r="N77" s="33">
        <v>44162</v>
      </c>
      <c r="O77" s="32">
        <v>2745</v>
      </c>
      <c r="P77" s="6" t="s">
        <v>3</v>
      </c>
      <c r="Q77" s="732"/>
      <c r="U77" s="120"/>
      <c r="V77" s="257"/>
    </row>
    <row r="78" spans="2:22" s="7" customFormat="1" ht="18" customHeight="1">
      <c r="B78" s="12"/>
      <c r="C78" s="6" t="s">
        <v>1999</v>
      </c>
      <c r="D78" s="14" t="s">
        <v>2000</v>
      </c>
      <c r="E78" s="22" t="s">
        <v>1996</v>
      </c>
      <c r="F78" s="163" t="s">
        <v>16</v>
      </c>
      <c r="G78" s="22" t="s">
        <v>2001</v>
      </c>
      <c r="H78" s="108">
        <v>30</v>
      </c>
      <c r="I78" s="109">
        <v>8</v>
      </c>
      <c r="J78" s="8">
        <f>H78*I78</f>
        <v>240</v>
      </c>
      <c r="K78" s="39">
        <v>2.12</v>
      </c>
      <c r="L78" s="139">
        <v>44162</v>
      </c>
      <c r="M78" s="33"/>
      <c r="N78" s="33">
        <v>44162</v>
      </c>
      <c r="O78" s="32">
        <v>2745</v>
      </c>
      <c r="P78" s="6"/>
      <c r="Q78" s="322">
        <v>1.54</v>
      </c>
      <c r="S78" s="92">
        <v>103.5</v>
      </c>
      <c r="T78" s="7">
        <f>S78*J78</f>
        <v>24840</v>
      </c>
      <c r="U78" s="733"/>
      <c r="V78" s="257"/>
    </row>
    <row r="79" spans="2:22" s="7" customFormat="1" ht="18" customHeight="1">
      <c r="B79" s="12"/>
      <c r="C79" s="6" t="s">
        <v>1999</v>
      </c>
      <c r="D79" s="14" t="s">
        <v>2000</v>
      </c>
      <c r="E79" s="22" t="s">
        <v>1996</v>
      </c>
      <c r="F79" s="15">
        <v>15</v>
      </c>
      <c r="G79" s="22" t="s">
        <v>2001</v>
      </c>
      <c r="H79" s="108">
        <v>30</v>
      </c>
      <c r="I79" s="109">
        <v>20</v>
      </c>
      <c r="J79" s="8">
        <f>H79*I79</f>
        <v>600</v>
      </c>
      <c r="K79" s="39">
        <v>1.4</v>
      </c>
      <c r="L79" s="139">
        <v>44162</v>
      </c>
      <c r="M79" s="33"/>
      <c r="N79" s="33">
        <v>44162</v>
      </c>
      <c r="O79" s="32">
        <v>2745</v>
      </c>
      <c r="P79" s="6"/>
      <c r="Q79" s="322">
        <v>0.96</v>
      </c>
      <c r="S79" s="7">
        <v>64.5</v>
      </c>
      <c r="T79" s="7">
        <f>S79*J79</f>
        <v>38700</v>
      </c>
      <c r="U79" s="733"/>
      <c r="V79" s="257"/>
    </row>
    <row r="80" spans="2:22" s="7" customFormat="1" ht="18" customHeight="1">
      <c r="B80" s="12"/>
      <c r="C80" s="6" t="s">
        <v>2002</v>
      </c>
      <c r="D80" s="14" t="s">
        <v>2000</v>
      </c>
      <c r="E80" s="22" t="s">
        <v>1996</v>
      </c>
      <c r="F80" s="15">
        <v>15</v>
      </c>
      <c r="G80" s="22" t="s">
        <v>1997</v>
      </c>
      <c r="H80" s="108">
        <v>30</v>
      </c>
      <c r="I80" s="109">
        <v>43</v>
      </c>
      <c r="J80" s="8">
        <f>H80*I80</f>
        <v>1290</v>
      </c>
      <c r="K80" s="39">
        <v>1.4</v>
      </c>
      <c r="L80" s="139">
        <v>44162</v>
      </c>
      <c r="M80" s="33"/>
      <c r="N80" s="33">
        <v>44162</v>
      </c>
      <c r="O80" s="32">
        <v>2745</v>
      </c>
      <c r="P80" s="6"/>
      <c r="Q80" s="322">
        <v>0.96</v>
      </c>
      <c r="S80" s="7">
        <v>64.5</v>
      </c>
      <c r="T80" s="7">
        <f>S80*J80</f>
        <v>83205</v>
      </c>
      <c r="U80" s="733"/>
      <c r="V80" s="257"/>
    </row>
    <row r="81" spans="2:22" customFormat="1" ht="18" customHeight="1">
      <c r="B81" s="26"/>
      <c r="C81" s="6" t="s">
        <v>1999</v>
      </c>
      <c r="D81" s="14" t="s">
        <v>2000</v>
      </c>
      <c r="E81" s="723"/>
      <c r="F81" s="64"/>
      <c r="G81" s="127" t="s">
        <v>1998</v>
      </c>
      <c r="H81" s="8"/>
      <c r="I81" s="8"/>
      <c r="J81" s="38">
        <v>71</v>
      </c>
      <c r="K81" s="39"/>
      <c r="L81" s="139">
        <v>44162</v>
      </c>
      <c r="M81" s="33"/>
      <c r="N81" s="33">
        <v>44162</v>
      </c>
      <c r="O81" s="32">
        <v>2745</v>
      </c>
      <c r="P81" s="4"/>
      <c r="Q81" s="724">
        <v>0</v>
      </c>
      <c r="R81" s="1"/>
      <c r="S81" s="7">
        <v>100</v>
      </c>
      <c r="T81" s="7">
        <f>S81*J81</f>
        <v>7100</v>
      </c>
      <c r="U81" s="34"/>
      <c r="V81" s="256"/>
    </row>
    <row r="82" spans="2:22" customFormat="1" ht="18" customHeight="1">
      <c r="B82" s="26"/>
      <c r="C82" s="6" t="s">
        <v>1999</v>
      </c>
      <c r="D82" s="14" t="s">
        <v>2000</v>
      </c>
      <c r="E82" s="723"/>
      <c r="F82" s="64"/>
      <c r="G82" s="37" t="s">
        <v>14</v>
      </c>
      <c r="H82" s="8"/>
      <c r="I82" s="8"/>
      <c r="J82" s="38">
        <v>1</v>
      </c>
      <c r="K82" s="39">
        <v>15</v>
      </c>
      <c r="L82" s="139">
        <v>44162</v>
      </c>
      <c r="M82" s="33"/>
      <c r="N82" s="33">
        <v>44162</v>
      </c>
      <c r="O82" s="32">
        <v>2745</v>
      </c>
      <c r="P82" s="4"/>
      <c r="Q82" s="724">
        <v>15</v>
      </c>
      <c r="R82" s="1"/>
      <c r="S82" s="197">
        <v>0</v>
      </c>
      <c r="T82" s="7">
        <f>S82*J82</f>
        <v>0</v>
      </c>
      <c r="U82" s="34"/>
      <c r="V82" s="256"/>
    </row>
    <row r="83" spans="2:22" customFormat="1" ht="18" customHeight="1">
      <c r="B83" s="26"/>
      <c r="C83" s="6" t="s">
        <v>1999</v>
      </c>
      <c r="D83" s="14" t="s">
        <v>2000</v>
      </c>
      <c r="E83" s="723"/>
      <c r="F83" s="64"/>
      <c r="G83" s="37" t="s">
        <v>1955</v>
      </c>
      <c r="H83" s="8">
        <v>2130</v>
      </c>
      <c r="I83" s="8"/>
      <c r="J83" s="8"/>
      <c r="K83" s="39">
        <v>0.18</v>
      </c>
      <c r="L83" s="139">
        <v>44162</v>
      </c>
      <c r="M83" s="33"/>
      <c r="N83" s="33">
        <v>44162</v>
      </c>
      <c r="O83" s="32">
        <v>2745</v>
      </c>
      <c r="P83" s="4"/>
      <c r="Q83" s="724">
        <v>383.4</v>
      </c>
      <c r="R83" s="1"/>
      <c r="S83" s="197">
        <v>7877</v>
      </c>
      <c r="T83" s="197">
        <v>7877</v>
      </c>
      <c r="U83" s="34"/>
      <c r="V83" s="256"/>
    </row>
    <row r="84" spans="2:22" customFormat="1" ht="18" customHeight="1">
      <c r="B84" s="26"/>
      <c r="C84" s="6" t="s">
        <v>1999</v>
      </c>
      <c r="D84" s="14" t="s">
        <v>2000</v>
      </c>
      <c r="E84" s="723"/>
      <c r="F84" s="64"/>
      <c r="G84" s="37" t="s">
        <v>119</v>
      </c>
      <c r="H84" s="8">
        <v>2130</v>
      </c>
      <c r="I84" s="8"/>
      <c r="J84" s="8"/>
      <c r="K84" s="39">
        <v>0.02</v>
      </c>
      <c r="L84" s="139">
        <v>44162</v>
      </c>
      <c r="M84" s="33"/>
      <c r="N84" s="33">
        <v>44162</v>
      </c>
      <c r="O84" s="32">
        <v>2745</v>
      </c>
      <c r="P84" s="4"/>
      <c r="Q84" s="724">
        <v>42.6</v>
      </c>
      <c r="R84" s="1"/>
      <c r="S84" s="197">
        <v>3000</v>
      </c>
      <c r="T84" s="197">
        <v>3000</v>
      </c>
      <c r="U84" s="34"/>
      <c r="V84" s="256"/>
    </row>
    <row r="85" spans="2:22" customFormat="1" ht="18" customHeight="1">
      <c r="B85" s="26"/>
      <c r="C85" s="6" t="s">
        <v>2003</v>
      </c>
      <c r="D85" s="14" t="s">
        <v>2004</v>
      </c>
      <c r="E85" s="19" t="s">
        <v>2005</v>
      </c>
      <c r="F85" s="37"/>
      <c r="G85" s="37"/>
      <c r="H85" s="108"/>
      <c r="I85" s="108"/>
      <c r="J85" s="108"/>
      <c r="K85" s="29" t="s">
        <v>101</v>
      </c>
      <c r="L85" s="139">
        <v>44152</v>
      </c>
      <c r="M85" s="33"/>
      <c r="N85" s="33">
        <v>44152</v>
      </c>
      <c r="O85" s="32" t="s">
        <v>2006</v>
      </c>
      <c r="P85" s="6"/>
      <c r="Q85" s="339"/>
      <c r="R85" s="1"/>
      <c r="S85" s="7"/>
      <c r="T85" s="7"/>
      <c r="U85" s="21"/>
      <c r="V85" s="257"/>
    </row>
    <row r="86" spans="2:22" customFormat="1" ht="18" customHeight="1">
      <c r="B86" s="26"/>
      <c r="C86" s="6" t="s">
        <v>2003</v>
      </c>
      <c r="D86" s="14" t="s">
        <v>2004</v>
      </c>
      <c r="E86" s="22" t="s">
        <v>287</v>
      </c>
      <c r="F86" s="37"/>
      <c r="G86" s="37" t="s">
        <v>2007</v>
      </c>
      <c r="H86" s="108">
        <v>100</v>
      </c>
      <c r="I86" s="109">
        <v>1</v>
      </c>
      <c r="J86" s="8">
        <f>H86*I86</f>
        <v>100</v>
      </c>
      <c r="K86" s="39">
        <v>1.27</v>
      </c>
      <c r="L86" s="139">
        <v>44152</v>
      </c>
      <c r="M86" s="33"/>
      <c r="N86" s="33">
        <v>44152</v>
      </c>
      <c r="O86" s="32" t="s">
        <v>2006</v>
      </c>
      <c r="P86" s="6"/>
      <c r="Q86" s="322">
        <v>1.02</v>
      </c>
      <c r="R86" s="1"/>
      <c r="S86" s="7">
        <v>68.5</v>
      </c>
      <c r="T86" s="7">
        <f>S86*J86</f>
        <v>6850</v>
      </c>
      <c r="U86" s="39"/>
      <c r="V86" s="260"/>
    </row>
    <row r="87" spans="2:22" customFormat="1" ht="18" customHeight="1">
      <c r="B87" s="26"/>
      <c r="C87" s="6" t="s">
        <v>2003</v>
      </c>
      <c r="D87" s="14" t="s">
        <v>2004</v>
      </c>
      <c r="E87" s="22" t="s">
        <v>287</v>
      </c>
      <c r="F87" s="37"/>
      <c r="G87" s="37" t="s">
        <v>2008</v>
      </c>
      <c r="H87" s="108">
        <v>100</v>
      </c>
      <c r="I87" s="109">
        <v>1</v>
      </c>
      <c r="J87" s="8">
        <f>H87*I87</f>
        <v>100</v>
      </c>
      <c r="K87" s="39">
        <v>1.27</v>
      </c>
      <c r="L87" s="139">
        <v>44152</v>
      </c>
      <c r="M87" s="33"/>
      <c r="N87" s="33">
        <v>44152</v>
      </c>
      <c r="O87" s="32" t="s">
        <v>2006</v>
      </c>
      <c r="P87" s="6"/>
      <c r="Q87" s="322">
        <v>1.02</v>
      </c>
      <c r="R87" s="1"/>
      <c r="S87" s="7">
        <v>68.5</v>
      </c>
      <c r="T87" s="7">
        <f>S87*J87</f>
        <v>6850</v>
      </c>
      <c r="U87" s="39"/>
      <c r="V87" s="260"/>
    </row>
    <row r="88" spans="2:22" s="7" customFormat="1" ht="15">
      <c r="B88" s="12"/>
      <c r="C88" s="6" t="s">
        <v>2003</v>
      </c>
      <c r="D88" s="14" t="s">
        <v>2004</v>
      </c>
      <c r="E88" s="82"/>
      <c r="F88" s="102"/>
      <c r="G88" s="22" t="s">
        <v>14</v>
      </c>
      <c r="H88" s="8"/>
      <c r="I88" s="35"/>
      <c r="J88" s="38">
        <v>1</v>
      </c>
      <c r="K88" s="39">
        <v>12</v>
      </c>
      <c r="L88" s="139">
        <v>44152</v>
      </c>
      <c r="M88" s="33"/>
      <c r="N88" s="33">
        <v>44152</v>
      </c>
      <c r="O88" s="32" t="s">
        <v>2006</v>
      </c>
      <c r="P88" s="6"/>
      <c r="Q88" s="322">
        <v>12</v>
      </c>
      <c r="S88" s="92">
        <v>1000</v>
      </c>
      <c r="T88" s="7">
        <f>S88*J88</f>
        <v>1000</v>
      </c>
      <c r="U88" s="21"/>
      <c r="V88" s="257"/>
    </row>
    <row r="89" spans="2:22" s="191" customFormat="1" ht="15">
      <c r="B89" s="190"/>
      <c r="C89" s="179" t="s">
        <v>2003</v>
      </c>
      <c r="D89" s="180" t="s">
        <v>2004</v>
      </c>
      <c r="E89" s="181"/>
      <c r="F89" s="182"/>
      <c r="G89" s="182" t="s">
        <v>250</v>
      </c>
      <c r="H89" s="184" t="s">
        <v>251</v>
      </c>
      <c r="I89" s="185"/>
      <c r="J89" s="183"/>
      <c r="K89" s="192">
        <v>0</v>
      </c>
      <c r="L89" s="188">
        <v>44152</v>
      </c>
      <c r="M89" s="187"/>
      <c r="N89" s="187">
        <v>44152</v>
      </c>
      <c r="O89" s="186" t="s">
        <v>2006</v>
      </c>
      <c r="P89" s="179"/>
      <c r="Q89" s="725">
        <v>0</v>
      </c>
      <c r="S89" s="197">
        <v>0</v>
      </c>
      <c r="T89" s="7">
        <f>S89*J89</f>
        <v>0</v>
      </c>
      <c r="U89" s="335"/>
      <c r="V89" s="726"/>
    </row>
    <row r="90" spans="2:22" s="7" customFormat="1" ht="15">
      <c r="B90" s="12"/>
      <c r="C90" s="6" t="s">
        <v>2009</v>
      </c>
      <c r="D90" s="14" t="s">
        <v>2010</v>
      </c>
      <c r="E90" s="19" t="s">
        <v>2011</v>
      </c>
      <c r="F90" s="24"/>
      <c r="G90" s="22"/>
      <c r="H90" s="60"/>
      <c r="I90" s="61"/>
      <c r="J90" s="60"/>
      <c r="K90" s="16" t="s">
        <v>5</v>
      </c>
      <c r="L90" s="139">
        <v>44151</v>
      </c>
      <c r="M90" s="33"/>
      <c r="N90" s="33">
        <v>44151</v>
      </c>
      <c r="O90" s="32" t="s">
        <v>2012</v>
      </c>
      <c r="P90" s="6" t="s">
        <v>3</v>
      </c>
      <c r="Q90" s="358"/>
      <c r="U90" s="120"/>
      <c r="V90" s="257"/>
    </row>
    <row r="91" spans="2:22" s="7" customFormat="1" ht="15.75" customHeight="1">
      <c r="B91" s="12"/>
      <c r="C91" s="6" t="s">
        <v>2009</v>
      </c>
      <c r="D91" s="14" t="s">
        <v>2010</v>
      </c>
      <c r="E91" s="22" t="s">
        <v>2013</v>
      </c>
      <c r="F91" s="24"/>
      <c r="G91" s="22" t="s">
        <v>100</v>
      </c>
      <c r="H91" s="67">
        <v>50</v>
      </c>
      <c r="I91" s="67">
        <v>50</v>
      </c>
      <c r="J91" s="67">
        <v>50</v>
      </c>
      <c r="K91" s="39">
        <v>3.41</v>
      </c>
      <c r="L91" s="139">
        <v>44151</v>
      </c>
      <c r="M91" s="33"/>
      <c r="N91" s="33">
        <v>44151</v>
      </c>
      <c r="O91" s="32" t="s">
        <v>2012</v>
      </c>
      <c r="P91" s="6"/>
      <c r="Q91" s="322">
        <v>2.73</v>
      </c>
      <c r="S91" s="7">
        <v>114</v>
      </c>
      <c r="T91" s="7">
        <f t="shared" ref="T91:T99" si="0">S91*J91</f>
        <v>5700</v>
      </c>
      <c r="U91" s="386" t="s">
        <v>2014</v>
      </c>
      <c r="V91" s="257"/>
    </row>
    <row r="92" spans="2:22" s="7" customFormat="1" ht="15.75" customHeight="1">
      <c r="B92" s="12"/>
      <c r="C92" s="6" t="s">
        <v>2009</v>
      </c>
      <c r="D92" s="14" t="s">
        <v>2010</v>
      </c>
      <c r="E92" s="22" t="s">
        <v>2015</v>
      </c>
      <c r="F92" s="24"/>
      <c r="G92" s="22" t="s">
        <v>100</v>
      </c>
      <c r="H92" s="67">
        <v>50</v>
      </c>
      <c r="I92" s="67">
        <v>50</v>
      </c>
      <c r="J92" s="67">
        <v>50</v>
      </c>
      <c r="K92" s="39">
        <v>1.95</v>
      </c>
      <c r="L92" s="139">
        <v>44151</v>
      </c>
      <c r="M92" s="33"/>
      <c r="N92" s="33">
        <v>44151</v>
      </c>
      <c r="O92" s="32" t="s">
        <v>2012</v>
      </c>
      <c r="P92" s="6"/>
      <c r="Q92" s="322">
        <v>1.56</v>
      </c>
      <c r="S92" s="7">
        <v>35</v>
      </c>
      <c r="T92" s="7">
        <f t="shared" si="0"/>
        <v>1750</v>
      </c>
      <c r="U92" s="386" t="s">
        <v>2016</v>
      </c>
      <c r="V92" s="257"/>
    </row>
    <row r="93" spans="2:22" s="7" customFormat="1" ht="15">
      <c r="B93" s="12"/>
      <c r="C93" s="6" t="s">
        <v>2009</v>
      </c>
      <c r="D93" s="14" t="s">
        <v>2010</v>
      </c>
      <c r="E93" s="82"/>
      <c r="F93" s="102"/>
      <c r="G93" s="22" t="s">
        <v>14</v>
      </c>
      <c r="H93" s="8"/>
      <c r="I93" s="35"/>
      <c r="J93" s="38">
        <v>1</v>
      </c>
      <c r="K93" s="39">
        <v>12</v>
      </c>
      <c r="L93" s="139">
        <v>44151</v>
      </c>
      <c r="M93" s="33"/>
      <c r="N93" s="33">
        <v>44151</v>
      </c>
      <c r="O93" s="32" t="s">
        <v>2012</v>
      </c>
      <c r="P93" s="6"/>
      <c r="Q93" s="322">
        <v>12</v>
      </c>
      <c r="S93" s="197">
        <v>0</v>
      </c>
      <c r="T93" s="7">
        <f t="shared" si="0"/>
        <v>0</v>
      </c>
      <c r="U93" s="21"/>
      <c r="V93" s="257"/>
    </row>
    <row r="94" spans="2:22" s="7" customFormat="1" ht="15.75" customHeight="1">
      <c r="B94" s="12"/>
      <c r="C94" s="6" t="s">
        <v>2009</v>
      </c>
      <c r="D94" s="14" t="s">
        <v>2010</v>
      </c>
      <c r="E94" s="22" t="s">
        <v>2017</v>
      </c>
      <c r="F94" s="24"/>
      <c r="G94" s="22" t="s">
        <v>120</v>
      </c>
      <c r="H94" s="67">
        <v>20</v>
      </c>
      <c r="I94" s="67">
        <v>20</v>
      </c>
      <c r="J94" s="67">
        <v>20</v>
      </c>
      <c r="K94" s="39">
        <v>5.08</v>
      </c>
      <c r="L94" s="139">
        <v>44167</v>
      </c>
      <c r="M94" s="33"/>
      <c r="N94" s="33">
        <v>44167</v>
      </c>
      <c r="O94" s="32" t="s">
        <v>2018</v>
      </c>
      <c r="P94" s="6"/>
      <c r="Q94" s="322">
        <v>4.0599999999999996</v>
      </c>
      <c r="S94" s="7">
        <v>174</v>
      </c>
      <c r="T94" s="7">
        <f t="shared" si="0"/>
        <v>3480</v>
      </c>
      <c r="U94" s="386" t="s">
        <v>2019</v>
      </c>
      <c r="V94" s="257"/>
    </row>
    <row r="95" spans="2:22" s="7" customFormat="1" ht="15.75" customHeight="1">
      <c r="B95" s="12"/>
      <c r="C95" s="6" t="s">
        <v>2009</v>
      </c>
      <c r="D95" s="14" t="s">
        <v>2010</v>
      </c>
      <c r="E95" s="22" t="s">
        <v>2013</v>
      </c>
      <c r="F95" s="24"/>
      <c r="G95" s="22" t="s">
        <v>120</v>
      </c>
      <c r="H95" s="67">
        <v>50</v>
      </c>
      <c r="I95" s="67">
        <v>50</v>
      </c>
      <c r="J95" s="67">
        <v>50</v>
      </c>
      <c r="K95" s="39">
        <v>3.41</v>
      </c>
      <c r="L95" s="139">
        <v>44167</v>
      </c>
      <c r="M95" s="33"/>
      <c r="N95" s="33">
        <v>44167</v>
      </c>
      <c r="O95" s="32" t="s">
        <v>2018</v>
      </c>
      <c r="P95" s="6"/>
      <c r="Q95" s="322">
        <v>2.73</v>
      </c>
      <c r="S95" s="7">
        <v>114</v>
      </c>
      <c r="T95" s="7">
        <f t="shared" si="0"/>
        <v>5700</v>
      </c>
      <c r="U95" s="386" t="s">
        <v>2014</v>
      </c>
      <c r="V95" s="257"/>
    </row>
    <row r="96" spans="2:22" s="7" customFormat="1" ht="15.75" customHeight="1">
      <c r="B96" s="12"/>
      <c r="C96" s="6" t="s">
        <v>2009</v>
      </c>
      <c r="D96" s="14" t="s">
        <v>2010</v>
      </c>
      <c r="E96" s="22" t="s">
        <v>2017</v>
      </c>
      <c r="F96" s="24"/>
      <c r="G96" s="22" t="s">
        <v>100</v>
      </c>
      <c r="H96" s="67">
        <v>20</v>
      </c>
      <c r="I96" s="67">
        <v>20</v>
      </c>
      <c r="J96" s="67">
        <v>20</v>
      </c>
      <c r="K96" s="39">
        <v>5.08</v>
      </c>
      <c r="L96" s="139">
        <v>44167</v>
      </c>
      <c r="M96" s="33"/>
      <c r="N96" s="33">
        <v>44167</v>
      </c>
      <c r="O96" s="32" t="s">
        <v>2018</v>
      </c>
      <c r="P96" s="6"/>
      <c r="Q96" s="322">
        <v>4.0599999999999996</v>
      </c>
      <c r="S96" s="7">
        <v>174</v>
      </c>
      <c r="T96" s="7">
        <f t="shared" si="0"/>
        <v>3480</v>
      </c>
      <c r="U96" s="386" t="s">
        <v>2019</v>
      </c>
      <c r="V96" s="257"/>
    </row>
    <row r="97" spans="2:22" s="7" customFormat="1" ht="15.75" customHeight="1">
      <c r="B97" s="12"/>
      <c r="C97" s="6" t="s">
        <v>2009</v>
      </c>
      <c r="D97" s="14" t="s">
        <v>2010</v>
      </c>
      <c r="E97" s="22" t="s">
        <v>2015</v>
      </c>
      <c r="F97" s="24"/>
      <c r="G97" s="22" t="s">
        <v>120</v>
      </c>
      <c r="H97" s="67">
        <v>50</v>
      </c>
      <c r="I97" s="67">
        <v>50</v>
      </c>
      <c r="J97" s="67">
        <v>50</v>
      </c>
      <c r="K97" s="39">
        <v>1.95</v>
      </c>
      <c r="L97" s="139">
        <v>44167</v>
      </c>
      <c r="M97" s="33"/>
      <c r="N97" s="33">
        <v>44167</v>
      </c>
      <c r="O97" s="32" t="s">
        <v>2018</v>
      </c>
      <c r="P97" s="6"/>
      <c r="Q97" s="322">
        <v>1.56</v>
      </c>
      <c r="S97" s="7">
        <v>35</v>
      </c>
      <c r="T97" s="7">
        <f t="shared" si="0"/>
        <v>1750</v>
      </c>
      <c r="U97" s="386" t="s">
        <v>2016</v>
      </c>
      <c r="V97" s="257"/>
    </row>
    <row r="98" spans="2:22" s="7" customFormat="1" ht="15">
      <c r="B98" s="12"/>
      <c r="C98" s="6" t="s">
        <v>2009</v>
      </c>
      <c r="D98" s="14" t="s">
        <v>2010</v>
      </c>
      <c r="E98" s="49"/>
      <c r="F98" s="102"/>
      <c r="G98" s="22" t="s">
        <v>2020</v>
      </c>
      <c r="H98" s="8"/>
      <c r="I98" s="35"/>
      <c r="J98" s="38">
        <v>1</v>
      </c>
      <c r="K98" s="39">
        <v>215</v>
      </c>
      <c r="L98" s="139">
        <v>44167</v>
      </c>
      <c r="M98" s="33"/>
      <c r="N98" s="33">
        <v>44167</v>
      </c>
      <c r="O98" s="32" t="s">
        <v>2018</v>
      </c>
      <c r="P98" s="6"/>
      <c r="Q98" s="322">
        <v>185.2</v>
      </c>
      <c r="S98" s="7">
        <v>15000</v>
      </c>
      <c r="T98" s="7">
        <f t="shared" si="0"/>
        <v>15000</v>
      </c>
      <c r="U98" s="21"/>
      <c r="V98" s="257"/>
    </row>
    <row r="99" spans="2:22" s="7" customFormat="1" ht="15">
      <c r="B99" s="12"/>
      <c r="C99" s="6" t="s">
        <v>2009</v>
      </c>
      <c r="D99" s="14" t="s">
        <v>2010</v>
      </c>
      <c r="E99" s="82"/>
      <c r="F99" s="102"/>
      <c r="G99" s="22" t="s">
        <v>14</v>
      </c>
      <c r="H99" s="8"/>
      <c r="I99" s="35"/>
      <c r="J99" s="38">
        <v>1</v>
      </c>
      <c r="K99" s="39">
        <v>12</v>
      </c>
      <c r="L99" s="139">
        <v>44167</v>
      </c>
      <c r="M99" s="33"/>
      <c r="N99" s="33">
        <v>44167</v>
      </c>
      <c r="O99" s="32" t="s">
        <v>2018</v>
      </c>
      <c r="P99" s="6"/>
      <c r="Q99" s="322">
        <v>12</v>
      </c>
      <c r="S99" s="92">
        <v>900</v>
      </c>
      <c r="T99" s="7">
        <f t="shared" si="0"/>
        <v>900</v>
      </c>
      <c r="U99" s="21"/>
      <c r="V99" s="257"/>
    </row>
    <row r="100" spans="2:22" s="191" customFormat="1" ht="15">
      <c r="B100" s="190"/>
      <c r="C100" s="179" t="s">
        <v>2009</v>
      </c>
      <c r="D100" s="180" t="s">
        <v>2010</v>
      </c>
      <c r="E100" s="181"/>
      <c r="F100" s="182"/>
      <c r="G100" s="182" t="s">
        <v>250</v>
      </c>
      <c r="H100" s="184" t="s">
        <v>251</v>
      </c>
      <c r="I100" s="185"/>
      <c r="J100" s="183"/>
      <c r="K100" s="192">
        <v>0</v>
      </c>
      <c r="L100" s="188">
        <v>44167</v>
      </c>
      <c r="M100" s="187"/>
      <c r="N100" s="187">
        <v>44167</v>
      </c>
      <c r="O100" s="186" t="s">
        <v>2018</v>
      </c>
      <c r="P100" s="179"/>
      <c r="Q100" s="725">
        <v>0</v>
      </c>
      <c r="S100" s="197">
        <v>0</v>
      </c>
      <c r="T100" s="198">
        <v>0</v>
      </c>
      <c r="U100" s="335"/>
      <c r="V100" s="726"/>
    </row>
    <row r="101" spans="2:22" s="7" customFormat="1" ht="18" customHeight="1">
      <c r="B101" s="12"/>
      <c r="C101" s="6" t="s">
        <v>2021</v>
      </c>
      <c r="D101" s="14" t="s">
        <v>2022</v>
      </c>
      <c r="E101" s="20" t="s">
        <v>59</v>
      </c>
      <c r="F101" s="15"/>
      <c r="G101" s="22"/>
      <c r="H101" s="8"/>
      <c r="I101" s="35"/>
      <c r="J101" s="108"/>
      <c r="K101" s="29" t="s">
        <v>5</v>
      </c>
      <c r="L101" s="139">
        <v>44154</v>
      </c>
      <c r="M101" s="33"/>
      <c r="N101" s="33">
        <v>44154</v>
      </c>
      <c r="O101" s="32" t="s">
        <v>2023</v>
      </c>
      <c r="P101" s="6"/>
      <c r="Q101" s="322"/>
      <c r="U101" s="39"/>
      <c r="V101" s="257"/>
    </row>
    <row r="102" spans="2:22" s="7" customFormat="1" ht="18" customHeight="1">
      <c r="B102" s="12"/>
      <c r="C102" s="6" t="s">
        <v>2021</v>
      </c>
      <c r="D102" s="14" t="s">
        <v>2022</v>
      </c>
      <c r="E102" s="22" t="s">
        <v>7</v>
      </c>
      <c r="F102" s="102">
        <v>132</v>
      </c>
      <c r="G102" s="22" t="s">
        <v>2024</v>
      </c>
      <c r="H102" s="108">
        <v>50</v>
      </c>
      <c r="I102" s="109">
        <v>1</v>
      </c>
      <c r="J102" s="8">
        <f>H102*I102</f>
        <v>50</v>
      </c>
      <c r="K102" s="39">
        <v>4.45</v>
      </c>
      <c r="L102" s="39">
        <f>K102*J102</f>
        <v>222.5</v>
      </c>
      <c r="M102" s="33"/>
      <c r="N102" s="33">
        <v>44154</v>
      </c>
      <c r="O102" s="32" t="s">
        <v>2023</v>
      </c>
      <c r="P102" s="6" t="s">
        <v>3</v>
      </c>
      <c r="Q102" s="322">
        <v>3.95</v>
      </c>
      <c r="S102" s="7">
        <v>320</v>
      </c>
      <c r="T102" s="7">
        <f>S102*J102</f>
        <v>16000</v>
      </c>
      <c r="U102" s="21"/>
      <c r="V102" s="257"/>
    </row>
    <row r="103" spans="2:22" s="7" customFormat="1" ht="15">
      <c r="B103" s="12"/>
      <c r="C103" s="6" t="s">
        <v>2021</v>
      </c>
      <c r="D103" s="14" t="s">
        <v>2022</v>
      </c>
      <c r="E103" s="22"/>
      <c r="F103" s="102"/>
      <c r="G103" s="22" t="s">
        <v>14</v>
      </c>
      <c r="H103" s="8"/>
      <c r="I103" s="35"/>
      <c r="J103" s="38">
        <v>1</v>
      </c>
      <c r="K103" s="39">
        <v>20</v>
      </c>
      <c r="L103" s="139">
        <v>44154</v>
      </c>
      <c r="M103" s="33"/>
      <c r="N103" s="33">
        <v>44154</v>
      </c>
      <c r="O103" s="32" t="s">
        <v>2023</v>
      </c>
      <c r="P103" s="6" t="s">
        <v>3</v>
      </c>
      <c r="Q103" s="322">
        <v>20</v>
      </c>
      <c r="S103" s="7">
        <v>1800</v>
      </c>
      <c r="T103" s="7">
        <f>S103*J103</f>
        <v>1800</v>
      </c>
      <c r="U103" s="21"/>
      <c r="V103" s="257"/>
    </row>
    <row r="104" spans="2:22" s="191" customFormat="1" ht="15">
      <c r="B104" s="190"/>
      <c r="C104" s="179" t="s">
        <v>2021</v>
      </c>
      <c r="D104" s="180" t="s">
        <v>2022</v>
      </c>
      <c r="E104" s="181"/>
      <c r="F104" s="182"/>
      <c r="G104" s="182" t="s">
        <v>250</v>
      </c>
      <c r="H104" s="184" t="s">
        <v>251</v>
      </c>
      <c r="I104" s="185"/>
      <c r="J104" s="183"/>
      <c r="K104" s="192">
        <v>0</v>
      </c>
      <c r="L104" s="188">
        <v>44154</v>
      </c>
      <c r="M104" s="187"/>
      <c r="N104" s="187">
        <v>44154</v>
      </c>
      <c r="O104" s="186" t="s">
        <v>2023</v>
      </c>
      <c r="P104" s="179"/>
      <c r="Q104" s="725">
        <v>0</v>
      </c>
      <c r="S104" s="197">
        <v>0</v>
      </c>
      <c r="T104" s="198">
        <v>0</v>
      </c>
      <c r="U104" s="335"/>
      <c r="V104" s="726"/>
    </row>
    <row r="105" spans="2:22" s="7" customFormat="1" ht="18" customHeight="1">
      <c r="B105" s="12"/>
      <c r="C105" s="6" t="s">
        <v>2025</v>
      </c>
      <c r="D105" s="14" t="s">
        <v>2026</v>
      </c>
      <c r="E105" s="20" t="s">
        <v>2027</v>
      </c>
      <c r="F105" s="15"/>
      <c r="G105" s="734" t="s">
        <v>2028</v>
      </c>
      <c r="H105" s="8"/>
      <c r="I105" s="35"/>
      <c r="J105" s="108"/>
      <c r="K105" s="110" t="s">
        <v>2029</v>
      </c>
      <c r="L105" s="139">
        <v>44155</v>
      </c>
      <c r="M105" s="33"/>
      <c r="N105" s="33">
        <v>44155</v>
      </c>
      <c r="O105" s="32" t="s">
        <v>2030</v>
      </c>
      <c r="P105" s="6"/>
      <c r="Q105" s="322"/>
      <c r="U105" s="39"/>
      <c r="V105" s="257"/>
    </row>
    <row r="106" spans="2:22" s="7" customFormat="1" ht="18" customHeight="1">
      <c r="B106" s="12"/>
      <c r="C106" s="6" t="s">
        <v>2025</v>
      </c>
      <c r="D106" s="14" t="s">
        <v>2026</v>
      </c>
      <c r="E106" s="399" t="s">
        <v>2031</v>
      </c>
      <c r="F106" s="37">
        <v>13</v>
      </c>
      <c r="G106" s="37" t="s">
        <v>2032</v>
      </c>
      <c r="H106" s="108">
        <v>50</v>
      </c>
      <c r="I106" s="109">
        <v>1</v>
      </c>
      <c r="J106" s="8">
        <f>H106*I106</f>
        <v>50</v>
      </c>
      <c r="K106" s="39">
        <v>1.44</v>
      </c>
      <c r="L106" s="139">
        <v>44155</v>
      </c>
      <c r="M106" s="33"/>
      <c r="N106" s="33">
        <v>44155</v>
      </c>
      <c r="O106" s="32" t="s">
        <v>2030</v>
      </c>
      <c r="P106" s="722"/>
      <c r="Q106" s="322">
        <v>0.43</v>
      </c>
      <c r="S106" s="7">
        <v>29</v>
      </c>
      <c r="T106" s="7">
        <f>S106*J106</f>
        <v>1450</v>
      </c>
      <c r="U106" s="120"/>
      <c r="V106" s="735"/>
    </row>
    <row r="107" spans="2:22" s="7" customFormat="1" ht="18.75" customHeight="1">
      <c r="B107" s="12"/>
      <c r="C107" s="6" t="s">
        <v>2025</v>
      </c>
      <c r="D107" s="14" t="s">
        <v>2026</v>
      </c>
      <c r="E107" s="22"/>
      <c r="F107" s="37"/>
      <c r="G107" s="37" t="s">
        <v>14</v>
      </c>
      <c r="H107" s="8"/>
      <c r="I107" s="109" ph="1"/>
      <c r="J107" s="38">
        <v>1</v>
      </c>
      <c r="K107" s="39">
        <v>15</v>
      </c>
      <c r="L107" s="139">
        <v>44155</v>
      </c>
      <c r="M107" s="33"/>
      <c r="N107" s="33">
        <v>44155</v>
      </c>
      <c r="O107" s="32" t="s">
        <v>2030</v>
      </c>
      <c r="P107" s="6"/>
      <c r="Q107" s="322">
        <v>15</v>
      </c>
      <c r="S107" s="7">
        <v>1000</v>
      </c>
      <c r="T107" s="7">
        <f>S107*J107</f>
        <v>1000</v>
      </c>
      <c r="U107" s="21"/>
      <c r="V107" s="257"/>
    </row>
    <row r="108" spans="2:22" s="191" customFormat="1" ht="18" customHeight="1">
      <c r="B108" s="190"/>
      <c r="C108" s="179" t="s">
        <v>2025</v>
      </c>
      <c r="D108" s="180" t="s">
        <v>2026</v>
      </c>
      <c r="E108" s="736"/>
      <c r="F108" s="737"/>
      <c r="G108" s="182" t="s">
        <v>1955</v>
      </c>
      <c r="H108" s="222">
        <v>50</v>
      </c>
      <c r="I108" s="222"/>
      <c r="J108" s="222"/>
      <c r="K108" s="192">
        <v>0.9</v>
      </c>
      <c r="L108" s="188">
        <v>44155</v>
      </c>
      <c r="M108" s="187"/>
      <c r="N108" s="187">
        <v>44155</v>
      </c>
      <c r="O108" s="186" t="s">
        <v>2030</v>
      </c>
      <c r="P108" s="327"/>
      <c r="Q108" s="193">
        <v>45</v>
      </c>
      <c r="S108" s="197">
        <v>1545</v>
      </c>
      <c r="T108" s="197">
        <v>1545</v>
      </c>
      <c r="U108" s="738"/>
      <c r="V108" s="726"/>
    </row>
    <row r="109" spans="2:22" s="7" customFormat="1" ht="15">
      <c r="B109" s="12"/>
      <c r="C109" s="6" t="s">
        <v>2033</v>
      </c>
      <c r="D109" s="14" t="s">
        <v>2034</v>
      </c>
      <c r="E109" s="19" t="s">
        <v>2011</v>
      </c>
      <c r="F109" s="24"/>
      <c r="G109" s="22"/>
      <c r="H109" s="60"/>
      <c r="I109" s="61"/>
      <c r="J109" s="60"/>
      <c r="K109" s="16" t="s">
        <v>5</v>
      </c>
      <c r="L109" s="139">
        <v>44160</v>
      </c>
      <c r="M109" s="33"/>
      <c r="N109" s="33">
        <v>44160</v>
      </c>
      <c r="O109" s="32" t="s">
        <v>2035</v>
      </c>
      <c r="P109" s="6" t="s">
        <v>3</v>
      </c>
      <c r="Q109" s="358"/>
      <c r="U109" s="120"/>
      <c r="V109" s="257"/>
    </row>
    <row r="110" spans="2:22" s="7" customFormat="1" ht="15.75" customHeight="1">
      <c r="B110" s="12"/>
      <c r="C110" s="6" t="s">
        <v>2033</v>
      </c>
      <c r="D110" s="14" t="s">
        <v>2034</v>
      </c>
      <c r="E110" s="22" t="s">
        <v>2036</v>
      </c>
      <c r="F110" s="24"/>
      <c r="G110" s="22" t="s">
        <v>100</v>
      </c>
      <c r="H110" s="108">
        <v>13.7</v>
      </c>
      <c r="I110" s="109">
        <v>2</v>
      </c>
      <c r="J110" s="131">
        <f>H110*I110</f>
        <v>27.4</v>
      </c>
      <c r="K110" s="39">
        <v>10.19</v>
      </c>
      <c r="L110" s="139">
        <v>44160</v>
      </c>
      <c r="M110" s="33"/>
      <c r="N110" s="33">
        <v>44160</v>
      </c>
      <c r="O110" s="32" t="s">
        <v>2035</v>
      </c>
      <c r="P110" s="6"/>
      <c r="Q110" s="322">
        <v>8.15</v>
      </c>
      <c r="S110" s="7">
        <v>550</v>
      </c>
      <c r="T110" s="7">
        <f>S110*J110</f>
        <v>15070</v>
      </c>
      <c r="U110" s="386"/>
      <c r="V110" s="257"/>
    </row>
    <row r="111" spans="2:22" s="7" customFormat="1" ht="16.899999999999999" customHeight="1">
      <c r="B111" s="12"/>
      <c r="C111" s="6" t="s">
        <v>2033</v>
      </c>
      <c r="D111" s="14" t="s">
        <v>2034</v>
      </c>
      <c r="E111" s="22"/>
      <c r="F111" s="340"/>
      <c r="G111" s="37" t="s">
        <v>14</v>
      </c>
      <c r="H111" s="8"/>
      <c r="I111" s="109" ph="1"/>
      <c r="J111" s="38">
        <v>1</v>
      </c>
      <c r="K111" s="39">
        <v>12</v>
      </c>
      <c r="L111" s="139">
        <v>44160</v>
      </c>
      <c r="M111" s="33"/>
      <c r="N111" s="33">
        <v>44160</v>
      </c>
      <c r="O111" s="32" t="s">
        <v>2035</v>
      </c>
      <c r="P111" s="6"/>
      <c r="Q111" s="322">
        <v>12</v>
      </c>
      <c r="S111" s="7">
        <v>0</v>
      </c>
      <c r="T111" s="7">
        <f>S111*J111</f>
        <v>0</v>
      </c>
      <c r="U111" s="21"/>
      <c r="V111" s="257"/>
    </row>
    <row r="112" spans="2:22" s="7" customFormat="1" ht="18" customHeight="1">
      <c r="B112" s="12"/>
      <c r="C112" s="6" t="s">
        <v>2033</v>
      </c>
      <c r="D112" s="14" t="s">
        <v>2034</v>
      </c>
      <c r="E112" s="19" t="s">
        <v>10</v>
      </c>
      <c r="F112" s="107"/>
      <c r="G112" s="22"/>
      <c r="H112" s="108"/>
      <c r="I112" s="109"/>
      <c r="J112" s="108"/>
      <c r="K112" s="29" t="s">
        <v>5</v>
      </c>
      <c r="L112" s="139">
        <v>44160</v>
      </c>
      <c r="M112" s="33"/>
      <c r="N112" s="33">
        <v>44160</v>
      </c>
      <c r="O112" s="32" t="s">
        <v>2035</v>
      </c>
      <c r="P112" s="14"/>
      <c r="Q112" s="322"/>
      <c r="U112" s="14"/>
      <c r="V112" s="257"/>
    </row>
    <row r="113" spans="2:22" s="7" customFormat="1" ht="18" customHeight="1">
      <c r="B113" s="12"/>
      <c r="C113" s="6" t="s">
        <v>2033</v>
      </c>
      <c r="D113" s="14" t="s">
        <v>2034</v>
      </c>
      <c r="E113" s="22" t="s">
        <v>6</v>
      </c>
      <c r="F113" s="107">
        <v>160</v>
      </c>
      <c r="G113" s="22" t="s">
        <v>2037</v>
      </c>
      <c r="H113" s="108">
        <v>50</v>
      </c>
      <c r="I113" s="109">
        <v>2</v>
      </c>
      <c r="J113" s="8">
        <f>H113*I113</f>
        <v>100</v>
      </c>
      <c r="K113" s="39">
        <v>4.45</v>
      </c>
      <c r="L113" s="139">
        <v>44160</v>
      </c>
      <c r="M113" s="33"/>
      <c r="N113" s="33">
        <v>44160</v>
      </c>
      <c r="O113" s="32" t="s">
        <v>2035</v>
      </c>
      <c r="P113" s="6"/>
      <c r="Q113" s="322">
        <v>3.95</v>
      </c>
      <c r="S113" s="7">
        <v>320</v>
      </c>
      <c r="T113" s="7">
        <f>S113*J113</f>
        <v>32000</v>
      </c>
      <c r="U113" s="21"/>
      <c r="V113" s="257"/>
    </row>
    <row r="114" spans="2:22" s="7" customFormat="1" ht="16.899999999999999" customHeight="1">
      <c r="B114" s="12"/>
      <c r="C114" s="6" t="s">
        <v>2033</v>
      </c>
      <c r="D114" s="14" t="s">
        <v>2034</v>
      </c>
      <c r="E114" s="22"/>
      <c r="F114" s="340"/>
      <c r="G114" s="37" t="s">
        <v>14</v>
      </c>
      <c r="H114" s="8"/>
      <c r="I114" s="109" ph="1"/>
      <c r="J114" s="38">
        <v>1</v>
      </c>
      <c r="K114" s="39">
        <v>20</v>
      </c>
      <c r="L114" s="139">
        <v>44160</v>
      </c>
      <c r="M114" s="33"/>
      <c r="N114" s="33">
        <v>44160</v>
      </c>
      <c r="O114" s="32" t="s">
        <v>2035</v>
      </c>
      <c r="P114" s="6"/>
      <c r="Q114" s="322">
        <v>20</v>
      </c>
      <c r="S114" s="7">
        <v>1800</v>
      </c>
      <c r="T114" s="7">
        <f>S114*J114</f>
        <v>1800</v>
      </c>
      <c r="U114" s="21"/>
      <c r="V114" s="257"/>
    </row>
    <row r="115" spans="2:22" s="191" customFormat="1" ht="15">
      <c r="B115" s="190"/>
      <c r="C115" s="179" t="s">
        <v>2033</v>
      </c>
      <c r="D115" s="180" t="s">
        <v>2034</v>
      </c>
      <c r="E115" s="181"/>
      <c r="F115" s="182"/>
      <c r="G115" s="182" t="s">
        <v>250</v>
      </c>
      <c r="H115" s="184" t="s">
        <v>252</v>
      </c>
      <c r="I115" s="185"/>
      <c r="J115" s="183"/>
      <c r="K115" s="192">
        <v>148</v>
      </c>
      <c r="L115" s="188">
        <v>44160</v>
      </c>
      <c r="M115" s="187"/>
      <c r="N115" s="187">
        <v>44160</v>
      </c>
      <c r="O115" s="186" t="s">
        <v>2035</v>
      </c>
      <c r="P115" s="179"/>
      <c r="Q115" s="725">
        <v>148</v>
      </c>
      <c r="S115" s="197">
        <v>13157</v>
      </c>
      <c r="T115" s="197">
        <v>13157</v>
      </c>
      <c r="U115" s="335"/>
      <c r="V115" s="726"/>
    </row>
    <row r="116" spans="2:22" s="7" customFormat="1" ht="15">
      <c r="B116" s="12"/>
      <c r="C116" s="6" t="s">
        <v>2038</v>
      </c>
      <c r="D116" s="14" t="s">
        <v>2010</v>
      </c>
      <c r="E116" s="19" t="s">
        <v>200</v>
      </c>
      <c r="F116" s="37"/>
      <c r="G116" s="37"/>
      <c r="H116" s="108"/>
      <c r="I116" s="108"/>
      <c r="J116" s="108"/>
      <c r="K116" s="110" t="s">
        <v>101</v>
      </c>
      <c r="L116" s="139">
        <v>44159</v>
      </c>
      <c r="M116" s="33"/>
      <c r="N116" s="33">
        <v>44159</v>
      </c>
      <c r="O116" s="32" t="s">
        <v>2039</v>
      </c>
      <c r="P116" s="6"/>
      <c r="Q116" s="339"/>
      <c r="U116" s="21"/>
      <c r="V116" s="257"/>
    </row>
    <row r="117" spans="2:22" s="7" customFormat="1" ht="15">
      <c r="B117" s="12"/>
      <c r="C117" s="6" t="s">
        <v>2038</v>
      </c>
      <c r="D117" s="14" t="s">
        <v>2010</v>
      </c>
      <c r="E117" s="22">
        <v>5648</v>
      </c>
      <c r="F117" s="37"/>
      <c r="G117" s="37" t="s">
        <v>2040</v>
      </c>
      <c r="H117" s="108">
        <v>50</v>
      </c>
      <c r="I117" s="109">
        <v>1</v>
      </c>
      <c r="J117" s="60">
        <f t="shared" ref="J117:J126" si="1">H117*I117</f>
        <v>50</v>
      </c>
      <c r="K117" s="39">
        <v>0.3</v>
      </c>
      <c r="L117" s="139">
        <v>44159</v>
      </c>
      <c r="M117" s="33"/>
      <c r="N117" s="33">
        <v>44159</v>
      </c>
      <c r="O117" s="32" t="s">
        <v>2039</v>
      </c>
      <c r="P117" s="6"/>
      <c r="Q117" s="322">
        <v>0.24</v>
      </c>
      <c r="S117" s="7">
        <v>15.8</v>
      </c>
      <c r="T117" s="7">
        <f t="shared" ref="T117:T127" si="2">S117*J117</f>
        <v>790</v>
      </c>
      <c r="U117" s="39"/>
      <c r="V117" s="257"/>
    </row>
    <row r="118" spans="2:22" s="7" customFormat="1" ht="15">
      <c r="B118" s="12"/>
      <c r="C118" s="6" t="s">
        <v>2038</v>
      </c>
      <c r="D118" s="14" t="s">
        <v>2010</v>
      </c>
      <c r="E118" s="22">
        <v>5648</v>
      </c>
      <c r="F118" s="37"/>
      <c r="G118" s="37" t="s">
        <v>158</v>
      </c>
      <c r="H118" s="108">
        <v>50</v>
      </c>
      <c r="I118" s="109">
        <v>1</v>
      </c>
      <c r="J118" s="60">
        <f t="shared" si="1"/>
        <v>50</v>
      </c>
      <c r="K118" s="39">
        <v>0.3</v>
      </c>
      <c r="L118" s="139">
        <v>44159</v>
      </c>
      <c r="M118" s="33"/>
      <c r="N118" s="33">
        <v>44159</v>
      </c>
      <c r="O118" s="32" t="s">
        <v>2039</v>
      </c>
      <c r="P118" s="6"/>
      <c r="Q118" s="322">
        <v>0.24</v>
      </c>
      <c r="S118" s="7">
        <v>15.8</v>
      </c>
      <c r="T118" s="7">
        <f t="shared" si="2"/>
        <v>790</v>
      </c>
      <c r="U118" s="39"/>
      <c r="V118" s="257"/>
    </row>
    <row r="119" spans="2:22" s="7" customFormat="1" ht="15">
      <c r="B119" s="12"/>
      <c r="C119" s="6" t="s">
        <v>2038</v>
      </c>
      <c r="D119" s="14" t="s">
        <v>2010</v>
      </c>
      <c r="E119" s="22">
        <v>5648</v>
      </c>
      <c r="F119" s="37"/>
      <c r="G119" s="37" t="s">
        <v>27</v>
      </c>
      <c r="H119" s="108">
        <v>50</v>
      </c>
      <c r="I119" s="109">
        <v>1</v>
      </c>
      <c r="J119" s="60">
        <f t="shared" si="1"/>
        <v>50</v>
      </c>
      <c r="K119" s="39">
        <v>0.3</v>
      </c>
      <c r="L119" s="139">
        <v>44159</v>
      </c>
      <c r="M119" s="33"/>
      <c r="N119" s="33">
        <v>44159</v>
      </c>
      <c r="O119" s="32" t="s">
        <v>2039</v>
      </c>
      <c r="P119" s="6"/>
      <c r="Q119" s="322">
        <v>0.24</v>
      </c>
      <c r="S119" s="7">
        <v>15.8</v>
      </c>
      <c r="T119" s="7">
        <f t="shared" si="2"/>
        <v>790</v>
      </c>
      <c r="U119" s="39"/>
      <c r="V119" s="257"/>
    </row>
    <row r="120" spans="2:22" s="7" customFormat="1" ht="15">
      <c r="B120" s="12"/>
      <c r="C120" s="6" t="s">
        <v>2038</v>
      </c>
      <c r="D120" s="14" t="s">
        <v>2010</v>
      </c>
      <c r="E120" s="22">
        <v>5648</v>
      </c>
      <c r="F120" s="37"/>
      <c r="G120" s="37" t="s">
        <v>2041</v>
      </c>
      <c r="H120" s="108">
        <v>50</v>
      </c>
      <c r="I120" s="109">
        <v>1</v>
      </c>
      <c r="J120" s="60">
        <f t="shared" si="1"/>
        <v>50</v>
      </c>
      <c r="K120" s="39">
        <v>0.3</v>
      </c>
      <c r="L120" s="139">
        <v>44159</v>
      </c>
      <c r="M120" s="33"/>
      <c r="N120" s="33">
        <v>44159</v>
      </c>
      <c r="O120" s="32" t="s">
        <v>2039</v>
      </c>
      <c r="P120" s="6"/>
      <c r="Q120" s="322">
        <v>0.24</v>
      </c>
      <c r="S120" s="7">
        <v>15.8</v>
      </c>
      <c r="T120" s="7">
        <f t="shared" si="2"/>
        <v>790</v>
      </c>
      <c r="U120" s="39"/>
      <c r="V120" s="257"/>
    </row>
    <row r="121" spans="2:22" s="7" customFormat="1" ht="15">
      <c r="B121" s="12"/>
      <c r="C121" s="6" t="s">
        <v>2038</v>
      </c>
      <c r="D121" s="14" t="s">
        <v>2010</v>
      </c>
      <c r="E121" s="22">
        <v>5648</v>
      </c>
      <c r="F121" s="37"/>
      <c r="G121" s="37" t="s">
        <v>28</v>
      </c>
      <c r="H121" s="108">
        <v>50</v>
      </c>
      <c r="I121" s="109">
        <v>1</v>
      </c>
      <c r="J121" s="60">
        <f t="shared" si="1"/>
        <v>50</v>
      </c>
      <c r="K121" s="39">
        <v>0.3</v>
      </c>
      <c r="L121" s="139">
        <v>44159</v>
      </c>
      <c r="M121" s="33"/>
      <c r="N121" s="33">
        <v>44159</v>
      </c>
      <c r="O121" s="32" t="s">
        <v>2039</v>
      </c>
      <c r="P121" s="6"/>
      <c r="Q121" s="322">
        <v>0.24</v>
      </c>
      <c r="S121" s="7">
        <v>15.8</v>
      </c>
      <c r="T121" s="7">
        <f t="shared" si="2"/>
        <v>790</v>
      </c>
      <c r="U121" s="39"/>
      <c r="V121" s="257"/>
    </row>
    <row r="122" spans="2:22" s="7" customFormat="1" ht="15">
      <c r="B122" s="12"/>
      <c r="C122" s="6" t="s">
        <v>2038</v>
      </c>
      <c r="D122" s="14" t="s">
        <v>2010</v>
      </c>
      <c r="E122" s="22">
        <v>5649</v>
      </c>
      <c r="F122" s="37"/>
      <c r="G122" s="37" t="s">
        <v>2040</v>
      </c>
      <c r="H122" s="108">
        <v>50</v>
      </c>
      <c r="I122" s="109">
        <v>1</v>
      </c>
      <c r="J122" s="60">
        <f t="shared" si="1"/>
        <v>50</v>
      </c>
      <c r="K122" s="39">
        <v>0.36</v>
      </c>
      <c r="L122" s="139">
        <v>44159</v>
      </c>
      <c r="M122" s="33"/>
      <c r="N122" s="33">
        <v>44159</v>
      </c>
      <c r="O122" s="32" t="s">
        <v>2039</v>
      </c>
      <c r="P122" s="6"/>
      <c r="Q122" s="322">
        <v>0.28999999999999998</v>
      </c>
      <c r="S122" s="7">
        <v>19.2</v>
      </c>
      <c r="T122" s="7">
        <f t="shared" si="2"/>
        <v>960</v>
      </c>
      <c r="U122" s="39"/>
      <c r="V122" s="257"/>
    </row>
    <row r="123" spans="2:22" s="7" customFormat="1" ht="15">
      <c r="B123" s="12"/>
      <c r="C123" s="6" t="s">
        <v>2038</v>
      </c>
      <c r="D123" s="14" t="s">
        <v>2010</v>
      </c>
      <c r="E123" s="22">
        <v>5649</v>
      </c>
      <c r="F123" s="37"/>
      <c r="G123" s="37" t="s">
        <v>158</v>
      </c>
      <c r="H123" s="108">
        <v>50</v>
      </c>
      <c r="I123" s="109">
        <v>1</v>
      </c>
      <c r="J123" s="60">
        <f t="shared" si="1"/>
        <v>50</v>
      </c>
      <c r="K123" s="39">
        <v>0.36</v>
      </c>
      <c r="L123" s="139">
        <v>44159</v>
      </c>
      <c r="M123" s="33"/>
      <c r="N123" s="33">
        <v>44159</v>
      </c>
      <c r="O123" s="32" t="s">
        <v>2039</v>
      </c>
      <c r="P123" s="6"/>
      <c r="Q123" s="322">
        <v>0.28999999999999998</v>
      </c>
      <c r="S123" s="7">
        <v>19.2</v>
      </c>
      <c r="T123" s="7">
        <f t="shared" si="2"/>
        <v>960</v>
      </c>
      <c r="U123" s="39"/>
      <c r="V123" s="257"/>
    </row>
    <row r="124" spans="2:22" s="7" customFormat="1" ht="15">
      <c r="B124" s="12"/>
      <c r="C124" s="6" t="s">
        <v>2038</v>
      </c>
      <c r="D124" s="14" t="s">
        <v>2010</v>
      </c>
      <c r="E124" s="22">
        <v>5649</v>
      </c>
      <c r="F124" s="37"/>
      <c r="G124" s="37" t="s">
        <v>27</v>
      </c>
      <c r="H124" s="108">
        <v>50</v>
      </c>
      <c r="I124" s="109">
        <v>1</v>
      </c>
      <c r="J124" s="60">
        <f t="shared" si="1"/>
        <v>50</v>
      </c>
      <c r="K124" s="39">
        <v>0.36</v>
      </c>
      <c r="L124" s="139">
        <v>44159</v>
      </c>
      <c r="M124" s="33"/>
      <c r="N124" s="33">
        <v>44159</v>
      </c>
      <c r="O124" s="32" t="s">
        <v>2039</v>
      </c>
      <c r="P124" s="6"/>
      <c r="Q124" s="322">
        <v>0.28999999999999998</v>
      </c>
      <c r="S124" s="7">
        <v>19.2</v>
      </c>
      <c r="T124" s="7">
        <f t="shared" si="2"/>
        <v>960</v>
      </c>
      <c r="U124" s="39"/>
      <c r="V124" s="257"/>
    </row>
    <row r="125" spans="2:22" s="7" customFormat="1" ht="15">
      <c r="B125" s="12"/>
      <c r="C125" s="6" t="s">
        <v>2038</v>
      </c>
      <c r="D125" s="14" t="s">
        <v>2010</v>
      </c>
      <c r="E125" s="22">
        <v>5649</v>
      </c>
      <c r="F125" s="37"/>
      <c r="G125" s="37" t="s">
        <v>2041</v>
      </c>
      <c r="H125" s="108">
        <v>50</v>
      </c>
      <c r="I125" s="109">
        <v>1</v>
      </c>
      <c r="J125" s="60">
        <f t="shared" si="1"/>
        <v>50</v>
      </c>
      <c r="K125" s="39">
        <v>0.36</v>
      </c>
      <c r="L125" s="139">
        <v>44159</v>
      </c>
      <c r="M125" s="33"/>
      <c r="N125" s="33">
        <v>44159</v>
      </c>
      <c r="O125" s="32" t="s">
        <v>2039</v>
      </c>
      <c r="P125" s="6"/>
      <c r="Q125" s="322">
        <v>0.28999999999999998</v>
      </c>
      <c r="S125" s="7">
        <v>19.2</v>
      </c>
      <c r="T125" s="7">
        <f t="shared" si="2"/>
        <v>960</v>
      </c>
      <c r="U125" s="39"/>
      <c r="V125" s="257"/>
    </row>
    <row r="126" spans="2:22" s="7" customFormat="1" ht="15">
      <c r="B126" s="12"/>
      <c r="C126" s="6" t="s">
        <v>2038</v>
      </c>
      <c r="D126" s="14" t="s">
        <v>2010</v>
      </c>
      <c r="E126" s="22">
        <v>5649</v>
      </c>
      <c r="F126" s="37"/>
      <c r="G126" s="37" t="s">
        <v>28</v>
      </c>
      <c r="H126" s="108">
        <v>50</v>
      </c>
      <c r="I126" s="109">
        <v>1</v>
      </c>
      <c r="J126" s="60">
        <f t="shared" si="1"/>
        <v>50</v>
      </c>
      <c r="K126" s="39">
        <v>0.36</v>
      </c>
      <c r="L126" s="139">
        <v>44159</v>
      </c>
      <c r="M126" s="33"/>
      <c r="N126" s="33">
        <v>44159</v>
      </c>
      <c r="O126" s="32" t="s">
        <v>2039</v>
      </c>
      <c r="P126" s="6"/>
      <c r="Q126" s="322">
        <v>0.28999999999999998</v>
      </c>
      <c r="S126" s="7">
        <v>19.2</v>
      </c>
      <c r="T126" s="7">
        <f t="shared" si="2"/>
        <v>960</v>
      </c>
      <c r="U126" s="39"/>
      <c r="V126" s="257"/>
    </row>
    <row r="127" spans="2:22" s="7" customFormat="1" ht="16.899999999999999" customHeight="1">
      <c r="B127" s="12"/>
      <c r="C127" s="6" t="s">
        <v>2038</v>
      </c>
      <c r="D127" s="14" t="s">
        <v>2010</v>
      </c>
      <c r="E127" s="22"/>
      <c r="F127" s="340"/>
      <c r="G127" s="37" t="s">
        <v>14</v>
      </c>
      <c r="H127" s="8"/>
      <c r="I127" s="109" ph="1"/>
      <c r="J127" s="38">
        <v>1</v>
      </c>
      <c r="K127" s="39">
        <v>12</v>
      </c>
      <c r="L127" s="139">
        <v>44159</v>
      </c>
      <c r="M127" s="33"/>
      <c r="N127" s="33">
        <v>44159</v>
      </c>
      <c r="O127" s="32" t="s">
        <v>2039</v>
      </c>
      <c r="P127" s="6"/>
      <c r="Q127" s="322">
        <v>12</v>
      </c>
      <c r="S127" s="7">
        <v>0</v>
      </c>
      <c r="T127" s="7">
        <f t="shared" si="2"/>
        <v>0</v>
      </c>
      <c r="U127" s="21"/>
      <c r="V127" s="257"/>
    </row>
    <row r="128" spans="2:22" s="191" customFormat="1" ht="15">
      <c r="B128" s="190"/>
      <c r="C128" s="179" t="s">
        <v>2038</v>
      </c>
      <c r="D128" s="180" t="s">
        <v>2010</v>
      </c>
      <c r="E128" s="181"/>
      <c r="F128" s="182"/>
      <c r="G128" s="182" t="s">
        <v>250</v>
      </c>
      <c r="H128" s="184" t="s">
        <v>251</v>
      </c>
      <c r="I128" s="185"/>
      <c r="J128" s="183"/>
      <c r="K128" s="192">
        <v>0</v>
      </c>
      <c r="L128" s="188">
        <v>44159</v>
      </c>
      <c r="M128" s="187"/>
      <c r="N128" s="187">
        <v>44159</v>
      </c>
      <c r="O128" s="186" t="s">
        <v>2039</v>
      </c>
      <c r="P128" s="179"/>
      <c r="Q128" s="725">
        <v>0</v>
      </c>
      <c r="S128" s="197">
        <v>0</v>
      </c>
      <c r="T128" s="198">
        <v>0</v>
      </c>
      <c r="U128" s="335"/>
      <c r="V128" s="726"/>
    </row>
    <row r="129" spans="2:22" s="7" customFormat="1" ht="18" customHeight="1">
      <c r="B129" s="12"/>
      <c r="C129" s="6" t="s">
        <v>2042</v>
      </c>
      <c r="D129" s="14" t="s">
        <v>1982</v>
      </c>
      <c r="E129" s="17" t="s">
        <v>1983</v>
      </c>
      <c r="F129" s="319"/>
      <c r="G129" s="299"/>
      <c r="H129" s="300"/>
      <c r="I129" s="320"/>
      <c r="J129" s="321"/>
      <c r="K129" s="110" t="s">
        <v>5</v>
      </c>
      <c r="L129" s="139">
        <v>44162</v>
      </c>
      <c r="M129" s="33"/>
      <c r="N129" s="33">
        <v>44162</v>
      </c>
      <c r="O129" s="32" t="s">
        <v>2043</v>
      </c>
      <c r="P129" s="6"/>
      <c r="Q129" s="322"/>
      <c r="U129" s="39"/>
      <c r="V129" s="257"/>
    </row>
    <row r="130" spans="2:22" s="7" customFormat="1" ht="18" customHeight="1">
      <c r="B130" s="12"/>
      <c r="C130" s="6" t="s">
        <v>2042</v>
      </c>
      <c r="D130" s="14" t="s">
        <v>1982</v>
      </c>
      <c r="E130" s="22">
        <v>9527</v>
      </c>
      <c r="F130" s="24"/>
      <c r="G130" s="22" t="s">
        <v>178</v>
      </c>
      <c r="H130" s="8">
        <v>5</v>
      </c>
      <c r="I130" s="8">
        <v>5</v>
      </c>
      <c r="J130" s="8">
        <v>5</v>
      </c>
      <c r="K130" s="39">
        <v>0.7</v>
      </c>
      <c r="L130" s="139">
        <v>44162</v>
      </c>
      <c r="M130" s="33"/>
      <c r="N130" s="33">
        <v>44162</v>
      </c>
      <c r="O130" s="32" t="s">
        <v>2043</v>
      </c>
      <c r="P130" s="6"/>
      <c r="Q130" s="322">
        <v>0.56000000000000005</v>
      </c>
      <c r="S130" s="92">
        <v>28.5</v>
      </c>
      <c r="T130" s="7">
        <f>S130*J130</f>
        <v>142.5</v>
      </c>
      <c r="U130" s="731" t="s">
        <v>2044</v>
      </c>
      <c r="V130" s="257"/>
    </row>
    <row r="131" spans="2:22" s="7" customFormat="1" ht="18" customHeight="1">
      <c r="B131" s="12"/>
      <c r="C131" s="6" t="s">
        <v>2042</v>
      </c>
      <c r="D131" s="14" t="s">
        <v>1982</v>
      </c>
      <c r="E131" s="22">
        <v>9527</v>
      </c>
      <c r="F131" s="24"/>
      <c r="G131" s="22" t="s">
        <v>2045</v>
      </c>
      <c r="H131" s="8">
        <v>5</v>
      </c>
      <c r="I131" s="8">
        <v>5</v>
      </c>
      <c r="J131" s="8">
        <v>5</v>
      </c>
      <c r="K131" s="39">
        <v>0.7</v>
      </c>
      <c r="L131" s="139">
        <v>44162</v>
      </c>
      <c r="M131" s="33"/>
      <c r="N131" s="33">
        <v>44162</v>
      </c>
      <c r="O131" s="32" t="s">
        <v>2043</v>
      </c>
      <c r="P131" s="6"/>
      <c r="Q131" s="322">
        <v>0.56000000000000005</v>
      </c>
      <c r="S131" s="92">
        <v>28.5</v>
      </c>
      <c r="T131" s="7">
        <f>S131*J131</f>
        <v>142.5</v>
      </c>
      <c r="U131" s="731" t="s">
        <v>2044</v>
      </c>
      <c r="V131" s="257"/>
    </row>
    <row r="132" spans="2:22" s="7" customFormat="1" ht="18" customHeight="1">
      <c r="B132" s="12"/>
      <c r="C132" s="6" t="s">
        <v>2042</v>
      </c>
      <c r="D132" s="14" t="s">
        <v>1982</v>
      </c>
      <c r="E132" s="22">
        <v>9527</v>
      </c>
      <c r="F132" s="24"/>
      <c r="G132" s="22" t="s">
        <v>2046</v>
      </c>
      <c r="H132" s="8">
        <v>5</v>
      </c>
      <c r="I132" s="8">
        <v>5</v>
      </c>
      <c r="J132" s="8">
        <v>5</v>
      </c>
      <c r="K132" s="39">
        <v>0.7</v>
      </c>
      <c r="L132" s="139">
        <v>44162</v>
      </c>
      <c r="M132" s="33"/>
      <c r="N132" s="33">
        <v>44162</v>
      </c>
      <c r="O132" s="32" t="s">
        <v>2043</v>
      </c>
      <c r="P132" s="6"/>
      <c r="Q132" s="322">
        <v>0.56000000000000005</v>
      </c>
      <c r="S132" s="92">
        <v>28.5</v>
      </c>
      <c r="T132" s="7">
        <f>S132*J132</f>
        <v>142.5</v>
      </c>
      <c r="U132" s="731" t="s">
        <v>2044</v>
      </c>
      <c r="V132" s="257"/>
    </row>
    <row r="133" spans="2:22" s="7" customFormat="1" ht="18" customHeight="1">
      <c r="B133" s="12"/>
      <c r="C133" s="6" t="s">
        <v>2042</v>
      </c>
      <c r="D133" s="14" t="s">
        <v>1982</v>
      </c>
      <c r="E133" s="17" t="s">
        <v>1989</v>
      </c>
      <c r="F133" s="319"/>
      <c r="G133" s="299"/>
      <c r="H133" s="300"/>
      <c r="I133" s="320"/>
      <c r="J133" s="321"/>
      <c r="K133" s="110" t="s">
        <v>5</v>
      </c>
      <c r="L133" s="139">
        <v>44162</v>
      </c>
      <c r="M133" s="33"/>
      <c r="N133" s="33">
        <v>44162</v>
      </c>
      <c r="O133" s="32" t="s">
        <v>2043</v>
      </c>
      <c r="P133" s="6"/>
      <c r="Q133" s="322"/>
      <c r="U133" s="39"/>
      <c r="V133" s="257"/>
    </row>
    <row r="134" spans="2:22" s="7" customFormat="1" ht="18" customHeight="1">
      <c r="B134" s="12"/>
      <c r="C134" s="6" t="s">
        <v>2042</v>
      </c>
      <c r="D134" s="14" t="s">
        <v>1982</v>
      </c>
      <c r="E134" s="22">
        <v>5637</v>
      </c>
      <c r="F134" s="24" t="s">
        <v>230</v>
      </c>
      <c r="G134" s="22" t="s">
        <v>188</v>
      </c>
      <c r="H134" s="8">
        <v>5</v>
      </c>
      <c r="I134" s="8">
        <v>5</v>
      </c>
      <c r="J134" s="8">
        <v>5</v>
      </c>
      <c r="K134" s="137" t="s">
        <v>2047</v>
      </c>
      <c r="L134" s="139">
        <v>44162</v>
      </c>
      <c r="M134" s="33"/>
      <c r="N134" s="33">
        <v>44162</v>
      </c>
      <c r="O134" s="32" t="s">
        <v>2043</v>
      </c>
      <c r="P134" s="6"/>
      <c r="Q134" s="358"/>
      <c r="S134" s="7">
        <v>0</v>
      </c>
      <c r="T134" s="7">
        <f>S134*J134</f>
        <v>0</v>
      </c>
      <c r="U134" s="739" t="s">
        <v>263</v>
      </c>
      <c r="V134" s="257"/>
    </row>
    <row r="135" spans="2:22" s="7" customFormat="1" ht="18" customHeight="1">
      <c r="B135" s="12"/>
      <c r="C135" s="6" t="s">
        <v>2042</v>
      </c>
      <c r="D135" s="14" t="s">
        <v>1982</v>
      </c>
      <c r="E135" s="22">
        <v>5637</v>
      </c>
      <c r="F135" s="24" t="s">
        <v>230</v>
      </c>
      <c r="G135" s="22" t="s">
        <v>254</v>
      </c>
      <c r="H135" s="8">
        <v>5</v>
      </c>
      <c r="I135" s="8">
        <v>5</v>
      </c>
      <c r="J135" s="8">
        <v>5</v>
      </c>
      <c r="K135" s="137" t="s">
        <v>2047</v>
      </c>
      <c r="L135" s="139">
        <v>44162</v>
      </c>
      <c r="M135" s="33"/>
      <c r="N135" s="33">
        <v>44162</v>
      </c>
      <c r="O135" s="32" t="s">
        <v>2043</v>
      </c>
      <c r="P135" s="6"/>
      <c r="Q135" s="358"/>
      <c r="S135" s="7">
        <v>0</v>
      </c>
      <c r="T135" s="7">
        <f>S135*J135</f>
        <v>0</v>
      </c>
      <c r="U135" s="739" t="s">
        <v>263</v>
      </c>
      <c r="V135" s="257"/>
    </row>
    <row r="136" spans="2:22" s="7" customFormat="1" ht="18" customHeight="1">
      <c r="B136" s="12"/>
      <c r="C136" s="6" t="s">
        <v>2042</v>
      </c>
      <c r="D136" s="14" t="s">
        <v>1982</v>
      </c>
      <c r="E136" s="22">
        <v>5637</v>
      </c>
      <c r="F136" s="24" t="s">
        <v>230</v>
      </c>
      <c r="G136" s="22" t="s">
        <v>2048</v>
      </c>
      <c r="H136" s="8">
        <v>5</v>
      </c>
      <c r="I136" s="8">
        <v>5</v>
      </c>
      <c r="J136" s="8">
        <v>5</v>
      </c>
      <c r="K136" s="137" t="s">
        <v>2047</v>
      </c>
      <c r="L136" s="139">
        <v>44162</v>
      </c>
      <c r="M136" s="33"/>
      <c r="N136" s="33">
        <v>44162</v>
      </c>
      <c r="O136" s="32" t="s">
        <v>2043</v>
      </c>
      <c r="P136" s="6"/>
      <c r="Q136" s="358"/>
      <c r="S136" s="7">
        <v>0</v>
      </c>
      <c r="T136" s="7">
        <f>S136*J136</f>
        <v>0</v>
      </c>
      <c r="U136" s="739" t="s">
        <v>263</v>
      </c>
      <c r="V136" s="257"/>
    </row>
    <row r="137" spans="2:22" s="7" customFormat="1" ht="18" customHeight="1">
      <c r="B137" s="12"/>
      <c r="C137" s="6" t="s">
        <v>2042</v>
      </c>
      <c r="D137" s="14" t="s">
        <v>1982</v>
      </c>
      <c r="E137" s="22">
        <v>5637</v>
      </c>
      <c r="F137" s="24" t="s">
        <v>230</v>
      </c>
      <c r="G137" s="22" t="s">
        <v>2049</v>
      </c>
      <c r="H137" s="8">
        <v>5</v>
      </c>
      <c r="I137" s="8">
        <v>5</v>
      </c>
      <c r="J137" s="8">
        <v>5</v>
      </c>
      <c r="K137" s="137" t="s">
        <v>2047</v>
      </c>
      <c r="L137" s="139">
        <v>44162</v>
      </c>
      <c r="M137" s="33"/>
      <c r="N137" s="33">
        <v>44162</v>
      </c>
      <c r="O137" s="32" t="s">
        <v>2043</v>
      </c>
      <c r="P137" s="6"/>
      <c r="Q137" s="358"/>
      <c r="S137" s="7">
        <v>0</v>
      </c>
      <c r="T137" s="7">
        <f>S137*J137</f>
        <v>0</v>
      </c>
      <c r="U137" s="739" t="s">
        <v>263</v>
      </c>
      <c r="V137" s="257"/>
    </row>
    <row r="138" spans="2:22" s="7" customFormat="1" ht="16.899999999999999" customHeight="1">
      <c r="B138" s="12"/>
      <c r="C138" s="6" t="s">
        <v>2042</v>
      </c>
      <c r="D138" s="14" t="s">
        <v>1982</v>
      </c>
      <c r="E138" s="22"/>
      <c r="F138" s="340"/>
      <c r="G138" s="37" t="s">
        <v>14</v>
      </c>
      <c r="H138" s="8"/>
      <c r="I138" s="109" ph="1"/>
      <c r="J138" s="38">
        <v>1</v>
      </c>
      <c r="K138" s="39">
        <v>30</v>
      </c>
      <c r="L138" s="139">
        <v>44162</v>
      </c>
      <c r="M138" s="33"/>
      <c r="N138" s="33">
        <v>44162</v>
      </c>
      <c r="O138" s="32" t="s">
        <v>2043</v>
      </c>
      <c r="P138" s="6"/>
      <c r="Q138" s="322">
        <v>30</v>
      </c>
      <c r="S138" s="7">
        <v>850</v>
      </c>
      <c r="T138" s="7">
        <f>S138*J138</f>
        <v>850</v>
      </c>
      <c r="U138" s="21"/>
      <c r="V138" s="257"/>
    </row>
    <row r="139" spans="2:22" s="191" customFormat="1" ht="15">
      <c r="B139" s="190"/>
      <c r="C139" s="179" t="s">
        <v>2042</v>
      </c>
      <c r="D139" s="180" t="s">
        <v>1982</v>
      </c>
      <c r="E139" s="181"/>
      <c r="F139" s="182"/>
      <c r="G139" s="182" t="s">
        <v>250</v>
      </c>
      <c r="H139" s="184" t="s">
        <v>251</v>
      </c>
      <c r="I139" s="185"/>
      <c r="J139" s="183"/>
      <c r="K139" s="192">
        <v>0</v>
      </c>
      <c r="L139" s="188">
        <v>44162</v>
      </c>
      <c r="M139" s="187"/>
      <c r="N139" s="187">
        <v>44162</v>
      </c>
      <c r="O139" s="186" t="s">
        <v>2043</v>
      </c>
      <c r="P139" s="179"/>
      <c r="Q139" s="725">
        <v>0</v>
      </c>
      <c r="S139" s="197">
        <v>0</v>
      </c>
      <c r="T139" s="198">
        <v>0</v>
      </c>
      <c r="U139" s="335"/>
      <c r="V139" s="726"/>
    </row>
    <row r="140" spans="2:22" s="7" customFormat="1" ht="15">
      <c r="B140" s="12"/>
      <c r="C140" s="145"/>
      <c r="D140" s="149"/>
      <c r="E140" s="367" t="s">
        <v>376</v>
      </c>
      <c r="F140" s="121"/>
      <c r="G140" s="122"/>
      <c r="H140" s="146"/>
      <c r="I140" s="371"/>
      <c r="J140" s="146"/>
      <c r="K140" s="740" t="s">
        <v>5</v>
      </c>
      <c r="L140" s="149"/>
      <c r="M140" s="122"/>
      <c r="N140" s="741"/>
      <c r="O140" s="742" t="s">
        <v>2050</v>
      </c>
      <c r="P140" s="6" t="s">
        <v>3</v>
      </c>
      <c r="Q140" s="358"/>
      <c r="U140" s="120"/>
      <c r="V140" s="257"/>
    </row>
    <row r="141" spans="2:22" s="7" customFormat="1" ht="15.95" customHeight="1">
      <c r="B141" s="12"/>
      <c r="C141" s="145" t="s">
        <v>2051</v>
      </c>
      <c r="D141" s="149" t="s">
        <v>2052</v>
      </c>
      <c r="E141" s="150" t="s">
        <v>2053</v>
      </c>
      <c r="F141" s="129"/>
      <c r="G141" s="129" t="s">
        <v>100</v>
      </c>
      <c r="H141" s="148">
        <v>5</v>
      </c>
      <c r="I141" s="156">
        <v>1</v>
      </c>
      <c r="J141" s="151">
        <f>H141*I141</f>
        <v>5</v>
      </c>
      <c r="K141" s="132">
        <v>2.04</v>
      </c>
      <c r="L141" s="135"/>
      <c r="M141" s="370"/>
      <c r="N141" s="370"/>
      <c r="O141" s="742" t="s">
        <v>2050</v>
      </c>
      <c r="P141" s="6"/>
      <c r="Q141" s="322">
        <v>1.63</v>
      </c>
      <c r="S141" s="92">
        <v>80</v>
      </c>
      <c r="T141" s="7">
        <f>S141*J141</f>
        <v>400</v>
      </c>
      <c r="U141" s="211" t="s">
        <v>2054</v>
      </c>
      <c r="V141" s="257"/>
    </row>
    <row r="142" spans="2:22" s="7" customFormat="1" ht="16.899999999999999" customHeight="1">
      <c r="B142" s="12"/>
      <c r="C142" s="145" t="s">
        <v>2051</v>
      </c>
      <c r="D142" s="149" t="s">
        <v>2052</v>
      </c>
      <c r="E142" s="122"/>
      <c r="F142" s="743"/>
      <c r="G142" s="129" t="s">
        <v>14</v>
      </c>
      <c r="H142" s="151"/>
      <c r="I142" s="156" ph="1"/>
      <c r="J142" s="381">
        <v>1</v>
      </c>
      <c r="K142" s="132">
        <v>12</v>
      </c>
      <c r="L142" s="135"/>
      <c r="M142" s="370"/>
      <c r="N142" s="744"/>
      <c r="O142" s="742" t="s">
        <v>2050</v>
      </c>
      <c r="P142" s="6"/>
      <c r="Q142" s="322">
        <v>12</v>
      </c>
      <c r="S142" s="745">
        <v>490</v>
      </c>
      <c r="T142" s="7">
        <f>S142*J142</f>
        <v>490</v>
      </c>
      <c r="U142" s="21"/>
      <c r="V142" s="257"/>
    </row>
    <row r="143" spans="2:22" s="191" customFormat="1" ht="15">
      <c r="B143" s="190"/>
      <c r="C143" s="145" t="s">
        <v>2051</v>
      </c>
      <c r="D143" s="149" t="s">
        <v>2052</v>
      </c>
      <c r="E143" s="150"/>
      <c r="F143" s="129"/>
      <c r="G143" s="129" t="s">
        <v>250</v>
      </c>
      <c r="H143" s="381" t="s">
        <v>251</v>
      </c>
      <c r="I143" s="156"/>
      <c r="J143" s="148"/>
      <c r="K143" s="132">
        <v>0</v>
      </c>
      <c r="L143" s="135"/>
      <c r="M143" s="370"/>
      <c r="N143" s="370"/>
      <c r="O143" s="742" t="s">
        <v>2050</v>
      </c>
      <c r="P143" s="179"/>
      <c r="Q143" s="725">
        <v>0</v>
      </c>
      <c r="S143" s="197">
        <v>0</v>
      </c>
      <c r="T143" s="198">
        <v>0</v>
      </c>
      <c r="U143" s="335"/>
      <c r="V143" s="726"/>
    </row>
    <row r="144" spans="2:22" customFormat="1" ht="18" customHeight="1">
      <c r="B144" s="26"/>
      <c r="C144" s="6" t="s">
        <v>2055</v>
      </c>
      <c r="D144" s="14" t="s">
        <v>2022</v>
      </c>
      <c r="E144" s="19" t="s">
        <v>227</v>
      </c>
      <c r="F144" s="37"/>
      <c r="G144" s="37"/>
      <c r="H144" s="108"/>
      <c r="I144" s="108"/>
      <c r="J144" s="108"/>
      <c r="K144" s="29" t="s">
        <v>101</v>
      </c>
      <c r="L144" s="139">
        <v>44166</v>
      </c>
      <c r="M144" s="33"/>
      <c r="N144" s="33">
        <v>44166</v>
      </c>
      <c r="O144" s="32" t="s">
        <v>2056</v>
      </c>
      <c r="P144" s="6"/>
      <c r="Q144" s="339"/>
      <c r="R144" s="1"/>
      <c r="S144" s="7"/>
      <c r="T144" s="7"/>
      <c r="U144" s="21"/>
      <c r="V144" s="257"/>
    </row>
    <row r="145" spans="2:22" customFormat="1" ht="18" customHeight="1">
      <c r="B145" s="26"/>
      <c r="C145" s="6" t="s">
        <v>2055</v>
      </c>
      <c r="D145" s="14" t="s">
        <v>2022</v>
      </c>
      <c r="E145" s="22">
        <v>2250</v>
      </c>
      <c r="F145" s="37">
        <v>9</v>
      </c>
      <c r="G145" s="22" t="s">
        <v>2057</v>
      </c>
      <c r="H145" s="108">
        <v>30</v>
      </c>
      <c r="I145" s="109">
        <v>1</v>
      </c>
      <c r="J145" s="8">
        <f>H145*I145</f>
        <v>30</v>
      </c>
      <c r="K145" s="39">
        <v>0.26</v>
      </c>
      <c r="L145" s="139">
        <v>44166</v>
      </c>
      <c r="M145" s="33"/>
      <c r="N145" s="33">
        <v>44166</v>
      </c>
      <c r="O145" s="32" t="s">
        <v>2056</v>
      </c>
      <c r="P145" s="6"/>
      <c r="Q145" s="322">
        <v>0.21</v>
      </c>
      <c r="R145" s="1"/>
      <c r="S145" s="7">
        <v>14</v>
      </c>
      <c r="T145" s="7">
        <f>S145*J145</f>
        <v>420</v>
      </c>
      <c r="U145" s="39"/>
      <c r="V145" s="260"/>
    </row>
    <row r="146" spans="2:22" s="7" customFormat="1" ht="15">
      <c r="B146" s="12"/>
      <c r="C146" s="6" t="s">
        <v>2055</v>
      </c>
      <c r="D146" s="14" t="s">
        <v>2022</v>
      </c>
      <c r="E146" s="22"/>
      <c r="F146" s="102"/>
      <c r="G146" s="22" t="s">
        <v>14</v>
      </c>
      <c r="H146" s="8"/>
      <c r="I146" s="35"/>
      <c r="J146" s="38">
        <v>1</v>
      </c>
      <c r="K146" s="39">
        <v>12</v>
      </c>
      <c r="L146" s="139">
        <v>44166</v>
      </c>
      <c r="M146" s="33"/>
      <c r="N146" s="33">
        <v>44166</v>
      </c>
      <c r="O146" s="32" t="s">
        <v>2056</v>
      </c>
      <c r="P146" s="6" t="s">
        <v>3</v>
      </c>
      <c r="Q146" s="322">
        <v>12</v>
      </c>
      <c r="S146" s="7">
        <v>0</v>
      </c>
      <c r="T146" s="7">
        <v>0</v>
      </c>
      <c r="U146" s="21"/>
      <c r="V146" s="257"/>
    </row>
    <row r="147" spans="2:22" s="191" customFormat="1" ht="15">
      <c r="B147" s="190"/>
      <c r="C147" s="179" t="s">
        <v>2055</v>
      </c>
      <c r="D147" s="180" t="s">
        <v>2022</v>
      </c>
      <c r="E147" s="181"/>
      <c r="F147" s="182"/>
      <c r="G147" s="182" t="s">
        <v>250</v>
      </c>
      <c r="H147" s="184" t="s">
        <v>251</v>
      </c>
      <c r="I147" s="185"/>
      <c r="J147" s="183"/>
      <c r="K147" s="192">
        <v>0</v>
      </c>
      <c r="L147" s="188">
        <v>44166</v>
      </c>
      <c r="M147" s="187"/>
      <c r="N147" s="187">
        <v>44166</v>
      </c>
      <c r="O147" s="186" t="s">
        <v>2056</v>
      </c>
      <c r="P147" s="179"/>
      <c r="Q147" s="725">
        <v>0</v>
      </c>
      <c r="S147" s="197">
        <v>0</v>
      </c>
      <c r="T147" s="198">
        <v>0</v>
      </c>
      <c r="U147" s="335"/>
      <c r="V147" s="726"/>
    </row>
    <row r="148" spans="2:22" s="7" customFormat="1" ht="15">
      <c r="B148" s="12"/>
      <c r="C148" s="6" t="s">
        <v>2058</v>
      </c>
      <c r="D148" s="14" t="s">
        <v>2059</v>
      </c>
      <c r="E148" s="19" t="s">
        <v>231</v>
      </c>
      <c r="F148" s="37"/>
      <c r="G148" s="37"/>
      <c r="H148" s="108"/>
      <c r="I148" s="108"/>
      <c r="J148" s="108"/>
      <c r="K148" s="29" t="s">
        <v>232</v>
      </c>
      <c r="L148" s="139">
        <v>44174</v>
      </c>
      <c r="M148" s="33"/>
      <c r="N148" s="33">
        <v>44174</v>
      </c>
      <c r="O148" s="32" t="s">
        <v>2060</v>
      </c>
      <c r="P148" s="6"/>
      <c r="Q148" s="339"/>
      <c r="U148" s="21"/>
      <c r="V148" s="257"/>
    </row>
    <row r="149" spans="2:22" s="7" customFormat="1" ht="15">
      <c r="B149" s="12"/>
      <c r="C149" s="6" t="s">
        <v>2058</v>
      </c>
      <c r="D149" s="14" t="s">
        <v>2059</v>
      </c>
      <c r="E149" s="22" t="s">
        <v>257</v>
      </c>
      <c r="F149" s="112">
        <v>158</v>
      </c>
      <c r="G149" s="165" t="s">
        <v>2061</v>
      </c>
      <c r="H149" s="166">
        <v>120</v>
      </c>
      <c r="I149" s="166">
        <v>120</v>
      </c>
      <c r="J149" s="166">
        <v>120</v>
      </c>
      <c r="K149" s="39">
        <v>0.88</v>
      </c>
      <c r="L149" s="139">
        <v>44174</v>
      </c>
      <c r="M149" s="33"/>
      <c r="N149" s="33">
        <v>44174</v>
      </c>
      <c r="O149" s="32" t="s">
        <v>2060</v>
      </c>
      <c r="P149" s="6"/>
      <c r="Q149" s="322">
        <v>0.71</v>
      </c>
      <c r="S149" s="7">
        <v>37.299999999999997</v>
      </c>
      <c r="T149" s="7">
        <f t="shared" ref="T149:T154" si="3">S149*J149</f>
        <v>4476</v>
      </c>
      <c r="U149" s="137" t="s">
        <v>2062</v>
      </c>
      <c r="V149" s="257"/>
    </row>
    <row r="150" spans="2:22" s="7" customFormat="1" ht="15">
      <c r="B150" s="12"/>
      <c r="C150" s="6" t="s">
        <v>2058</v>
      </c>
      <c r="D150" s="14" t="s">
        <v>2059</v>
      </c>
      <c r="E150" s="22" t="s">
        <v>257</v>
      </c>
      <c r="F150" s="112">
        <v>158</v>
      </c>
      <c r="G150" s="165" t="s">
        <v>2063</v>
      </c>
      <c r="H150" s="166">
        <v>120</v>
      </c>
      <c r="I150" s="166">
        <v>120</v>
      </c>
      <c r="J150" s="166">
        <v>120</v>
      </c>
      <c r="K150" s="39">
        <v>0.88</v>
      </c>
      <c r="L150" s="139">
        <v>44174</v>
      </c>
      <c r="M150" s="33"/>
      <c r="N150" s="33">
        <v>44174</v>
      </c>
      <c r="O150" s="32" t="s">
        <v>2060</v>
      </c>
      <c r="P150" s="6"/>
      <c r="Q150" s="322">
        <v>0.71</v>
      </c>
      <c r="S150" s="7">
        <v>37.299999999999997</v>
      </c>
      <c r="T150" s="7">
        <f t="shared" si="3"/>
        <v>4476</v>
      </c>
      <c r="U150" s="137" t="s">
        <v>2062</v>
      </c>
      <c r="V150" s="257"/>
    </row>
    <row r="151" spans="2:22" s="7" customFormat="1" ht="18" customHeight="1">
      <c r="B151" s="12"/>
      <c r="C151" s="6" t="s">
        <v>2058</v>
      </c>
      <c r="D151" s="14" t="s">
        <v>2059</v>
      </c>
      <c r="E151" s="49"/>
      <c r="F151" s="37"/>
      <c r="G151" s="37" t="s">
        <v>14</v>
      </c>
      <c r="H151" s="8"/>
      <c r="I151" s="109" ph="1"/>
      <c r="J151" s="38">
        <v>1</v>
      </c>
      <c r="K151" s="39">
        <v>12</v>
      </c>
      <c r="L151" s="139">
        <v>44174</v>
      </c>
      <c r="M151" s="33"/>
      <c r="N151" s="33">
        <v>44174</v>
      </c>
      <c r="O151" s="32" t="s">
        <v>2060</v>
      </c>
      <c r="P151" s="6"/>
      <c r="Q151" s="322">
        <v>12</v>
      </c>
      <c r="S151" s="7">
        <v>1100</v>
      </c>
      <c r="T151" s="7">
        <f t="shared" si="3"/>
        <v>1100</v>
      </c>
      <c r="U151" s="21"/>
      <c r="V151" s="257"/>
    </row>
    <row r="152" spans="2:22" s="7" customFormat="1" ht="15">
      <c r="B152" s="12"/>
      <c r="C152" s="6" t="s">
        <v>2058</v>
      </c>
      <c r="D152" s="14" t="s">
        <v>2059</v>
      </c>
      <c r="E152" s="22" t="s">
        <v>257</v>
      </c>
      <c r="F152" s="112">
        <v>180</v>
      </c>
      <c r="G152" s="165" t="s">
        <v>2064</v>
      </c>
      <c r="H152" s="166">
        <v>250</v>
      </c>
      <c r="I152" s="166">
        <v>250</v>
      </c>
      <c r="J152" s="166">
        <v>250</v>
      </c>
      <c r="K152" s="39">
        <v>0.95</v>
      </c>
      <c r="L152" s="139">
        <v>44180</v>
      </c>
      <c r="M152" s="33"/>
      <c r="N152" s="33">
        <v>44180</v>
      </c>
      <c r="O152" s="32" t="s">
        <v>2065</v>
      </c>
      <c r="P152" s="6"/>
      <c r="Q152" s="322">
        <v>0.76</v>
      </c>
      <c r="S152" s="7">
        <v>50.8</v>
      </c>
      <c r="T152" s="7">
        <f t="shared" si="3"/>
        <v>12700</v>
      </c>
      <c r="U152" s="39"/>
      <c r="V152" s="257"/>
    </row>
    <row r="153" spans="2:22" s="7" customFormat="1" ht="15">
      <c r="B153" s="12"/>
      <c r="C153" s="6" t="s">
        <v>2058</v>
      </c>
      <c r="D153" s="14" t="s">
        <v>2059</v>
      </c>
      <c r="E153" s="22" t="s">
        <v>257</v>
      </c>
      <c r="F153" s="112">
        <v>158</v>
      </c>
      <c r="G153" s="165" t="s">
        <v>2061</v>
      </c>
      <c r="H153" s="166">
        <v>100</v>
      </c>
      <c r="I153" s="166">
        <v>100</v>
      </c>
      <c r="J153" s="166">
        <v>100</v>
      </c>
      <c r="K153" s="39">
        <v>0.88</v>
      </c>
      <c r="L153" s="139">
        <v>44180</v>
      </c>
      <c r="M153" s="33"/>
      <c r="N153" s="33">
        <v>44180</v>
      </c>
      <c r="O153" s="32" t="s">
        <v>2065</v>
      </c>
      <c r="P153" s="6"/>
      <c r="Q153" s="322">
        <v>0.71</v>
      </c>
      <c r="S153" s="7">
        <v>37.299999999999997</v>
      </c>
      <c r="T153" s="7">
        <f t="shared" si="3"/>
        <v>3729.9999999999995</v>
      </c>
      <c r="U153" s="137" t="s">
        <v>2062</v>
      </c>
      <c r="V153" s="257"/>
    </row>
    <row r="154" spans="2:22" s="7" customFormat="1" ht="18" customHeight="1">
      <c r="B154" s="12"/>
      <c r="C154" s="6" t="s">
        <v>2058</v>
      </c>
      <c r="D154" s="14" t="s">
        <v>2059</v>
      </c>
      <c r="E154" s="49"/>
      <c r="F154" s="37"/>
      <c r="G154" s="37" t="s">
        <v>14</v>
      </c>
      <c r="H154" s="8"/>
      <c r="I154" s="109" ph="1"/>
      <c r="J154" s="38">
        <v>1</v>
      </c>
      <c r="K154" s="39">
        <v>12</v>
      </c>
      <c r="L154" s="139">
        <v>44180</v>
      </c>
      <c r="M154" s="33"/>
      <c r="N154" s="33">
        <v>44180</v>
      </c>
      <c r="O154" s="32" t="s">
        <v>2065</v>
      </c>
      <c r="P154" s="6"/>
      <c r="Q154" s="322">
        <v>12</v>
      </c>
      <c r="S154" s="7">
        <v>1100</v>
      </c>
      <c r="T154" s="7">
        <f t="shared" si="3"/>
        <v>1100</v>
      </c>
      <c r="U154" s="21"/>
      <c r="V154" s="257"/>
    </row>
    <row r="155" spans="2:22" s="191" customFormat="1" ht="15">
      <c r="B155" s="190"/>
      <c r="C155" s="179" t="s">
        <v>2058</v>
      </c>
      <c r="D155" s="180" t="s">
        <v>2059</v>
      </c>
      <c r="E155" s="181"/>
      <c r="F155" s="622"/>
      <c r="G155" s="182" t="s">
        <v>250</v>
      </c>
      <c r="H155" s="184" t="s">
        <v>251</v>
      </c>
      <c r="I155" s="185"/>
      <c r="J155" s="183"/>
      <c r="K155" s="192">
        <v>0</v>
      </c>
      <c r="L155" s="188">
        <v>44180</v>
      </c>
      <c r="M155" s="187"/>
      <c r="N155" s="187">
        <v>44180</v>
      </c>
      <c r="O155" s="186" t="s">
        <v>2065</v>
      </c>
      <c r="P155" s="179"/>
      <c r="Q155" s="725">
        <v>0</v>
      </c>
      <c r="S155" s="197">
        <v>0</v>
      </c>
      <c r="T155" s="198">
        <v>0</v>
      </c>
      <c r="U155" s="335"/>
      <c r="V155" s="726"/>
    </row>
    <row r="156" spans="2:22" s="7" customFormat="1" ht="18" customHeight="1">
      <c r="B156" s="12"/>
      <c r="C156" s="6" t="s">
        <v>2066</v>
      </c>
      <c r="D156" s="14" t="s">
        <v>2067</v>
      </c>
      <c r="E156" s="19" t="s">
        <v>10</v>
      </c>
      <c r="F156" s="107"/>
      <c r="G156" s="22"/>
      <c r="H156" s="108"/>
      <c r="I156" s="109"/>
      <c r="J156" s="108"/>
      <c r="K156" s="29" t="s">
        <v>5</v>
      </c>
      <c r="L156" s="139">
        <v>44168</v>
      </c>
      <c r="M156" s="33"/>
      <c r="N156" s="33">
        <v>44168</v>
      </c>
      <c r="O156" s="32" t="s">
        <v>2068</v>
      </c>
      <c r="P156" s="14"/>
      <c r="Q156" s="322"/>
      <c r="U156" s="14"/>
      <c r="V156" s="257"/>
    </row>
    <row r="157" spans="2:22" s="7" customFormat="1" ht="18" customHeight="1">
      <c r="B157" s="12"/>
      <c r="C157" s="6" t="s">
        <v>2066</v>
      </c>
      <c r="D157" s="14" t="s">
        <v>2067</v>
      </c>
      <c r="E157" s="22" t="s">
        <v>6</v>
      </c>
      <c r="F157" s="107">
        <v>160</v>
      </c>
      <c r="G157" s="22" t="s">
        <v>2069</v>
      </c>
      <c r="H157" s="108">
        <v>52</v>
      </c>
      <c r="I157" s="109">
        <v>1</v>
      </c>
      <c r="J157" s="8">
        <f>H157*I157</f>
        <v>52</v>
      </c>
      <c r="K157" s="39">
        <v>4</v>
      </c>
      <c r="L157" s="139">
        <v>44168</v>
      </c>
      <c r="M157" s="33"/>
      <c r="N157" s="33">
        <v>44168</v>
      </c>
      <c r="O157" s="32" t="s">
        <v>2068</v>
      </c>
      <c r="P157" s="6"/>
      <c r="Q157" s="322">
        <v>3.95</v>
      </c>
      <c r="S157" s="7">
        <v>320</v>
      </c>
      <c r="T157" s="7">
        <f>S157*J157</f>
        <v>16640</v>
      </c>
      <c r="U157" s="21"/>
      <c r="V157" s="257"/>
    </row>
    <row r="158" spans="2:22" s="7" customFormat="1" ht="15">
      <c r="B158" s="12"/>
      <c r="C158" s="6" t="s">
        <v>2066</v>
      </c>
      <c r="D158" s="14" t="s">
        <v>2067</v>
      </c>
      <c r="E158" s="22"/>
      <c r="F158" s="102"/>
      <c r="G158" s="22" t="s">
        <v>14</v>
      </c>
      <c r="H158" s="8"/>
      <c r="I158" s="35"/>
      <c r="J158" s="38">
        <v>1</v>
      </c>
      <c r="K158" s="39">
        <v>20</v>
      </c>
      <c r="L158" s="139">
        <v>44168</v>
      </c>
      <c r="M158" s="33"/>
      <c r="N158" s="33">
        <v>44168</v>
      </c>
      <c r="O158" s="32" t="s">
        <v>2068</v>
      </c>
      <c r="P158" s="6" t="s">
        <v>3</v>
      </c>
      <c r="Q158" s="322">
        <v>20</v>
      </c>
      <c r="S158" s="7">
        <v>1800</v>
      </c>
      <c r="T158" s="7">
        <f>S158*J158</f>
        <v>1800</v>
      </c>
      <c r="U158" s="21"/>
      <c r="V158" s="257"/>
    </row>
    <row r="159" spans="2:22" s="191" customFormat="1" ht="15">
      <c r="B159" s="190"/>
      <c r="C159" s="179" t="s">
        <v>2066</v>
      </c>
      <c r="D159" s="180" t="s">
        <v>2067</v>
      </c>
      <c r="E159" s="181"/>
      <c r="F159" s="622"/>
      <c r="G159" s="182" t="s">
        <v>250</v>
      </c>
      <c r="H159" s="184" t="s">
        <v>251</v>
      </c>
      <c r="I159" s="185"/>
      <c r="J159" s="183"/>
      <c r="K159" s="192">
        <v>0</v>
      </c>
      <c r="L159" s="188">
        <v>44168</v>
      </c>
      <c r="M159" s="187"/>
      <c r="N159" s="187">
        <v>44168</v>
      </c>
      <c r="O159" s="186" t="s">
        <v>2068</v>
      </c>
      <c r="P159" s="179"/>
      <c r="Q159" s="725">
        <v>0</v>
      </c>
      <c r="S159" s="197">
        <v>0</v>
      </c>
      <c r="T159" s="198">
        <v>0</v>
      </c>
      <c r="U159" s="335"/>
      <c r="V159" s="726"/>
    </row>
    <row r="160" spans="2:22" s="7" customFormat="1" ht="15">
      <c r="B160" s="12"/>
      <c r="C160" s="6" t="s">
        <v>2070</v>
      </c>
      <c r="D160" s="14" t="s">
        <v>2071</v>
      </c>
      <c r="E160" s="19" t="s">
        <v>63</v>
      </c>
      <c r="F160" s="24"/>
      <c r="G160" s="22"/>
      <c r="H160" s="15"/>
      <c r="I160" s="61"/>
      <c r="J160" s="60"/>
      <c r="K160" s="16" t="s">
        <v>5</v>
      </c>
      <c r="L160" s="139">
        <v>44168</v>
      </c>
      <c r="M160" s="33"/>
      <c r="N160" s="33">
        <v>44168</v>
      </c>
      <c r="O160" s="32" t="s">
        <v>2072</v>
      </c>
      <c r="P160" s="6" t="s">
        <v>3</v>
      </c>
      <c r="Q160" s="358"/>
      <c r="U160" s="120"/>
      <c r="V160" s="257"/>
    </row>
    <row r="161" spans="2:22" s="7" customFormat="1" ht="18" customHeight="1">
      <c r="B161" s="12"/>
      <c r="C161" s="6" t="s">
        <v>2070</v>
      </c>
      <c r="D161" s="14" t="s">
        <v>2071</v>
      </c>
      <c r="E161" s="22" t="s">
        <v>196</v>
      </c>
      <c r="F161" s="37"/>
      <c r="G161" s="37" t="s">
        <v>100</v>
      </c>
      <c r="H161" s="8">
        <v>100</v>
      </c>
      <c r="I161" s="8">
        <v>100</v>
      </c>
      <c r="J161" s="8">
        <v>100</v>
      </c>
      <c r="K161" s="39">
        <v>1.56</v>
      </c>
      <c r="L161" s="139">
        <v>44168</v>
      </c>
      <c r="M161" s="33"/>
      <c r="N161" s="33">
        <v>44168</v>
      </c>
      <c r="O161" s="32" t="s">
        <v>2072</v>
      </c>
      <c r="P161" s="6"/>
      <c r="Q161" s="322">
        <v>1.25</v>
      </c>
      <c r="S161" s="7">
        <v>84</v>
      </c>
      <c r="T161" s="7">
        <f>S161*J161</f>
        <v>8400</v>
      </c>
      <c r="V161" s="257"/>
    </row>
    <row r="162" spans="2:22" s="143" customFormat="1" ht="18" customHeight="1">
      <c r="B162" s="276"/>
      <c r="C162" s="6" t="s">
        <v>2070</v>
      </c>
      <c r="D162" s="14" t="s">
        <v>2071</v>
      </c>
      <c r="E162" s="49"/>
      <c r="F162" s="116"/>
      <c r="G162" s="22" t="s">
        <v>14</v>
      </c>
      <c r="H162" s="8"/>
      <c r="I162" s="35"/>
      <c r="J162" s="38">
        <v>1</v>
      </c>
      <c r="K162" s="39">
        <v>12</v>
      </c>
      <c r="L162" s="139">
        <v>44168</v>
      </c>
      <c r="M162" s="33"/>
      <c r="N162" s="33">
        <v>44168</v>
      </c>
      <c r="O162" s="32" t="s">
        <v>2072</v>
      </c>
      <c r="P162" s="6" t="s">
        <v>3</v>
      </c>
      <c r="Q162" s="322">
        <v>12</v>
      </c>
      <c r="S162" s="7">
        <v>900</v>
      </c>
      <c r="T162" s="7">
        <f>S162*J162</f>
        <v>900</v>
      </c>
      <c r="U162" s="746"/>
      <c r="V162" s="258"/>
    </row>
    <row r="163" spans="2:22" s="191" customFormat="1" ht="15">
      <c r="B163" s="190"/>
      <c r="C163" s="179" t="s">
        <v>2070</v>
      </c>
      <c r="D163" s="180" t="s">
        <v>2071</v>
      </c>
      <c r="E163" s="181"/>
      <c r="F163" s="622"/>
      <c r="G163" s="182" t="s">
        <v>250</v>
      </c>
      <c r="H163" s="184" t="s">
        <v>252</v>
      </c>
      <c r="I163" s="185"/>
      <c r="J163" s="183"/>
      <c r="K163" s="203">
        <v>25</v>
      </c>
      <c r="L163" s="188">
        <v>44168</v>
      </c>
      <c r="M163" s="187"/>
      <c r="N163" s="187">
        <v>44168</v>
      </c>
      <c r="O163" s="186" t="s">
        <v>2072</v>
      </c>
      <c r="P163" s="179"/>
      <c r="Q163" s="747">
        <v>25</v>
      </c>
      <c r="S163" s="197">
        <v>1984</v>
      </c>
      <c r="T163" s="197">
        <v>1984</v>
      </c>
      <c r="U163" s="335"/>
      <c r="V163" s="726"/>
    </row>
    <row r="164" spans="2:22" s="1" customFormat="1" ht="15">
      <c r="B164" s="26"/>
      <c r="C164" s="6" t="s">
        <v>2073</v>
      </c>
      <c r="D164" s="14" t="s">
        <v>2052</v>
      </c>
      <c r="E164" s="14" t="s">
        <v>2074</v>
      </c>
      <c r="F164" s="136"/>
      <c r="G164" s="37"/>
      <c r="H164" s="38"/>
      <c r="I164" s="109"/>
      <c r="J164" s="108"/>
      <c r="K164" s="16" t="s">
        <v>5</v>
      </c>
      <c r="L164" s="139">
        <v>44203</v>
      </c>
      <c r="M164" s="33"/>
      <c r="N164" s="33">
        <v>44203</v>
      </c>
      <c r="O164" s="32">
        <v>2782</v>
      </c>
      <c r="P164" s="6"/>
      <c r="Q164" s="748"/>
      <c r="S164" s="92"/>
      <c r="T164" s="92"/>
      <c r="U164" s="23"/>
      <c r="V164" s="256"/>
    </row>
    <row r="165" spans="2:22" s="1" customFormat="1" ht="15">
      <c r="B165" s="26"/>
      <c r="C165" s="6" t="s">
        <v>2073</v>
      </c>
      <c r="D165" s="14" t="s">
        <v>2052</v>
      </c>
      <c r="E165" s="48" t="s">
        <v>2075</v>
      </c>
      <c r="F165" s="37"/>
      <c r="G165" s="37" t="s">
        <v>2076</v>
      </c>
      <c r="H165" s="108">
        <v>30</v>
      </c>
      <c r="I165" s="109">
        <v>1</v>
      </c>
      <c r="J165" s="8">
        <f>H165*I165</f>
        <v>30</v>
      </c>
      <c r="K165" s="39">
        <v>4.5999999999999996</v>
      </c>
      <c r="L165" s="139">
        <v>44203</v>
      </c>
      <c r="M165" s="33"/>
      <c r="N165" s="33">
        <v>44203</v>
      </c>
      <c r="O165" s="32">
        <v>2782</v>
      </c>
      <c r="P165" s="39">
        <f>K165*0.89</f>
        <v>4.0939999999999994</v>
      </c>
      <c r="Q165" s="322">
        <v>4.09</v>
      </c>
      <c r="S165" s="39">
        <v>3.86</v>
      </c>
      <c r="T165" s="402">
        <f>S165*J165</f>
        <v>115.8</v>
      </c>
      <c r="U165" s="23"/>
      <c r="V165" s="256"/>
    </row>
    <row r="166" spans="2:22" s="1" customFormat="1" ht="15">
      <c r="B166" s="26"/>
      <c r="C166" s="6" t="s">
        <v>2073</v>
      </c>
      <c r="D166" s="14" t="s">
        <v>2052</v>
      </c>
      <c r="E166" s="48" t="s">
        <v>2075</v>
      </c>
      <c r="F166" s="37"/>
      <c r="G166" s="37" t="s">
        <v>2077</v>
      </c>
      <c r="H166" s="108">
        <v>30</v>
      </c>
      <c r="I166" s="109">
        <v>1</v>
      </c>
      <c r="J166" s="8">
        <f>H166*I166</f>
        <v>30</v>
      </c>
      <c r="K166" s="39">
        <v>4.5999999999999996</v>
      </c>
      <c r="L166" s="139">
        <v>44203</v>
      </c>
      <c r="M166" s="33"/>
      <c r="N166" s="33">
        <v>44203</v>
      </c>
      <c r="O166" s="32">
        <v>2782</v>
      </c>
      <c r="P166" s="39">
        <f>K166*0.89</f>
        <v>4.0939999999999994</v>
      </c>
      <c r="Q166" s="322">
        <v>4.09</v>
      </c>
      <c r="S166" s="39">
        <v>3.86</v>
      </c>
      <c r="T166" s="402">
        <f>S166*J166</f>
        <v>115.8</v>
      </c>
      <c r="U166" s="23"/>
      <c r="V166" s="256"/>
    </row>
    <row r="167" spans="2:22" s="1" customFormat="1" ht="15">
      <c r="B167" s="26"/>
      <c r="C167" s="6" t="s">
        <v>2073</v>
      </c>
      <c r="D167" s="14" t="s">
        <v>2052</v>
      </c>
      <c r="E167" s="14" t="s">
        <v>376</v>
      </c>
      <c r="F167" s="136"/>
      <c r="G167" s="37"/>
      <c r="H167" s="38"/>
      <c r="I167" s="109"/>
      <c r="J167" s="108"/>
      <c r="K167" s="39"/>
      <c r="L167" s="139">
        <v>44203</v>
      </c>
      <c r="M167" s="33"/>
      <c r="N167" s="33">
        <v>44203</v>
      </c>
      <c r="O167" s="32">
        <v>2782</v>
      </c>
      <c r="P167" s="39"/>
      <c r="Q167" s="748"/>
      <c r="S167" s="39"/>
      <c r="T167" s="92"/>
      <c r="U167" s="23"/>
      <c r="V167" s="256"/>
    </row>
    <row r="168" spans="2:22" s="1" customFormat="1" ht="15">
      <c r="B168" s="26"/>
      <c r="C168" s="6" t="s">
        <v>2073</v>
      </c>
      <c r="D168" s="14" t="s">
        <v>2052</v>
      </c>
      <c r="E168" s="48" t="s">
        <v>2078</v>
      </c>
      <c r="F168" s="37"/>
      <c r="G168" s="37" t="s">
        <v>2076</v>
      </c>
      <c r="H168" s="108">
        <v>30</v>
      </c>
      <c r="I168" s="109">
        <v>1</v>
      </c>
      <c r="J168" s="8">
        <f>H168*I168</f>
        <v>30</v>
      </c>
      <c r="K168" s="39">
        <v>5.65</v>
      </c>
      <c r="L168" s="139">
        <v>44203</v>
      </c>
      <c r="M168" s="33"/>
      <c r="N168" s="33">
        <v>44203</v>
      </c>
      <c r="O168" s="32">
        <v>2782</v>
      </c>
      <c r="P168" s="39">
        <f>K168*0.89</f>
        <v>5.0285000000000002</v>
      </c>
      <c r="Q168" s="322">
        <v>5.03</v>
      </c>
      <c r="S168" s="39">
        <v>4.75</v>
      </c>
      <c r="T168" s="402">
        <f>S168*J168</f>
        <v>142.5</v>
      </c>
      <c r="U168" s="23"/>
      <c r="V168" s="256"/>
    </row>
    <row r="169" spans="2:22" s="1" customFormat="1" ht="15">
      <c r="B169" s="26"/>
      <c r="C169" s="6" t="s">
        <v>2073</v>
      </c>
      <c r="D169" s="14" t="s">
        <v>2052</v>
      </c>
      <c r="E169" s="48" t="s">
        <v>2078</v>
      </c>
      <c r="F169" s="37"/>
      <c r="G169" s="37" t="s">
        <v>2077</v>
      </c>
      <c r="H169" s="108">
        <v>30</v>
      </c>
      <c r="I169" s="109">
        <v>1</v>
      </c>
      <c r="J169" s="8">
        <f>H169*I169</f>
        <v>30</v>
      </c>
      <c r="K169" s="39">
        <v>5.65</v>
      </c>
      <c r="L169" s="139">
        <v>44203</v>
      </c>
      <c r="M169" s="33"/>
      <c r="N169" s="33">
        <v>44203</v>
      </c>
      <c r="O169" s="32">
        <v>2782</v>
      </c>
      <c r="P169" s="39">
        <f>K169*0.89</f>
        <v>5.0285000000000002</v>
      </c>
      <c r="Q169" s="322">
        <v>5.03</v>
      </c>
      <c r="S169" s="39">
        <v>4.75</v>
      </c>
      <c r="T169" s="402">
        <f>S169*J169</f>
        <v>142.5</v>
      </c>
      <c r="U169" s="23"/>
      <c r="V169" s="256"/>
    </row>
    <row r="170" spans="2:22" s="1" customFormat="1" ht="15">
      <c r="B170" s="26"/>
      <c r="C170" s="6" t="s">
        <v>2073</v>
      </c>
      <c r="D170" s="14" t="s">
        <v>2052</v>
      </c>
      <c r="E170" s="55" t="s">
        <v>2079</v>
      </c>
      <c r="F170" s="37"/>
      <c r="G170" s="37"/>
      <c r="H170" s="38"/>
      <c r="I170" s="109"/>
      <c r="J170" s="108"/>
      <c r="K170" s="39"/>
      <c r="L170" s="139">
        <v>44203</v>
      </c>
      <c r="M170" s="33"/>
      <c r="N170" s="33">
        <v>44203</v>
      </c>
      <c r="O170" s="32">
        <v>2782</v>
      </c>
      <c r="P170" s="39"/>
      <c r="Q170" s="748"/>
      <c r="S170" s="39"/>
      <c r="T170" s="92"/>
      <c r="U170" s="23"/>
      <c r="V170" s="256"/>
    </row>
    <row r="171" spans="2:22" s="1" customFormat="1" ht="15">
      <c r="B171" s="26"/>
      <c r="C171" s="6" t="s">
        <v>2073</v>
      </c>
      <c r="D171" s="14" t="s">
        <v>2052</v>
      </c>
      <c r="E171" s="48" t="s">
        <v>2080</v>
      </c>
      <c r="F171" s="37"/>
      <c r="G171" s="37" t="s">
        <v>2076</v>
      </c>
      <c r="H171" s="108">
        <v>30</v>
      </c>
      <c r="I171" s="109">
        <v>1</v>
      </c>
      <c r="J171" s="8">
        <f>H171*I171</f>
        <v>30</v>
      </c>
      <c r="K171" s="39">
        <v>6.03</v>
      </c>
      <c r="L171" s="139">
        <v>44203</v>
      </c>
      <c r="M171" s="33"/>
      <c r="N171" s="33">
        <v>44203</v>
      </c>
      <c r="O171" s="32">
        <v>2782</v>
      </c>
      <c r="P171" s="39">
        <f>K171*0.89</f>
        <v>5.3667000000000007</v>
      </c>
      <c r="Q171" s="748">
        <v>5.37</v>
      </c>
      <c r="S171" s="39">
        <v>5.07</v>
      </c>
      <c r="T171" s="402">
        <f>S171*J171</f>
        <v>152.10000000000002</v>
      </c>
      <c r="U171" s="23"/>
      <c r="V171" s="256"/>
    </row>
    <row r="172" spans="2:22" s="1" customFormat="1" ht="15">
      <c r="B172" s="26"/>
      <c r="C172" s="6" t="s">
        <v>2073</v>
      </c>
      <c r="D172" s="14" t="s">
        <v>2052</v>
      </c>
      <c r="E172" s="48" t="s">
        <v>2080</v>
      </c>
      <c r="F172" s="37"/>
      <c r="G172" s="37" t="s">
        <v>2077</v>
      </c>
      <c r="H172" s="108">
        <v>30</v>
      </c>
      <c r="I172" s="109">
        <v>1</v>
      </c>
      <c r="J172" s="8">
        <f>H172*I172</f>
        <v>30</v>
      </c>
      <c r="K172" s="39">
        <v>6.03</v>
      </c>
      <c r="L172" s="139">
        <v>44203</v>
      </c>
      <c r="M172" s="33"/>
      <c r="N172" s="33">
        <v>44203</v>
      </c>
      <c r="O172" s="32">
        <v>2782</v>
      </c>
      <c r="P172" s="39">
        <f>K172*0.89</f>
        <v>5.3667000000000007</v>
      </c>
      <c r="Q172" s="748">
        <v>5.37</v>
      </c>
      <c r="S172" s="39">
        <v>5.07</v>
      </c>
      <c r="T172" s="402">
        <f>S172*J172</f>
        <v>152.10000000000002</v>
      </c>
      <c r="U172" s="23"/>
      <c r="V172" s="256"/>
    </row>
    <row r="173" spans="2:22" s="1" customFormat="1" ht="15">
      <c r="B173" s="26"/>
      <c r="C173" s="6" t="s">
        <v>2073</v>
      </c>
      <c r="D173" s="14" t="s">
        <v>2052</v>
      </c>
      <c r="E173" s="14" t="s">
        <v>376</v>
      </c>
      <c r="F173" s="37"/>
      <c r="G173" s="37"/>
      <c r="H173" s="38"/>
      <c r="I173" s="109"/>
      <c r="J173" s="108"/>
      <c r="K173" s="137"/>
      <c r="L173" s="139">
        <v>44203</v>
      </c>
      <c r="M173" s="33"/>
      <c r="N173" s="33">
        <v>44203</v>
      </c>
      <c r="O173" s="32">
        <v>2782</v>
      </c>
      <c r="P173" s="39"/>
      <c r="Q173" s="748"/>
      <c r="S173" s="39"/>
      <c r="T173" s="92"/>
      <c r="U173" s="23"/>
      <c r="V173" s="256"/>
    </row>
    <row r="174" spans="2:22" s="1" customFormat="1" ht="15">
      <c r="B174" s="26"/>
      <c r="C174" s="6" t="s">
        <v>2073</v>
      </c>
      <c r="D174" s="14" t="s">
        <v>2052</v>
      </c>
      <c r="E174" s="48" t="s">
        <v>2081</v>
      </c>
      <c r="F174" s="37"/>
      <c r="G174" s="37" t="s">
        <v>2076</v>
      </c>
      <c r="H174" s="108">
        <v>30</v>
      </c>
      <c r="I174" s="109">
        <v>1</v>
      </c>
      <c r="J174" s="8">
        <f>H174*I174</f>
        <v>30</v>
      </c>
      <c r="K174" s="39">
        <v>4.59</v>
      </c>
      <c r="L174" s="139">
        <v>44203</v>
      </c>
      <c r="M174" s="33"/>
      <c r="N174" s="33">
        <v>44203</v>
      </c>
      <c r="O174" s="32">
        <v>2782</v>
      </c>
      <c r="P174" s="39">
        <f>K174*0.89</f>
        <v>4.0850999999999997</v>
      </c>
      <c r="Q174" s="748">
        <v>4.09</v>
      </c>
      <c r="S174" s="39">
        <v>3.86</v>
      </c>
      <c r="T174" s="402">
        <f>S174*J174</f>
        <v>115.8</v>
      </c>
      <c r="U174" s="23"/>
      <c r="V174" s="256"/>
    </row>
    <row r="175" spans="2:22" s="1" customFormat="1" ht="15">
      <c r="B175" s="26"/>
      <c r="C175" s="6" t="s">
        <v>2073</v>
      </c>
      <c r="D175" s="14" t="s">
        <v>2052</v>
      </c>
      <c r="E175" s="48" t="s">
        <v>2081</v>
      </c>
      <c r="F175" s="37"/>
      <c r="G175" s="37" t="s">
        <v>2077</v>
      </c>
      <c r="H175" s="108">
        <v>30</v>
      </c>
      <c r="I175" s="109">
        <v>1</v>
      </c>
      <c r="J175" s="8">
        <f>H175*I175</f>
        <v>30</v>
      </c>
      <c r="K175" s="39">
        <v>4.59</v>
      </c>
      <c r="L175" s="139">
        <v>44203</v>
      </c>
      <c r="M175" s="33"/>
      <c r="N175" s="33">
        <v>44203</v>
      </c>
      <c r="O175" s="32">
        <v>2782</v>
      </c>
      <c r="P175" s="39">
        <f>K175*0.89</f>
        <v>4.0850999999999997</v>
      </c>
      <c r="Q175" s="748">
        <v>4.09</v>
      </c>
      <c r="S175" s="39">
        <v>3.86</v>
      </c>
      <c r="T175" s="402">
        <f>S175*J175</f>
        <v>115.8</v>
      </c>
      <c r="U175" s="23"/>
      <c r="V175" s="256"/>
    </row>
    <row r="176" spans="2:22" s="1" customFormat="1" ht="15">
      <c r="B176" s="26"/>
      <c r="C176" s="6" t="s">
        <v>2073</v>
      </c>
      <c r="D176" s="14" t="s">
        <v>2052</v>
      </c>
      <c r="E176" s="49"/>
      <c r="F176" s="136"/>
      <c r="G176" s="37" t="s">
        <v>2082</v>
      </c>
      <c r="H176" s="39"/>
      <c r="I176" s="109"/>
      <c r="J176" s="38"/>
      <c r="K176" s="39">
        <v>80</v>
      </c>
      <c r="L176" s="139">
        <v>44203</v>
      </c>
      <c r="M176" s="33"/>
      <c r="N176" s="33">
        <v>44203</v>
      </c>
      <c r="O176" s="32">
        <v>2782</v>
      </c>
      <c r="P176" s="39">
        <f>K176*0.89</f>
        <v>71.2</v>
      </c>
      <c r="Q176" s="748">
        <v>71.2</v>
      </c>
      <c r="S176" s="39">
        <v>67.2</v>
      </c>
      <c r="T176" s="402">
        <v>67.2</v>
      </c>
      <c r="U176" s="23"/>
      <c r="V176" s="256"/>
    </row>
    <row r="177" spans="2:22" s="7" customFormat="1" ht="15">
      <c r="B177" s="12"/>
      <c r="C177" s="6" t="s">
        <v>2073</v>
      </c>
      <c r="D177" s="14" t="s">
        <v>2052</v>
      </c>
      <c r="E177" s="19" t="s">
        <v>376</v>
      </c>
      <c r="F177" s="24"/>
      <c r="G177" s="22"/>
      <c r="H177" s="60"/>
      <c r="I177" s="61"/>
      <c r="J177" s="60"/>
      <c r="K177" s="16" t="s">
        <v>5</v>
      </c>
      <c r="L177" s="139">
        <v>44203</v>
      </c>
      <c r="M177" s="33"/>
      <c r="N177" s="33">
        <v>44203</v>
      </c>
      <c r="O177" s="32" t="s">
        <v>2083</v>
      </c>
      <c r="P177" s="6" t="s">
        <v>3</v>
      </c>
      <c r="Q177" s="358"/>
      <c r="S177" s="39"/>
      <c r="U177" s="120"/>
      <c r="V177" s="257"/>
    </row>
    <row r="178" spans="2:22" s="7" customFormat="1" ht="15.95" customHeight="1">
      <c r="B178" s="12"/>
      <c r="C178" s="6" t="s">
        <v>2073</v>
      </c>
      <c r="D178" s="14" t="s">
        <v>2052</v>
      </c>
      <c r="E178" s="22" t="s">
        <v>2053</v>
      </c>
      <c r="F178" s="37"/>
      <c r="G178" s="37" t="s">
        <v>2076</v>
      </c>
      <c r="H178" s="108">
        <v>42</v>
      </c>
      <c r="I178" s="109">
        <v>1</v>
      </c>
      <c r="J178" s="8">
        <f>H178*I178</f>
        <v>42</v>
      </c>
      <c r="K178" s="39">
        <v>2.04</v>
      </c>
      <c r="L178" s="139">
        <v>44203</v>
      </c>
      <c r="M178" s="33"/>
      <c r="N178" s="33">
        <v>44203</v>
      </c>
      <c r="O178" s="32" t="s">
        <v>2083</v>
      </c>
      <c r="P178" s="6"/>
      <c r="Q178" s="322">
        <v>1.63</v>
      </c>
      <c r="S178" s="92">
        <v>80</v>
      </c>
      <c r="T178" s="7">
        <f>S178*J178</f>
        <v>3360</v>
      </c>
      <c r="U178" s="211" t="s">
        <v>2054</v>
      </c>
      <c r="V178" s="257"/>
    </row>
    <row r="179" spans="2:22" s="7" customFormat="1" ht="15.95" customHeight="1">
      <c r="B179" s="12"/>
      <c r="C179" s="6" t="s">
        <v>2073</v>
      </c>
      <c r="D179" s="14" t="s">
        <v>2052</v>
      </c>
      <c r="E179" s="22" t="s">
        <v>2053</v>
      </c>
      <c r="F179" s="37"/>
      <c r="G179" s="37" t="s">
        <v>2077</v>
      </c>
      <c r="H179" s="108">
        <v>42</v>
      </c>
      <c r="I179" s="109">
        <v>1</v>
      </c>
      <c r="J179" s="8">
        <f>H179*I179</f>
        <v>42</v>
      </c>
      <c r="K179" s="39">
        <v>2.04</v>
      </c>
      <c r="L179" s="139">
        <v>44203</v>
      </c>
      <c r="M179" s="33"/>
      <c r="N179" s="33">
        <v>44203</v>
      </c>
      <c r="O179" s="32" t="s">
        <v>2083</v>
      </c>
      <c r="P179" s="6"/>
      <c r="Q179" s="322">
        <v>1.63</v>
      </c>
      <c r="S179" s="92">
        <v>80</v>
      </c>
      <c r="T179" s="7">
        <f>S179*J179</f>
        <v>3360</v>
      </c>
      <c r="U179" s="211" t="s">
        <v>2054</v>
      </c>
      <c r="V179" s="257"/>
    </row>
    <row r="180" spans="2:22" s="7" customFormat="1" ht="16.899999999999999" customHeight="1">
      <c r="B180" s="12"/>
      <c r="C180" s="6" t="s">
        <v>2073</v>
      </c>
      <c r="D180" s="14" t="s">
        <v>2052</v>
      </c>
      <c r="E180" s="22"/>
      <c r="F180" s="340"/>
      <c r="G180" s="37" t="s">
        <v>204</v>
      </c>
      <c r="H180" s="749" t="s">
        <v>2084</v>
      </c>
      <c r="I180" s="109" ph="1"/>
      <c r="J180" s="195">
        <v>2</v>
      </c>
      <c r="K180" s="39">
        <v>250</v>
      </c>
      <c r="L180" s="139">
        <v>44203</v>
      </c>
      <c r="M180" s="33"/>
      <c r="N180" s="33">
        <v>44203</v>
      </c>
      <c r="O180" s="32" t="s">
        <v>2083</v>
      </c>
      <c r="P180" s="6"/>
      <c r="Q180" s="322">
        <v>111.11</v>
      </c>
      <c r="S180" s="92">
        <v>9000</v>
      </c>
      <c r="T180" s="7">
        <f>S180*J180</f>
        <v>18000</v>
      </c>
      <c r="U180" s="21"/>
      <c r="V180" s="257"/>
    </row>
    <row r="181" spans="2:22" s="7" customFormat="1" ht="16.899999999999999" customHeight="1">
      <c r="B181" s="12"/>
      <c r="C181" s="6" t="s">
        <v>2073</v>
      </c>
      <c r="D181" s="14" t="s">
        <v>2052</v>
      </c>
      <c r="E181" s="22"/>
      <c r="F181" s="340"/>
      <c r="G181" s="37" t="s">
        <v>14</v>
      </c>
      <c r="H181" s="8"/>
      <c r="I181" s="109" ph="1"/>
      <c r="J181" s="38">
        <v>1</v>
      </c>
      <c r="K181" s="39">
        <v>12</v>
      </c>
      <c r="L181" s="139">
        <v>44203</v>
      </c>
      <c r="M181" s="33"/>
      <c r="N181" s="33">
        <v>44203</v>
      </c>
      <c r="O181" s="32" t="s">
        <v>2083</v>
      </c>
      <c r="P181" s="6"/>
      <c r="Q181" s="322">
        <v>12</v>
      </c>
      <c r="S181" s="7">
        <v>0</v>
      </c>
      <c r="T181" s="7">
        <f>S181*J181</f>
        <v>0</v>
      </c>
      <c r="U181" s="21"/>
      <c r="V181" s="257"/>
    </row>
    <row r="182" spans="2:22" s="191" customFormat="1" ht="15">
      <c r="B182" s="190"/>
      <c r="C182" s="179" t="s">
        <v>2073</v>
      </c>
      <c r="D182" s="180" t="s">
        <v>2052</v>
      </c>
      <c r="E182" s="181"/>
      <c r="F182" s="182"/>
      <c r="G182" s="182" t="s">
        <v>250</v>
      </c>
      <c r="H182" s="184" t="s">
        <v>251</v>
      </c>
      <c r="I182" s="185"/>
      <c r="J182" s="183"/>
      <c r="K182" s="192">
        <v>0</v>
      </c>
      <c r="L182" s="188">
        <v>44203</v>
      </c>
      <c r="M182" s="187"/>
      <c r="N182" s="187">
        <v>44203</v>
      </c>
      <c r="O182" s="186" t="s">
        <v>2083</v>
      </c>
      <c r="P182" s="179"/>
      <c r="Q182" s="725">
        <v>0</v>
      </c>
      <c r="S182" s="197">
        <v>0</v>
      </c>
      <c r="T182" s="198">
        <v>0</v>
      </c>
      <c r="U182" s="335"/>
      <c r="V182" s="726"/>
    </row>
    <row r="183" spans="2:22" s="7" customFormat="1" ht="15">
      <c r="B183" s="12"/>
      <c r="C183" s="6" t="s">
        <v>2085</v>
      </c>
      <c r="D183" s="14" t="s">
        <v>2086</v>
      </c>
      <c r="E183" s="19" t="s">
        <v>2087</v>
      </c>
      <c r="F183" s="37"/>
      <c r="G183" s="37"/>
      <c r="H183" s="108"/>
      <c r="I183" s="108"/>
      <c r="J183" s="108"/>
      <c r="K183" s="16" t="s">
        <v>5</v>
      </c>
      <c r="L183" s="139">
        <v>44172</v>
      </c>
      <c r="M183" s="33"/>
      <c r="N183" s="33">
        <v>44172</v>
      </c>
      <c r="O183" s="32" t="s">
        <v>2088</v>
      </c>
      <c r="P183" s="6"/>
      <c r="Q183" s="339"/>
      <c r="U183" s="21"/>
      <c r="V183" s="257"/>
    </row>
    <row r="184" spans="2:22" s="7" customFormat="1" ht="15">
      <c r="B184" s="12"/>
      <c r="C184" s="6" t="s">
        <v>2085</v>
      </c>
      <c r="D184" s="14" t="s">
        <v>2086</v>
      </c>
      <c r="E184" s="22">
        <v>3806</v>
      </c>
      <c r="F184" s="37">
        <v>38</v>
      </c>
      <c r="G184" s="22" t="s">
        <v>2089</v>
      </c>
      <c r="H184" s="108">
        <v>30</v>
      </c>
      <c r="I184" s="109">
        <v>7</v>
      </c>
      <c r="J184" s="108">
        <f t="shared" ref="J184:J189" si="4">H184*I184</f>
        <v>210</v>
      </c>
      <c r="K184" s="39">
        <v>0.72</v>
      </c>
      <c r="L184" s="139">
        <v>44172</v>
      </c>
      <c r="M184" s="33"/>
      <c r="N184" s="33">
        <v>44172</v>
      </c>
      <c r="O184" s="32" t="s">
        <v>2088</v>
      </c>
      <c r="P184" s="39">
        <f t="shared" ref="P184:P189" si="5">ROUNDUP(S184/0.75/90,2)</f>
        <v>0.55000000000000004</v>
      </c>
      <c r="Q184" s="322">
        <v>0.57999999999999996</v>
      </c>
      <c r="S184" s="7">
        <v>36.6</v>
      </c>
      <c r="T184" s="7">
        <f t="shared" ref="T184:T189" si="6">S184*J184</f>
        <v>7686</v>
      </c>
      <c r="U184" s="750" t="s">
        <v>2090</v>
      </c>
      <c r="V184" s="257"/>
    </row>
    <row r="185" spans="2:22" s="7" customFormat="1" ht="15">
      <c r="B185" s="12"/>
      <c r="C185" s="6" t="s">
        <v>2085</v>
      </c>
      <c r="D185" s="14" t="s">
        <v>2086</v>
      </c>
      <c r="E185" s="22">
        <v>3806</v>
      </c>
      <c r="F185" s="37">
        <v>6</v>
      </c>
      <c r="G185" s="22" t="s">
        <v>2091</v>
      </c>
      <c r="H185" s="108">
        <v>30</v>
      </c>
      <c r="I185" s="109">
        <v>2</v>
      </c>
      <c r="J185" s="108">
        <f t="shared" si="4"/>
        <v>60</v>
      </c>
      <c r="K185" s="39">
        <v>0.17</v>
      </c>
      <c r="L185" s="139">
        <v>44172</v>
      </c>
      <c r="M185" s="33"/>
      <c r="N185" s="33">
        <v>44172</v>
      </c>
      <c r="O185" s="32" t="s">
        <v>2088</v>
      </c>
      <c r="P185" s="39">
        <f t="shared" si="5"/>
        <v>0.13</v>
      </c>
      <c r="Q185" s="322">
        <v>0.14000000000000001</v>
      </c>
      <c r="S185" s="7">
        <v>8.4329999999999998</v>
      </c>
      <c r="T185" s="7">
        <f t="shared" si="6"/>
        <v>505.98</v>
      </c>
      <c r="U185" s="750" t="s">
        <v>2092</v>
      </c>
      <c r="V185" s="257"/>
    </row>
    <row r="186" spans="2:22" s="7" customFormat="1" ht="15">
      <c r="B186" s="12"/>
      <c r="C186" s="6" t="s">
        <v>2085</v>
      </c>
      <c r="D186" s="14" t="s">
        <v>2086</v>
      </c>
      <c r="E186" s="22">
        <v>3806</v>
      </c>
      <c r="F186" s="37">
        <v>9</v>
      </c>
      <c r="G186" s="22" t="s">
        <v>243</v>
      </c>
      <c r="H186" s="108">
        <v>30</v>
      </c>
      <c r="I186" s="109">
        <v>3</v>
      </c>
      <c r="J186" s="108">
        <f t="shared" si="4"/>
        <v>90</v>
      </c>
      <c r="K186" s="39">
        <v>0.21</v>
      </c>
      <c r="L186" s="139">
        <v>44172</v>
      </c>
      <c r="M186" s="33"/>
      <c r="N186" s="33">
        <v>44172</v>
      </c>
      <c r="O186" s="32" t="s">
        <v>2088</v>
      </c>
      <c r="P186" s="39">
        <f t="shared" si="5"/>
        <v>0.16</v>
      </c>
      <c r="Q186" s="322">
        <v>0.17</v>
      </c>
      <c r="S186" s="7">
        <v>10.532999999999999</v>
      </c>
      <c r="T186" s="7">
        <f t="shared" si="6"/>
        <v>947.96999999999991</v>
      </c>
      <c r="U186" s="750" t="s">
        <v>2093</v>
      </c>
      <c r="V186" s="257"/>
    </row>
    <row r="187" spans="2:22" s="7" customFormat="1" ht="15">
      <c r="B187" s="12"/>
      <c r="C187" s="6" t="s">
        <v>2085</v>
      </c>
      <c r="D187" s="14" t="s">
        <v>2086</v>
      </c>
      <c r="E187" s="22">
        <v>3806</v>
      </c>
      <c r="F187" s="37">
        <v>9</v>
      </c>
      <c r="G187" s="22" t="s">
        <v>2094</v>
      </c>
      <c r="H187" s="108">
        <v>30</v>
      </c>
      <c r="I187" s="109">
        <v>2</v>
      </c>
      <c r="J187" s="108">
        <f t="shared" si="4"/>
        <v>60</v>
      </c>
      <c r="K187" s="39">
        <v>0.21</v>
      </c>
      <c r="L187" s="139">
        <v>44172</v>
      </c>
      <c r="M187" s="33"/>
      <c r="N187" s="33">
        <v>44172</v>
      </c>
      <c r="O187" s="32" t="s">
        <v>2088</v>
      </c>
      <c r="P187" s="39">
        <f t="shared" si="5"/>
        <v>0.16</v>
      </c>
      <c r="Q187" s="322">
        <v>0.17</v>
      </c>
      <c r="S187" s="7">
        <v>10.532999999999999</v>
      </c>
      <c r="T187" s="7">
        <f t="shared" si="6"/>
        <v>631.98</v>
      </c>
      <c r="U187" s="750" t="s">
        <v>2093</v>
      </c>
      <c r="V187" s="257"/>
    </row>
    <row r="188" spans="2:22" s="7" customFormat="1" ht="15">
      <c r="B188" s="12"/>
      <c r="C188" s="6" t="s">
        <v>2085</v>
      </c>
      <c r="D188" s="14" t="s">
        <v>2086</v>
      </c>
      <c r="E188" s="22">
        <v>3806</v>
      </c>
      <c r="F188" s="37">
        <v>9</v>
      </c>
      <c r="G188" s="22" t="s">
        <v>2095</v>
      </c>
      <c r="H188" s="108">
        <v>30</v>
      </c>
      <c r="I188" s="109">
        <v>4</v>
      </c>
      <c r="J188" s="108">
        <f t="shared" si="4"/>
        <v>120</v>
      </c>
      <c r="K188" s="39">
        <v>0.21</v>
      </c>
      <c r="L188" s="139">
        <v>44172</v>
      </c>
      <c r="M188" s="33"/>
      <c r="N188" s="33">
        <v>44172</v>
      </c>
      <c r="O188" s="32" t="s">
        <v>2088</v>
      </c>
      <c r="P188" s="39">
        <f t="shared" si="5"/>
        <v>0.16</v>
      </c>
      <c r="Q188" s="322">
        <v>0.17</v>
      </c>
      <c r="S188" s="7">
        <v>10.532999999999999</v>
      </c>
      <c r="T188" s="7">
        <f t="shared" si="6"/>
        <v>1263.96</v>
      </c>
      <c r="U188" s="750" t="s">
        <v>2093</v>
      </c>
      <c r="V188" s="257"/>
    </row>
    <row r="189" spans="2:22" s="7" customFormat="1" ht="15">
      <c r="B189" s="12"/>
      <c r="C189" s="6" t="s">
        <v>2085</v>
      </c>
      <c r="D189" s="14" t="s">
        <v>2086</v>
      </c>
      <c r="E189" s="22">
        <v>3806</v>
      </c>
      <c r="F189" s="37">
        <v>12</v>
      </c>
      <c r="G189" s="22" t="s">
        <v>2095</v>
      </c>
      <c r="H189" s="108">
        <v>30</v>
      </c>
      <c r="I189" s="109">
        <v>2</v>
      </c>
      <c r="J189" s="108">
        <f t="shared" si="4"/>
        <v>60</v>
      </c>
      <c r="K189" s="39">
        <v>0.24</v>
      </c>
      <c r="L189" s="139">
        <v>44172</v>
      </c>
      <c r="M189" s="33"/>
      <c r="N189" s="33">
        <v>44172</v>
      </c>
      <c r="O189" s="32" t="s">
        <v>2088</v>
      </c>
      <c r="P189" s="39">
        <f t="shared" si="5"/>
        <v>0.19</v>
      </c>
      <c r="Q189" s="322">
        <v>0.2</v>
      </c>
      <c r="S189" s="7">
        <v>12.266</v>
      </c>
      <c r="T189" s="7">
        <f t="shared" si="6"/>
        <v>735.96</v>
      </c>
      <c r="U189" s="750" t="s">
        <v>2096</v>
      </c>
      <c r="V189" s="257"/>
    </row>
    <row r="190" spans="2:22" s="7" customFormat="1" ht="15">
      <c r="B190" s="12"/>
      <c r="C190" s="6" t="s">
        <v>2085</v>
      </c>
      <c r="D190" s="14" t="s">
        <v>2086</v>
      </c>
      <c r="E190" s="49"/>
      <c r="F190" s="102"/>
      <c r="G190" s="22" t="s">
        <v>14</v>
      </c>
      <c r="H190" s="8" t="s">
        <v>64</v>
      </c>
      <c r="I190" s="35"/>
      <c r="J190" s="8"/>
      <c r="K190" s="39">
        <v>12</v>
      </c>
      <c r="L190" s="139">
        <v>44172</v>
      </c>
      <c r="M190" s="33"/>
      <c r="N190" s="33">
        <v>44172</v>
      </c>
      <c r="O190" s="32" t="s">
        <v>2088</v>
      </c>
      <c r="P190" s="6" t="s">
        <v>3</v>
      </c>
      <c r="Q190" s="322">
        <v>12</v>
      </c>
      <c r="S190" s="7">
        <v>0</v>
      </c>
      <c r="T190" s="7">
        <v>0</v>
      </c>
      <c r="U190" s="21"/>
      <c r="V190" s="257"/>
    </row>
    <row r="191" spans="2:22" s="191" customFormat="1" ht="15">
      <c r="B191" s="190"/>
      <c r="C191" s="179" t="s">
        <v>2085</v>
      </c>
      <c r="D191" s="180" t="s">
        <v>2086</v>
      </c>
      <c r="E191" s="181"/>
      <c r="F191" s="622"/>
      <c r="G191" s="182" t="s">
        <v>250</v>
      </c>
      <c r="H191" s="184" t="s">
        <v>252</v>
      </c>
      <c r="I191" s="185"/>
      <c r="J191" s="183"/>
      <c r="K191" s="203">
        <v>100</v>
      </c>
      <c r="L191" s="188">
        <v>44172</v>
      </c>
      <c r="M191" s="187"/>
      <c r="N191" s="187">
        <v>44172</v>
      </c>
      <c r="O191" s="186" t="s">
        <v>2088</v>
      </c>
      <c r="P191" s="179"/>
      <c r="Q191" s="747">
        <v>100</v>
      </c>
      <c r="S191" s="197">
        <v>9235</v>
      </c>
      <c r="T191" s="197">
        <v>9235</v>
      </c>
      <c r="U191" s="335"/>
      <c r="V191" s="726"/>
    </row>
    <row r="192" spans="2:22" s="7" customFormat="1" ht="18" customHeight="1">
      <c r="B192" s="12"/>
      <c r="C192" s="6" t="s">
        <v>2097</v>
      </c>
      <c r="D192" s="14" t="s">
        <v>2098</v>
      </c>
      <c r="E192" s="19" t="s">
        <v>2099</v>
      </c>
      <c r="F192" s="37"/>
      <c r="G192" s="37"/>
      <c r="H192" s="108"/>
      <c r="I192" s="108"/>
      <c r="J192" s="108"/>
      <c r="K192" s="29" t="s">
        <v>5</v>
      </c>
      <c r="L192" s="139">
        <v>44181</v>
      </c>
      <c r="M192" s="33"/>
      <c r="N192" s="33">
        <v>44181</v>
      </c>
      <c r="O192" s="32" t="s">
        <v>2100</v>
      </c>
      <c r="P192" s="6"/>
      <c r="Q192" s="339"/>
      <c r="U192" s="21"/>
      <c r="V192" s="257"/>
    </row>
    <row r="193" spans="2:22" s="7" customFormat="1" ht="17.25" customHeight="1">
      <c r="B193" s="12"/>
      <c r="C193" s="6" t="s">
        <v>2097</v>
      </c>
      <c r="D193" s="14" t="s">
        <v>2098</v>
      </c>
      <c r="E193" s="22">
        <v>5636</v>
      </c>
      <c r="F193" s="37" t="s">
        <v>359</v>
      </c>
      <c r="G193" s="37" t="s">
        <v>2101</v>
      </c>
      <c r="H193" s="108">
        <v>200</v>
      </c>
      <c r="I193" s="109">
        <v>1</v>
      </c>
      <c r="J193" s="8">
        <f t="shared" ref="J193:J198" si="7">H193*I193</f>
        <v>200</v>
      </c>
      <c r="K193" s="39">
        <v>0.16</v>
      </c>
      <c r="L193" s="139">
        <v>44181</v>
      </c>
      <c r="M193" s="33"/>
      <c r="N193" s="33">
        <v>44181</v>
      </c>
      <c r="O193" s="32" t="s">
        <v>2100</v>
      </c>
      <c r="P193" s="722"/>
      <c r="Q193" s="322">
        <v>0.13</v>
      </c>
      <c r="S193" s="7">
        <v>8.4</v>
      </c>
      <c r="T193" s="7">
        <f t="shared" ref="T193:T199" si="8">S193*J193</f>
        <v>1680</v>
      </c>
      <c r="U193" s="751" t="s">
        <v>2102</v>
      </c>
      <c r="V193" s="257"/>
    </row>
    <row r="194" spans="2:22" s="7" customFormat="1" ht="17.25" customHeight="1">
      <c r="B194" s="12"/>
      <c r="C194" s="6" t="s">
        <v>2097</v>
      </c>
      <c r="D194" s="14" t="s">
        <v>2098</v>
      </c>
      <c r="E194" s="22">
        <v>5636</v>
      </c>
      <c r="F194" s="37" t="s">
        <v>359</v>
      </c>
      <c r="G194" s="37" t="s">
        <v>2103</v>
      </c>
      <c r="H194" s="108">
        <v>200</v>
      </c>
      <c r="I194" s="109">
        <v>1</v>
      </c>
      <c r="J194" s="8">
        <f t="shared" si="7"/>
        <v>200</v>
      </c>
      <c r="K194" s="39">
        <v>0.16</v>
      </c>
      <c r="L194" s="139">
        <v>44181</v>
      </c>
      <c r="M194" s="33"/>
      <c r="N194" s="33">
        <v>44181</v>
      </c>
      <c r="O194" s="32" t="s">
        <v>2100</v>
      </c>
      <c r="P194" s="722"/>
      <c r="Q194" s="322">
        <v>0.13</v>
      </c>
      <c r="S194" s="7">
        <v>8.4</v>
      </c>
      <c r="T194" s="7">
        <f t="shared" si="8"/>
        <v>1680</v>
      </c>
      <c r="U194" s="751" t="s">
        <v>2102</v>
      </c>
      <c r="V194" s="257"/>
    </row>
    <row r="195" spans="2:22" s="7" customFormat="1" ht="17.25" customHeight="1">
      <c r="B195" s="12"/>
      <c r="C195" s="6" t="s">
        <v>2097</v>
      </c>
      <c r="D195" s="14" t="s">
        <v>2098</v>
      </c>
      <c r="E195" s="22">
        <v>5636</v>
      </c>
      <c r="F195" s="37" t="s">
        <v>359</v>
      </c>
      <c r="G195" s="37" t="s">
        <v>2104</v>
      </c>
      <c r="H195" s="108">
        <v>200</v>
      </c>
      <c r="I195" s="109">
        <v>1</v>
      </c>
      <c r="J195" s="8">
        <f t="shared" si="7"/>
        <v>200</v>
      </c>
      <c r="K195" s="39">
        <v>0.16</v>
      </c>
      <c r="L195" s="139">
        <v>44181</v>
      </c>
      <c r="M195" s="33"/>
      <c r="N195" s="33">
        <v>44181</v>
      </c>
      <c r="O195" s="32" t="s">
        <v>2100</v>
      </c>
      <c r="P195" s="722"/>
      <c r="Q195" s="322">
        <v>0.13</v>
      </c>
      <c r="S195" s="7">
        <v>8.4</v>
      </c>
      <c r="T195" s="7">
        <f t="shared" si="8"/>
        <v>1680</v>
      </c>
      <c r="U195" s="751" t="s">
        <v>2102</v>
      </c>
      <c r="V195" s="257"/>
    </row>
    <row r="196" spans="2:22" s="7" customFormat="1" ht="17.25" customHeight="1">
      <c r="B196" s="12"/>
      <c r="C196" s="6" t="s">
        <v>2097</v>
      </c>
      <c r="D196" s="14" t="s">
        <v>2098</v>
      </c>
      <c r="E196" s="22">
        <v>5636</v>
      </c>
      <c r="F196" s="37" t="s">
        <v>359</v>
      </c>
      <c r="G196" s="37" t="s">
        <v>2105</v>
      </c>
      <c r="H196" s="108">
        <v>200</v>
      </c>
      <c r="I196" s="109">
        <v>1</v>
      </c>
      <c r="J196" s="8">
        <f t="shared" si="7"/>
        <v>200</v>
      </c>
      <c r="K196" s="39">
        <v>0.16</v>
      </c>
      <c r="L196" s="139">
        <v>44181</v>
      </c>
      <c r="M196" s="33"/>
      <c r="N196" s="33">
        <v>44181</v>
      </c>
      <c r="O196" s="32" t="s">
        <v>2100</v>
      </c>
      <c r="P196" s="722"/>
      <c r="Q196" s="322">
        <v>0.13</v>
      </c>
      <c r="S196" s="7">
        <v>8.4</v>
      </c>
      <c r="T196" s="7">
        <f t="shared" si="8"/>
        <v>1680</v>
      </c>
      <c r="U196" s="751" t="s">
        <v>2102</v>
      </c>
      <c r="V196" s="257"/>
    </row>
    <row r="197" spans="2:22" s="7" customFormat="1" ht="17.25" customHeight="1">
      <c r="B197" s="12"/>
      <c r="C197" s="6" t="s">
        <v>2097</v>
      </c>
      <c r="D197" s="14" t="s">
        <v>2098</v>
      </c>
      <c r="E197" s="22">
        <v>5636</v>
      </c>
      <c r="F197" s="37" t="s">
        <v>359</v>
      </c>
      <c r="G197" s="37" t="s">
        <v>2106</v>
      </c>
      <c r="H197" s="108">
        <v>200</v>
      </c>
      <c r="I197" s="109">
        <v>1</v>
      </c>
      <c r="J197" s="8">
        <f t="shared" si="7"/>
        <v>200</v>
      </c>
      <c r="K197" s="39">
        <v>0.16</v>
      </c>
      <c r="L197" s="139">
        <v>44181</v>
      </c>
      <c r="M197" s="33"/>
      <c r="N197" s="33">
        <v>44181</v>
      </c>
      <c r="O197" s="32" t="s">
        <v>2100</v>
      </c>
      <c r="P197" s="722"/>
      <c r="Q197" s="322">
        <v>0.13</v>
      </c>
      <c r="S197" s="7">
        <v>8.4</v>
      </c>
      <c r="T197" s="7">
        <f t="shared" si="8"/>
        <v>1680</v>
      </c>
      <c r="U197" s="751" t="s">
        <v>2102</v>
      </c>
      <c r="V197" s="257"/>
    </row>
    <row r="198" spans="2:22" s="7" customFormat="1" ht="17.25" customHeight="1">
      <c r="B198" s="12"/>
      <c r="C198" s="6" t="s">
        <v>2097</v>
      </c>
      <c r="D198" s="14" t="s">
        <v>2098</v>
      </c>
      <c r="E198" s="22">
        <v>5636</v>
      </c>
      <c r="F198" s="37" t="s">
        <v>359</v>
      </c>
      <c r="G198" s="37" t="s">
        <v>2107</v>
      </c>
      <c r="H198" s="108">
        <v>200</v>
      </c>
      <c r="I198" s="109">
        <v>1</v>
      </c>
      <c r="J198" s="8">
        <f t="shared" si="7"/>
        <v>200</v>
      </c>
      <c r="K198" s="39">
        <v>0.16</v>
      </c>
      <c r="L198" s="139">
        <v>44181</v>
      </c>
      <c r="M198" s="33"/>
      <c r="N198" s="33">
        <v>44181</v>
      </c>
      <c r="O198" s="32" t="s">
        <v>2100</v>
      </c>
      <c r="P198" s="722"/>
      <c r="Q198" s="322">
        <v>0.13</v>
      </c>
      <c r="S198" s="7">
        <v>8.4</v>
      </c>
      <c r="T198" s="7">
        <f t="shared" si="8"/>
        <v>1680</v>
      </c>
      <c r="U198" s="751" t="s">
        <v>2102</v>
      </c>
      <c r="V198" s="257"/>
    </row>
    <row r="199" spans="2:22" s="7" customFormat="1" ht="16.899999999999999" customHeight="1">
      <c r="B199" s="12"/>
      <c r="C199" s="6" t="s">
        <v>2097</v>
      </c>
      <c r="D199" s="14" t="s">
        <v>2098</v>
      </c>
      <c r="E199" s="22"/>
      <c r="F199" s="340"/>
      <c r="G199" s="37" t="s">
        <v>14</v>
      </c>
      <c r="H199" s="8"/>
      <c r="I199" s="109" ph="1"/>
      <c r="J199" s="38">
        <v>1</v>
      </c>
      <c r="K199" s="39">
        <v>12</v>
      </c>
      <c r="L199" s="139">
        <v>44181</v>
      </c>
      <c r="M199" s="33"/>
      <c r="N199" s="33">
        <v>44181</v>
      </c>
      <c r="O199" s="32" t="s">
        <v>2100</v>
      </c>
      <c r="P199" s="6"/>
      <c r="Q199" s="322">
        <v>12</v>
      </c>
      <c r="S199" s="7">
        <v>1100</v>
      </c>
      <c r="T199" s="7">
        <f t="shared" si="8"/>
        <v>1100</v>
      </c>
      <c r="U199" s="21"/>
      <c r="V199" s="257"/>
    </row>
    <row r="200" spans="2:22" s="191" customFormat="1" ht="15">
      <c r="B200" s="190"/>
      <c r="C200" s="179" t="s">
        <v>2097</v>
      </c>
      <c r="D200" s="180" t="s">
        <v>2098</v>
      </c>
      <c r="E200" s="181"/>
      <c r="F200" s="182"/>
      <c r="G200" s="182" t="s">
        <v>250</v>
      </c>
      <c r="H200" s="184" t="s">
        <v>251</v>
      </c>
      <c r="I200" s="185"/>
      <c r="J200" s="183"/>
      <c r="K200" s="192">
        <v>0</v>
      </c>
      <c r="L200" s="188">
        <v>44181</v>
      </c>
      <c r="M200" s="187"/>
      <c r="N200" s="187">
        <v>44181</v>
      </c>
      <c r="O200" s="186" t="s">
        <v>2100</v>
      </c>
      <c r="P200" s="179"/>
      <c r="Q200" s="725">
        <v>0</v>
      </c>
      <c r="S200" s="197">
        <v>0</v>
      </c>
      <c r="T200" s="198">
        <v>0</v>
      </c>
      <c r="U200" s="335"/>
      <c r="V200" s="726"/>
    </row>
    <row r="201" spans="2:22" s="7" customFormat="1" ht="18" customHeight="1">
      <c r="B201" s="12"/>
      <c r="C201" s="6" t="s">
        <v>2108</v>
      </c>
      <c r="D201" s="14" t="s">
        <v>2098</v>
      </c>
      <c r="E201" s="19" t="s">
        <v>2099</v>
      </c>
      <c r="F201" s="37"/>
      <c r="G201" s="37"/>
      <c r="H201" s="108"/>
      <c r="I201" s="108"/>
      <c r="J201" s="108"/>
      <c r="K201" s="29" t="s">
        <v>5</v>
      </c>
      <c r="L201" s="139">
        <v>44173</v>
      </c>
      <c r="M201" s="33"/>
      <c r="N201" s="33">
        <v>44173</v>
      </c>
      <c r="O201" s="32" t="s">
        <v>2109</v>
      </c>
      <c r="P201" s="6"/>
      <c r="Q201" s="339"/>
      <c r="U201" s="21"/>
      <c r="V201" s="257"/>
    </row>
    <row r="202" spans="2:22" s="7" customFormat="1" ht="17.25" customHeight="1">
      <c r="B202" s="12"/>
      <c r="C202" s="6" t="s">
        <v>2108</v>
      </c>
      <c r="D202" s="14" t="s">
        <v>2098</v>
      </c>
      <c r="E202" s="22">
        <v>5636</v>
      </c>
      <c r="F202" s="37" t="s">
        <v>230</v>
      </c>
      <c r="G202" s="37" t="s">
        <v>2101</v>
      </c>
      <c r="H202" s="108">
        <v>50</v>
      </c>
      <c r="I202" s="109">
        <v>1</v>
      </c>
      <c r="J202" s="8">
        <f>H202*I202</f>
        <v>50</v>
      </c>
      <c r="K202" s="39">
        <v>0.26</v>
      </c>
      <c r="L202" s="139">
        <v>44173</v>
      </c>
      <c r="M202" s="33"/>
      <c r="N202" s="33">
        <v>44173</v>
      </c>
      <c r="O202" s="32" t="s">
        <v>2109</v>
      </c>
      <c r="P202" s="39">
        <f>ROUNDUP(S202/0.75/90,2)</f>
        <v>0.21000000000000002</v>
      </c>
      <c r="Q202" s="322">
        <v>0.21</v>
      </c>
      <c r="S202" s="7">
        <v>13.8</v>
      </c>
      <c r="T202" s="7">
        <f>S202*J202</f>
        <v>690</v>
      </c>
      <c r="U202" s="752"/>
      <c r="V202" s="257"/>
    </row>
    <row r="203" spans="2:22" s="7" customFormat="1" ht="17.25" customHeight="1">
      <c r="B203" s="12"/>
      <c r="C203" s="6" t="s">
        <v>2108</v>
      </c>
      <c r="D203" s="14" t="s">
        <v>2098</v>
      </c>
      <c r="E203" s="22">
        <v>5636</v>
      </c>
      <c r="F203" s="37" t="s">
        <v>230</v>
      </c>
      <c r="G203" s="37" t="s">
        <v>2110</v>
      </c>
      <c r="H203" s="108">
        <v>50</v>
      </c>
      <c r="I203" s="109">
        <v>1</v>
      </c>
      <c r="J203" s="8">
        <f>H203*I203</f>
        <v>50</v>
      </c>
      <c r="K203" s="39">
        <v>0.26</v>
      </c>
      <c r="L203" s="139">
        <v>44173</v>
      </c>
      <c r="M203" s="33"/>
      <c r="N203" s="33">
        <v>44173</v>
      </c>
      <c r="O203" s="32" t="s">
        <v>2109</v>
      </c>
      <c r="P203" s="39">
        <f>ROUNDUP(S203/0.75/90,2)</f>
        <v>0.21000000000000002</v>
      </c>
      <c r="Q203" s="322">
        <v>0.21</v>
      </c>
      <c r="S203" s="7">
        <v>13.8</v>
      </c>
      <c r="T203" s="7">
        <f>S203*J203</f>
        <v>690</v>
      </c>
      <c r="U203" s="752"/>
      <c r="V203" s="257"/>
    </row>
    <row r="204" spans="2:22" s="7" customFormat="1" ht="16.899999999999999" customHeight="1">
      <c r="B204" s="12"/>
      <c r="C204" s="6" t="s">
        <v>2108</v>
      </c>
      <c r="D204" s="14" t="s">
        <v>2098</v>
      </c>
      <c r="E204" s="22"/>
      <c r="F204" s="340"/>
      <c r="G204" s="37" t="s">
        <v>14</v>
      </c>
      <c r="H204" s="8"/>
      <c r="I204" s="109" ph="1"/>
      <c r="J204" s="38">
        <v>1</v>
      </c>
      <c r="K204" s="39">
        <v>12</v>
      </c>
      <c r="L204" s="139">
        <v>44173</v>
      </c>
      <c r="M204" s="33"/>
      <c r="N204" s="33">
        <v>44173</v>
      </c>
      <c r="O204" s="32" t="s">
        <v>2109</v>
      </c>
      <c r="P204" s="6"/>
      <c r="Q204" s="322">
        <v>12</v>
      </c>
      <c r="S204" s="7">
        <v>0</v>
      </c>
      <c r="T204" s="7">
        <f>S204*J204</f>
        <v>0</v>
      </c>
      <c r="U204" s="21"/>
      <c r="V204" s="257"/>
    </row>
    <row r="205" spans="2:22" s="191" customFormat="1" ht="15">
      <c r="B205" s="190"/>
      <c r="C205" s="179" t="s">
        <v>2108</v>
      </c>
      <c r="D205" s="180" t="s">
        <v>2098</v>
      </c>
      <c r="E205" s="181"/>
      <c r="F205" s="182"/>
      <c r="G205" s="182" t="s">
        <v>250</v>
      </c>
      <c r="H205" s="184" t="s">
        <v>251</v>
      </c>
      <c r="I205" s="185"/>
      <c r="J205" s="183"/>
      <c r="K205" s="192">
        <v>0</v>
      </c>
      <c r="L205" s="188">
        <v>44173</v>
      </c>
      <c r="M205" s="187"/>
      <c r="N205" s="187">
        <v>44173</v>
      </c>
      <c r="O205" s="186" t="s">
        <v>2109</v>
      </c>
      <c r="P205" s="179"/>
      <c r="Q205" s="725">
        <v>0</v>
      </c>
      <c r="S205" s="197">
        <v>0</v>
      </c>
      <c r="T205" s="198">
        <v>0</v>
      </c>
      <c r="U205" s="335"/>
      <c r="V205" s="726"/>
    </row>
    <row r="206" spans="2:22" s="7" customFormat="1" ht="18" customHeight="1">
      <c r="B206" s="12"/>
      <c r="C206" s="6" t="s">
        <v>2111</v>
      </c>
      <c r="D206" s="14" t="s">
        <v>1975</v>
      </c>
      <c r="E206" s="17" t="s">
        <v>1976</v>
      </c>
      <c r="F206" s="727"/>
      <c r="G206" s="14"/>
      <c r="H206" s="728"/>
      <c r="I206" s="61"/>
      <c r="J206" s="60"/>
      <c r="K206" s="110" t="s">
        <v>4</v>
      </c>
      <c r="L206" s="139">
        <v>44174</v>
      </c>
      <c r="M206" s="33"/>
      <c r="N206" s="33">
        <v>44174</v>
      </c>
      <c r="O206" s="32" t="s">
        <v>2112</v>
      </c>
      <c r="P206" s="6"/>
      <c r="Q206" s="358"/>
      <c r="U206" s="120"/>
      <c r="V206" s="257"/>
    </row>
    <row r="207" spans="2:22" s="7" customFormat="1" ht="18" customHeight="1">
      <c r="B207" s="12"/>
      <c r="C207" s="6" t="s">
        <v>2111</v>
      </c>
      <c r="D207" s="14" t="s">
        <v>1975</v>
      </c>
      <c r="E207" s="22">
        <v>12701</v>
      </c>
      <c r="F207" s="37">
        <v>4</v>
      </c>
      <c r="G207" s="22" t="s">
        <v>177</v>
      </c>
      <c r="H207" s="8">
        <v>40</v>
      </c>
      <c r="I207" s="35">
        <v>1</v>
      </c>
      <c r="J207" s="108">
        <f>H207*I207</f>
        <v>40</v>
      </c>
      <c r="K207" s="39">
        <v>17.440000000000001</v>
      </c>
      <c r="L207" s="139">
        <v>44174</v>
      </c>
      <c r="M207" s="33"/>
      <c r="N207" s="33">
        <v>44174</v>
      </c>
      <c r="O207" s="32" t="s">
        <v>2112</v>
      </c>
      <c r="P207" s="6"/>
      <c r="Q207" s="322"/>
      <c r="S207" s="7">
        <v>1308</v>
      </c>
      <c r="T207" s="7">
        <f>S207*I207</f>
        <v>1308</v>
      </c>
      <c r="U207" s="39"/>
      <c r="V207" s="257"/>
    </row>
    <row r="208" spans="2:22" s="7" customFormat="1" ht="18" customHeight="1">
      <c r="B208" s="12"/>
      <c r="C208" s="6" t="s">
        <v>2111</v>
      </c>
      <c r="D208" s="14" t="s">
        <v>1975</v>
      </c>
      <c r="E208" s="22">
        <v>12701</v>
      </c>
      <c r="F208" s="37">
        <v>4</v>
      </c>
      <c r="G208" s="22" t="s">
        <v>2113</v>
      </c>
      <c r="H208" s="8">
        <v>40</v>
      </c>
      <c r="I208" s="35">
        <v>1</v>
      </c>
      <c r="J208" s="108">
        <f>H208*I208</f>
        <v>40</v>
      </c>
      <c r="K208" s="39">
        <v>17.440000000000001</v>
      </c>
      <c r="L208" s="139">
        <v>44174</v>
      </c>
      <c r="M208" s="33"/>
      <c r="N208" s="33">
        <v>44174</v>
      </c>
      <c r="O208" s="32" t="s">
        <v>2112</v>
      </c>
      <c r="P208" s="6"/>
      <c r="Q208" s="322"/>
      <c r="S208" s="7">
        <v>1308</v>
      </c>
      <c r="T208" s="7">
        <f>S208*I208</f>
        <v>1308</v>
      </c>
      <c r="U208" s="39"/>
      <c r="V208" s="257"/>
    </row>
    <row r="209" spans="2:22" s="7" customFormat="1" ht="18" customHeight="1">
      <c r="B209" s="12"/>
      <c r="C209" s="6" t="s">
        <v>2111</v>
      </c>
      <c r="D209" s="14" t="s">
        <v>1975</v>
      </c>
      <c r="E209" s="22">
        <v>12701</v>
      </c>
      <c r="F209" s="37">
        <v>6</v>
      </c>
      <c r="G209" s="22" t="s">
        <v>1979</v>
      </c>
      <c r="H209" s="8">
        <v>10</v>
      </c>
      <c r="I209" s="35">
        <v>1</v>
      </c>
      <c r="J209" s="108">
        <f>H209*I209</f>
        <v>10</v>
      </c>
      <c r="K209" s="39">
        <v>4.5</v>
      </c>
      <c r="L209" s="139">
        <v>44174</v>
      </c>
      <c r="M209" s="33"/>
      <c r="N209" s="33">
        <v>44174</v>
      </c>
      <c r="O209" s="32" t="s">
        <v>2112</v>
      </c>
      <c r="P209" s="6"/>
      <c r="Q209" s="322"/>
      <c r="S209" s="7">
        <v>337</v>
      </c>
      <c r="T209" s="7">
        <f>S209*I209</f>
        <v>337</v>
      </c>
      <c r="U209" s="39"/>
      <c r="V209" s="257"/>
    </row>
    <row r="210" spans="2:22" s="7" customFormat="1" ht="15" customHeight="1">
      <c r="B210" s="12"/>
      <c r="C210" s="6" t="s">
        <v>2111</v>
      </c>
      <c r="D210" s="14" t="s">
        <v>1975</v>
      </c>
      <c r="E210" s="22">
        <v>12701</v>
      </c>
      <c r="F210" s="37">
        <v>9</v>
      </c>
      <c r="G210" s="22" t="s">
        <v>2114</v>
      </c>
      <c r="H210" s="8">
        <v>10</v>
      </c>
      <c r="I210" s="35">
        <v>1</v>
      </c>
      <c r="J210" s="8">
        <v>10</v>
      </c>
      <c r="K210" s="39">
        <v>5.04</v>
      </c>
      <c r="L210" s="139">
        <v>44174</v>
      </c>
      <c r="M210" s="33"/>
      <c r="N210" s="33">
        <v>44174</v>
      </c>
      <c r="O210" s="32" t="s">
        <v>2112</v>
      </c>
      <c r="P210" s="6"/>
      <c r="Q210" s="322"/>
      <c r="S210" s="7">
        <v>378</v>
      </c>
      <c r="T210" s="7">
        <f>S210*I210</f>
        <v>378</v>
      </c>
      <c r="U210" s="39"/>
      <c r="V210" s="257"/>
    </row>
    <row r="211" spans="2:22" s="218" customFormat="1" ht="17.25" customHeight="1">
      <c r="B211" s="189"/>
      <c r="C211" s="179" t="s">
        <v>2111</v>
      </c>
      <c r="D211" s="180" t="s">
        <v>1975</v>
      </c>
      <c r="E211" s="217"/>
      <c r="F211" s="182"/>
      <c r="G211" s="182" t="s">
        <v>1955</v>
      </c>
      <c r="H211" s="183" t="s">
        <v>252</v>
      </c>
      <c r="I211" s="185"/>
      <c r="J211" s="222"/>
      <c r="K211" s="192">
        <v>32</v>
      </c>
      <c r="L211" s="188">
        <v>44174</v>
      </c>
      <c r="M211" s="187"/>
      <c r="N211" s="187">
        <v>44174</v>
      </c>
      <c r="O211" s="186" t="s">
        <v>2112</v>
      </c>
      <c r="P211" s="387"/>
      <c r="Q211" s="193"/>
      <c r="S211" s="197">
        <v>3104</v>
      </c>
      <c r="T211" s="197">
        <v>3104</v>
      </c>
      <c r="U211" s="729"/>
      <c r="V211" s="730"/>
    </row>
    <row r="212" spans="2:22" s="7" customFormat="1" ht="15">
      <c r="B212" s="12"/>
      <c r="C212" s="6" t="s">
        <v>2115</v>
      </c>
      <c r="D212" s="14" t="s">
        <v>2116</v>
      </c>
      <c r="E212" s="19" t="s">
        <v>2117</v>
      </c>
      <c r="F212" s="24"/>
      <c r="G212" s="22"/>
      <c r="H212" s="60"/>
      <c r="I212" s="61"/>
      <c r="J212" s="60"/>
      <c r="K212" s="16" t="s">
        <v>5</v>
      </c>
      <c r="L212" s="139">
        <v>44179</v>
      </c>
      <c r="M212" s="33"/>
      <c r="N212" s="33">
        <v>44179</v>
      </c>
      <c r="O212" s="32" t="s">
        <v>2118</v>
      </c>
      <c r="P212" s="6"/>
      <c r="Q212" s="358"/>
      <c r="U212" s="120"/>
      <c r="V212" s="257"/>
    </row>
    <row r="213" spans="2:22" s="7" customFormat="1" ht="15">
      <c r="B213" s="12"/>
      <c r="C213" s="6" t="s">
        <v>2115</v>
      </c>
      <c r="D213" s="14" t="s">
        <v>2116</v>
      </c>
      <c r="E213" s="22" t="s">
        <v>2119</v>
      </c>
      <c r="F213" s="24"/>
      <c r="G213" s="22" t="s">
        <v>2120</v>
      </c>
      <c r="H213" s="8">
        <v>6</v>
      </c>
      <c r="I213" s="35">
        <v>1</v>
      </c>
      <c r="J213" s="108">
        <f>H213*I213</f>
        <v>6</v>
      </c>
      <c r="K213" s="39">
        <v>2.78</v>
      </c>
      <c r="L213" s="139">
        <v>44179</v>
      </c>
      <c r="M213" s="33"/>
      <c r="N213" s="33">
        <v>44179</v>
      </c>
      <c r="O213" s="32" t="s">
        <v>2118</v>
      </c>
      <c r="P213" s="39">
        <f>ROUNDUP(S213/0.75/90,2)</f>
        <v>2.2999999999999998</v>
      </c>
      <c r="Q213" s="322">
        <v>2.2999999999999998</v>
      </c>
      <c r="R213" s="23"/>
      <c r="S213" s="7">
        <v>155</v>
      </c>
      <c r="T213" s="7">
        <f t="shared" ref="T213:T218" si="9">S213*J213</f>
        <v>930</v>
      </c>
      <c r="U213" s="14"/>
      <c r="V213" s="257"/>
    </row>
    <row r="214" spans="2:22" s="7" customFormat="1" ht="15">
      <c r="B214" s="12"/>
      <c r="C214" s="6" t="s">
        <v>2115</v>
      </c>
      <c r="D214" s="14" t="s">
        <v>2116</v>
      </c>
      <c r="E214" s="22" t="s">
        <v>2121</v>
      </c>
      <c r="F214" s="24"/>
      <c r="G214" s="22" t="s">
        <v>2122</v>
      </c>
      <c r="H214" s="8">
        <v>6</v>
      </c>
      <c r="I214" s="35">
        <v>1</v>
      </c>
      <c r="J214" s="108">
        <f>H214*I214</f>
        <v>6</v>
      </c>
      <c r="K214" s="39">
        <v>2.78</v>
      </c>
      <c r="L214" s="139">
        <v>44179</v>
      </c>
      <c r="M214" s="33"/>
      <c r="N214" s="33">
        <v>44179</v>
      </c>
      <c r="O214" s="32" t="s">
        <v>2118</v>
      </c>
      <c r="P214" s="39">
        <f>ROUNDUP(S214/0.75/90,2)</f>
        <v>2.2999999999999998</v>
      </c>
      <c r="Q214" s="322">
        <v>2.2999999999999998</v>
      </c>
      <c r="R214" s="23"/>
      <c r="S214" s="7">
        <v>155</v>
      </c>
      <c r="T214" s="7">
        <f t="shared" si="9"/>
        <v>930</v>
      </c>
      <c r="U214" s="14"/>
      <c r="V214" s="257"/>
    </row>
    <row r="215" spans="2:22" s="7" customFormat="1" ht="15">
      <c r="B215" s="12"/>
      <c r="C215" s="6" t="s">
        <v>2115</v>
      </c>
      <c r="D215" s="14" t="s">
        <v>2116</v>
      </c>
      <c r="E215" s="22" t="s">
        <v>2123</v>
      </c>
      <c r="F215" s="24"/>
      <c r="G215" s="22" t="s">
        <v>2120</v>
      </c>
      <c r="H215" s="8">
        <v>6</v>
      </c>
      <c r="I215" s="35">
        <v>1</v>
      </c>
      <c r="J215" s="108">
        <f>H215*I215</f>
        <v>6</v>
      </c>
      <c r="K215" s="39">
        <v>2.84</v>
      </c>
      <c r="L215" s="139">
        <v>44179</v>
      </c>
      <c r="M215" s="33"/>
      <c r="N215" s="33">
        <v>44179</v>
      </c>
      <c r="O215" s="32" t="s">
        <v>2118</v>
      </c>
      <c r="P215" s="39">
        <f>ROUNDUP(S215/0.75/90,2)</f>
        <v>2.3499999999999996</v>
      </c>
      <c r="Q215" s="322">
        <v>2.35</v>
      </c>
      <c r="R215" s="23"/>
      <c r="S215" s="7">
        <v>158</v>
      </c>
      <c r="T215" s="7">
        <f t="shared" si="9"/>
        <v>948</v>
      </c>
      <c r="U215" s="14"/>
      <c r="V215" s="257"/>
    </row>
    <row r="216" spans="2:22" s="7" customFormat="1" ht="15">
      <c r="B216" s="12"/>
      <c r="C216" s="6" t="s">
        <v>2115</v>
      </c>
      <c r="D216" s="14" t="s">
        <v>2116</v>
      </c>
      <c r="E216" s="22" t="s">
        <v>2124</v>
      </c>
      <c r="F216" s="24"/>
      <c r="G216" s="22" t="s">
        <v>2120</v>
      </c>
      <c r="H216" s="8">
        <v>6</v>
      </c>
      <c r="I216" s="35">
        <v>1</v>
      </c>
      <c r="J216" s="108">
        <f>H216*I216</f>
        <v>6</v>
      </c>
      <c r="K216" s="39">
        <v>2.89</v>
      </c>
      <c r="L216" s="139">
        <v>44179</v>
      </c>
      <c r="M216" s="33"/>
      <c r="N216" s="33">
        <v>44179</v>
      </c>
      <c r="O216" s="32" t="s">
        <v>2118</v>
      </c>
      <c r="P216" s="39">
        <f>ROUNDUP(S216/0.75/90,2)</f>
        <v>2.3199999999999998</v>
      </c>
      <c r="Q216" s="322">
        <v>2.3199999999999998</v>
      </c>
      <c r="R216" s="23"/>
      <c r="S216" s="7">
        <v>156</v>
      </c>
      <c r="T216" s="7">
        <f t="shared" si="9"/>
        <v>936</v>
      </c>
      <c r="U216" s="14"/>
      <c r="V216" s="257"/>
    </row>
    <row r="217" spans="2:22" s="7" customFormat="1" ht="15">
      <c r="B217" s="12"/>
      <c r="C217" s="6" t="s">
        <v>2115</v>
      </c>
      <c r="D217" s="14" t="s">
        <v>2116</v>
      </c>
      <c r="E217" s="22" t="s">
        <v>211</v>
      </c>
      <c r="F217" s="24"/>
      <c r="G217" s="22" t="s">
        <v>2120</v>
      </c>
      <c r="H217" s="8">
        <v>6</v>
      </c>
      <c r="I217" s="35">
        <v>1</v>
      </c>
      <c r="J217" s="108">
        <f>H217*I217</f>
        <v>6</v>
      </c>
      <c r="K217" s="39">
        <v>2.99</v>
      </c>
      <c r="L217" s="139">
        <v>44179</v>
      </c>
      <c r="M217" s="33"/>
      <c r="N217" s="33">
        <v>44179</v>
      </c>
      <c r="O217" s="32" t="s">
        <v>2118</v>
      </c>
      <c r="P217" s="39">
        <f>ROUNDUP(S217/0.75/90,2)</f>
        <v>2.46</v>
      </c>
      <c r="Q217" s="322">
        <v>2.46</v>
      </c>
      <c r="R217" s="23"/>
      <c r="S217" s="7">
        <v>166</v>
      </c>
      <c r="T217" s="7">
        <f t="shared" si="9"/>
        <v>996</v>
      </c>
      <c r="U217" s="14"/>
      <c r="V217" s="257"/>
    </row>
    <row r="218" spans="2:22" s="7" customFormat="1" ht="16.899999999999999" customHeight="1">
      <c r="B218" s="12"/>
      <c r="C218" s="6" t="s">
        <v>2115</v>
      </c>
      <c r="D218" s="14" t="s">
        <v>2116</v>
      </c>
      <c r="E218" s="22"/>
      <c r="F218" s="340"/>
      <c r="G218" s="37" t="s">
        <v>14</v>
      </c>
      <c r="H218" s="8"/>
      <c r="I218" s="109" ph="1"/>
      <c r="J218" s="38">
        <v>1</v>
      </c>
      <c r="K218" s="39">
        <v>12</v>
      </c>
      <c r="L218" s="139">
        <v>44179</v>
      </c>
      <c r="M218" s="33"/>
      <c r="N218" s="33">
        <v>44179</v>
      </c>
      <c r="O218" s="32" t="s">
        <v>2118</v>
      </c>
      <c r="P218" s="6"/>
      <c r="Q218" s="322">
        <v>12</v>
      </c>
      <c r="S218" s="7">
        <v>490</v>
      </c>
      <c r="T218" s="7">
        <f t="shared" si="9"/>
        <v>490</v>
      </c>
      <c r="U218" s="21"/>
      <c r="V218" s="257"/>
    </row>
    <row r="219" spans="2:22" s="191" customFormat="1" ht="15">
      <c r="B219" s="190"/>
      <c r="C219" s="179" t="s">
        <v>2115</v>
      </c>
      <c r="D219" s="180" t="s">
        <v>2116</v>
      </c>
      <c r="E219" s="181"/>
      <c r="F219" s="182"/>
      <c r="G219" s="182" t="s">
        <v>250</v>
      </c>
      <c r="H219" s="184" t="s">
        <v>252</v>
      </c>
      <c r="I219" s="185"/>
      <c r="J219" s="183"/>
      <c r="K219" s="192">
        <v>25</v>
      </c>
      <c r="L219" s="188">
        <v>44179</v>
      </c>
      <c r="M219" s="187"/>
      <c r="N219" s="187">
        <v>44179</v>
      </c>
      <c r="O219" s="186" t="s">
        <v>2118</v>
      </c>
      <c r="P219" s="179"/>
      <c r="Q219" s="725">
        <v>25</v>
      </c>
      <c r="S219" s="197">
        <v>2010</v>
      </c>
      <c r="T219" s="198">
        <v>2010</v>
      </c>
      <c r="U219" s="335"/>
      <c r="V219" s="726"/>
    </row>
    <row r="220" spans="2:22" s="7" customFormat="1" ht="18" customHeight="1">
      <c r="B220" s="12"/>
      <c r="C220" s="6" t="s">
        <v>2125</v>
      </c>
      <c r="D220" s="14" t="s">
        <v>2126</v>
      </c>
      <c r="E220" s="17" t="s">
        <v>160</v>
      </c>
      <c r="F220" s="319"/>
      <c r="G220" s="299"/>
      <c r="H220" s="300"/>
      <c r="I220" s="320"/>
      <c r="J220" s="321"/>
      <c r="K220" s="110" t="s">
        <v>5</v>
      </c>
      <c r="L220" s="139">
        <v>44181</v>
      </c>
      <c r="M220" s="33"/>
      <c r="N220" s="33">
        <v>44181</v>
      </c>
      <c r="O220" s="32" t="s">
        <v>2127</v>
      </c>
      <c r="P220" s="6"/>
      <c r="Q220" s="322"/>
      <c r="U220" s="39"/>
      <c r="V220" s="257"/>
    </row>
    <row r="221" spans="2:22" s="7" customFormat="1" ht="18" customHeight="1">
      <c r="B221" s="12"/>
      <c r="C221" s="6" t="s">
        <v>2125</v>
      </c>
      <c r="D221" s="14" t="s">
        <v>2126</v>
      </c>
      <c r="E221" s="22">
        <v>14552</v>
      </c>
      <c r="F221" s="24">
        <v>10</v>
      </c>
      <c r="G221" s="22" t="s">
        <v>2128</v>
      </c>
      <c r="H221" s="108">
        <v>30</v>
      </c>
      <c r="I221" s="109">
        <v>4</v>
      </c>
      <c r="J221" s="8">
        <f>H221*I221</f>
        <v>120</v>
      </c>
      <c r="K221" s="39">
        <v>0.52</v>
      </c>
      <c r="L221" s="139">
        <v>44181</v>
      </c>
      <c r="M221" s="33"/>
      <c r="N221" s="33">
        <v>44181</v>
      </c>
      <c r="O221" s="32" t="s">
        <v>2127</v>
      </c>
      <c r="P221" s="6"/>
      <c r="Q221" s="358">
        <v>0.46</v>
      </c>
      <c r="S221" s="7">
        <v>31</v>
      </c>
      <c r="T221" s="7">
        <f>S221*J221</f>
        <v>3720</v>
      </c>
      <c r="U221" s="120"/>
      <c r="V221" s="257"/>
    </row>
    <row r="222" spans="2:22" s="7" customFormat="1" ht="18" customHeight="1">
      <c r="B222" s="12"/>
      <c r="C222" s="6" t="s">
        <v>2125</v>
      </c>
      <c r="D222" s="14" t="s">
        <v>2126</v>
      </c>
      <c r="E222" s="22">
        <v>14552</v>
      </c>
      <c r="F222" s="24">
        <v>10</v>
      </c>
      <c r="G222" s="22" t="s">
        <v>274</v>
      </c>
      <c r="H222" s="108">
        <v>30</v>
      </c>
      <c r="I222" s="109">
        <v>5</v>
      </c>
      <c r="J222" s="8">
        <f>H222*I222</f>
        <v>150</v>
      </c>
      <c r="K222" s="39">
        <v>0.52</v>
      </c>
      <c r="L222" s="139">
        <v>44181</v>
      </c>
      <c r="M222" s="33"/>
      <c r="N222" s="33">
        <v>44181</v>
      </c>
      <c r="O222" s="32" t="s">
        <v>2127</v>
      </c>
      <c r="P222" s="6"/>
      <c r="Q222" s="358">
        <v>0.46</v>
      </c>
      <c r="S222" s="7">
        <v>31</v>
      </c>
      <c r="T222" s="7">
        <f>S222*J222</f>
        <v>4650</v>
      </c>
      <c r="U222" s="120"/>
      <c r="V222" s="257"/>
    </row>
    <row r="223" spans="2:22" s="7" customFormat="1" ht="15">
      <c r="B223" s="12"/>
      <c r="C223" s="6" t="s">
        <v>2125</v>
      </c>
      <c r="D223" s="14" t="s">
        <v>2126</v>
      </c>
      <c r="E223" s="49"/>
      <c r="F223" s="102"/>
      <c r="G223" s="22" t="s">
        <v>14</v>
      </c>
      <c r="H223" s="8"/>
      <c r="I223" s="35"/>
      <c r="J223" s="38">
        <v>1</v>
      </c>
      <c r="K223" s="39">
        <v>12</v>
      </c>
      <c r="L223" s="139">
        <v>44181</v>
      </c>
      <c r="M223" s="33"/>
      <c r="N223" s="33">
        <v>44181</v>
      </c>
      <c r="O223" s="32" t="s">
        <v>2127</v>
      </c>
      <c r="P223" s="6"/>
      <c r="Q223" s="322">
        <v>12</v>
      </c>
      <c r="S223" s="7">
        <v>1000</v>
      </c>
      <c r="T223" s="7">
        <f>S223*J223</f>
        <v>1000</v>
      </c>
      <c r="U223" s="21"/>
      <c r="V223" s="257"/>
    </row>
    <row r="224" spans="2:22" s="191" customFormat="1" ht="15">
      <c r="B224" s="190"/>
      <c r="C224" s="179" t="s">
        <v>2125</v>
      </c>
      <c r="D224" s="180" t="s">
        <v>2126</v>
      </c>
      <c r="E224" s="181"/>
      <c r="F224" s="182"/>
      <c r="G224" s="182" t="s">
        <v>250</v>
      </c>
      <c r="H224" s="184" t="s">
        <v>251</v>
      </c>
      <c r="I224" s="185"/>
      <c r="J224" s="183"/>
      <c r="K224" s="192">
        <v>0</v>
      </c>
      <c r="L224" s="188">
        <v>44181</v>
      </c>
      <c r="M224" s="187"/>
      <c r="N224" s="187">
        <v>44181</v>
      </c>
      <c r="O224" s="186" t="s">
        <v>2127</v>
      </c>
      <c r="P224" s="179"/>
      <c r="Q224" s="725">
        <v>0</v>
      </c>
      <c r="S224" s="197">
        <v>0</v>
      </c>
      <c r="T224" s="198">
        <v>0</v>
      </c>
      <c r="U224" s="335"/>
      <c r="V224" s="726"/>
    </row>
    <row r="225" spans="2:22" customFormat="1" ht="18" customHeight="1">
      <c r="B225" s="26"/>
      <c r="C225" s="6" t="s">
        <v>2129</v>
      </c>
      <c r="D225" s="14" t="s">
        <v>2130</v>
      </c>
      <c r="E225" s="19" t="s">
        <v>227</v>
      </c>
      <c r="F225" s="37"/>
      <c r="G225" s="37"/>
      <c r="H225" s="108"/>
      <c r="I225" s="108"/>
      <c r="J225" s="108"/>
      <c r="K225" s="29" t="s">
        <v>101</v>
      </c>
      <c r="L225" s="139">
        <v>44251</v>
      </c>
      <c r="M225" s="33"/>
      <c r="N225" s="33">
        <v>44251</v>
      </c>
      <c r="O225" s="32" t="s">
        <v>2131</v>
      </c>
      <c r="P225" s="6"/>
      <c r="Q225" s="339"/>
      <c r="R225" s="1"/>
      <c r="S225" s="7"/>
      <c r="T225" s="7"/>
      <c r="U225" s="21"/>
      <c r="V225" s="257"/>
    </row>
    <row r="226" spans="2:22" customFormat="1" ht="18" customHeight="1">
      <c r="B226" s="26"/>
      <c r="C226" s="6" t="s">
        <v>2129</v>
      </c>
      <c r="D226" s="14" t="s">
        <v>2130</v>
      </c>
      <c r="E226" s="22">
        <v>2250</v>
      </c>
      <c r="F226" s="37">
        <v>9</v>
      </c>
      <c r="G226" s="22" t="s">
        <v>2132</v>
      </c>
      <c r="H226" s="108">
        <v>30</v>
      </c>
      <c r="I226" s="109">
        <v>10</v>
      </c>
      <c r="J226" s="8">
        <f>H226*I226</f>
        <v>300</v>
      </c>
      <c r="K226" s="39">
        <v>0.26</v>
      </c>
      <c r="L226" s="139">
        <v>44251</v>
      </c>
      <c r="M226" s="33"/>
      <c r="N226" s="33">
        <v>44251</v>
      </c>
      <c r="O226" s="32" t="s">
        <v>2131</v>
      </c>
      <c r="P226" s="39">
        <f>ROUNDUP(S226/0.75/90,2)</f>
        <v>0.21000000000000002</v>
      </c>
      <c r="Q226" s="322">
        <v>0.21</v>
      </c>
      <c r="R226" s="1"/>
      <c r="S226" s="7">
        <v>14</v>
      </c>
      <c r="T226" s="7">
        <f>S226*J226</f>
        <v>4200</v>
      </c>
      <c r="U226" s="39"/>
      <c r="V226" s="260"/>
    </row>
    <row r="227" spans="2:22" customFormat="1" ht="18" customHeight="1">
      <c r="B227" s="26"/>
      <c r="C227" s="6" t="s">
        <v>2129</v>
      </c>
      <c r="D227" s="14" t="s">
        <v>2130</v>
      </c>
      <c r="E227" s="22">
        <v>2250</v>
      </c>
      <c r="F227" s="37">
        <v>12</v>
      </c>
      <c r="G227" s="22" t="s">
        <v>2133</v>
      </c>
      <c r="H227" s="108">
        <v>30</v>
      </c>
      <c r="I227" s="109">
        <v>4</v>
      </c>
      <c r="J227" s="8">
        <f>H227*I227</f>
        <v>120</v>
      </c>
      <c r="K227" s="39">
        <v>0.33</v>
      </c>
      <c r="L227" s="139">
        <v>44251</v>
      </c>
      <c r="M227" s="33"/>
      <c r="N227" s="33">
        <v>44251</v>
      </c>
      <c r="O227" s="32" t="s">
        <v>2131</v>
      </c>
      <c r="P227" s="39">
        <f>ROUNDUP(S227/0.75/90,2)</f>
        <v>0.26</v>
      </c>
      <c r="Q227" s="322">
        <v>0.26</v>
      </c>
      <c r="R227" s="1"/>
      <c r="S227" s="7">
        <v>17.5</v>
      </c>
      <c r="T227" s="7">
        <f>S227*J227</f>
        <v>2100</v>
      </c>
      <c r="U227" s="39"/>
      <c r="V227" s="260"/>
    </row>
    <row r="228" spans="2:22" customFormat="1" ht="18" customHeight="1">
      <c r="B228" s="26"/>
      <c r="C228" s="6" t="s">
        <v>2129</v>
      </c>
      <c r="D228" s="14" t="s">
        <v>2130</v>
      </c>
      <c r="E228" s="22">
        <v>2250</v>
      </c>
      <c r="F228" s="37">
        <v>9</v>
      </c>
      <c r="G228" s="22" t="s">
        <v>2133</v>
      </c>
      <c r="H228" s="108">
        <v>30</v>
      </c>
      <c r="I228" s="109">
        <v>11</v>
      </c>
      <c r="J228" s="8">
        <f>H228*I228</f>
        <v>330</v>
      </c>
      <c r="K228" s="39">
        <v>0.26</v>
      </c>
      <c r="L228" s="139">
        <v>44251</v>
      </c>
      <c r="M228" s="33"/>
      <c r="N228" s="33">
        <v>44251</v>
      </c>
      <c r="O228" s="32" t="s">
        <v>2131</v>
      </c>
      <c r="P228" s="39">
        <f>ROUNDUP(S228/0.75/90,2)</f>
        <v>0.21000000000000002</v>
      </c>
      <c r="Q228" s="322">
        <v>0.21</v>
      </c>
      <c r="R228" s="1"/>
      <c r="S228" s="7">
        <v>14</v>
      </c>
      <c r="T228" s="7">
        <f>S228*J228</f>
        <v>4620</v>
      </c>
      <c r="U228" s="39"/>
      <c r="V228" s="260"/>
    </row>
    <row r="229" spans="2:22" s="7" customFormat="1" ht="15">
      <c r="B229" s="12"/>
      <c r="C229" s="6" t="s">
        <v>2129</v>
      </c>
      <c r="D229" s="14" t="s">
        <v>2130</v>
      </c>
      <c r="E229" s="49"/>
      <c r="F229" s="102"/>
      <c r="G229" s="22" t="s">
        <v>14</v>
      </c>
      <c r="H229" s="8"/>
      <c r="I229" s="35"/>
      <c r="J229" s="38">
        <v>1</v>
      </c>
      <c r="K229" s="39">
        <v>15</v>
      </c>
      <c r="L229" s="139">
        <v>44251</v>
      </c>
      <c r="M229" s="33"/>
      <c r="N229" s="33">
        <v>44251</v>
      </c>
      <c r="O229" s="32" t="s">
        <v>2131</v>
      </c>
      <c r="P229" s="6"/>
      <c r="Q229" s="322">
        <v>15</v>
      </c>
      <c r="S229" s="7">
        <v>0</v>
      </c>
      <c r="T229" s="7">
        <f>S229*J229</f>
        <v>0</v>
      </c>
      <c r="U229" s="21"/>
      <c r="V229" s="257"/>
    </row>
    <row r="230" spans="2:22" s="191" customFormat="1" ht="15">
      <c r="B230" s="190"/>
      <c r="C230" s="179" t="s">
        <v>2129</v>
      </c>
      <c r="D230" s="180" t="s">
        <v>2130</v>
      </c>
      <c r="E230" s="181"/>
      <c r="F230" s="182"/>
      <c r="G230" s="182" t="s">
        <v>250</v>
      </c>
      <c r="H230" s="184" t="s">
        <v>251</v>
      </c>
      <c r="I230" s="185"/>
      <c r="J230" s="183"/>
      <c r="K230" s="192">
        <v>0</v>
      </c>
      <c r="L230" s="188">
        <v>44251</v>
      </c>
      <c r="M230" s="187"/>
      <c r="N230" s="187">
        <v>44251</v>
      </c>
      <c r="O230" s="186" t="s">
        <v>2131</v>
      </c>
      <c r="P230" s="179"/>
      <c r="Q230" s="725">
        <v>0</v>
      </c>
      <c r="S230" s="197">
        <v>0</v>
      </c>
      <c r="T230" s="198">
        <v>0</v>
      </c>
      <c r="U230" s="335"/>
      <c r="V230" s="726"/>
    </row>
    <row r="231" spans="2:22" s="7" customFormat="1" ht="15">
      <c r="B231" s="12"/>
      <c r="C231" s="6" t="s">
        <v>2134</v>
      </c>
      <c r="D231" s="14" t="s">
        <v>1970</v>
      </c>
      <c r="E231" s="19" t="s">
        <v>2135</v>
      </c>
      <c r="F231" s="24"/>
      <c r="G231" s="22"/>
      <c r="H231" s="60"/>
      <c r="I231" s="61"/>
      <c r="J231" s="60"/>
      <c r="K231" s="10" t="s">
        <v>5</v>
      </c>
      <c r="L231" s="139">
        <v>44188</v>
      </c>
      <c r="M231" s="33"/>
      <c r="N231" s="33">
        <v>44188</v>
      </c>
      <c r="O231" s="32" t="s">
        <v>2136</v>
      </c>
      <c r="P231" s="6" t="s">
        <v>3</v>
      </c>
      <c r="Q231" s="358"/>
      <c r="U231" s="120"/>
      <c r="V231" s="257"/>
    </row>
    <row r="232" spans="2:22" s="7" customFormat="1" ht="15">
      <c r="B232" s="12"/>
      <c r="C232" s="6" t="s">
        <v>2134</v>
      </c>
      <c r="D232" s="14" t="s">
        <v>1970</v>
      </c>
      <c r="E232" s="22" t="s">
        <v>2137</v>
      </c>
      <c r="F232" s="24">
        <v>12</v>
      </c>
      <c r="G232" s="22" t="s">
        <v>2138</v>
      </c>
      <c r="H232" s="60">
        <v>50</v>
      </c>
      <c r="I232" s="61">
        <v>3</v>
      </c>
      <c r="J232" s="8">
        <f>H232*I232</f>
        <v>150</v>
      </c>
      <c r="K232" s="23">
        <v>0.6</v>
      </c>
      <c r="L232" s="139">
        <v>44188</v>
      </c>
      <c r="M232" s="33"/>
      <c r="N232" s="33">
        <v>44188</v>
      </c>
      <c r="O232" s="32" t="s">
        <v>2136</v>
      </c>
      <c r="P232" s="39">
        <f>ROUNDUP(S232/0.75/90,2)</f>
        <v>0.48</v>
      </c>
      <c r="Q232" s="358">
        <v>0.48</v>
      </c>
      <c r="S232" s="7">
        <v>32</v>
      </c>
      <c r="T232" s="7">
        <f>S232*J232</f>
        <v>4800</v>
      </c>
      <c r="U232" s="120"/>
      <c r="V232" s="257"/>
    </row>
    <row r="233" spans="2:22" s="7" customFormat="1" ht="15">
      <c r="B233" s="12"/>
      <c r="C233" s="6" t="s">
        <v>2134</v>
      </c>
      <c r="D233" s="14" t="s">
        <v>1970</v>
      </c>
      <c r="E233" s="49"/>
      <c r="F233" s="102"/>
      <c r="G233" s="22" t="s">
        <v>14</v>
      </c>
      <c r="H233" s="8"/>
      <c r="I233" s="35"/>
      <c r="J233" s="38">
        <v>1</v>
      </c>
      <c r="K233" s="39">
        <v>12</v>
      </c>
      <c r="L233" s="139">
        <v>44188</v>
      </c>
      <c r="M233" s="33"/>
      <c r="N233" s="33">
        <v>44188</v>
      </c>
      <c r="O233" s="32" t="s">
        <v>2136</v>
      </c>
      <c r="P233" s="6"/>
      <c r="Q233" s="322">
        <v>12</v>
      </c>
      <c r="S233" s="7">
        <v>1000</v>
      </c>
      <c r="T233" s="7">
        <f>S233*J233</f>
        <v>1000</v>
      </c>
      <c r="U233" s="21"/>
      <c r="V233" s="257"/>
    </row>
    <row r="234" spans="2:22" s="191" customFormat="1" ht="15">
      <c r="B234" s="190"/>
      <c r="C234" s="179" t="s">
        <v>2134</v>
      </c>
      <c r="D234" s="180" t="s">
        <v>1970</v>
      </c>
      <c r="E234" s="181"/>
      <c r="F234" s="182"/>
      <c r="G234" s="182" t="s">
        <v>250</v>
      </c>
      <c r="H234" s="184" t="s">
        <v>251</v>
      </c>
      <c r="I234" s="185"/>
      <c r="J234" s="183"/>
      <c r="K234" s="192">
        <v>0</v>
      </c>
      <c r="L234" s="188">
        <v>44188</v>
      </c>
      <c r="M234" s="187"/>
      <c r="N234" s="187">
        <v>44188</v>
      </c>
      <c r="O234" s="186" t="s">
        <v>2136</v>
      </c>
      <c r="P234" s="179"/>
      <c r="Q234" s="725">
        <v>0</v>
      </c>
      <c r="S234" s="197">
        <v>0</v>
      </c>
      <c r="T234" s="198">
        <v>0</v>
      </c>
      <c r="U234" s="335"/>
      <c r="V234" s="726"/>
    </row>
    <row r="235" spans="2:22" s="7" customFormat="1" ht="15">
      <c r="B235" s="12"/>
      <c r="C235" s="6" t="s">
        <v>2139</v>
      </c>
      <c r="D235" s="14" t="s">
        <v>2010</v>
      </c>
      <c r="E235" s="19" t="s">
        <v>2011</v>
      </c>
      <c r="F235" s="24"/>
      <c r="G235" s="22"/>
      <c r="H235" s="60"/>
      <c r="I235" s="61"/>
      <c r="J235" s="60"/>
      <c r="K235" s="16" t="s">
        <v>5</v>
      </c>
      <c r="L235" s="139">
        <v>44257</v>
      </c>
      <c r="M235" s="33"/>
      <c r="N235" s="33">
        <v>44257</v>
      </c>
      <c r="O235" s="32">
        <v>2801</v>
      </c>
      <c r="P235" s="6" t="s">
        <v>3</v>
      </c>
      <c r="Q235" s="358"/>
      <c r="U235" s="120"/>
      <c r="V235" s="257"/>
    </row>
    <row r="236" spans="2:22" s="7" customFormat="1" ht="15.75" customHeight="1">
      <c r="B236" s="12"/>
      <c r="C236" s="6" t="s">
        <v>2139</v>
      </c>
      <c r="D236" s="14" t="s">
        <v>2010</v>
      </c>
      <c r="E236" s="22" t="s">
        <v>2015</v>
      </c>
      <c r="F236" s="24"/>
      <c r="G236" s="22" t="s">
        <v>100</v>
      </c>
      <c r="H236" s="67">
        <v>1000</v>
      </c>
      <c r="I236" s="67">
        <v>1000</v>
      </c>
      <c r="J236" s="67">
        <v>1000</v>
      </c>
      <c r="K236" s="39">
        <v>1.67</v>
      </c>
      <c r="L236" s="139">
        <v>44257</v>
      </c>
      <c r="M236" s="33"/>
      <c r="N236" s="33">
        <v>44257</v>
      </c>
      <c r="O236" s="32">
        <v>2801</v>
      </c>
      <c r="P236" s="6"/>
      <c r="Q236" s="322">
        <v>1.56</v>
      </c>
      <c r="S236" s="7">
        <v>35</v>
      </c>
      <c r="T236" s="7">
        <f>S236*J236</f>
        <v>35000</v>
      </c>
      <c r="U236" s="386" t="s">
        <v>2016</v>
      </c>
      <c r="V236" s="257"/>
    </row>
    <row r="237" spans="2:22" s="7" customFormat="1" ht="15.75" customHeight="1">
      <c r="B237" s="12"/>
      <c r="C237" s="6" t="s">
        <v>2139</v>
      </c>
      <c r="D237" s="14" t="s">
        <v>2010</v>
      </c>
      <c r="E237" s="22" t="s">
        <v>2015</v>
      </c>
      <c r="F237" s="24"/>
      <c r="G237" s="22" t="s">
        <v>192</v>
      </c>
      <c r="H237" s="67">
        <v>1100</v>
      </c>
      <c r="I237" s="67">
        <v>1100</v>
      </c>
      <c r="J237" s="67">
        <v>1100</v>
      </c>
      <c r="K237" s="39">
        <v>1.8</v>
      </c>
      <c r="L237" s="139">
        <v>44257</v>
      </c>
      <c r="M237" s="33"/>
      <c r="N237" s="33">
        <v>44257</v>
      </c>
      <c r="O237" s="32">
        <v>2801</v>
      </c>
      <c r="P237" s="6"/>
      <c r="Q237" s="322">
        <v>1.56</v>
      </c>
      <c r="S237" s="7">
        <v>105</v>
      </c>
      <c r="T237" s="7">
        <f>S237*J237</f>
        <v>115500</v>
      </c>
      <c r="U237" s="386" t="s">
        <v>2016</v>
      </c>
      <c r="V237" s="257"/>
    </row>
    <row r="238" spans="2:22" s="7" customFormat="1" ht="15.75" customHeight="1">
      <c r="B238" s="12"/>
      <c r="C238" s="6" t="s">
        <v>2139</v>
      </c>
      <c r="D238" s="14" t="s">
        <v>2010</v>
      </c>
      <c r="E238" s="22" t="s">
        <v>2013</v>
      </c>
      <c r="F238" s="24"/>
      <c r="G238" s="22" t="s">
        <v>100</v>
      </c>
      <c r="H238" s="67">
        <v>1400</v>
      </c>
      <c r="I238" s="67">
        <v>1400</v>
      </c>
      <c r="J238" s="67">
        <v>1400</v>
      </c>
      <c r="K238" s="39">
        <v>2.76</v>
      </c>
      <c r="L238" s="139">
        <v>44257</v>
      </c>
      <c r="M238" s="33"/>
      <c r="N238" s="33">
        <v>44257</v>
      </c>
      <c r="O238" s="32">
        <v>2801</v>
      </c>
      <c r="P238" s="6"/>
      <c r="Q238" s="322">
        <v>2.73</v>
      </c>
      <c r="S238" s="7">
        <v>114</v>
      </c>
      <c r="T238" s="7">
        <f>S238*J238</f>
        <v>159600</v>
      </c>
      <c r="U238" s="386" t="s">
        <v>2014</v>
      </c>
      <c r="V238" s="257"/>
    </row>
    <row r="239" spans="2:22" s="7" customFormat="1" ht="15.75" customHeight="1">
      <c r="B239" s="12"/>
      <c r="C239" s="6" t="s">
        <v>2139</v>
      </c>
      <c r="D239" s="14" t="s">
        <v>2010</v>
      </c>
      <c r="E239" s="22" t="s">
        <v>2013</v>
      </c>
      <c r="F239" s="24"/>
      <c r="G239" s="22" t="s">
        <v>192</v>
      </c>
      <c r="H239" s="67">
        <v>1400</v>
      </c>
      <c r="I239" s="67">
        <v>1400</v>
      </c>
      <c r="J239" s="67">
        <v>1400</v>
      </c>
      <c r="K239" s="39">
        <v>3.15</v>
      </c>
      <c r="L239" s="139">
        <v>44257</v>
      </c>
      <c r="M239" s="33"/>
      <c r="N239" s="33">
        <v>44257</v>
      </c>
      <c r="O239" s="32">
        <v>2801</v>
      </c>
      <c r="P239" s="6"/>
      <c r="Q239" s="322">
        <v>2.73</v>
      </c>
      <c r="S239" s="7">
        <v>184</v>
      </c>
      <c r="T239" s="7">
        <f>S239*J239</f>
        <v>257600</v>
      </c>
      <c r="U239" s="386" t="s">
        <v>2014</v>
      </c>
      <c r="V239" s="257"/>
    </row>
    <row r="240" spans="2:22" s="191" customFormat="1" ht="15">
      <c r="B240" s="190"/>
      <c r="C240" s="179" t="s">
        <v>2139</v>
      </c>
      <c r="D240" s="180" t="s">
        <v>2010</v>
      </c>
      <c r="E240" s="181"/>
      <c r="F240" s="182"/>
      <c r="G240" s="182" t="s">
        <v>250</v>
      </c>
      <c r="H240" s="184" t="s">
        <v>251</v>
      </c>
      <c r="I240" s="185"/>
      <c r="J240" s="183"/>
      <c r="K240" s="192">
        <v>0</v>
      </c>
      <c r="L240" s="188">
        <v>44257</v>
      </c>
      <c r="M240" s="187"/>
      <c r="N240" s="187">
        <v>44257</v>
      </c>
      <c r="O240" s="186">
        <v>2801</v>
      </c>
      <c r="P240" s="179"/>
      <c r="Q240" s="725">
        <v>0</v>
      </c>
      <c r="S240" s="197">
        <v>0</v>
      </c>
      <c r="T240" s="7">
        <f>S240*J240</f>
        <v>0</v>
      </c>
      <c r="U240" s="335"/>
      <c r="V240" s="726"/>
    </row>
    <row r="241" spans="2:22" s="7" customFormat="1" ht="15">
      <c r="B241" s="12"/>
      <c r="C241" s="6" t="s">
        <v>2140</v>
      </c>
      <c r="D241" s="14" t="s">
        <v>2000</v>
      </c>
      <c r="E241" s="14" t="s">
        <v>1995</v>
      </c>
      <c r="F241" s="15"/>
      <c r="G241" s="14"/>
      <c r="H241" s="60"/>
      <c r="I241" s="61"/>
      <c r="J241" s="60"/>
      <c r="K241" s="16" t="s">
        <v>5</v>
      </c>
      <c r="L241" s="139">
        <v>44203</v>
      </c>
      <c r="M241" s="33"/>
      <c r="N241" s="33">
        <v>44203</v>
      </c>
      <c r="O241" s="32">
        <v>2807</v>
      </c>
      <c r="P241" s="6" t="s">
        <v>3</v>
      </c>
      <c r="Q241" s="732"/>
      <c r="U241" s="120"/>
      <c r="V241" s="257"/>
    </row>
    <row r="242" spans="2:22" s="7" customFormat="1" ht="18" customHeight="1">
      <c r="B242" s="12"/>
      <c r="C242" s="6" t="s">
        <v>2140</v>
      </c>
      <c r="D242" s="14" t="s">
        <v>2000</v>
      </c>
      <c r="E242" s="22" t="s">
        <v>1996</v>
      </c>
      <c r="F242" s="163" t="s">
        <v>16</v>
      </c>
      <c r="G242" s="22" t="s">
        <v>2001</v>
      </c>
      <c r="H242" s="108">
        <v>30</v>
      </c>
      <c r="I242" s="109">
        <v>8</v>
      </c>
      <c r="J242" s="8">
        <v>240</v>
      </c>
      <c r="K242" s="39">
        <v>2.44</v>
      </c>
      <c r="L242" s="139">
        <v>44203</v>
      </c>
      <c r="M242" s="33"/>
      <c r="N242" s="33">
        <v>44203</v>
      </c>
      <c r="O242" s="32">
        <v>2807</v>
      </c>
      <c r="P242" s="39">
        <f>ROUNDUP(S242/0.75/90,2)</f>
        <v>1.54</v>
      </c>
      <c r="Q242" s="322">
        <v>1.54</v>
      </c>
      <c r="S242" s="92">
        <v>103.5</v>
      </c>
      <c r="T242" s="7">
        <f>S242*J242</f>
        <v>24840</v>
      </c>
      <c r="U242" s="733"/>
      <c r="V242" s="257"/>
    </row>
    <row r="243" spans="2:22" customFormat="1" ht="18" customHeight="1">
      <c r="B243" s="26"/>
      <c r="C243" s="6" t="s">
        <v>2140</v>
      </c>
      <c r="D243" s="14" t="s">
        <v>2000</v>
      </c>
      <c r="E243" s="723"/>
      <c r="F243" s="64"/>
      <c r="G243" s="37" t="s">
        <v>14</v>
      </c>
      <c r="H243" s="8"/>
      <c r="I243" s="8"/>
      <c r="J243" s="38">
        <v>1</v>
      </c>
      <c r="K243" s="39">
        <v>15</v>
      </c>
      <c r="L243" s="139">
        <v>44203</v>
      </c>
      <c r="M243" s="33"/>
      <c r="N243" s="33">
        <v>44203</v>
      </c>
      <c r="O243" s="32">
        <v>2807</v>
      </c>
      <c r="P243" s="4"/>
      <c r="Q243" s="724">
        <v>15</v>
      </c>
      <c r="R243" s="1"/>
      <c r="S243" s="197">
        <v>1000</v>
      </c>
      <c r="T243" s="7">
        <f>S243*J243</f>
        <v>1000</v>
      </c>
      <c r="U243" s="34"/>
      <c r="V243" s="256"/>
    </row>
    <row r="244" spans="2:22" s="191" customFormat="1" ht="15">
      <c r="B244" s="190"/>
      <c r="C244" s="179" t="s">
        <v>2140</v>
      </c>
      <c r="D244" s="180" t="s">
        <v>2000</v>
      </c>
      <c r="E244" s="181"/>
      <c r="F244" s="182"/>
      <c r="G244" s="182" t="s">
        <v>250</v>
      </c>
      <c r="H244" s="184" t="s">
        <v>252</v>
      </c>
      <c r="I244" s="185"/>
      <c r="J244" s="183"/>
      <c r="K244" s="203" t="s">
        <v>374</v>
      </c>
      <c r="L244" s="188">
        <v>44203</v>
      </c>
      <c r="M244" s="187"/>
      <c r="N244" s="187">
        <v>44203</v>
      </c>
      <c r="O244" s="186">
        <v>2807</v>
      </c>
      <c r="P244" s="179"/>
      <c r="Q244" s="725">
        <v>75</v>
      </c>
      <c r="S244" s="197">
        <v>3235</v>
      </c>
      <c r="T244" s="197">
        <v>3235</v>
      </c>
      <c r="U244" s="335"/>
      <c r="V244" s="726"/>
    </row>
    <row r="245" spans="2:22" s="7" customFormat="1" ht="15">
      <c r="B245" s="12"/>
      <c r="C245" s="6" t="s">
        <v>2141</v>
      </c>
      <c r="D245" s="14" t="s">
        <v>2086</v>
      </c>
      <c r="E245" s="19" t="s">
        <v>2117</v>
      </c>
      <c r="F245" s="24"/>
      <c r="G245" s="22"/>
      <c r="H245" s="60"/>
      <c r="I245" s="61"/>
      <c r="J245" s="60"/>
      <c r="K245" s="16" t="s">
        <v>5</v>
      </c>
      <c r="L245" s="139">
        <v>44202</v>
      </c>
      <c r="M245" s="33"/>
      <c r="N245" s="33">
        <v>44202</v>
      </c>
      <c r="O245" s="32">
        <v>2812</v>
      </c>
      <c r="P245" s="6"/>
      <c r="Q245" s="358"/>
      <c r="U245" s="120"/>
      <c r="V245" s="257"/>
    </row>
    <row r="246" spans="2:22" s="7" customFormat="1" ht="15">
      <c r="B246" s="12"/>
      <c r="C246" s="6" t="s">
        <v>2141</v>
      </c>
      <c r="D246" s="14" t="s">
        <v>2086</v>
      </c>
      <c r="E246" s="19" t="s">
        <v>2142</v>
      </c>
      <c r="F246" s="24"/>
      <c r="G246" s="22" t="s">
        <v>2143</v>
      </c>
      <c r="H246" s="108">
        <v>13.7</v>
      </c>
      <c r="I246" s="109">
        <v>2</v>
      </c>
      <c r="J246" s="108">
        <f>H246*I246</f>
        <v>27.4</v>
      </c>
      <c r="K246" s="39">
        <v>2.89</v>
      </c>
      <c r="L246" s="139">
        <v>44202</v>
      </c>
      <c r="M246" s="33"/>
      <c r="N246" s="33">
        <v>44202</v>
      </c>
      <c r="O246" s="32">
        <v>2812</v>
      </c>
      <c r="P246" s="39">
        <v>2.3199999999999998</v>
      </c>
      <c r="Q246" s="322">
        <v>2.3199999999999998</v>
      </c>
      <c r="R246" s="23"/>
      <c r="S246" s="7">
        <v>156</v>
      </c>
      <c r="T246" s="7">
        <f>S246*J246</f>
        <v>4274.3999999999996</v>
      </c>
      <c r="U246" s="14"/>
      <c r="V246" s="257"/>
    </row>
    <row r="247" spans="2:22" s="7" customFormat="1" ht="16.899999999999999" customHeight="1">
      <c r="B247" s="12"/>
      <c r="C247" s="6" t="s">
        <v>2141</v>
      </c>
      <c r="D247" s="14" t="s">
        <v>2086</v>
      </c>
      <c r="E247" s="22"/>
      <c r="F247" s="340"/>
      <c r="G247" s="37" t="s">
        <v>14</v>
      </c>
      <c r="H247" s="8"/>
      <c r="I247" s="109" ph="1"/>
      <c r="J247" s="38">
        <v>1</v>
      </c>
      <c r="K247" s="39">
        <v>12</v>
      </c>
      <c r="L247" s="139">
        <v>44202</v>
      </c>
      <c r="M247" s="33"/>
      <c r="N247" s="33">
        <v>44202</v>
      </c>
      <c r="O247" s="32">
        <v>2812</v>
      </c>
      <c r="P247" s="6"/>
      <c r="Q247" s="322">
        <v>12</v>
      </c>
      <c r="S247" s="7">
        <v>490</v>
      </c>
      <c r="T247" s="7">
        <f>S247*J247</f>
        <v>490</v>
      </c>
      <c r="U247" s="21"/>
      <c r="V247" s="257"/>
    </row>
    <row r="248" spans="2:22" s="191" customFormat="1" ht="15">
      <c r="B248" s="190"/>
      <c r="C248" s="179" t="s">
        <v>2141</v>
      </c>
      <c r="D248" s="180" t="s">
        <v>2086</v>
      </c>
      <c r="E248" s="181"/>
      <c r="F248" s="182"/>
      <c r="G248" s="182" t="s">
        <v>250</v>
      </c>
      <c r="H248" s="184" t="s">
        <v>252</v>
      </c>
      <c r="I248" s="185"/>
      <c r="J248" s="183"/>
      <c r="K248" s="203">
        <v>40</v>
      </c>
      <c r="L248" s="188">
        <v>44202</v>
      </c>
      <c r="M248" s="187"/>
      <c r="N248" s="187">
        <v>44202</v>
      </c>
      <c r="O248" s="186">
        <v>2812</v>
      </c>
      <c r="P248" s="179"/>
      <c r="Q248" s="747">
        <v>28</v>
      </c>
      <c r="S248" s="197">
        <v>2590</v>
      </c>
      <c r="T248" s="197">
        <v>2590</v>
      </c>
      <c r="U248" s="335"/>
      <c r="V248" s="726"/>
    </row>
    <row r="249" spans="2:22" s="7" customFormat="1" ht="18" customHeight="1">
      <c r="B249" s="12"/>
      <c r="C249" s="6" t="s">
        <v>2144</v>
      </c>
      <c r="D249" s="14" t="s">
        <v>1975</v>
      </c>
      <c r="E249" s="17" t="s">
        <v>1976</v>
      </c>
      <c r="F249" s="727"/>
      <c r="G249" s="14"/>
      <c r="H249" s="728"/>
      <c r="I249" s="61"/>
      <c r="J249" s="60"/>
      <c r="K249" s="110" t="s">
        <v>4</v>
      </c>
      <c r="L249" s="139">
        <v>44202</v>
      </c>
      <c r="M249" s="33"/>
      <c r="N249" s="33">
        <v>44202</v>
      </c>
      <c r="O249" s="32">
        <v>2813</v>
      </c>
      <c r="P249" s="6"/>
      <c r="Q249" s="358"/>
      <c r="U249" s="120"/>
      <c r="V249" s="257"/>
    </row>
    <row r="250" spans="2:22" s="7" customFormat="1" ht="15" customHeight="1">
      <c r="B250" s="12"/>
      <c r="C250" s="6" t="s">
        <v>2144</v>
      </c>
      <c r="D250" s="14" t="s">
        <v>1975</v>
      </c>
      <c r="E250" s="22">
        <v>12701</v>
      </c>
      <c r="F250" s="37">
        <v>9</v>
      </c>
      <c r="G250" s="22" t="s">
        <v>177</v>
      </c>
      <c r="H250" s="8">
        <v>10</v>
      </c>
      <c r="I250" s="35">
        <v>1</v>
      </c>
      <c r="J250" s="8">
        <v>10</v>
      </c>
      <c r="K250" s="39">
        <v>5.04</v>
      </c>
      <c r="L250" s="139">
        <v>44202</v>
      </c>
      <c r="M250" s="33"/>
      <c r="N250" s="33">
        <v>44202</v>
      </c>
      <c r="O250" s="32">
        <v>2813</v>
      </c>
      <c r="P250" s="6"/>
      <c r="Q250" s="322"/>
      <c r="S250" s="7">
        <v>378</v>
      </c>
      <c r="T250" s="7">
        <f t="shared" ref="T250:T257" si="10">S250*I250</f>
        <v>378</v>
      </c>
      <c r="U250" s="39"/>
      <c r="V250" s="257"/>
    </row>
    <row r="251" spans="2:22" s="7" customFormat="1" ht="15" customHeight="1">
      <c r="B251" s="12"/>
      <c r="C251" s="6" t="s">
        <v>2144</v>
      </c>
      <c r="D251" s="14" t="s">
        <v>1975</v>
      </c>
      <c r="E251" s="22">
        <v>12701</v>
      </c>
      <c r="F251" s="37">
        <v>9</v>
      </c>
      <c r="G251" s="22" t="s">
        <v>1978</v>
      </c>
      <c r="H251" s="8">
        <v>10</v>
      </c>
      <c r="I251" s="35">
        <v>1</v>
      </c>
      <c r="J251" s="8">
        <v>10</v>
      </c>
      <c r="K251" s="39">
        <v>5.04</v>
      </c>
      <c r="L251" s="139">
        <v>44202</v>
      </c>
      <c r="M251" s="33"/>
      <c r="N251" s="33">
        <v>44202</v>
      </c>
      <c r="O251" s="32">
        <v>2813</v>
      </c>
      <c r="P251" s="6"/>
      <c r="Q251" s="322"/>
      <c r="S251" s="7">
        <v>378</v>
      </c>
      <c r="T251" s="7">
        <f t="shared" si="10"/>
        <v>378</v>
      </c>
      <c r="U251" s="39"/>
      <c r="V251" s="257"/>
    </row>
    <row r="252" spans="2:22" s="7" customFormat="1" ht="18" customHeight="1">
      <c r="B252" s="12"/>
      <c r="C252" s="6" t="s">
        <v>2144</v>
      </c>
      <c r="D252" s="14" t="s">
        <v>1975</v>
      </c>
      <c r="E252" s="22">
        <v>12701</v>
      </c>
      <c r="F252" s="37">
        <v>12</v>
      </c>
      <c r="G252" s="22" t="s">
        <v>177</v>
      </c>
      <c r="H252" s="8">
        <v>10</v>
      </c>
      <c r="I252" s="35">
        <v>1</v>
      </c>
      <c r="J252" s="8">
        <f>H252*I252</f>
        <v>10</v>
      </c>
      <c r="K252" s="39">
        <v>5.68</v>
      </c>
      <c r="L252" s="139">
        <v>44202</v>
      </c>
      <c r="M252" s="33"/>
      <c r="N252" s="33">
        <v>44202</v>
      </c>
      <c r="O252" s="32">
        <v>2813</v>
      </c>
      <c r="P252" s="6"/>
      <c r="Q252" s="322"/>
      <c r="S252" s="7">
        <v>426</v>
      </c>
      <c r="T252" s="7">
        <f t="shared" si="10"/>
        <v>426</v>
      </c>
      <c r="U252" s="39"/>
      <c r="V252" s="257"/>
    </row>
    <row r="253" spans="2:22" s="7" customFormat="1" ht="18" customHeight="1">
      <c r="B253" s="12"/>
      <c r="C253" s="6" t="s">
        <v>2144</v>
      </c>
      <c r="D253" s="14" t="s">
        <v>1975</v>
      </c>
      <c r="E253" s="22">
        <v>12701</v>
      </c>
      <c r="F253" s="37">
        <v>12</v>
      </c>
      <c r="G253" s="22" t="s">
        <v>219</v>
      </c>
      <c r="H253" s="8">
        <v>10</v>
      </c>
      <c r="I253" s="35">
        <v>1</v>
      </c>
      <c r="J253" s="8">
        <f>H253*I253</f>
        <v>10</v>
      </c>
      <c r="K253" s="39">
        <v>5.68</v>
      </c>
      <c r="L253" s="139">
        <v>44202</v>
      </c>
      <c r="M253" s="33"/>
      <c r="N253" s="33">
        <v>44202</v>
      </c>
      <c r="O253" s="32">
        <v>2813</v>
      </c>
      <c r="P253" s="6"/>
      <c r="Q253" s="322"/>
      <c r="S253" s="7">
        <v>426</v>
      </c>
      <c r="T253" s="7">
        <f t="shared" si="10"/>
        <v>426</v>
      </c>
      <c r="U253" s="39"/>
      <c r="V253" s="257"/>
    </row>
    <row r="254" spans="2:22" s="7" customFormat="1" ht="18" customHeight="1">
      <c r="B254" s="12"/>
      <c r="C254" s="6" t="s">
        <v>2144</v>
      </c>
      <c r="D254" s="14" t="s">
        <v>1975</v>
      </c>
      <c r="E254" s="22">
        <v>12701</v>
      </c>
      <c r="F254" s="37">
        <v>12</v>
      </c>
      <c r="G254" s="22" t="s">
        <v>2145</v>
      </c>
      <c r="H254" s="8">
        <v>10</v>
      </c>
      <c r="I254" s="35">
        <v>1</v>
      </c>
      <c r="J254" s="8">
        <f>H254*I254</f>
        <v>10</v>
      </c>
      <c r="K254" s="39">
        <v>5.68</v>
      </c>
      <c r="L254" s="139">
        <v>44202</v>
      </c>
      <c r="M254" s="33"/>
      <c r="N254" s="33">
        <v>44202</v>
      </c>
      <c r="O254" s="32">
        <v>2813</v>
      </c>
      <c r="P254" s="6"/>
      <c r="Q254" s="322"/>
      <c r="S254" s="7">
        <v>426</v>
      </c>
      <c r="T254" s="7">
        <f t="shared" si="10"/>
        <v>426</v>
      </c>
      <c r="U254" s="39"/>
      <c r="V254" s="257"/>
    </row>
    <row r="255" spans="2:22" s="7" customFormat="1" ht="18" customHeight="1">
      <c r="B255" s="12"/>
      <c r="C255" s="6" t="s">
        <v>2144</v>
      </c>
      <c r="D255" s="14" t="s">
        <v>1975</v>
      </c>
      <c r="E255" s="22">
        <v>12701</v>
      </c>
      <c r="F255" s="37">
        <v>12</v>
      </c>
      <c r="G255" s="22" t="s">
        <v>2146</v>
      </c>
      <c r="H255" s="8">
        <v>10</v>
      </c>
      <c r="I255" s="35">
        <v>1</v>
      </c>
      <c r="J255" s="8">
        <f>H255*I255</f>
        <v>10</v>
      </c>
      <c r="K255" s="39">
        <v>5.68</v>
      </c>
      <c r="L255" s="139">
        <v>44202</v>
      </c>
      <c r="M255" s="33"/>
      <c r="N255" s="33">
        <v>44202</v>
      </c>
      <c r="O255" s="32">
        <v>2813</v>
      </c>
      <c r="P255" s="6"/>
      <c r="Q255" s="322"/>
      <c r="S255" s="7">
        <v>426</v>
      </c>
      <c r="T255" s="7">
        <f t="shared" si="10"/>
        <v>426</v>
      </c>
      <c r="U255" s="39"/>
      <c r="V255" s="257"/>
    </row>
    <row r="256" spans="2:22" s="7" customFormat="1" ht="18" customHeight="1">
      <c r="B256" s="12"/>
      <c r="C256" s="6" t="s">
        <v>2144</v>
      </c>
      <c r="D256" s="14" t="s">
        <v>1975</v>
      </c>
      <c r="E256" s="22">
        <v>12701</v>
      </c>
      <c r="F256" s="37">
        <v>12</v>
      </c>
      <c r="G256" s="22" t="s">
        <v>1978</v>
      </c>
      <c r="H256" s="8">
        <v>10</v>
      </c>
      <c r="I256" s="35">
        <v>1</v>
      </c>
      <c r="J256" s="8">
        <f>H256*I256</f>
        <v>10</v>
      </c>
      <c r="K256" s="39">
        <v>5.68</v>
      </c>
      <c r="L256" s="139">
        <v>44202</v>
      </c>
      <c r="M256" s="33"/>
      <c r="N256" s="33">
        <v>44202</v>
      </c>
      <c r="O256" s="32">
        <v>2813</v>
      </c>
      <c r="P256" s="6"/>
      <c r="Q256" s="322"/>
      <c r="S256" s="7">
        <v>426</v>
      </c>
      <c r="T256" s="7">
        <f t="shared" si="10"/>
        <v>426</v>
      </c>
      <c r="U256" s="39"/>
      <c r="V256" s="257"/>
    </row>
    <row r="257" spans="2:22" s="7" customFormat="1" ht="18" customHeight="1">
      <c r="B257" s="12"/>
      <c r="C257" s="6" t="s">
        <v>2144</v>
      </c>
      <c r="D257" s="14" t="s">
        <v>1975</v>
      </c>
      <c r="E257" s="22">
        <v>12701</v>
      </c>
      <c r="F257" s="37">
        <v>18</v>
      </c>
      <c r="G257" s="22" t="s">
        <v>2147</v>
      </c>
      <c r="H257" s="8">
        <v>10</v>
      </c>
      <c r="I257" s="35">
        <v>1</v>
      </c>
      <c r="J257" s="8">
        <v>10</v>
      </c>
      <c r="K257" s="39">
        <v>7.34</v>
      </c>
      <c r="L257" s="139">
        <v>44202</v>
      </c>
      <c r="M257" s="33"/>
      <c r="N257" s="33">
        <v>44202</v>
      </c>
      <c r="O257" s="32">
        <v>2813</v>
      </c>
      <c r="P257" s="6"/>
      <c r="Q257" s="322"/>
      <c r="S257" s="7">
        <v>550</v>
      </c>
      <c r="T257" s="7">
        <f t="shared" si="10"/>
        <v>550</v>
      </c>
      <c r="U257" s="39"/>
      <c r="V257" s="257"/>
    </row>
    <row r="258" spans="2:22" s="218" customFormat="1" ht="17.25" customHeight="1">
      <c r="B258" s="189"/>
      <c r="C258" s="179" t="s">
        <v>2144</v>
      </c>
      <c r="D258" s="180" t="s">
        <v>1975</v>
      </c>
      <c r="E258" s="217"/>
      <c r="F258" s="182"/>
      <c r="G258" s="182" t="s">
        <v>1955</v>
      </c>
      <c r="H258" s="183" t="s">
        <v>252</v>
      </c>
      <c r="I258" s="185"/>
      <c r="J258" s="222"/>
      <c r="K258" s="203">
        <v>45</v>
      </c>
      <c r="L258" s="188">
        <v>44202</v>
      </c>
      <c r="M258" s="187"/>
      <c r="N258" s="187">
        <v>44202</v>
      </c>
      <c r="O258" s="186">
        <v>2813</v>
      </c>
      <c r="P258" s="387"/>
      <c r="Q258" s="193"/>
      <c r="S258" s="197">
        <v>3765</v>
      </c>
      <c r="T258" s="197">
        <v>3765</v>
      </c>
      <c r="U258" s="729"/>
      <c r="V258" s="730"/>
    </row>
    <row r="259" spans="2:22" s="7" customFormat="1" ht="15">
      <c r="B259" s="12"/>
      <c r="C259" s="6" t="s">
        <v>2148</v>
      </c>
      <c r="D259" s="6" t="s">
        <v>2149</v>
      </c>
      <c r="E259" s="19" t="s">
        <v>63</v>
      </c>
      <c r="F259" s="24"/>
      <c r="G259" s="22"/>
      <c r="H259" s="15"/>
      <c r="I259" s="61"/>
      <c r="J259" s="60"/>
      <c r="K259" s="16" t="s">
        <v>5</v>
      </c>
      <c r="L259" s="139">
        <v>44208</v>
      </c>
      <c r="M259" s="33"/>
      <c r="N259" s="33">
        <v>44208</v>
      </c>
      <c r="O259" s="32">
        <v>2822</v>
      </c>
      <c r="P259" s="6" t="s">
        <v>3</v>
      </c>
      <c r="Q259" s="358"/>
      <c r="U259" s="120"/>
      <c r="V259" s="257"/>
    </row>
    <row r="260" spans="2:22" s="7" customFormat="1" ht="18.600000000000001" customHeight="1">
      <c r="B260" s="12"/>
      <c r="C260" s="6" t="s">
        <v>2148</v>
      </c>
      <c r="D260" s="6" t="s">
        <v>2149</v>
      </c>
      <c r="E260" s="22" t="s">
        <v>2150</v>
      </c>
      <c r="F260" s="37"/>
      <c r="G260" s="37" t="s">
        <v>100</v>
      </c>
      <c r="H260" s="108">
        <v>13.7</v>
      </c>
      <c r="I260" s="109">
        <v>4</v>
      </c>
      <c r="J260" s="108">
        <f>H260*I260</f>
        <v>54.8</v>
      </c>
      <c r="K260" s="39">
        <v>2.17</v>
      </c>
      <c r="L260" s="139">
        <v>44208</v>
      </c>
      <c r="M260" s="33"/>
      <c r="N260" s="33">
        <v>44208</v>
      </c>
      <c r="O260" s="32">
        <v>2822</v>
      </c>
      <c r="P260" s="39">
        <f>ROUNDUP(S260/0.75/90,2)</f>
        <v>1.74</v>
      </c>
      <c r="Q260" s="322">
        <v>1.74</v>
      </c>
      <c r="S260" s="7">
        <v>117</v>
      </c>
      <c r="T260" s="7">
        <f>S260*J260</f>
        <v>6411.5999999999995</v>
      </c>
      <c r="V260" s="257"/>
    </row>
    <row r="261" spans="2:22" s="7" customFormat="1" ht="15">
      <c r="B261" s="12"/>
      <c r="C261" s="6" t="s">
        <v>2148</v>
      </c>
      <c r="D261" s="6" t="s">
        <v>2149</v>
      </c>
      <c r="E261" s="22"/>
      <c r="F261" s="102"/>
      <c r="G261" s="22" t="s">
        <v>14</v>
      </c>
      <c r="H261" s="8"/>
      <c r="I261" s="35"/>
      <c r="J261" s="38">
        <v>1</v>
      </c>
      <c r="K261" s="39">
        <v>12</v>
      </c>
      <c r="L261" s="139">
        <v>44208</v>
      </c>
      <c r="M261" s="33"/>
      <c r="N261" s="33">
        <v>44208</v>
      </c>
      <c r="O261" s="32">
        <v>2822</v>
      </c>
      <c r="P261" s="6" t="s">
        <v>3</v>
      </c>
      <c r="Q261" s="322">
        <v>12</v>
      </c>
      <c r="S261" s="7">
        <v>900</v>
      </c>
      <c r="T261" s="7">
        <f>S261*J261</f>
        <v>900</v>
      </c>
      <c r="U261" s="21"/>
      <c r="V261" s="257"/>
    </row>
    <row r="262" spans="2:22" s="191" customFormat="1" ht="15">
      <c r="B262" s="190"/>
      <c r="C262" s="179" t="s">
        <v>2148</v>
      </c>
      <c r="D262" s="179" t="s">
        <v>2149</v>
      </c>
      <c r="E262" s="181"/>
      <c r="F262" s="182"/>
      <c r="G262" s="182" t="s">
        <v>250</v>
      </c>
      <c r="H262" s="184" t="s">
        <v>252</v>
      </c>
      <c r="I262" s="185"/>
      <c r="J262" s="183"/>
      <c r="K262" s="203">
        <v>47</v>
      </c>
      <c r="L262" s="188">
        <v>44208</v>
      </c>
      <c r="M262" s="187"/>
      <c r="N262" s="187">
        <v>44208</v>
      </c>
      <c r="O262" s="186">
        <v>2822</v>
      </c>
      <c r="P262" s="179"/>
      <c r="Q262" s="747">
        <v>35</v>
      </c>
      <c r="S262" s="197">
        <v>2660</v>
      </c>
      <c r="T262" s="197">
        <v>2660</v>
      </c>
      <c r="U262" s="335"/>
      <c r="V262" s="726"/>
    </row>
    <row r="263" spans="2:22" s="147" customFormat="1" ht="18" customHeight="1">
      <c r="B263" s="157"/>
      <c r="C263" s="145" t="s">
        <v>2151</v>
      </c>
      <c r="D263" s="149" t="s">
        <v>1975</v>
      </c>
      <c r="E263" s="753" t="s">
        <v>1976</v>
      </c>
      <c r="F263" s="754"/>
      <c r="G263" s="149"/>
      <c r="H263" s="755"/>
      <c r="I263" s="371"/>
      <c r="J263" s="146"/>
      <c r="K263" s="377" t="s">
        <v>4</v>
      </c>
      <c r="L263" s="135"/>
      <c r="M263" s="370"/>
      <c r="N263" s="370"/>
      <c r="O263" s="134"/>
      <c r="P263" s="145"/>
      <c r="Q263" s="756"/>
      <c r="U263" s="757"/>
      <c r="V263" s="259"/>
    </row>
    <row r="264" spans="2:22" s="147" customFormat="1" ht="15" customHeight="1">
      <c r="B264" s="157"/>
      <c r="C264" s="145" t="s">
        <v>2151</v>
      </c>
      <c r="D264" s="149" t="s">
        <v>1975</v>
      </c>
      <c r="E264" s="758">
        <v>12701</v>
      </c>
      <c r="F264" s="129">
        <v>50</v>
      </c>
      <c r="G264" s="122" t="s">
        <v>2152</v>
      </c>
      <c r="H264" s="151">
        <v>10</v>
      </c>
      <c r="I264" s="152">
        <v>1</v>
      </c>
      <c r="J264" s="151">
        <v>10</v>
      </c>
      <c r="K264" s="132">
        <v>20.399999999999999</v>
      </c>
      <c r="L264" s="135"/>
      <c r="M264" s="370"/>
      <c r="N264" s="370"/>
      <c r="O264" s="134"/>
      <c r="P264" s="145"/>
      <c r="Q264" s="379"/>
      <c r="S264" s="147">
        <v>1530</v>
      </c>
      <c r="T264" s="147">
        <f>S264*I264</f>
        <v>1530</v>
      </c>
      <c r="U264" s="132"/>
      <c r="V264" s="259"/>
    </row>
    <row r="265" spans="2:22" s="147" customFormat="1" ht="15" customHeight="1">
      <c r="B265" s="157"/>
      <c r="C265" s="145" t="s">
        <v>2151</v>
      </c>
      <c r="D265" s="149" t="s">
        <v>1975</v>
      </c>
      <c r="E265" s="758">
        <v>12701</v>
      </c>
      <c r="F265" s="129">
        <v>50</v>
      </c>
      <c r="G265" s="122" t="s">
        <v>2146</v>
      </c>
      <c r="H265" s="151">
        <v>10</v>
      </c>
      <c r="I265" s="152">
        <v>1</v>
      </c>
      <c r="J265" s="151">
        <v>10</v>
      </c>
      <c r="K265" s="132">
        <v>20.399999999999999</v>
      </c>
      <c r="L265" s="135"/>
      <c r="M265" s="370"/>
      <c r="N265" s="370"/>
      <c r="O265" s="134"/>
      <c r="P265" s="145"/>
      <c r="Q265" s="379"/>
      <c r="S265" s="147">
        <v>1530</v>
      </c>
      <c r="T265" s="147">
        <f>S265*I265</f>
        <v>1530</v>
      </c>
      <c r="U265" s="132"/>
      <c r="V265" s="259"/>
    </row>
    <row r="266" spans="2:22" s="147" customFormat="1" ht="15" customHeight="1">
      <c r="B266" s="157"/>
      <c r="C266" s="145" t="s">
        <v>2151</v>
      </c>
      <c r="D266" s="149" t="s">
        <v>1975</v>
      </c>
      <c r="E266" s="758">
        <v>12701</v>
      </c>
      <c r="F266" s="129">
        <v>50</v>
      </c>
      <c r="G266" s="122" t="s">
        <v>1978</v>
      </c>
      <c r="H266" s="151">
        <v>10</v>
      </c>
      <c r="I266" s="152">
        <v>1</v>
      </c>
      <c r="J266" s="151">
        <v>10</v>
      </c>
      <c r="K266" s="132">
        <v>20.399999999999999</v>
      </c>
      <c r="L266" s="135"/>
      <c r="M266" s="370"/>
      <c r="N266" s="370"/>
      <c r="O266" s="134"/>
      <c r="P266" s="145"/>
      <c r="Q266" s="379"/>
      <c r="S266" s="147">
        <v>1530</v>
      </c>
      <c r="T266" s="147">
        <f>S266*I266</f>
        <v>1530</v>
      </c>
      <c r="U266" s="132"/>
      <c r="V266" s="259"/>
    </row>
    <row r="267" spans="2:22" s="147" customFormat="1" ht="17.25" customHeight="1">
      <c r="B267" s="157"/>
      <c r="C267" s="145" t="s">
        <v>2151</v>
      </c>
      <c r="D267" s="149" t="s">
        <v>1975</v>
      </c>
      <c r="E267" s="122"/>
      <c r="F267" s="129"/>
      <c r="G267" s="129" t="s">
        <v>1955</v>
      </c>
      <c r="H267" s="148" t="s">
        <v>252</v>
      </c>
      <c r="I267" s="156"/>
      <c r="J267" s="151"/>
      <c r="K267" s="759" t="s">
        <v>253</v>
      </c>
      <c r="L267" s="135"/>
      <c r="M267" s="370"/>
      <c r="N267" s="370"/>
      <c r="O267" s="134"/>
      <c r="P267" s="760"/>
      <c r="Q267" s="379"/>
      <c r="S267" s="286" t="s">
        <v>253</v>
      </c>
      <c r="T267" s="286"/>
      <c r="U267" s="761"/>
      <c r="V267" s="259"/>
    </row>
    <row r="268" spans="2:22" s="7" customFormat="1" ht="18" customHeight="1">
      <c r="B268" s="12"/>
      <c r="C268" s="6" t="s">
        <v>2153</v>
      </c>
      <c r="D268" s="14" t="s">
        <v>1949</v>
      </c>
      <c r="E268" s="19" t="s">
        <v>1950</v>
      </c>
      <c r="F268" s="37"/>
      <c r="G268" s="37"/>
      <c r="H268" s="108"/>
      <c r="I268" s="108"/>
      <c r="J268" s="108"/>
      <c r="K268" s="29" t="s">
        <v>5</v>
      </c>
      <c r="L268" s="139">
        <v>44214</v>
      </c>
      <c r="M268" s="33"/>
      <c r="N268" s="33">
        <v>44214</v>
      </c>
      <c r="O268" s="32">
        <v>2828</v>
      </c>
      <c r="P268" s="6"/>
      <c r="Q268" s="339"/>
      <c r="U268" s="21"/>
      <c r="V268" s="257"/>
    </row>
    <row r="269" spans="2:22" s="7" customFormat="1" ht="17.25" customHeight="1">
      <c r="B269" s="12"/>
      <c r="C269" s="6" t="s">
        <v>2153</v>
      </c>
      <c r="D269" s="14" t="s">
        <v>1949</v>
      </c>
      <c r="E269" s="22">
        <v>3808</v>
      </c>
      <c r="F269" s="37">
        <v>9</v>
      </c>
      <c r="G269" s="37" t="s">
        <v>1952</v>
      </c>
      <c r="H269" s="108">
        <v>50</v>
      </c>
      <c r="I269" s="109">
        <v>2</v>
      </c>
      <c r="J269" s="8">
        <f>H269*I269</f>
        <v>100</v>
      </c>
      <c r="K269" s="39">
        <v>0.56999999999999995</v>
      </c>
      <c r="L269" s="139">
        <v>44214</v>
      </c>
      <c r="M269" s="33"/>
      <c r="N269" s="33">
        <v>44214</v>
      </c>
      <c r="O269" s="32">
        <v>2828</v>
      </c>
      <c r="P269" s="722"/>
      <c r="Q269" s="322">
        <v>0.27</v>
      </c>
      <c r="S269" s="7">
        <v>18</v>
      </c>
      <c r="T269" s="7">
        <f>S269*J269</f>
        <v>1800</v>
      </c>
      <c r="U269" s="21"/>
      <c r="V269" s="257"/>
    </row>
    <row r="270" spans="2:22" s="7" customFormat="1" ht="17.25" customHeight="1">
      <c r="B270" s="12"/>
      <c r="C270" s="6" t="s">
        <v>2153</v>
      </c>
      <c r="D270" s="14" t="s">
        <v>1949</v>
      </c>
      <c r="E270" s="22">
        <v>3808</v>
      </c>
      <c r="F270" s="37">
        <v>9</v>
      </c>
      <c r="G270" s="37" t="s">
        <v>1954</v>
      </c>
      <c r="H270" s="108">
        <v>50</v>
      </c>
      <c r="I270" s="109">
        <v>2</v>
      </c>
      <c r="J270" s="8">
        <f>H270*I270</f>
        <v>100</v>
      </c>
      <c r="K270" s="39">
        <v>0.56999999999999995</v>
      </c>
      <c r="L270" s="139">
        <v>44214</v>
      </c>
      <c r="M270" s="33"/>
      <c r="N270" s="33">
        <v>44214</v>
      </c>
      <c r="O270" s="32">
        <v>2828</v>
      </c>
      <c r="P270" s="722"/>
      <c r="Q270" s="322">
        <v>0.27</v>
      </c>
      <c r="S270" s="7">
        <v>18</v>
      </c>
      <c r="T270" s="7">
        <f>S270*J270</f>
        <v>1800</v>
      </c>
      <c r="U270" s="21"/>
      <c r="V270" s="257"/>
    </row>
    <row r="271" spans="2:22" s="7" customFormat="1" ht="17.25" customHeight="1">
      <c r="B271" s="12"/>
      <c r="C271" s="6" t="s">
        <v>2153</v>
      </c>
      <c r="D271" s="14" t="s">
        <v>1949</v>
      </c>
      <c r="E271" s="22">
        <v>3808</v>
      </c>
      <c r="F271" s="37">
        <v>9</v>
      </c>
      <c r="G271" s="37" t="s">
        <v>2154</v>
      </c>
      <c r="H271" s="108">
        <v>50</v>
      </c>
      <c r="I271" s="109">
        <v>4</v>
      </c>
      <c r="J271" s="8">
        <f>H271*I271</f>
        <v>200</v>
      </c>
      <c r="K271" s="39">
        <v>0.56999999999999995</v>
      </c>
      <c r="L271" s="139">
        <v>44214</v>
      </c>
      <c r="M271" s="33"/>
      <c r="N271" s="33">
        <v>44214</v>
      </c>
      <c r="O271" s="32">
        <v>2828</v>
      </c>
      <c r="P271" s="722"/>
      <c r="Q271" s="322">
        <v>0.27</v>
      </c>
      <c r="S271" s="7">
        <v>18</v>
      </c>
      <c r="T271" s="7">
        <f>S271*J271</f>
        <v>3600</v>
      </c>
      <c r="U271" s="21"/>
      <c r="V271" s="257"/>
    </row>
    <row r="272" spans="2:22" customFormat="1" ht="18" customHeight="1">
      <c r="B272" s="26"/>
      <c r="C272" s="6" t="s">
        <v>2153</v>
      </c>
      <c r="D272" s="14" t="s">
        <v>1949</v>
      </c>
      <c r="E272" s="723"/>
      <c r="F272" s="64"/>
      <c r="G272" s="37" t="s">
        <v>14</v>
      </c>
      <c r="H272" s="8"/>
      <c r="I272" s="8"/>
      <c r="J272" s="38">
        <v>1</v>
      </c>
      <c r="K272" s="39">
        <v>12</v>
      </c>
      <c r="L272" s="139">
        <v>44214</v>
      </c>
      <c r="M272" s="33"/>
      <c r="N272" s="33">
        <v>44214</v>
      </c>
      <c r="O272" s="32">
        <v>2828</v>
      </c>
      <c r="P272" s="4"/>
      <c r="Q272" s="724">
        <v>12</v>
      </c>
      <c r="R272" s="1"/>
      <c r="S272" s="7">
        <v>1000</v>
      </c>
      <c r="T272" s="7">
        <f>S272*J272</f>
        <v>1000</v>
      </c>
      <c r="U272" s="34"/>
      <c r="V272" s="256"/>
    </row>
    <row r="273" spans="2:22" s="191" customFormat="1" ht="18" customHeight="1">
      <c r="B273" s="190"/>
      <c r="C273" s="179" t="s">
        <v>2153</v>
      </c>
      <c r="D273" s="180" t="s">
        <v>1949</v>
      </c>
      <c r="E273" s="736"/>
      <c r="F273" s="737"/>
      <c r="G273" s="182" t="s">
        <v>1955</v>
      </c>
      <c r="H273" s="222">
        <v>400</v>
      </c>
      <c r="I273" s="222"/>
      <c r="J273" s="222"/>
      <c r="K273" s="192">
        <v>0.23</v>
      </c>
      <c r="L273" s="188">
        <v>44214</v>
      </c>
      <c r="M273" s="187"/>
      <c r="N273" s="187">
        <v>44214</v>
      </c>
      <c r="O273" s="186">
        <v>2828</v>
      </c>
      <c r="P273" s="327"/>
      <c r="Q273" s="762">
        <v>92</v>
      </c>
      <c r="S273" s="198">
        <v>2385</v>
      </c>
      <c r="T273" s="198">
        <v>2385</v>
      </c>
      <c r="U273" s="738"/>
      <c r="V273" s="726"/>
    </row>
    <row r="274" spans="2:22" s="7" customFormat="1" ht="18" customHeight="1">
      <c r="B274" s="12"/>
      <c r="C274" s="6" t="s">
        <v>2155</v>
      </c>
      <c r="D274" s="14" t="s">
        <v>2156</v>
      </c>
      <c r="E274" s="19" t="s">
        <v>238</v>
      </c>
      <c r="F274" s="107"/>
      <c r="G274" s="22"/>
      <c r="H274" s="108"/>
      <c r="I274" s="109"/>
      <c r="J274" s="108"/>
      <c r="K274" s="110" t="s">
        <v>5</v>
      </c>
      <c r="L274" s="139">
        <v>44249</v>
      </c>
      <c r="M274" s="33"/>
      <c r="N274" s="33">
        <v>44249</v>
      </c>
      <c r="O274" s="32">
        <v>2829</v>
      </c>
      <c r="P274" s="14"/>
      <c r="Q274" s="322"/>
      <c r="U274" s="14"/>
      <c r="V274" s="257"/>
    </row>
    <row r="275" spans="2:22" s="7" customFormat="1" ht="18" customHeight="1">
      <c r="B275" s="12"/>
      <c r="C275" s="6" t="s">
        <v>2155</v>
      </c>
      <c r="D275" s="14" t="s">
        <v>2156</v>
      </c>
      <c r="E275" s="22" t="s">
        <v>239</v>
      </c>
      <c r="F275" s="107">
        <v>150</v>
      </c>
      <c r="G275" s="22" t="s">
        <v>1965</v>
      </c>
      <c r="H275" s="108">
        <v>42</v>
      </c>
      <c r="I275" s="109">
        <v>1</v>
      </c>
      <c r="J275" s="8">
        <f>H275*I275</f>
        <v>42</v>
      </c>
      <c r="K275" s="39">
        <v>7.94</v>
      </c>
      <c r="L275" s="139">
        <v>44249</v>
      </c>
      <c r="M275" s="33"/>
      <c r="N275" s="33">
        <v>44249</v>
      </c>
      <c r="O275" s="32">
        <v>2829</v>
      </c>
      <c r="P275" s="6"/>
      <c r="Q275" s="322">
        <v>5.81</v>
      </c>
      <c r="S275" s="7">
        <v>470</v>
      </c>
      <c r="T275" s="7">
        <f t="shared" ref="T275:T280" si="11">S275*J275</f>
        <v>19740</v>
      </c>
      <c r="U275" s="21"/>
      <c r="V275" s="257"/>
    </row>
    <row r="276" spans="2:22" s="7" customFormat="1" ht="18" customHeight="1">
      <c r="B276" s="12"/>
      <c r="C276" s="6" t="s">
        <v>2155</v>
      </c>
      <c r="D276" s="14" t="s">
        <v>2156</v>
      </c>
      <c r="E276" s="22" t="s">
        <v>239</v>
      </c>
      <c r="F276" s="107">
        <v>150</v>
      </c>
      <c r="G276" s="22" t="s">
        <v>1965</v>
      </c>
      <c r="H276" s="108">
        <v>47</v>
      </c>
      <c r="I276" s="109">
        <v>1</v>
      </c>
      <c r="J276" s="8">
        <f>H276*I276</f>
        <v>47</v>
      </c>
      <c r="K276" s="39">
        <v>7.94</v>
      </c>
      <c r="L276" s="139">
        <v>44249</v>
      </c>
      <c r="M276" s="33"/>
      <c r="N276" s="33">
        <v>44249</v>
      </c>
      <c r="O276" s="32">
        <v>2829</v>
      </c>
      <c r="P276" s="6"/>
      <c r="Q276" s="322">
        <v>5.81</v>
      </c>
      <c r="S276" s="7">
        <v>470</v>
      </c>
      <c r="T276" s="7">
        <f t="shared" si="11"/>
        <v>22090</v>
      </c>
      <c r="U276" s="21"/>
      <c r="V276" s="257"/>
    </row>
    <row r="277" spans="2:22" s="7" customFormat="1" ht="18" customHeight="1">
      <c r="B277" s="12"/>
      <c r="C277" s="6" t="s">
        <v>2155</v>
      </c>
      <c r="D277" s="14" t="s">
        <v>2156</v>
      </c>
      <c r="E277" s="22" t="s">
        <v>239</v>
      </c>
      <c r="F277" s="107">
        <v>150</v>
      </c>
      <c r="G277" s="22" t="s">
        <v>1965</v>
      </c>
      <c r="H277" s="108">
        <v>53</v>
      </c>
      <c r="I277" s="109">
        <v>1</v>
      </c>
      <c r="J277" s="8">
        <f>H277*I277</f>
        <v>53</v>
      </c>
      <c r="K277" s="39">
        <v>7.94</v>
      </c>
      <c r="L277" s="139">
        <v>44249</v>
      </c>
      <c r="M277" s="33"/>
      <c r="N277" s="33">
        <v>44249</v>
      </c>
      <c r="O277" s="32">
        <v>2829</v>
      </c>
      <c r="P277" s="6"/>
      <c r="Q277" s="322">
        <v>5.81</v>
      </c>
      <c r="S277" s="7">
        <v>470</v>
      </c>
      <c r="T277" s="7">
        <f t="shared" si="11"/>
        <v>24910</v>
      </c>
      <c r="U277" s="21"/>
      <c r="V277" s="257"/>
    </row>
    <row r="278" spans="2:22" s="7" customFormat="1" ht="18" customHeight="1">
      <c r="B278" s="12"/>
      <c r="C278" s="6" t="s">
        <v>2155</v>
      </c>
      <c r="D278" s="14" t="s">
        <v>2156</v>
      </c>
      <c r="E278" s="22" t="s">
        <v>239</v>
      </c>
      <c r="F278" s="107">
        <v>150</v>
      </c>
      <c r="G278" s="22" t="s">
        <v>1965</v>
      </c>
      <c r="H278" s="108">
        <v>54</v>
      </c>
      <c r="I278" s="109">
        <v>2</v>
      </c>
      <c r="J278" s="8">
        <f>H278*I278</f>
        <v>108</v>
      </c>
      <c r="K278" s="39">
        <v>7.94</v>
      </c>
      <c r="L278" s="139">
        <v>44249</v>
      </c>
      <c r="M278" s="33"/>
      <c r="N278" s="33">
        <v>44249</v>
      </c>
      <c r="O278" s="32">
        <v>2829</v>
      </c>
      <c r="P278" s="6"/>
      <c r="Q278" s="322">
        <v>5.81</v>
      </c>
      <c r="S278" s="7">
        <v>470</v>
      </c>
      <c r="T278" s="7">
        <f t="shared" si="11"/>
        <v>50760</v>
      </c>
      <c r="U278" s="21"/>
      <c r="V278" s="257"/>
    </row>
    <row r="279" spans="2:22" s="7" customFormat="1" ht="18" customHeight="1">
      <c r="B279" s="12"/>
      <c r="C279" s="6" t="s">
        <v>2155</v>
      </c>
      <c r="D279" s="14" t="s">
        <v>2156</v>
      </c>
      <c r="E279" s="22" t="s">
        <v>239</v>
      </c>
      <c r="F279" s="107">
        <v>150</v>
      </c>
      <c r="G279" s="22" t="s">
        <v>1965</v>
      </c>
      <c r="H279" s="108">
        <v>50</v>
      </c>
      <c r="I279" s="109">
        <v>1</v>
      </c>
      <c r="J279" s="8">
        <f>H279*I279</f>
        <v>50</v>
      </c>
      <c r="K279" s="39">
        <v>7.94</v>
      </c>
      <c r="L279" s="139">
        <v>44249</v>
      </c>
      <c r="M279" s="33"/>
      <c r="N279" s="33">
        <v>44249</v>
      </c>
      <c r="O279" s="32">
        <v>2829</v>
      </c>
      <c r="P279" s="6"/>
      <c r="Q279" s="322">
        <v>5.81</v>
      </c>
      <c r="S279" s="7">
        <v>470</v>
      </c>
      <c r="T279" s="7">
        <f t="shared" si="11"/>
        <v>23500</v>
      </c>
      <c r="U279" s="21"/>
      <c r="V279" s="257"/>
    </row>
    <row r="280" spans="2:22" s="7" customFormat="1" ht="15">
      <c r="B280" s="12"/>
      <c r="C280" s="6" t="s">
        <v>2155</v>
      </c>
      <c r="D280" s="14" t="s">
        <v>2156</v>
      </c>
      <c r="E280" s="49"/>
      <c r="F280" s="102"/>
      <c r="G280" s="22" t="s">
        <v>14</v>
      </c>
      <c r="H280" s="38"/>
      <c r="I280" s="35"/>
      <c r="J280" s="38">
        <v>1</v>
      </c>
      <c r="K280" s="39">
        <v>20</v>
      </c>
      <c r="L280" s="139">
        <v>44249</v>
      </c>
      <c r="M280" s="33"/>
      <c r="N280" s="33">
        <v>44249</v>
      </c>
      <c r="O280" s="32">
        <v>2829</v>
      </c>
      <c r="P280" s="6"/>
      <c r="Q280" s="322">
        <v>20</v>
      </c>
      <c r="S280" s="7">
        <v>1800</v>
      </c>
      <c r="T280" s="7">
        <f t="shared" si="11"/>
        <v>1800</v>
      </c>
      <c r="U280" s="21"/>
      <c r="V280" s="257"/>
    </row>
    <row r="281" spans="2:22" customFormat="1" ht="18" customHeight="1">
      <c r="B281" s="26"/>
      <c r="C281" s="6" t="s">
        <v>2155</v>
      </c>
      <c r="D281" s="14" t="s">
        <v>2156</v>
      </c>
      <c r="E281" s="723"/>
      <c r="F281" s="64"/>
      <c r="G281" s="37" t="s">
        <v>1955</v>
      </c>
      <c r="H281" s="8">
        <v>300</v>
      </c>
      <c r="I281" s="8"/>
      <c r="J281" s="8"/>
      <c r="K281" s="39">
        <v>0.74</v>
      </c>
      <c r="L281" s="139">
        <v>44249</v>
      </c>
      <c r="M281" s="33"/>
      <c r="N281" s="33">
        <v>44249</v>
      </c>
      <c r="O281" s="32">
        <v>2829</v>
      </c>
      <c r="P281" s="4"/>
      <c r="Q281" s="724">
        <v>222</v>
      </c>
      <c r="R281" s="1"/>
      <c r="S281" s="197">
        <v>9462</v>
      </c>
      <c r="T281" s="197">
        <v>9462</v>
      </c>
      <c r="U281" s="34"/>
      <c r="V281" s="256"/>
    </row>
    <row r="282" spans="2:22" customFormat="1" ht="18" customHeight="1">
      <c r="B282" s="26"/>
      <c r="C282" s="6" t="s">
        <v>2155</v>
      </c>
      <c r="D282" s="14" t="s">
        <v>2156</v>
      </c>
      <c r="E282" s="723"/>
      <c r="F282" s="64"/>
      <c r="G282" s="37" t="s">
        <v>119</v>
      </c>
      <c r="H282" s="8">
        <v>300</v>
      </c>
      <c r="I282" s="8"/>
      <c r="J282" s="8"/>
      <c r="K282" s="39">
        <v>0.1</v>
      </c>
      <c r="L282" s="139">
        <v>44249</v>
      </c>
      <c r="M282" s="33"/>
      <c r="N282" s="33">
        <v>44249</v>
      </c>
      <c r="O282" s="32">
        <v>2829</v>
      </c>
      <c r="P282" s="4"/>
      <c r="Q282" s="724">
        <v>30</v>
      </c>
      <c r="R282" s="1"/>
      <c r="S282" s="197">
        <v>3000</v>
      </c>
      <c r="T282" s="197">
        <v>3000</v>
      </c>
      <c r="U282" s="34"/>
      <c r="V282" s="256"/>
    </row>
    <row r="283" spans="2:22" s="7" customFormat="1" ht="15">
      <c r="B283" s="12"/>
      <c r="C283" s="6" t="s">
        <v>2155</v>
      </c>
      <c r="D283" s="14" t="s">
        <v>2156</v>
      </c>
      <c r="E283" s="49"/>
      <c r="F283" s="102"/>
      <c r="G283" s="22" t="s">
        <v>2157</v>
      </c>
      <c r="H283" s="38" t="s">
        <v>2158</v>
      </c>
      <c r="I283" s="35"/>
      <c r="J283" s="38">
        <v>1</v>
      </c>
      <c r="K283" s="39">
        <v>150</v>
      </c>
      <c r="L283" s="139">
        <v>44249</v>
      </c>
      <c r="M283" s="33"/>
      <c r="N283" s="33">
        <v>44249</v>
      </c>
      <c r="O283" s="32">
        <v>2829</v>
      </c>
      <c r="P283" s="6"/>
      <c r="Q283" s="322">
        <v>0</v>
      </c>
      <c r="S283" s="7">
        <v>0</v>
      </c>
      <c r="T283" s="7">
        <f>S283*J283</f>
        <v>0</v>
      </c>
      <c r="U283" s="21"/>
      <c r="V283" s="257"/>
    </row>
    <row r="284" spans="2:22" s="191" customFormat="1" ht="15">
      <c r="B284" s="190"/>
      <c r="C284" s="179" t="s">
        <v>2155</v>
      </c>
      <c r="D284" s="180" t="s">
        <v>2156</v>
      </c>
      <c r="E284" s="181"/>
      <c r="F284" s="182"/>
      <c r="G284" s="182" t="s">
        <v>250</v>
      </c>
      <c r="H284" s="184" t="s">
        <v>251</v>
      </c>
      <c r="I284" s="185"/>
      <c r="J284" s="183"/>
      <c r="K284" s="203">
        <v>0</v>
      </c>
      <c r="L284" s="188">
        <v>44249</v>
      </c>
      <c r="M284" s="187"/>
      <c r="N284" s="187">
        <v>44249</v>
      </c>
      <c r="O284" s="186">
        <v>2829</v>
      </c>
      <c r="P284" s="179"/>
      <c r="Q284" s="747">
        <v>0</v>
      </c>
      <c r="S284" s="197">
        <v>0</v>
      </c>
      <c r="T284" s="198">
        <v>0</v>
      </c>
      <c r="U284" s="335"/>
      <c r="V284" s="726"/>
    </row>
    <row r="285" spans="2:22" s="7" customFormat="1" ht="18" customHeight="1">
      <c r="B285" s="12"/>
      <c r="C285" s="6" t="s">
        <v>2159</v>
      </c>
      <c r="D285" s="14" t="s">
        <v>1975</v>
      </c>
      <c r="E285" s="17" t="s">
        <v>1976</v>
      </c>
      <c r="F285" s="727"/>
      <c r="G285" s="14"/>
      <c r="H285" s="728"/>
      <c r="I285" s="61"/>
      <c r="J285" s="60"/>
      <c r="K285" s="110" t="s">
        <v>4</v>
      </c>
      <c r="L285" s="139">
        <v>44210</v>
      </c>
      <c r="M285" s="33"/>
      <c r="N285" s="33">
        <v>44210</v>
      </c>
      <c r="O285" s="32">
        <v>2832</v>
      </c>
      <c r="P285" s="6"/>
      <c r="Q285" s="358"/>
      <c r="U285" s="120"/>
      <c r="V285" s="257"/>
    </row>
    <row r="286" spans="2:22" s="7" customFormat="1" ht="15" customHeight="1">
      <c r="B286" s="12"/>
      <c r="C286" s="6" t="s">
        <v>2159</v>
      </c>
      <c r="D286" s="14" t="s">
        <v>1975</v>
      </c>
      <c r="E286" s="22">
        <v>12701</v>
      </c>
      <c r="F286" s="37">
        <v>24</v>
      </c>
      <c r="G286" s="22" t="s">
        <v>2152</v>
      </c>
      <c r="H286" s="8">
        <v>10</v>
      </c>
      <c r="I286" s="35">
        <v>1</v>
      </c>
      <c r="J286" s="8">
        <v>10</v>
      </c>
      <c r="K286" s="39">
        <v>8.99</v>
      </c>
      <c r="L286" s="139">
        <v>44210</v>
      </c>
      <c r="M286" s="33"/>
      <c r="N286" s="33">
        <v>44210</v>
      </c>
      <c r="O286" s="32">
        <v>2832</v>
      </c>
      <c r="P286" s="6"/>
      <c r="Q286" s="322"/>
      <c r="S286" s="7">
        <v>674</v>
      </c>
      <c r="T286" s="147">
        <f>S286*I286</f>
        <v>674</v>
      </c>
      <c r="U286" s="39"/>
      <c r="V286" s="257"/>
    </row>
    <row r="287" spans="2:22" s="7" customFormat="1" ht="15" customHeight="1">
      <c r="B287" s="12"/>
      <c r="C287" s="6" t="s">
        <v>2159</v>
      </c>
      <c r="D287" s="14" t="s">
        <v>1975</v>
      </c>
      <c r="E287" s="22">
        <v>12701</v>
      </c>
      <c r="F287" s="37">
        <v>24</v>
      </c>
      <c r="G287" s="22" t="s">
        <v>2146</v>
      </c>
      <c r="H287" s="8">
        <v>10</v>
      </c>
      <c r="I287" s="35">
        <v>1</v>
      </c>
      <c r="J287" s="8">
        <v>10</v>
      </c>
      <c r="K287" s="39">
        <v>8.99</v>
      </c>
      <c r="L287" s="139">
        <v>44210</v>
      </c>
      <c r="M287" s="33"/>
      <c r="N287" s="33">
        <v>44210</v>
      </c>
      <c r="O287" s="32">
        <v>2832</v>
      </c>
      <c r="P287" s="6"/>
      <c r="Q287" s="322"/>
      <c r="S287" s="7">
        <v>674</v>
      </c>
      <c r="T287" s="147">
        <f>S287*I287</f>
        <v>674</v>
      </c>
      <c r="U287" s="39"/>
      <c r="V287" s="257"/>
    </row>
    <row r="288" spans="2:22" s="7" customFormat="1" ht="15" customHeight="1">
      <c r="B288" s="12"/>
      <c r="C288" s="6" t="s">
        <v>2159</v>
      </c>
      <c r="D288" s="14" t="s">
        <v>1975</v>
      </c>
      <c r="E288" s="22">
        <v>12701</v>
      </c>
      <c r="F288" s="37">
        <v>24</v>
      </c>
      <c r="G288" s="22" t="s">
        <v>1978</v>
      </c>
      <c r="H288" s="8">
        <v>10</v>
      </c>
      <c r="I288" s="35">
        <v>1</v>
      </c>
      <c r="J288" s="8">
        <v>10</v>
      </c>
      <c r="K288" s="39">
        <v>8.99</v>
      </c>
      <c r="L288" s="139">
        <v>44210</v>
      </c>
      <c r="M288" s="33"/>
      <c r="N288" s="33">
        <v>44210</v>
      </c>
      <c r="O288" s="32">
        <v>2832</v>
      </c>
      <c r="P288" s="6"/>
      <c r="Q288" s="322"/>
      <c r="S288" s="7">
        <v>674</v>
      </c>
      <c r="T288" s="147">
        <f>S288*I288</f>
        <v>674</v>
      </c>
      <c r="U288" s="39"/>
      <c r="V288" s="257"/>
    </row>
    <row r="289" spans="2:22" s="7" customFormat="1" ht="18" customHeight="1">
      <c r="B289" s="12"/>
      <c r="C289" s="6" t="s">
        <v>2159</v>
      </c>
      <c r="D289" s="14" t="s">
        <v>1975</v>
      </c>
      <c r="E289" s="19" t="s">
        <v>1980</v>
      </c>
      <c r="F289" s="37"/>
      <c r="G289" s="37"/>
      <c r="H289" s="108"/>
      <c r="I289" s="108"/>
      <c r="J289" s="108"/>
      <c r="K289" s="110" t="s">
        <v>4</v>
      </c>
      <c r="L289" s="139">
        <v>44210</v>
      </c>
      <c r="M289" s="33"/>
      <c r="N289" s="33">
        <v>44210</v>
      </c>
      <c r="O289" s="32">
        <v>2832</v>
      </c>
      <c r="P289" s="6"/>
      <c r="Q289" s="339"/>
      <c r="U289" s="21"/>
      <c r="V289" s="257"/>
    </row>
    <row r="290" spans="2:22" s="7" customFormat="1" ht="17.25" customHeight="1">
      <c r="B290" s="12"/>
      <c r="C290" s="6" t="s">
        <v>2159</v>
      </c>
      <c r="D290" s="14" t="s">
        <v>1975</v>
      </c>
      <c r="E290" s="22">
        <v>3709</v>
      </c>
      <c r="F290" s="37">
        <v>25</v>
      </c>
      <c r="G290" s="37" t="s">
        <v>350</v>
      </c>
      <c r="H290" s="108">
        <v>30</v>
      </c>
      <c r="I290" s="109">
        <v>1</v>
      </c>
      <c r="J290" s="8">
        <f>H290*I290</f>
        <v>30</v>
      </c>
      <c r="K290" s="39">
        <v>19.190000000000001</v>
      </c>
      <c r="L290" s="139">
        <v>44210</v>
      </c>
      <c r="M290" s="33"/>
      <c r="N290" s="33">
        <v>44210</v>
      </c>
      <c r="O290" s="32">
        <v>2832</v>
      </c>
      <c r="P290" s="722"/>
      <c r="Q290" s="322"/>
      <c r="S290" s="7">
        <v>1439</v>
      </c>
      <c r="T290" s="147">
        <f>S290*I290</f>
        <v>1439</v>
      </c>
      <c r="U290" s="21"/>
      <c r="V290" s="257"/>
    </row>
    <row r="291" spans="2:22" s="7" customFormat="1" ht="18" customHeight="1">
      <c r="B291" s="12"/>
      <c r="C291" s="6" t="s">
        <v>2159</v>
      </c>
      <c r="D291" s="14" t="s">
        <v>1975</v>
      </c>
      <c r="E291" s="22">
        <v>3709</v>
      </c>
      <c r="F291" s="37">
        <v>75</v>
      </c>
      <c r="G291" s="37" t="s">
        <v>2160</v>
      </c>
      <c r="H291" s="108">
        <v>30</v>
      </c>
      <c r="I291" s="109">
        <v>1</v>
      </c>
      <c r="J291" s="8">
        <v>30</v>
      </c>
      <c r="K291" s="39">
        <v>77.63</v>
      </c>
      <c r="L291" s="139">
        <v>44210</v>
      </c>
      <c r="M291" s="33"/>
      <c r="N291" s="33">
        <v>44210</v>
      </c>
      <c r="O291" s="32">
        <v>2832</v>
      </c>
      <c r="P291" s="722"/>
      <c r="Q291" s="322"/>
      <c r="S291" s="92">
        <v>5822</v>
      </c>
      <c r="T291" s="147">
        <f>S291*I291</f>
        <v>5822</v>
      </c>
      <c r="U291" s="21"/>
      <c r="V291" s="257"/>
    </row>
    <row r="292" spans="2:22" s="7" customFormat="1" ht="17.25" customHeight="1">
      <c r="B292" s="12"/>
      <c r="C292" s="6" t="s">
        <v>2159</v>
      </c>
      <c r="D292" s="14" t="s">
        <v>1975</v>
      </c>
      <c r="E292" s="22">
        <v>3709</v>
      </c>
      <c r="F292" s="37">
        <v>75</v>
      </c>
      <c r="G292" s="37" t="s">
        <v>159</v>
      </c>
      <c r="H292" s="108">
        <v>30</v>
      </c>
      <c r="I292" s="109">
        <v>1</v>
      </c>
      <c r="J292" s="8">
        <v>30</v>
      </c>
      <c r="K292" s="39">
        <v>77.63</v>
      </c>
      <c r="L292" s="139">
        <v>44210</v>
      </c>
      <c r="M292" s="33"/>
      <c r="N292" s="33">
        <v>44210</v>
      </c>
      <c r="O292" s="32">
        <v>2832</v>
      </c>
      <c r="P292" s="722"/>
      <c r="Q292" s="322"/>
      <c r="S292" s="92">
        <v>5822</v>
      </c>
      <c r="T292" s="147">
        <f>S292*I292</f>
        <v>5822</v>
      </c>
      <c r="U292" s="21"/>
      <c r="V292" s="257"/>
    </row>
    <row r="293" spans="2:22" s="218" customFormat="1" ht="17.25" customHeight="1">
      <c r="B293" s="189"/>
      <c r="C293" s="179" t="s">
        <v>2159</v>
      </c>
      <c r="D293" s="180" t="s">
        <v>1975</v>
      </c>
      <c r="E293" s="217"/>
      <c r="F293" s="182"/>
      <c r="G293" s="182" t="s">
        <v>1955</v>
      </c>
      <c r="H293" s="183" t="s">
        <v>252</v>
      </c>
      <c r="I293" s="185"/>
      <c r="J293" s="222"/>
      <c r="K293" s="203">
        <v>80</v>
      </c>
      <c r="L293" s="188">
        <v>44210</v>
      </c>
      <c r="M293" s="187"/>
      <c r="N293" s="187">
        <v>44210</v>
      </c>
      <c r="O293" s="186">
        <v>2832</v>
      </c>
      <c r="P293" s="387"/>
      <c r="Q293" s="193"/>
      <c r="S293" s="197">
        <v>7584</v>
      </c>
      <c r="T293" s="197">
        <v>7584</v>
      </c>
      <c r="U293" s="729"/>
      <c r="V293" s="730"/>
    </row>
    <row r="294" spans="2:22" s="7" customFormat="1" ht="18" customHeight="1">
      <c r="B294" s="12"/>
      <c r="C294" s="6" t="s">
        <v>2161</v>
      </c>
      <c r="D294" s="14" t="s">
        <v>2162</v>
      </c>
      <c r="E294" s="19" t="s">
        <v>2163</v>
      </c>
      <c r="F294" s="37"/>
      <c r="G294" s="37"/>
      <c r="H294" s="108"/>
      <c r="I294" s="108"/>
      <c r="J294" s="108"/>
      <c r="K294" s="110" t="s">
        <v>5</v>
      </c>
      <c r="L294" s="139">
        <v>44210</v>
      </c>
      <c r="M294" s="33"/>
      <c r="N294" s="33">
        <v>44210</v>
      </c>
      <c r="O294" s="32">
        <v>2833</v>
      </c>
      <c r="P294" s="6"/>
      <c r="Q294" s="339"/>
      <c r="U294" s="21"/>
      <c r="V294" s="257"/>
    </row>
    <row r="295" spans="2:22" s="7" customFormat="1" ht="18" customHeight="1">
      <c r="B295" s="12"/>
      <c r="C295" s="6" t="s">
        <v>2161</v>
      </c>
      <c r="D295" s="14" t="s">
        <v>2162</v>
      </c>
      <c r="E295" s="22">
        <v>5603</v>
      </c>
      <c r="F295" s="37"/>
      <c r="G295" s="37" t="s">
        <v>2164</v>
      </c>
      <c r="H295" s="108">
        <v>50</v>
      </c>
      <c r="I295" s="109">
        <v>5</v>
      </c>
      <c r="J295" s="8">
        <f>I295*H295</f>
        <v>250</v>
      </c>
      <c r="K295" s="39">
        <v>0.3</v>
      </c>
      <c r="L295" s="139">
        <v>44210</v>
      </c>
      <c r="M295" s="33"/>
      <c r="N295" s="33">
        <v>44210</v>
      </c>
      <c r="O295" s="32">
        <v>2833</v>
      </c>
      <c r="P295" s="722"/>
      <c r="Q295" s="322">
        <v>0.24</v>
      </c>
      <c r="S295" s="7">
        <v>16</v>
      </c>
      <c r="T295" s="7">
        <f>S295*J295</f>
        <v>4000</v>
      </c>
      <c r="U295" s="21"/>
      <c r="V295" s="257"/>
    </row>
    <row r="296" spans="2:22" s="7" customFormat="1" ht="18" customHeight="1">
      <c r="B296" s="12"/>
      <c r="C296" s="6" t="s">
        <v>2161</v>
      </c>
      <c r="D296" s="14" t="s">
        <v>2162</v>
      </c>
      <c r="E296" s="22"/>
      <c r="F296" s="102"/>
      <c r="G296" s="22" t="s">
        <v>14</v>
      </c>
      <c r="H296" s="8"/>
      <c r="I296" s="35"/>
      <c r="J296" s="38">
        <v>1</v>
      </c>
      <c r="K296" s="39">
        <v>12</v>
      </c>
      <c r="L296" s="139">
        <v>44210</v>
      </c>
      <c r="M296" s="33"/>
      <c r="N296" s="33">
        <v>44210</v>
      </c>
      <c r="O296" s="32">
        <v>2833</v>
      </c>
      <c r="P296" s="6" t="s">
        <v>3</v>
      </c>
      <c r="Q296" s="322">
        <v>12</v>
      </c>
      <c r="S296" s="7">
        <v>1100</v>
      </c>
      <c r="T296" s="7">
        <f>S296*J296</f>
        <v>1100</v>
      </c>
      <c r="U296" s="21"/>
      <c r="V296" s="257"/>
    </row>
    <row r="297" spans="2:22" s="191" customFormat="1" ht="15">
      <c r="B297" s="190"/>
      <c r="C297" s="179" t="s">
        <v>2161</v>
      </c>
      <c r="D297" s="180" t="s">
        <v>2162</v>
      </c>
      <c r="E297" s="181"/>
      <c r="F297" s="182"/>
      <c r="G297" s="182" t="s">
        <v>250</v>
      </c>
      <c r="H297" s="184" t="s">
        <v>251</v>
      </c>
      <c r="I297" s="185"/>
      <c r="J297" s="183"/>
      <c r="K297" s="192">
        <v>0</v>
      </c>
      <c r="L297" s="188">
        <v>44210</v>
      </c>
      <c r="M297" s="187"/>
      <c r="N297" s="187">
        <v>44210</v>
      </c>
      <c r="O297" s="186">
        <v>2833</v>
      </c>
      <c r="P297" s="179"/>
      <c r="Q297" s="725">
        <v>0</v>
      </c>
      <c r="S297" s="197">
        <v>0</v>
      </c>
      <c r="T297" s="7">
        <f>S297*J297</f>
        <v>0</v>
      </c>
      <c r="U297" s="335"/>
      <c r="V297" s="726"/>
    </row>
    <row r="298" spans="2:22" s="7" customFormat="1" ht="15">
      <c r="B298" s="12"/>
      <c r="C298" s="6" t="s">
        <v>2165</v>
      </c>
      <c r="D298" s="14" t="s">
        <v>2000</v>
      </c>
      <c r="E298" s="14" t="s">
        <v>1995</v>
      </c>
      <c r="F298" s="15"/>
      <c r="G298" s="14"/>
      <c r="H298" s="60"/>
      <c r="I298" s="61"/>
      <c r="J298" s="60"/>
      <c r="K298" s="16" t="s">
        <v>5</v>
      </c>
      <c r="L298" s="139">
        <v>44210</v>
      </c>
      <c r="M298" s="33"/>
      <c r="N298" s="33">
        <v>44210</v>
      </c>
      <c r="O298" s="32">
        <v>2834</v>
      </c>
      <c r="P298" s="6" t="s">
        <v>3</v>
      </c>
      <c r="Q298" s="732"/>
      <c r="U298" s="120"/>
      <c r="V298" s="257"/>
    </row>
    <row r="299" spans="2:22" s="7" customFormat="1" ht="18" customHeight="1">
      <c r="B299" s="12"/>
      <c r="C299" s="6" t="s">
        <v>2165</v>
      </c>
      <c r="D299" s="14" t="s">
        <v>2000</v>
      </c>
      <c r="E299" s="22" t="s">
        <v>1996</v>
      </c>
      <c r="F299" s="163" t="s">
        <v>16</v>
      </c>
      <c r="G299" s="22" t="s">
        <v>2001</v>
      </c>
      <c r="H299" s="108">
        <v>30</v>
      </c>
      <c r="I299" s="109">
        <v>2</v>
      </c>
      <c r="J299" s="8">
        <f>I299*H299</f>
        <v>60</v>
      </c>
      <c r="K299" s="39">
        <v>3.51</v>
      </c>
      <c r="L299" s="139">
        <v>44210</v>
      </c>
      <c r="M299" s="33"/>
      <c r="N299" s="33">
        <v>44210</v>
      </c>
      <c r="O299" s="32">
        <v>2834</v>
      </c>
      <c r="P299" s="39">
        <f>ROUNDUP(S299/0.75/90,2)</f>
        <v>1.54</v>
      </c>
      <c r="Q299" s="322">
        <v>1.54</v>
      </c>
      <c r="S299" s="92">
        <v>103.5</v>
      </c>
      <c r="T299" s="7">
        <f>S299*J299</f>
        <v>6210</v>
      </c>
      <c r="U299" s="733"/>
      <c r="V299" s="257"/>
    </row>
    <row r="300" spans="2:22" customFormat="1" ht="18" customHeight="1">
      <c r="B300" s="26"/>
      <c r="C300" s="6" t="s">
        <v>2165</v>
      </c>
      <c r="D300" s="14" t="s">
        <v>2000</v>
      </c>
      <c r="E300" s="763"/>
      <c r="F300" s="64"/>
      <c r="G300" s="37" t="s">
        <v>14</v>
      </c>
      <c r="H300" s="8"/>
      <c r="I300" s="8"/>
      <c r="J300" s="38">
        <v>1</v>
      </c>
      <c r="K300" s="39">
        <v>15</v>
      </c>
      <c r="L300" s="139">
        <v>44210</v>
      </c>
      <c r="M300" s="33"/>
      <c r="N300" s="33">
        <v>44210</v>
      </c>
      <c r="O300" s="32">
        <v>2834</v>
      </c>
      <c r="P300" s="39"/>
      <c r="Q300" s="724">
        <v>15</v>
      </c>
      <c r="R300" s="1"/>
      <c r="S300" s="197">
        <v>1000</v>
      </c>
      <c r="T300" s="7">
        <f>S300*J300</f>
        <v>1000</v>
      </c>
      <c r="U300" s="34"/>
      <c r="V300" s="256"/>
    </row>
    <row r="301" spans="2:22" s="191" customFormat="1" ht="15">
      <c r="B301" s="190"/>
      <c r="C301" s="179" t="s">
        <v>2165</v>
      </c>
      <c r="D301" s="180" t="s">
        <v>2000</v>
      </c>
      <c r="E301" s="217"/>
      <c r="F301" s="182"/>
      <c r="G301" s="182" t="s">
        <v>250</v>
      </c>
      <c r="H301" s="184" t="s">
        <v>252</v>
      </c>
      <c r="I301" s="185"/>
      <c r="J301" s="183"/>
      <c r="K301" s="203" t="s">
        <v>374</v>
      </c>
      <c r="L301" s="188">
        <v>44210</v>
      </c>
      <c r="M301" s="187"/>
      <c r="N301" s="187">
        <v>44210</v>
      </c>
      <c r="O301" s="186">
        <v>2834</v>
      </c>
      <c r="P301" s="179"/>
      <c r="Q301" s="725">
        <v>30</v>
      </c>
      <c r="S301" s="197">
        <v>1659</v>
      </c>
      <c r="T301" s="197">
        <v>1659</v>
      </c>
      <c r="U301" s="335"/>
      <c r="V301" s="726"/>
    </row>
    <row r="302" spans="2:22" s="210" customFormat="1" ht="18" customHeight="1">
      <c r="B302" s="278"/>
      <c r="C302" s="204" t="s">
        <v>2165</v>
      </c>
      <c r="D302" s="205" t="s">
        <v>2000</v>
      </c>
      <c r="E302" s="206" t="s">
        <v>1996</v>
      </c>
      <c r="F302" s="764">
        <v>15</v>
      </c>
      <c r="G302" s="206" t="s">
        <v>2001</v>
      </c>
      <c r="H302" s="765">
        <v>30</v>
      </c>
      <c r="I302" s="295">
        <v>3</v>
      </c>
      <c r="J302" s="343">
        <f>I302*H302</f>
        <v>90</v>
      </c>
      <c r="K302" s="766">
        <v>1.4</v>
      </c>
      <c r="L302" s="209"/>
      <c r="M302" s="297"/>
      <c r="N302" s="767"/>
      <c r="O302" s="768" t="s">
        <v>2166</v>
      </c>
      <c r="P302" s="296">
        <f>ROUNDUP(S302/0.75/90,2)</f>
        <v>0.96</v>
      </c>
      <c r="Q302" s="347">
        <v>0.96</v>
      </c>
      <c r="S302" s="210">
        <v>64.5</v>
      </c>
      <c r="T302" s="210">
        <f>S302*J302</f>
        <v>5805</v>
      </c>
      <c r="U302" s="769"/>
      <c r="V302" s="262"/>
    </row>
    <row r="303" spans="2:22" s="7" customFormat="1" ht="15">
      <c r="B303" s="12"/>
      <c r="C303" s="6" t="s">
        <v>2167</v>
      </c>
      <c r="D303" s="14" t="s">
        <v>1970</v>
      </c>
      <c r="E303" s="19" t="s">
        <v>2135</v>
      </c>
      <c r="F303" s="24"/>
      <c r="G303" s="22"/>
      <c r="H303" s="60"/>
      <c r="I303" s="61"/>
      <c r="J303" s="60"/>
      <c r="K303" s="10" t="s">
        <v>5</v>
      </c>
      <c r="L303" s="139">
        <v>44224</v>
      </c>
      <c r="M303" s="33"/>
      <c r="N303" s="33">
        <v>44224</v>
      </c>
      <c r="O303" s="32">
        <v>2859</v>
      </c>
      <c r="P303" s="6" t="s">
        <v>3</v>
      </c>
      <c r="Q303" s="358"/>
      <c r="U303" s="120"/>
      <c r="V303" s="257"/>
    </row>
    <row r="304" spans="2:22" s="7" customFormat="1" ht="15">
      <c r="B304" s="12"/>
      <c r="C304" s="6" t="s">
        <v>2167</v>
      </c>
      <c r="D304" s="14" t="s">
        <v>1970</v>
      </c>
      <c r="E304" s="22" t="s">
        <v>2137</v>
      </c>
      <c r="F304" s="24">
        <v>18</v>
      </c>
      <c r="G304" s="22" t="s">
        <v>2138</v>
      </c>
      <c r="H304" s="8">
        <v>50</v>
      </c>
      <c r="I304" s="35">
        <v>2</v>
      </c>
      <c r="J304" s="8">
        <f>H304*I304</f>
        <v>100</v>
      </c>
      <c r="K304" s="23">
        <v>0.87</v>
      </c>
      <c r="L304" s="139">
        <v>44224</v>
      </c>
      <c r="M304" s="33"/>
      <c r="N304" s="33">
        <v>44224</v>
      </c>
      <c r="O304" s="32">
        <v>2859</v>
      </c>
      <c r="P304" s="39">
        <f>ROUNDUP(S304/0.75/90,2)</f>
        <v>0.7</v>
      </c>
      <c r="Q304" s="358">
        <v>0.7</v>
      </c>
      <c r="S304" s="7">
        <v>47</v>
      </c>
      <c r="T304" s="7">
        <f>S304*J304</f>
        <v>4700</v>
      </c>
      <c r="U304" s="120"/>
      <c r="V304" s="257"/>
    </row>
    <row r="305" spans="2:22" s="7" customFormat="1" ht="15">
      <c r="B305" s="12"/>
      <c r="C305" s="6" t="s">
        <v>2167</v>
      </c>
      <c r="D305" s="14" t="s">
        <v>1970</v>
      </c>
      <c r="E305" s="19" t="s">
        <v>364</v>
      </c>
      <c r="F305" s="24"/>
      <c r="G305" s="22"/>
      <c r="H305" s="60"/>
      <c r="I305" s="61"/>
      <c r="J305" s="8"/>
      <c r="K305" s="10" t="s">
        <v>5</v>
      </c>
      <c r="L305" s="139">
        <v>44224</v>
      </c>
      <c r="M305" s="33"/>
      <c r="N305" s="33">
        <v>44224</v>
      </c>
      <c r="O305" s="32">
        <v>2859</v>
      </c>
      <c r="P305" s="39"/>
      <c r="Q305" s="358"/>
      <c r="U305" s="120"/>
      <c r="V305" s="257"/>
    </row>
    <row r="306" spans="2:22" s="7" customFormat="1" ht="15">
      <c r="B306" s="12"/>
      <c r="C306" s="6" t="s">
        <v>2167</v>
      </c>
      <c r="D306" s="14" t="s">
        <v>1970</v>
      </c>
      <c r="E306" s="22">
        <v>4063</v>
      </c>
      <c r="F306" s="24">
        <v>15</v>
      </c>
      <c r="G306" s="22" t="s">
        <v>2168</v>
      </c>
      <c r="H306" s="60">
        <v>30</v>
      </c>
      <c r="I306" s="61">
        <v>1</v>
      </c>
      <c r="J306" s="8">
        <f>H306*I306</f>
        <v>30</v>
      </c>
      <c r="K306" s="23">
        <v>0.95</v>
      </c>
      <c r="L306" s="139">
        <v>44224</v>
      </c>
      <c r="M306" s="33"/>
      <c r="N306" s="33">
        <v>44224</v>
      </c>
      <c r="O306" s="32">
        <v>2859</v>
      </c>
      <c r="P306" s="39">
        <f>ROUNDUP(S306/0.75/90,2)</f>
        <v>0.76</v>
      </c>
      <c r="Q306" s="358">
        <v>0.76</v>
      </c>
      <c r="S306" s="7">
        <v>51</v>
      </c>
      <c r="T306" s="7">
        <f>S306*J306</f>
        <v>1530</v>
      </c>
      <c r="U306" s="120"/>
      <c r="V306" s="257"/>
    </row>
    <row r="307" spans="2:22" s="7" customFormat="1" ht="15">
      <c r="B307" s="12"/>
      <c r="C307" s="6" t="s">
        <v>2167</v>
      </c>
      <c r="D307" s="14" t="s">
        <v>1970</v>
      </c>
      <c r="E307" s="22">
        <v>4067</v>
      </c>
      <c r="F307" s="24">
        <v>15</v>
      </c>
      <c r="G307" s="22" t="s">
        <v>2169</v>
      </c>
      <c r="H307" s="60">
        <v>30</v>
      </c>
      <c r="I307" s="61">
        <v>1</v>
      </c>
      <c r="J307" s="8">
        <f>H307*I307</f>
        <v>30</v>
      </c>
      <c r="K307" s="23">
        <v>0.95</v>
      </c>
      <c r="L307" s="139">
        <v>44224</v>
      </c>
      <c r="M307" s="33"/>
      <c r="N307" s="33">
        <v>44224</v>
      </c>
      <c r="O307" s="32">
        <v>2859</v>
      </c>
      <c r="P307" s="39">
        <f>ROUNDUP(S307/0.75/90,2)</f>
        <v>0.76</v>
      </c>
      <c r="Q307" s="358">
        <v>0.76</v>
      </c>
      <c r="S307" s="7">
        <v>51</v>
      </c>
      <c r="T307" s="7">
        <f>S307*J307</f>
        <v>1530</v>
      </c>
      <c r="U307" s="120"/>
      <c r="V307" s="257"/>
    </row>
    <row r="308" spans="2:22" s="7" customFormat="1" ht="15">
      <c r="B308" s="12"/>
      <c r="C308" s="6" t="s">
        <v>2167</v>
      </c>
      <c r="D308" s="14" t="s">
        <v>1970</v>
      </c>
      <c r="E308" s="49"/>
      <c r="F308" s="102"/>
      <c r="G308" s="22" t="s">
        <v>14</v>
      </c>
      <c r="H308" s="8"/>
      <c r="I308" s="35"/>
      <c r="J308" s="38">
        <v>2</v>
      </c>
      <c r="K308" s="39">
        <v>12</v>
      </c>
      <c r="L308" s="139">
        <v>44224</v>
      </c>
      <c r="M308" s="33"/>
      <c r="N308" s="33">
        <v>44224</v>
      </c>
      <c r="O308" s="32">
        <v>2859</v>
      </c>
      <c r="P308" s="6"/>
      <c r="Q308" s="322">
        <v>24</v>
      </c>
      <c r="S308" s="7">
        <f>1000+1000</f>
        <v>2000</v>
      </c>
      <c r="T308" s="7">
        <f>1000+1000</f>
        <v>2000</v>
      </c>
      <c r="U308" s="21"/>
      <c r="V308" s="257"/>
    </row>
    <row r="309" spans="2:22" s="191" customFormat="1" ht="15">
      <c r="B309" s="190"/>
      <c r="C309" s="179" t="s">
        <v>2167</v>
      </c>
      <c r="D309" s="180" t="s">
        <v>1970</v>
      </c>
      <c r="E309" s="181"/>
      <c r="F309" s="182"/>
      <c r="G309" s="182" t="s">
        <v>250</v>
      </c>
      <c r="H309" s="184" t="s">
        <v>251</v>
      </c>
      <c r="I309" s="185"/>
      <c r="J309" s="183"/>
      <c r="K309" s="192">
        <v>0</v>
      </c>
      <c r="L309" s="188">
        <v>44224</v>
      </c>
      <c r="M309" s="187"/>
      <c r="N309" s="187">
        <v>44224</v>
      </c>
      <c r="O309" s="186">
        <v>2859</v>
      </c>
      <c r="P309" s="179"/>
      <c r="Q309" s="725">
        <v>0</v>
      </c>
      <c r="S309" s="197">
        <v>0</v>
      </c>
      <c r="T309" s="198">
        <v>0</v>
      </c>
      <c r="U309" s="335"/>
      <c r="V309" s="726"/>
    </row>
    <row r="310" spans="2:22" s="7" customFormat="1" ht="18" customHeight="1">
      <c r="B310" s="12"/>
      <c r="C310" s="6" t="s">
        <v>2170</v>
      </c>
      <c r="D310" s="14" t="s">
        <v>2171</v>
      </c>
      <c r="E310" s="19" t="s">
        <v>10</v>
      </c>
      <c r="F310" s="107"/>
      <c r="G310" s="22"/>
      <c r="H310" s="108"/>
      <c r="I310" s="109"/>
      <c r="J310" s="108"/>
      <c r="K310" s="29" t="s">
        <v>5</v>
      </c>
      <c r="L310" s="139">
        <v>44225</v>
      </c>
      <c r="M310" s="33"/>
      <c r="N310" s="33">
        <v>44225</v>
      </c>
      <c r="O310" s="32">
        <v>2862</v>
      </c>
      <c r="P310" s="14"/>
      <c r="Q310" s="322"/>
      <c r="U310" s="14"/>
      <c r="V310" s="257"/>
    </row>
    <row r="311" spans="2:22" s="7" customFormat="1" ht="18" customHeight="1">
      <c r="B311" s="12"/>
      <c r="C311" s="6" t="s">
        <v>2170</v>
      </c>
      <c r="D311" s="14" t="s">
        <v>2171</v>
      </c>
      <c r="E311" s="22" t="s">
        <v>207</v>
      </c>
      <c r="F311" s="107">
        <v>152</v>
      </c>
      <c r="G311" s="22" t="s">
        <v>2172</v>
      </c>
      <c r="H311" s="108">
        <v>39</v>
      </c>
      <c r="I311" s="109">
        <v>1</v>
      </c>
      <c r="J311" s="8">
        <f>H311*I311</f>
        <v>39</v>
      </c>
      <c r="K311" s="39">
        <v>4.17</v>
      </c>
      <c r="L311" s="139">
        <v>44225</v>
      </c>
      <c r="M311" s="33"/>
      <c r="N311" s="33">
        <v>44225</v>
      </c>
      <c r="O311" s="32">
        <v>2862</v>
      </c>
      <c r="P311" s="6"/>
      <c r="Q311" s="322">
        <v>3.71</v>
      </c>
      <c r="S311" s="7">
        <v>300</v>
      </c>
      <c r="T311" s="7">
        <f>S311*J311</f>
        <v>11700</v>
      </c>
      <c r="U311" s="21"/>
      <c r="V311" s="257"/>
    </row>
    <row r="312" spans="2:22" s="7" customFormat="1" ht="18" customHeight="1">
      <c r="B312" s="12"/>
      <c r="C312" s="6" t="s">
        <v>2170</v>
      </c>
      <c r="D312" s="14" t="s">
        <v>2171</v>
      </c>
      <c r="E312" s="22" t="s">
        <v>207</v>
      </c>
      <c r="F312" s="107">
        <v>152</v>
      </c>
      <c r="G312" s="22" t="s">
        <v>2173</v>
      </c>
      <c r="H312" s="108">
        <v>50</v>
      </c>
      <c r="I312" s="109">
        <v>2</v>
      </c>
      <c r="J312" s="8">
        <f>H312*I312</f>
        <v>100</v>
      </c>
      <c r="K312" s="39">
        <v>4.17</v>
      </c>
      <c r="L312" s="139">
        <v>44225</v>
      </c>
      <c r="M312" s="33"/>
      <c r="N312" s="33">
        <v>44225</v>
      </c>
      <c r="O312" s="32">
        <v>2862</v>
      </c>
      <c r="P312" s="6"/>
      <c r="Q312" s="322">
        <v>3.71</v>
      </c>
      <c r="S312" s="7">
        <v>300</v>
      </c>
      <c r="T312" s="7">
        <f>S312*J312</f>
        <v>30000</v>
      </c>
      <c r="U312" s="21"/>
      <c r="V312" s="257"/>
    </row>
    <row r="313" spans="2:22" s="7" customFormat="1" ht="18" customHeight="1">
      <c r="B313" s="12"/>
      <c r="C313" s="6" t="s">
        <v>2170</v>
      </c>
      <c r="D313" s="14" t="s">
        <v>2171</v>
      </c>
      <c r="E313" s="22" t="s">
        <v>207</v>
      </c>
      <c r="F313" s="107">
        <v>152</v>
      </c>
      <c r="G313" s="22" t="s">
        <v>2174</v>
      </c>
      <c r="H313" s="108">
        <v>50</v>
      </c>
      <c r="I313" s="109">
        <v>1</v>
      </c>
      <c r="J313" s="8">
        <f>H313*I313</f>
        <v>50</v>
      </c>
      <c r="K313" s="39">
        <v>4.17</v>
      </c>
      <c r="L313" s="139">
        <v>44225</v>
      </c>
      <c r="M313" s="33"/>
      <c r="N313" s="33">
        <v>44225</v>
      </c>
      <c r="O313" s="32">
        <v>2862</v>
      </c>
      <c r="P313" s="6"/>
      <c r="Q313" s="322">
        <v>3.71</v>
      </c>
      <c r="S313" s="7">
        <v>300</v>
      </c>
      <c r="T313" s="7">
        <f>S313*J313</f>
        <v>15000</v>
      </c>
      <c r="U313" s="21"/>
      <c r="V313" s="257"/>
    </row>
    <row r="314" spans="2:22" s="7" customFormat="1" ht="15">
      <c r="B314" s="12"/>
      <c r="C314" s="6" t="s">
        <v>2170</v>
      </c>
      <c r="D314" s="14" t="s">
        <v>2171</v>
      </c>
      <c r="E314" s="22"/>
      <c r="F314" s="102"/>
      <c r="G314" s="22" t="s">
        <v>14</v>
      </c>
      <c r="H314" s="8"/>
      <c r="I314" s="35"/>
      <c r="J314" s="38">
        <v>1</v>
      </c>
      <c r="K314" s="39">
        <v>20</v>
      </c>
      <c r="L314" s="139">
        <v>44225</v>
      </c>
      <c r="M314" s="33"/>
      <c r="N314" s="33">
        <v>44225</v>
      </c>
      <c r="O314" s="32">
        <v>2862</v>
      </c>
      <c r="P314" s="6" t="s">
        <v>3</v>
      </c>
      <c r="Q314" s="322">
        <v>20</v>
      </c>
      <c r="S314" s="7">
        <v>1800</v>
      </c>
      <c r="T314" s="7">
        <f>S314*J314</f>
        <v>1800</v>
      </c>
      <c r="U314" s="21"/>
      <c r="V314" s="257"/>
    </row>
    <row r="315" spans="2:22" s="191" customFormat="1" ht="15">
      <c r="B315" s="190"/>
      <c r="C315" s="179" t="s">
        <v>2170</v>
      </c>
      <c r="D315" s="180" t="s">
        <v>2171</v>
      </c>
      <c r="E315" s="217"/>
      <c r="F315" s="182"/>
      <c r="G315" s="182" t="s">
        <v>250</v>
      </c>
      <c r="H315" s="184" t="s">
        <v>252</v>
      </c>
      <c r="I315" s="185"/>
      <c r="J315" s="183"/>
      <c r="K315" s="203">
        <v>262</v>
      </c>
      <c r="L315" s="188">
        <v>44225</v>
      </c>
      <c r="M315" s="187"/>
      <c r="N315" s="187">
        <v>44225</v>
      </c>
      <c r="O315" s="186">
        <v>2862</v>
      </c>
      <c r="P315" s="179"/>
      <c r="Q315" s="725">
        <v>230</v>
      </c>
      <c r="S315" s="197">
        <v>22936</v>
      </c>
      <c r="T315" s="197">
        <v>22936</v>
      </c>
      <c r="U315" s="335"/>
      <c r="V315" s="726"/>
    </row>
    <row r="316" spans="2:22" customFormat="1" ht="15">
      <c r="B316" s="26"/>
      <c r="C316" s="6" t="s">
        <v>2175</v>
      </c>
      <c r="D316" s="14" t="s">
        <v>2176</v>
      </c>
      <c r="E316" s="19" t="s">
        <v>2177</v>
      </c>
      <c r="F316" s="24"/>
      <c r="G316" s="22"/>
      <c r="H316" s="15"/>
      <c r="I316" s="61"/>
      <c r="J316" s="60"/>
      <c r="K316" s="16" t="s">
        <v>101</v>
      </c>
      <c r="L316" s="139">
        <v>44225</v>
      </c>
      <c r="M316" s="33"/>
      <c r="N316" s="33">
        <v>44225</v>
      </c>
      <c r="O316" s="32">
        <v>2863</v>
      </c>
      <c r="P316" s="6" t="s">
        <v>8</v>
      </c>
      <c r="Q316" s="358"/>
      <c r="R316" s="1"/>
      <c r="S316" s="7"/>
      <c r="T316" s="7"/>
      <c r="U316" s="120"/>
      <c r="V316" s="257"/>
    </row>
    <row r="317" spans="2:22" customFormat="1" ht="15">
      <c r="B317" s="26"/>
      <c r="C317" s="6" t="s">
        <v>2175</v>
      </c>
      <c r="D317" s="14" t="s">
        <v>2176</v>
      </c>
      <c r="E317" s="22">
        <v>4141</v>
      </c>
      <c r="F317" s="24" t="s">
        <v>2178</v>
      </c>
      <c r="G317" s="22" t="s">
        <v>182</v>
      </c>
      <c r="H317" s="60">
        <v>20</v>
      </c>
      <c r="I317" s="61">
        <v>1</v>
      </c>
      <c r="J317" s="60">
        <f>H317*I317</f>
        <v>20</v>
      </c>
      <c r="K317" s="23">
        <v>2.13</v>
      </c>
      <c r="L317" s="139">
        <v>44225</v>
      </c>
      <c r="M317" s="33"/>
      <c r="N317" s="33">
        <v>44225</v>
      </c>
      <c r="O317" s="32">
        <v>2863</v>
      </c>
      <c r="P317" s="39">
        <f>ROUNDUP(S317/0.75/90,2)</f>
        <v>1.71</v>
      </c>
      <c r="Q317" s="358">
        <v>1.71</v>
      </c>
      <c r="R317" s="1"/>
      <c r="S317" s="7">
        <v>115</v>
      </c>
      <c r="T317" s="7">
        <f>S317*J317</f>
        <v>2300</v>
      </c>
      <c r="U317" s="23"/>
      <c r="V317" s="257"/>
    </row>
    <row r="318" spans="2:22" s="7" customFormat="1" ht="15">
      <c r="B318" s="12"/>
      <c r="C318" s="6" t="s">
        <v>2175</v>
      </c>
      <c r="D318" s="14" t="s">
        <v>2176</v>
      </c>
      <c r="E318" s="22"/>
      <c r="F318" s="102"/>
      <c r="G318" s="22" t="s">
        <v>14</v>
      </c>
      <c r="H318" s="8"/>
      <c r="I318" s="35"/>
      <c r="J318" s="38">
        <v>1</v>
      </c>
      <c r="K318" s="39">
        <v>12</v>
      </c>
      <c r="L318" s="139">
        <v>44225</v>
      </c>
      <c r="M318" s="33"/>
      <c r="N318" s="33">
        <v>44225</v>
      </c>
      <c r="O318" s="32">
        <v>2863</v>
      </c>
      <c r="P318" s="6" t="s">
        <v>3</v>
      </c>
      <c r="Q318" s="322">
        <v>12</v>
      </c>
      <c r="S318" s="7">
        <v>1000</v>
      </c>
      <c r="T318" s="7">
        <f>S318*J318</f>
        <v>1000</v>
      </c>
      <c r="U318" s="21"/>
      <c r="V318" s="257"/>
    </row>
    <row r="319" spans="2:22" s="191" customFormat="1" ht="15">
      <c r="B319" s="190"/>
      <c r="C319" s="179" t="s">
        <v>2175</v>
      </c>
      <c r="D319" s="180" t="s">
        <v>2176</v>
      </c>
      <c r="E319" s="217"/>
      <c r="F319" s="182"/>
      <c r="G319" s="182" t="s">
        <v>250</v>
      </c>
      <c r="H319" s="184" t="s">
        <v>252</v>
      </c>
      <c r="I319" s="185"/>
      <c r="J319" s="183"/>
      <c r="K319" s="333">
        <v>68</v>
      </c>
      <c r="L319" s="188">
        <v>44225</v>
      </c>
      <c r="M319" s="187"/>
      <c r="N319" s="187">
        <v>44225</v>
      </c>
      <c r="O319" s="186">
        <v>2863</v>
      </c>
      <c r="P319" s="179"/>
      <c r="Q319" s="725">
        <v>56</v>
      </c>
      <c r="S319" s="197">
        <v>4842</v>
      </c>
      <c r="T319" s="197">
        <v>4842</v>
      </c>
      <c r="U319" s="335"/>
      <c r="V319" s="726"/>
    </row>
    <row r="320" spans="2:22" s="7" customFormat="1" ht="18" customHeight="1">
      <c r="B320" s="12"/>
      <c r="C320" s="6" t="s">
        <v>2179</v>
      </c>
      <c r="D320" s="14" t="s">
        <v>1975</v>
      </c>
      <c r="E320" s="19" t="s">
        <v>1980</v>
      </c>
      <c r="F320" s="37"/>
      <c r="G320" s="37"/>
      <c r="H320" s="108"/>
      <c r="I320" s="108"/>
      <c r="J320" s="108"/>
      <c r="K320" s="110" t="s">
        <v>4</v>
      </c>
      <c r="L320" s="139">
        <v>44229</v>
      </c>
      <c r="M320" s="33"/>
      <c r="N320" s="33">
        <v>44229</v>
      </c>
      <c r="O320" s="32">
        <v>2870</v>
      </c>
      <c r="P320" s="6"/>
      <c r="Q320" s="339"/>
      <c r="U320" s="21"/>
      <c r="V320" s="257"/>
    </row>
    <row r="321" spans="2:22" s="7" customFormat="1" ht="17.25" customHeight="1">
      <c r="B321" s="12"/>
      <c r="C321" s="6" t="s">
        <v>2179</v>
      </c>
      <c r="D321" s="14" t="s">
        <v>1975</v>
      </c>
      <c r="E321" s="22">
        <v>3709</v>
      </c>
      <c r="F321" s="37">
        <v>75</v>
      </c>
      <c r="G321" s="37" t="s">
        <v>172</v>
      </c>
      <c r="H321" s="108">
        <v>30</v>
      </c>
      <c r="I321" s="109">
        <v>1</v>
      </c>
      <c r="J321" s="8">
        <v>30</v>
      </c>
      <c r="K321" s="39">
        <v>77.63</v>
      </c>
      <c r="L321" s="139">
        <v>44229</v>
      </c>
      <c r="M321" s="33"/>
      <c r="N321" s="33">
        <v>44229</v>
      </c>
      <c r="O321" s="32">
        <v>2870</v>
      </c>
      <c r="P321" s="722"/>
      <c r="Q321" s="322"/>
      <c r="S321" s="92">
        <v>5822</v>
      </c>
      <c r="T321" s="147">
        <v>5822</v>
      </c>
      <c r="U321" s="21"/>
      <c r="V321" s="257"/>
    </row>
    <row r="322" spans="2:22" s="218" customFormat="1" ht="17.25" customHeight="1">
      <c r="B322" s="189"/>
      <c r="C322" s="179" t="s">
        <v>2179</v>
      </c>
      <c r="D322" s="180" t="s">
        <v>1975</v>
      </c>
      <c r="E322" s="217"/>
      <c r="F322" s="182"/>
      <c r="G322" s="182" t="s">
        <v>1955</v>
      </c>
      <c r="H322" s="183" t="s">
        <v>252</v>
      </c>
      <c r="I322" s="185"/>
      <c r="J322" s="222"/>
      <c r="K322" s="203">
        <v>40</v>
      </c>
      <c r="L322" s="188">
        <v>44229</v>
      </c>
      <c r="M322" s="187"/>
      <c r="N322" s="187">
        <v>44229</v>
      </c>
      <c r="O322" s="186">
        <v>2870</v>
      </c>
      <c r="P322" s="387"/>
      <c r="Q322" s="193"/>
      <c r="S322" s="197">
        <v>3798</v>
      </c>
      <c r="T322" s="197">
        <v>3798</v>
      </c>
      <c r="U322" s="729"/>
      <c r="V322" s="730"/>
    </row>
    <row r="323" spans="2:22" s="7" customFormat="1" ht="18" customHeight="1">
      <c r="B323" s="12"/>
      <c r="C323" s="6" t="s">
        <v>2180</v>
      </c>
      <c r="D323" s="14" t="s">
        <v>1949</v>
      </c>
      <c r="E323" s="19" t="s">
        <v>1950</v>
      </c>
      <c r="F323" s="37"/>
      <c r="G323" s="37"/>
      <c r="H323" s="108"/>
      <c r="I323" s="108"/>
      <c r="J323" s="108"/>
      <c r="K323" s="29" t="s">
        <v>5</v>
      </c>
      <c r="L323" s="139">
        <v>44229</v>
      </c>
      <c r="M323" s="33"/>
      <c r="N323" s="33">
        <v>44229</v>
      </c>
      <c r="O323" s="32">
        <v>2809</v>
      </c>
      <c r="P323" s="6"/>
      <c r="Q323" s="339"/>
      <c r="U323" s="21"/>
      <c r="V323" s="257"/>
    </row>
    <row r="324" spans="2:22" s="7" customFormat="1" ht="17.25" customHeight="1">
      <c r="B324" s="12"/>
      <c r="C324" s="6" t="s">
        <v>2180</v>
      </c>
      <c r="D324" s="14" t="s">
        <v>1949</v>
      </c>
      <c r="E324" s="22">
        <v>3808</v>
      </c>
      <c r="F324" s="37">
        <v>9</v>
      </c>
      <c r="G324" s="37" t="s">
        <v>1954</v>
      </c>
      <c r="H324" s="108">
        <v>50</v>
      </c>
      <c r="I324" s="109">
        <v>1</v>
      </c>
      <c r="J324" s="8">
        <f>H324*I324</f>
        <v>50</v>
      </c>
      <c r="K324" s="39">
        <v>0.56999999999999995</v>
      </c>
      <c r="L324" s="139">
        <v>44229</v>
      </c>
      <c r="M324" s="33"/>
      <c r="N324" s="33">
        <v>44229</v>
      </c>
      <c r="O324" s="32">
        <v>2809</v>
      </c>
      <c r="P324" s="722"/>
      <c r="Q324" s="322">
        <v>0.27</v>
      </c>
      <c r="S324" s="7">
        <v>18</v>
      </c>
      <c r="T324" s="7">
        <f>S324*J324</f>
        <v>900</v>
      </c>
      <c r="U324" s="21"/>
      <c r="V324" s="257"/>
    </row>
    <row r="325" spans="2:22" s="7" customFormat="1" ht="17.25" customHeight="1">
      <c r="B325" s="12"/>
      <c r="C325" s="6" t="s">
        <v>2180</v>
      </c>
      <c r="D325" s="14" t="s">
        <v>1949</v>
      </c>
      <c r="E325" s="22">
        <v>3808</v>
      </c>
      <c r="F325" s="37">
        <v>9</v>
      </c>
      <c r="G325" s="37" t="s">
        <v>2181</v>
      </c>
      <c r="H325" s="108">
        <v>50</v>
      </c>
      <c r="I325" s="109">
        <v>2</v>
      </c>
      <c r="J325" s="8">
        <f>H325*I325</f>
        <v>100</v>
      </c>
      <c r="K325" s="39">
        <v>0.56999999999999995</v>
      </c>
      <c r="L325" s="139">
        <v>44229</v>
      </c>
      <c r="M325" s="33"/>
      <c r="N325" s="33">
        <v>44229</v>
      </c>
      <c r="O325" s="32">
        <v>2809</v>
      </c>
      <c r="P325" s="722"/>
      <c r="Q325" s="322">
        <v>0.27</v>
      </c>
      <c r="S325" s="7">
        <v>18</v>
      </c>
      <c r="T325" s="7">
        <f>S325*J325</f>
        <v>1800</v>
      </c>
      <c r="U325" s="21"/>
      <c r="V325" s="257"/>
    </row>
    <row r="326" spans="2:22" customFormat="1" ht="18" customHeight="1">
      <c r="B326" s="26"/>
      <c r="C326" s="6" t="s">
        <v>2180</v>
      </c>
      <c r="D326" s="14" t="s">
        <v>1949</v>
      </c>
      <c r="E326" s="723"/>
      <c r="F326" s="64"/>
      <c r="G326" s="37" t="s">
        <v>14</v>
      </c>
      <c r="H326" s="8"/>
      <c r="I326" s="8"/>
      <c r="J326" s="38">
        <v>1</v>
      </c>
      <c r="K326" s="39">
        <v>12</v>
      </c>
      <c r="L326" s="139">
        <v>44229</v>
      </c>
      <c r="M326" s="33"/>
      <c r="N326" s="33">
        <v>44229</v>
      </c>
      <c r="O326" s="32">
        <v>2809</v>
      </c>
      <c r="P326" s="4"/>
      <c r="Q326" s="724">
        <v>12</v>
      </c>
      <c r="R326" s="1"/>
      <c r="S326" s="7">
        <v>1000</v>
      </c>
      <c r="T326" s="7">
        <f>S326*J326</f>
        <v>1000</v>
      </c>
      <c r="U326" s="34"/>
      <c r="V326" s="256"/>
    </row>
    <row r="327" spans="2:22" s="191" customFormat="1" ht="18" customHeight="1">
      <c r="B327" s="190"/>
      <c r="C327" s="179" t="s">
        <v>2180</v>
      </c>
      <c r="D327" s="180" t="s">
        <v>1949</v>
      </c>
      <c r="E327" s="736"/>
      <c r="F327" s="737"/>
      <c r="G327" s="182" t="s">
        <v>1955</v>
      </c>
      <c r="H327" s="222">
        <v>150</v>
      </c>
      <c r="I327" s="222"/>
      <c r="J327" s="222"/>
      <c r="K327" s="192">
        <v>0.23</v>
      </c>
      <c r="L327" s="188">
        <v>44229</v>
      </c>
      <c r="M327" s="187"/>
      <c r="N327" s="187">
        <v>44229</v>
      </c>
      <c r="O327" s="186">
        <v>2809</v>
      </c>
      <c r="P327" s="327"/>
      <c r="Q327" s="762">
        <v>34.5</v>
      </c>
      <c r="S327" s="198">
        <v>1674</v>
      </c>
      <c r="T327" s="198">
        <v>1674</v>
      </c>
      <c r="U327" s="738"/>
      <c r="V327" s="726"/>
    </row>
    <row r="328" spans="2:22" s="7" customFormat="1" ht="18" customHeight="1">
      <c r="B328" s="12"/>
      <c r="C328" s="6" t="s">
        <v>2182</v>
      </c>
      <c r="D328" s="14" t="s">
        <v>1994</v>
      </c>
      <c r="E328" s="14" t="s">
        <v>2183</v>
      </c>
      <c r="F328" s="15"/>
      <c r="G328" s="14"/>
      <c r="H328" s="60"/>
      <c r="I328" s="61"/>
      <c r="J328" s="60"/>
      <c r="K328" s="16" t="s">
        <v>5</v>
      </c>
      <c r="L328" s="139">
        <v>44258</v>
      </c>
      <c r="M328" s="33"/>
      <c r="N328" s="33">
        <v>44258</v>
      </c>
      <c r="O328" s="32">
        <v>2880</v>
      </c>
      <c r="P328" s="6" t="s">
        <v>3</v>
      </c>
      <c r="Q328" s="732"/>
      <c r="U328" s="120"/>
      <c r="V328" s="257"/>
    </row>
    <row r="329" spans="2:22" s="7" customFormat="1" ht="18" customHeight="1">
      <c r="B329" s="12"/>
      <c r="C329" s="6" t="s">
        <v>2182</v>
      </c>
      <c r="D329" s="14" t="s">
        <v>1994</v>
      </c>
      <c r="E329" s="22" t="s">
        <v>1996</v>
      </c>
      <c r="F329" s="163" t="s">
        <v>223</v>
      </c>
      <c r="G329" s="22" t="s">
        <v>2184</v>
      </c>
      <c r="H329" s="108">
        <v>30</v>
      </c>
      <c r="I329" s="109">
        <v>10</v>
      </c>
      <c r="J329" s="8">
        <f>H329*I329</f>
        <v>300</v>
      </c>
      <c r="K329" s="39">
        <v>1.57</v>
      </c>
      <c r="L329" s="139">
        <v>44258</v>
      </c>
      <c r="M329" s="33"/>
      <c r="N329" s="33">
        <v>44258</v>
      </c>
      <c r="O329" s="32">
        <v>2880</v>
      </c>
      <c r="P329" s="6"/>
      <c r="Q329" s="322">
        <v>1.26</v>
      </c>
      <c r="S329" s="7">
        <v>84.5</v>
      </c>
      <c r="T329" s="7">
        <f>S329*J329</f>
        <v>25350</v>
      </c>
      <c r="U329" s="39"/>
      <c r="V329" s="257"/>
    </row>
    <row r="330" spans="2:22" s="7" customFormat="1" ht="18" customHeight="1">
      <c r="B330" s="12"/>
      <c r="C330" s="6" t="s">
        <v>2182</v>
      </c>
      <c r="D330" s="14" t="s">
        <v>1994</v>
      </c>
      <c r="E330" s="22"/>
      <c r="F330" s="163"/>
      <c r="G330" s="770"/>
      <c r="H330" s="126"/>
      <c r="I330" s="109"/>
      <c r="J330" s="108"/>
      <c r="K330" s="39"/>
      <c r="L330" s="139">
        <v>44258</v>
      </c>
      <c r="M330" s="33"/>
      <c r="N330" s="33">
        <v>44258</v>
      </c>
      <c r="O330" s="32">
        <v>2880</v>
      </c>
      <c r="P330" s="6" t="s">
        <v>3</v>
      </c>
      <c r="Q330" s="322"/>
      <c r="U330" s="23"/>
      <c r="V330" s="257"/>
    </row>
    <row r="331" spans="2:22" s="7" customFormat="1" ht="18" customHeight="1">
      <c r="B331" s="12"/>
      <c r="C331" s="6" t="s">
        <v>2182</v>
      </c>
      <c r="D331" s="14" t="s">
        <v>1994</v>
      </c>
      <c r="E331" s="22" t="s">
        <v>2185</v>
      </c>
      <c r="F331" s="163">
        <v>10</v>
      </c>
      <c r="G331" s="22" t="s">
        <v>2186</v>
      </c>
      <c r="H331" s="108">
        <v>100</v>
      </c>
      <c r="I331" s="109">
        <v>3</v>
      </c>
      <c r="J331" s="8">
        <f>H331*I331</f>
        <v>300</v>
      </c>
      <c r="K331" s="39">
        <v>1.06</v>
      </c>
      <c r="L331" s="139">
        <v>44258</v>
      </c>
      <c r="M331" s="33"/>
      <c r="N331" s="33">
        <v>44258</v>
      </c>
      <c r="O331" s="32">
        <v>2880</v>
      </c>
      <c r="P331" s="39">
        <f>ROUNDUP(S331/0.75/90,2)</f>
        <v>0.85</v>
      </c>
      <c r="Q331" s="322">
        <v>0.85</v>
      </c>
      <c r="S331" s="7">
        <v>57</v>
      </c>
      <c r="T331" s="7">
        <f>S331*J331</f>
        <v>17100</v>
      </c>
      <c r="U331" s="39"/>
      <c r="V331" s="257"/>
    </row>
    <row r="332" spans="2:22" s="7" customFormat="1" ht="18" customHeight="1">
      <c r="B332" s="12"/>
      <c r="C332" s="6" t="s">
        <v>2182</v>
      </c>
      <c r="D332" s="14" t="s">
        <v>1994</v>
      </c>
      <c r="E332" s="22"/>
      <c r="F332" s="15"/>
      <c r="G332" s="37" t="s">
        <v>2187</v>
      </c>
      <c r="H332" s="126"/>
      <c r="I332" s="109"/>
      <c r="J332" s="38">
        <v>1</v>
      </c>
      <c r="K332" s="39">
        <v>485</v>
      </c>
      <c r="L332" s="139">
        <v>44258</v>
      </c>
      <c r="M332" s="33"/>
      <c r="N332" s="33">
        <v>44258</v>
      </c>
      <c r="O332" s="32">
        <v>2880</v>
      </c>
      <c r="P332" s="6" t="s">
        <v>3</v>
      </c>
      <c r="Q332" s="322">
        <v>432.1</v>
      </c>
      <c r="S332" s="7">
        <v>35000</v>
      </c>
      <c r="T332" s="7">
        <f>S332*J332</f>
        <v>35000</v>
      </c>
      <c r="U332" s="23"/>
      <c r="V332" s="257"/>
    </row>
    <row r="333" spans="2:22" s="7" customFormat="1" ht="15">
      <c r="B333" s="12"/>
      <c r="C333" s="6" t="s">
        <v>2182</v>
      </c>
      <c r="D333" s="14" t="s">
        <v>1994</v>
      </c>
      <c r="E333" s="22"/>
      <c r="F333" s="102"/>
      <c r="G333" s="22" t="s">
        <v>14</v>
      </c>
      <c r="H333" s="8"/>
      <c r="I333" s="35"/>
      <c r="J333" s="38">
        <v>1</v>
      </c>
      <c r="K333" s="39">
        <v>12</v>
      </c>
      <c r="L333" s="139">
        <v>44258</v>
      </c>
      <c r="M333" s="33"/>
      <c r="N333" s="33">
        <v>44258</v>
      </c>
      <c r="O333" s="32">
        <v>2880</v>
      </c>
      <c r="P333" s="6" t="s">
        <v>3</v>
      </c>
      <c r="Q333" s="322">
        <v>12</v>
      </c>
      <c r="S333" s="7">
        <v>1000</v>
      </c>
      <c r="T333" s="7">
        <f>S333*J333</f>
        <v>1000</v>
      </c>
      <c r="U333" s="21"/>
      <c r="V333" s="257"/>
    </row>
    <row r="334" spans="2:22" s="191" customFormat="1" ht="15">
      <c r="B334" s="190"/>
      <c r="C334" s="179" t="s">
        <v>2182</v>
      </c>
      <c r="D334" s="180" t="s">
        <v>1994</v>
      </c>
      <c r="E334" s="217"/>
      <c r="F334" s="182"/>
      <c r="G334" s="182" t="s">
        <v>250</v>
      </c>
      <c r="H334" s="184" t="s">
        <v>252</v>
      </c>
      <c r="I334" s="185"/>
      <c r="J334" s="183"/>
      <c r="K334" s="203">
        <v>53</v>
      </c>
      <c r="L334" s="188">
        <v>44258</v>
      </c>
      <c r="M334" s="187"/>
      <c r="N334" s="187">
        <v>44258</v>
      </c>
      <c r="O334" s="186">
        <v>2880</v>
      </c>
      <c r="P334" s="179"/>
      <c r="Q334" s="322">
        <v>53</v>
      </c>
      <c r="S334" s="197">
        <v>4966</v>
      </c>
      <c r="T334" s="197">
        <v>4966</v>
      </c>
      <c r="U334" s="335"/>
      <c r="V334" s="726"/>
    </row>
    <row r="335" spans="2:22" customFormat="1" ht="18" customHeight="1">
      <c r="B335" s="26"/>
      <c r="C335" s="6" t="s">
        <v>2188</v>
      </c>
      <c r="D335" s="14" t="s">
        <v>2189</v>
      </c>
      <c r="E335" s="19" t="s">
        <v>227</v>
      </c>
      <c r="F335" s="37"/>
      <c r="G335" s="37"/>
      <c r="H335" s="108"/>
      <c r="I335" s="108"/>
      <c r="J335" s="108"/>
      <c r="K335" s="29" t="s">
        <v>101</v>
      </c>
      <c r="L335" s="139">
        <v>44265</v>
      </c>
      <c r="M335" s="33"/>
      <c r="N335" s="33">
        <v>44265</v>
      </c>
      <c r="O335" s="32">
        <v>2879</v>
      </c>
      <c r="P335" s="6"/>
      <c r="Q335" s="339"/>
      <c r="R335" s="1"/>
      <c r="S335" s="7"/>
      <c r="T335" s="7"/>
      <c r="U335" s="21"/>
      <c r="V335" s="257"/>
    </row>
    <row r="336" spans="2:22" customFormat="1" ht="18" customHeight="1">
      <c r="B336" s="26"/>
      <c r="C336" s="6" t="s">
        <v>2188</v>
      </c>
      <c r="D336" s="14" t="s">
        <v>2189</v>
      </c>
      <c r="E336" s="22">
        <v>2250</v>
      </c>
      <c r="F336" s="37">
        <v>12</v>
      </c>
      <c r="G336" s="22" t="s">
        <v>2190</v>
      </c>
      <c r="H336" s="108">
        <v>30</v>
      </c>
      <c r="I336" s="109">
        <v>10</v>
      </c>
      <c r="J336" s="8">
        <f>H336*I336</f>
        <v>300</v>
      </c>
      <c r="K336" s="39">
        <v>0.33</v>
      </c>
      <c r="L336" s="139">
        <v>44265</v>
      </c>
      <c r="M336" s="33"/>
      <c r="N336" s="33">
        <v>44265</v>
      </c>
      <c r="O336" s="32">
        <v>2879</v>
      </c>
      <c r="P336" s="39">
        <v>0.26</v>
      </c>
      <c r="Q336" s="322">
        <v>0.26</v>
      </c>
      <c r="R336" s="1"/>
      <c r="S336" s="7">
        <v>17.5</v>
      </c>
      <c r="T336" s="7">
        <f>S336*J336</f>
        <v>5250</v>
      </c>
      <c r="U336" s="39"/>
      <c r="V336" s="260"/>
    </row>
    <row r="337" spans="2:22" customFormat="1" ht="18" customHeight="1">
      <c r="B337" s="26"/>
      <c r="C337" s="6" t="s">
        <v>2188</v>
      </c>
      <c r="D337" s="14" t="s">
        <v>2189</v>
      </c>
      <c r="E337" s="22">
        <v>2250</v>
      </c>
      <c r="F337" s="37">
        <v>12</v>
      </c>
      <c r="G337" s="22" t="s">
        <v>2191</v>
      </c>
      <c r="H337" s="108">
        <v>30</v>
      </c>
      <c r="I337" s="109">
        <v>3</v>
      </c>
      <c r="J337" s="8">
        <f>H337*I337</f>
        <v>90</v>
      </c>
      <c r="K337" s="39">
        <v>0.33</v>
      </c>
      <c r="L337" s="139">
        <v>44265</v>
      </c>
      <c r="M337" s="33"/>
      <c r="N337" s="33">
        <v>44265</v>
      </c>
      <c r="O337" s="32">
        <v>2879</v>
      </c>
      <c r="P337" s="39">
        <v>0.26</v>
      </c>
      <c r="Q337" s="322">
        <v>0.26</v>
      </c>
      <c r="R337" s="1"/>
      <c r="S337" s="7">
        <v>17.5</v>
      </c>
      <c r="T337" s="7">
        <f>S337*J337</f>
        <v>1575</v>
      </c>
      <c r="U337" s="39"/>
      <c r="V337" s="260"/>
    </row>
    <row r="338" spans="2:22" s="7" customFormat="1" ht="15">
      <c r="B338" s="12"/>
      <c r="C338" s="6" t="s">
        <v>2188</v>
      </c>
      <c r="D338" s="14" t="s">
        <v>2189</v>
      </c>
      <c r="E338" s="49"/>
      <c r="F338" s="102"/>
      <c r="G338" s="22" t="s">
        <v>14</v>
      </c>
      <c r="H338" s="8"/>
      <c r="I338" s="35"/>
      <c r="J338" s="38">
        <v>1</v>
      </c>
      <c r="K338" s="39">
        <v>15</v>
      </c>
      <c r="L338" s="139">
        <v>44265</v>
      </c>
      <c r="M338" s="33"/>
      <c r="N338" s="33">
        <v>44265</v>
      </c>
      <c r="O338" s="32">
        <v>2879</v>
      </c>
      <c r="P338" s="6"/>
      <c r="Q338" s="322">
        <v>15</v>
      </c>
      <c r="S338" s="7">
        <v>0</v>
      </c>
      <c r="T338" s="7">
        <v>0</v>
      </c>
      <c r="U338" s="21"/>
      <c r="V338" s="257"/>
    </row>
    <row r="339" spans="2:22" s="191" customFormat="1" ht="15">
      <c r="B339" s="190"/>
      <c r="C339" s="179" t="s">
        <v>2188</v>
      </c>
      <c r="D339" s="180" t="s">
        <v>2189</v>
      </c>
      <c r="E339" s="181"/>
      <c r="F339" s="182"/>
      <c r="G339" s="771" t="s">
        <v>2192</v>
      </c>
      <c r="H339" s="184" t="s">
        <v>251</v>
      </c>
      <c r="I339" s="185"/>
      <c r="J339" s="183"/>
      <c r="K339" s="192">
        <v>0</v>
      </c>
      <c r="L339" s="188">
        <v>44265</v>
      </c>
      <c r="M339" s="187"/>
      <c r="N339" s="187">
        <v>44265</v>
      </c>
      <c r="O339" s="186">
        <v>2879</v>
      </c>
      <c r="P339" s="179"/>
      <c r="Q339" s="725">
        <v>0</v>
      </c>
      <c r="S339" s="197">
        <v>0</v>
      </c>
      <c r="T339" s="198">
        <v>0</v>
      </c>
      <c r="U339" s="335"/>
      <c r="V339" s="726"/>
    </row>
    <row r="340" spans="2:22" s="7" customFormat="1" ht="18" customHeight="1">
      <c r="B340" s="12"/>
      <c r="C340" s="6" t="s">
        <v>2193</v>
      </c>
      <c r="D340" s="14" t="s">
        <v>2194</v>
      </c>
      <c r="E340" s="19" t="s">
        <v>10</v>
      </c>
      <c r="F340" s="107"/>
      <c r="G340" s="22"/>
      <c r="H340" s="108"/>
      <c r="I340" s="109"/>
      <c r="J340" s="108"/>
      <c r="K340" s="110" t="s">
        <v>5</v>
      </c>
      <c r="L340" s="139">
        <v>44243</v>
      </c>
      <c r="M340" s="33"/>
      <c r="N340" s="33">
        <v>44243</v>
      </c>
      <c r="O340" s="32">
        <v>2906</v>
      </c>
      <c r="P340" s="14"/>
      <c r="Q340" s="322"/>
      <c r="U340" s="14"/>
      <c r="V340" s="257"/>
    </row>
    <row r="341" spans="2:22" s="7" customFormat="1" ht="18" customHeight="1">
      <c r="B341" s="12"/>
      <c r="C341" s="6" t="s">
        <v>2193</v>
      </c>
      <c r="D341" s="14" t="s">
        <v>2194</v>
      </c>
      <c r="E341" s="22" t="s">
        <v>206</v>
      </c>
      <c r="F341" s="107">
        <v>162</v>
      </c>
      <c r="G341" s="22" t="s">
        <v>2195</v>
      </c>
      <c r="H341" s="108">
        <v>50</v>
      </c>
      <c r="I341" s="109">
        <v>1</v>
      </c>
      <c r="J341" s="8">
        <f>H341*I341</f>
        <v>50</v>
      </c>
      <c r="K341" s="39">
        <v>3.75</v>
      </c>
      <c r="L341" s="139">
        <v>44243</v>
      </c>
      <c r="M341" s="33"/>
      <c r="N341" s="33">
        <v>44243</v>
      </c>
      <c r="O341" s="32">
        <v>2906</v>
      </c>
      <c r="P341" s="6"/>
      <c r="Q341" s="322">
        <v>3.71</v>
      </c>
      <c r="S341" s="7">
        <v>300</v>
      </c>
      <c r="T341" s="7">
        <f>S341*J341</f>
        <v>15000</v>
      </c>
      <c r="U341" s="21"/>
      <c r="V341" s="257"/>
    </row>
    <row r="342" spans="2:22" s="7" customFormat="1" ht="18" customHeight="1">
      <c r="B342" s="12"/>
      <c r="C342" s="6" t="s">
        <v>2193</v>
      </c>
      <c r="D342" s="14" t="s">
        <v>2194</v>
      </c>
      <c r="E342" s="22" t="s">
        <v>206</v>
      </c>
      <c r="F342" s="107">
        <v>162</v>
      </c>
      <c r="G342" s="22" t="s">
        <v>2195</v>
      </c>
      <c r="H342" s="108">
        <v>13</v>
      </c>
      <c r="I342" s="109">
        <v>1</v>
      </c>
      <c r="J342" s="8">
        <f>H342*I342</f>
        <v>13</v>
      </c>
      <c r="K342" s="39">
        <v>3.75</v>
      </c>
      <c r="L342" s="139">
        <v>44243</v>
      </c>
      <c r="M342" s="33"/>
      <c r="N342" s="33">
        <v>44243</v>
      </c>
      <c r="O342" s="32">
        <v>2906</v>
      </c>
      <c r="P342" s="6"/>
      <c r="Q342" s="322">
        <v>3.71</v>
      </c>
      <c r="S342" s="7">
        <v>300</v>
      </c>
      <c r="T342" s="7">
        <f>S342*J342</f>
        <v>3900</v>
      </c>
      <c r="U342" s="21"/>
      <c r="V342" s="257"/>
    </row>
    <row r="343" spans="2:22" s="7" customFormat="1" ht="17.45" customHeight="1">
      <c r="B343" s="12"/>
      <c r="C343" s="6" t="s">
        <v>2193</v>
      </c>
      <c r="D343" s="14" t="s">
        <v>2194</v>
      </c>
      <c r="E343" s="159"/>
      <c r="F343" s="37"/>
      <c r="G343" s="37" t="s">
        <v>14</v>
      </c>
      <c r="H343" s="8"/>
      <c r="I343" s="109" ph="1"/>
      <c r="J343" s="38">
        <v>1</v>
      </c>
      <c r="K343" s="39">
        <v>20</v>
      </c>
      <c r="L343" s="139">
        <v>44243</v>
      </c>
      <c r="M343" s="33"/>
      <c r="N343" s="33">
        <v>44243</v>
      </c>
      <c r="O343" s="32">
        <v>2906</v>
      </c>
      <c r="P343" s="6"/>
      <c r="Q343" s="322">
        <v>20</v>
      </c>
      <c r="S343" s="7">
        <v>1800</v>
      </c>
      <c r="T343" s="7">
        <f>S343*J343</f>
        <v>1800</v>
      </c>
      <c r="U343" s="21"/>
      <c r="V343" s="257"/>
    </row>
    <row r="344" spans="2:22" s="191" customFormat="1" ht="15">
      <c r="B344" s="190"/>
      <c r="C344" s="179" t="s">
        <v>2193</v>
      </c>
      <c r="D344" s="180" t="s">
        <v>2194</v>
      </c>
      <c r="E344" s="217"/>
      <c r="F344" s="182"/>
      <c r="G344" s="182" t="s">
        <v>250</v>
      </c>
      <c r="H344" s="184" t="s">
        <v>252</v>
      </c>
      <c r="I344" s="185"/>
      <c r="J344" s="183"/>
      <c r="K344" s="333">
        <v>170</v>
      </c>
      <c r="L344" s="188">
        <v>44243</v>
      </c>
      <c r="M344" s="187"/>
      <c r="N344" s="187">
        <v>44243</v>
      </c>
      <c r="O344" s="186">
        <v>2906</v>
      </c>
      <c r="P344" s="179"/>
      <c r="Q344" s="322">
        <v>150</v>
      </c>
      <c r="S344" s="197">
        <v>13881</v>
      </c>
      <c r="T344" s="197">
        <v>13881</v>
      </c>
      <c r="U344" s="335"/>
      <c r="V344" s="726"/>
    </row>
    <row r="345" spans="2:22" s="7" customFormat="1" ht="15">
      <c r="B345" s="12"/>
      <c r="C345" s="6" t="s">
        <v>2196</v>
      </c>
      <c r="D345" s="14" t="s">
        <v>2059</v>
      </c>
      <c r="E345" s="19" t="s">
        <v>231</v>
      </c>
      <c r="F345" s="37"/>
      <c r="G345" s="37"/>
      <c r="H345" s="108"/>
      <c r="I345" s="108"/>
      <c r="J345" s="108"/>
      <c r="K345" s="29" t="s">
        <v>232</v>
      </c>
      <c r="L345" s="139">
        <v>44252</v>
      </c>
      <c r="M345" s="33"/>
      <c r="N345" s="33">
        <v>44252</v>
      </c>
      <c r="O345" s="32">
        <v>2927</v>
      </c>
      <c r="P345" s="6"/>
      <c r="Q345" s="339"/>
      <c r="U345" s="21"/>
      <c r="V345" s="257"/>
    </row>
    <row r="346" spans="2:22" s="7" customFormat="1" ht="15">
      <c r="B346" s="12"/>
      <c r="C346" s="6" t="s">
        <v>2196</v>
      </c>
      <c r="D346" s="14" t="s">
        <v>2059</v>
      </c>
      <c r="E346" s="22" t="s">
        <v>257</v>
      </c>
      <c r="F346" s="112">
        <v>158</v>
      </c>
      <c r="G346" s="165" t="s">
        <v>2063</v>
      </c>
      <c r="H346" s="166">
        <v>185</v>
      </c>
      <c r="I346" s="166">
        <v>185</v>
      </c>
      <c r="J346" s="166">
        <v>185</v>
      </c>
      <c r="K346" s="39">
        <v>0.88</v>
      </c>
      <c r="L346" s="139">
        <v>44252</v>
      </c>
      <c r="M346" s="33"/>
      <c r="N346" s="33">
        <v>44252</v>
      </c>
      <c r="O346" s="32">
        <v>2927</v>
      </c>
      <c r="P346" s="6"/>
      <c r="Q346" s="322">
        <v>0.71</v>
      </c>
      <c r="S346" s="7">
        <v>37.299999999999997</v>
      </c>
      <c r="T346" s="7">
        <f>S346*J346</f>
        <v>6900.4999999999991</v>
      </c>
      <c r="U346" s="137" t="s">
        <v>2062</v>
      </c>
      <c r="V346" s="257"/>
    </row>
    <row r="347" spans="2:22" s="7" customFormat="1" ht="15">
      <c r="B347" s="12"/>
      <c r="C347" s="6" t="s">
        <v>2196</v>
      </c>
      <c r="D347" s="14" t="s">
        <v>2059</v>
      </c>
      <c r="E347" s="22" t="s">
        <v>257</v>
      </c>
      <c r="F347" s="112">
        <v>150</v>
      </c>
      <c r="G347" s="165" t="s">
        <v>2064</v>
      </c>
      <c r="H347" s="166">
        <v>50</v>
      </c>
      <c r="I347" s="166">
        <v>50</v>
      </c>
      <c r="J347" s="166">
        <v>50</v>
      </c>
      <c r="K347" s="39">
        <v>1.1000000000000001</v>
      </c>
      <c r="L347" s="139">
        <v>44252</v>
      </c>
      <c r="M347" s="33"/>
      <c r="N347" s="33">
        <v>44252</v>
      </c>
      <c r="O347" s="32">
        <v>2927</v>
      </c>
      <c r="P347" s="6"/>
      <c r="Q347" s="322">
        <v>0.69</v>
      </c>
      <c r="S347" s="7">
        <v>46</v>
      </c>
      <c r="T347" s="7">
        <f>S347*J347</f>
        <v>2300</v>
      </c>
      <c r="U347" s="137"/>
      <c r="V347" s="257"/>
    </row>
    <row r="348" spans="2:22" s="7" customFormat="1" ht="15">
      <c r="B348" s="12"/>
      <c r="C348" s="6" t="s">
        <v>2196</v>
      </c>
      <c r="D348" s="14" t="s">
        <v>2059</v>
      </c>
      <c r="E348" s="22" t="s">
        <v>257</v>
      </c>
      <c r="F348" s="112">
        <v>180</v>
      </c>
      <c r="G348" s="165" t="s">
        <v>2064</v>
      </c>
      <c r="H348" s="166">
        <v>250</v>
      </c>
      <c r="I348" s="166">
        <v>250</v>
      </c>
      <c r="J348" s="166">
        <v>250</v>
      </c>
      <c r="K348" s="39">
        <v>1.21</v>
      </c>
      <c r="L348" s="139">
        <v>44252</v>
      </c>
      <c r="M348" s="33"/>
      <c r="N348" s="33">
        <v>44252</v>
      </c>
      <c r="O348" s="32">
        <v>2927</v>
      </c>
      <c r="P348" s="6"/>
      <c r="Q348" s="322">
        <v>0.76</v>
      </c>
      <c r="S348" s="7">
        <v>50.8</v>
      </c>
      <c r="T348" s="7">
        <f>S348*J348</f>
        <v>12700</v>
      </c>
      <c r="U348" s="39"/>
      <c r="V348" s="257"/>
    </row>
    <row r="349" spans="2:22" s="7" customFormat="1" ht="18" customHeight="1">
      <c r="B349" s="12"/>
      <c r="C349" s="6" t="s">
        <v>2196</v>
      </c>
      <c r="D349" s="14" t="s">
        <v>2059</v>
      </c>
      <c r="E349" s="49"/>
      <c r="F349" s="37"/>
      <c r="G349" s="37" t="s">
        <v>2197</v>
      </c>
      <c r="H349" s="8"/>
      <c r="I349" s="109" ph="1"/>
      <c r="J349" s="38">
        <v>1</v>
      </c>
      <c r="K349" s="39">
        <v>10</v>
      </c>
      <c r="L349" s="139">
        <v>44252</v>
      </c>
      <c r="M349" s="33"/>
      <c r="N349" s="33">
        <v>44252</v>
      </c>
      <c r="O349" s="32">
        <v>2927</v>
      </c>
      <c r="P349" s="6"/>
      <c r="Q349" s="322">
        <v>7.4</v>
      </c>
      <c r="S349" s="7">
        <v>500</v>
      </c>
      <c r="T349" s="7">
        <f>S349*J349</f>
        <v>500</v>
      </c>
      <c r="U349" s="21"/>
      <c r="V349" s="257"/>
    </row>
    <row r="350" spans="2:22" s="7" customFormat="1" ht="18" customHeight="1">
      <c r="B350" s="12"/>
      <c r="C350" s="6" t="s">
        <v>2196</v>
      </c>
      <c r="D350" s="14" t="s">
        <v>2059</v>
      </c>
      <c r="E350" s="49"/>
      <c r="F350" s="37"/>
      <c r="G350" s="37" t="s">
        <v>14</v>
      </c>
      <c r="H350" s="8"/>
      <c r="I350" s="109" ph="1"/>
      <c r="J350" s="38">
        <v>1</v>
      </c>
      <c r="K350" s="39">
        <v>12</v>
      </c>
      <c r="L350" s="139">
        <v>44252</v>
      </c>
      <c r="M350" s="33"/>
      <c r="N350" s="33">
        <v>44252</v>
      </c>
      <c r="O350" s="32">
        <v>2927</v>
      </c>
      <c r="P350" s="6"/>
      <c r="Q350" s="322">
        <v>12</v>
      </c>
      <c r="S350" s="7">
        <v>1100</v>
      </c>
      <c r="T350" s="7">
        <f>S350*J350</f>
        <v>1100</v>
      </c>
      <c r="U350" s="21"/>
      <c r="V350" s="257"/>
    </row>
    <row r="351" spans="2:22" s="191" customFormat="1" ht="15">
      <c r="B351" s="190"/>
      <c r="C351" s="179" t="s">
        <v>2196</v>
      </c>
      <c r="D351" s="180" t="s">
        <v>2059</v>
      </c>
      <c r="E351" s="181"/>
      <c r="F351" s="622"/>
      <c r="G351" s="182" t="s">
        <v>250</v>
      </c>
      <c r="H351" s="184" t="s">
        <v>251</v>
      </c>
      <c r="I351" s="185"/>
      <c r="J351" s="183"/>
      <c r="K351" s="192">
        <v>0</v>
      </c>
      <c r="L351" s="188">
        <v>44252</v>
      </c>
      <c r="M351" s="187"/>
      <c r="N351" s="187">
        <v>44252</v>
      </c>
      <c r="O351" s="186">
        <v>2927</v>
      </c>
      <c r="P351" s="179"/>
      <c r="Q351" s="725">
        <v>0</v>
      </c>
      <c r="S351" s="197">
        <v>0</v>
      </c>
      <c r="T351" s="198">
        <v>0</v>
      </c>
      <c r="U351" s="335"/>
      <c r="V351" s="726"/>
    </row>
    <row r="352" spans="2:22" customFormat="1" ht="18" customHeight="1">
      <c r="B352" s="26"/>
      <c r="C352" s="6" t="s">
        <v>2198</v>
      </c>
      <c r="D352" s="14" t="s">
        <v>2199</v>
      </c>
      <c r="E352" s="19" t="s">
        <v>2200</v>
      </c>
      <c r="F352" s="37"/>
      <c r="G352" s="37"/>
      <c r="H352" s="108"/>
      <c r="I352" s="108"/>
      <c r="J352" s="108"/>
      <c r="K352" s="29" t="s">
        <v>101</v>
      </c>
      <c r="L352" s="139">
        <v>44258</v>
      </c>
      <c r="M352" s="33"/>
      <c r="N352" s="33">
        <v>44258</v>
      </c>
      <c r="O352" s="32">
        <v>2931</v>
      </c>
      <c r="P352" s="6"/>
      <c r="Q352" s="339"/>
      <c r="R352" s="1"/>
      <c r="S352" s="7"/>
      <c r="T352" s="7"/>
      <c r="U352" s="21"/>
      <c r="V352" s="257"/>
    </row>
    <row r="353" spans="2:22" customFormat="1" ht="18" customHeight="1">
      <c r="B353" s="26"/>
      <c r="C353" s="6" t="s">
        <v>2198</v>
      </c>
      <c r="D353" s="14" t="s">
        <v>2199</v>
      </c>
      <c r="E353" s="22" t="s">
        <v>2201</v>
      </c>
      <c r="F353" s="37">
        <v>9</v>
      </c>
      <c r="G353" s="22" t="s">
        <v>184</v>
      </c>
      <c r="H353" s="108">
        <v>30</v>
      </c>
      <c r="I353" s="109">
        <v>3</v>
      </c>
      <c r="J353" s="8">
        <f>H353*I353</f>
        <v>90</v>
      </c>
      <c r="K353" s="39">
        <v>1.62</v>
      </c>
      <c r="L353" s="139">
        <v>44258</v>
      </c>
      <c r="M353" s="33"/>
      <c r="N353" s="33">
        <v>44258</v>
      </c>
      <c r="O353" s="32">
        <v>2931</v>
      </c>
      <c r="P353" s="39">
        <f>ROUNDUP(S353/0.75/90,2)</f>
        <v>1.29</v>
      </c>
      <c r="Q353" s="322">
        <v>1.29</v>
      </c>
      <c r="R353" s="1"/>
      <c r="S353" s="7">
        <v>87</v>
      </c>
      <c r="T353" s="7">
        <f>S353*J353</f>
        <v>7830</v>
      </c>
      <c r="U353" s="39"/>
      <c r="V353" s="260"/>
    </row>
    <row r="354" spans="2:22" customFormat="1" ht="18" customHeight="1">
      <c r="B354" s="26"/>
      <c r="C354" s="6" t="s">
        <v>2198</v>
      </c>
      <c r="D354" s="14" t="s">
        <v>2199</v>
      </c>
      <c r="E354" s="22" t="s">
        <v>2201</v>
      </c>
      <c r="F354" s="37">
        <v>15</v>
      </c>
      <c r="G354" s="22" t="s">
        <v>184</v>
      </c>
      <c r="H354" s="108">
        <v>30</v>
      </c>
      <c r="I354" s="109">
        <v>2</v>
      </c>
      <c r="J354" s="8">
        <f>H354*I354</f>
        <v>60</v>
      </c>
      <c r="K354" s="39">
        <v>1.96</v>
      </c>
      <c r="L354" s="139">
        <v>44258</v>
      </c>
      <c r="M354" s="33"/>
      <c r="N354" s="33">
        <v>44258</v>
      </c>
      <c r="O354" s="32">
        <v>2931</v>
      </c>
      <c r="P354" s="39">
        <f>ROUNDUP(S354/0.75/90,2)</f>
        <v>1.57</v>
      </c>
      <c r="Q354" s="322">
        <v>1.57</v>
      </c>
      <c r="R354" s="1"/>
      <c r="S354" s="7">
        <v>105.5</v>
      </c>
      <c r="T354" s="7">
        <f>S354*J354</f>
        <v>6330</v>
      </c>
      <c r="U354" s="39"/>
      <c r="V354" s="260"/>
    </row>
    <row r="355" spans="2:22" customFormat="1" ht="18" customHeight="1">
      <c r="B355" s="26"/>
      <c r="C355" s="6" t="s">
        <v>2198</v>
      </c>
      <c r="D355" s="14" t="s">
        <v>2199</v>
      </c>
      <c r="E355" s="22" t="s">
        <v>2201</v>
      </c>
      <c r="F355" s="37">
        <v>20</v>
      </c>
      <c r="G355" s="22" t="s">
        <v>184</v>
      </c>
      <c r="H355" s="108">
        <v>30</v>
      </c>
      <c r="I355" s="109">
        <v>1</v>
      </c>
      <c r="J355" s="8">
        <f>H355*I355</f>
        <v>30</v>
      </c>
      <c r="K355" s="39">
        <v>2.4700000000000002</v>
      </c>
      <c r="L355" s="139">
        <v>44258</v>
      </c>
      <c r="M355" s="33"/>
      <c r="N355" s="33">
        <v>44258</v>
      </c>
      <c r="O355" s="32">
        <v>2931</v>
      </c>
      <c r="P355" s="39">
        <f>ROUNDUP(S355/0.75/90,2)</f>
        <v>1.98</v>
      </c>
      <c r="Q355" s="322">
        <v>1.98</v>
      </c>
      <c r="R355" s="1"/>
      <c r="S355" s="7">
        <v>133</v>
      </c>
      <c r="T355" s="7">
        <f>S355*J355</f>
        <v>3990</v>
      </c>
      <c r="U355" s="39"/>
      <c r="V355" s="260"/>
    </row>
    <row r="356" spans="2:22" customFormat="1" ht="18" customHeight="1">
      <c r="B356" s="26"/>
      <c r="C356" s="6" t="s">
        <v>2198</v>
      </c>
      <c r="D356" s="14" t="s">
        <v>2199</v>
      </c>
      <c r="E356" s="19" t="s">
        <v>2202</v>
      </c>
      <c r="F356" s="37"/>
      <c r="G356" s="37"/>
      <c r="H356" s="108"/>
      <c r="I356" s="108"/>
      <c r="J356" s="108"/>
      <c r="K356" s="29" t="s">
        <v>101</v>
      </c>
      <c r="L356" s="139">
        <v>44258</v>
      </c>
      <c r="M356" s="33"/>
      <c r="N356" s="33">
        <v>44258</v>
      </c>
      <c r="O356" s="32">
        <v>2931</v>
      </c>
      <c r="P356" s="6"/>
      <c r="Q356" s="339"/>
      <c r="R356" s="1"/>
      <c r="S356" s="7"/>
      <c r="T356" s="7"/>
      <c r="U356" s="21"/>
      <c r="V356" s="257"/>
    </row>
    <row r="357" spans="2:22" customFormat="1" ht="18" customHeight="1">
      <c r="B357" s="26"/>
      <c r="C357" s="6" t="s">
        <v>2198</v>
      </c>
      <c r="D357" s="14" t="s">
        <v>2199</v>
      </c>
      <c r="E357" s="22" t="s">
        <v>247</v>
      </c>
      <c r="F357" s="37"/>
      <c r="G357" s="22" t="s">
        <v>162</v>
      </c>
      <c r="H357" s="108">
        <v>50</v>
      </c>
      <c r="I357" s="109">
        <v>2</v>
      </c>
      <c r="J357" s="8">
        <f>H357*I357</f>
        <v>100</v>
      </c>
      <c r="K357" s="39">
        <v>0.32</v>
      </c>
      <c r="L357" s="139">
        <v>44258</v>
      </c>
      <c r="M357" s="33"/>
      <c r="N357" s="33">
        <v>44258</v>
      </c>
      <c r="O357" s="32">
        <v>2931</v>
      </c>
      <c r="P357" s="39">
        <f>ROUNDUP(S357/0.75/90,2)</f>
        <v>0.26</v>
      </c>
      <c r="Q357" s="322">
        <v>0.26</v>
      </c>
      <c r="R357" s="1"/>
      <c r="S357" s="7">
        <v>16.899999999999999</v>
      </c>
      <c r="T357" s="7">
        <f>S357*J357</f>
        <v>1689.9999999999998</v>
      </c>
      <c r="U357" s="39"/>
      <c r="V357" s="260"/>
    </row>
    <row r="358" spans="2:22" s="7" customFormat="1" ht="18" customHeight="1">
      <c r="B358" s="12"/>
      <c r="C358" s="6" t="s">
        <v>2198</v>
      </c>
      <c r="D358" s="14" t="s">
        <v>2199</v>
      </c>
      <c r="E358" s="19" t="s">
        <v>2203</v>
      </c>
      <c r="F358" s="37"/>
      <c r="G358" s="37"/>
      <c r="H358" s="108"/>
      <c r="I358" s="109"/>
      <c r="J358" s="8"/>
      <c r="K358" s="39"/>
      <c r="L358" s="139">
        <v>44258</v>
      </c>
      <c r="M358" s="33"/>
      <c r="N358" s="33">
        <v>44258</v>
      </c>
      <c r="O358" s="32">
        <v>2931</v>
      </c>
      <c r="P358" s="722"/>
      <c r="Q358" s="322"/>
      <c r="U358" s="21"/>
      <c r="V358" s="257"/>
    </row>
    <row r="359" spans="2:22" s="7" customFormat="1" ht="18" customHeight="1">
      <c r="B359" s="12"/>
      <c r="C359" s="6" t="s">
        <v>2198</v>
      </c>
      <c r="D359" s="14" t="s">
        <v>2199</v>
      </c>
      <c r="E359" s="22">
        <v>3534</v>
      </c>
      <c r="F359" s="37">
        <v>45</v>
      </c>
      <c r="G359" s="37" t="s">
        <v>224</v>
      </c>
      <c r="H359" s="108">
        <v>30</v>
      </c>
      <c r="I359" s="109">
        <v>4</v>
      </c>
      <c r="J359" s="8">
        <f>I359*H359</f>
        <v>120</v>
      </c>
      <c r="K359" s="39">
        <v>1.17</v>
      </c>
      <c r="L359" s="139">
        <v>44258</v>
      </c>
      <c r="M359" s="33"/>
      <c r="N359" s="33">
        <v>44258</v>
      </c>
      <c r="O359" s="32">
        <v>2931</v>
      </c>
      <c r="P359" s="722"/>
      <c r="Q359" s="322">
        <v>0.94</v>
      </c>
      <c r="S359" s="7">
        <v>58</v>
      </c>
      <c r="T359" s="7">
        <f>S359*J359</f>
        <v>6960</v>
      </c>
      <c r="U359" s="772" t="s">
        <v>2204</v>
      </c>
      <c r="V359" s="257"/>
    </row>
    <row r="360" spans="2:22" s="7" customFormat="1" ht="15">
      <c r="B360" s="12"/>
      <c r="C360" s="6" t="s">
        <v>2198</v>
      </c>
      <c r="D360" s="14" t="s">
        <v>2199</v>
      </c>
      <c r="E360" s="22"/>
      <c r="F360" s="102"/>
      <c r="G360" s="22" t="s">
        <v>14</v>
      </c>
      <c r="H360" s="8"/>
      <c r="I360" s="35"/>
      <c r="J360" s="38">
        <v>1</v>
      </c>
      <c r="K360" s="39">
        <v>12</v>
      </c>
      <c r="L360" s="139">
        <v>44258</v>
      </c>
      <c r="M360" s="33"/>
      <c r="N360" s="33">
        <v>44258</v>
      </c>
      <c r="O360" s="32">
        <v>2931</v>
      </c>
      <c r="P360" s="6" t="s">
        <v>3</v>
      </c>
      <c r="Q360" s="322">
        <v>12</v>
      </c>
      <c r="S360" s="7">
        <v>1100</v>
      </c>
      <c r="T360" s="7">
        <f>S360*J360</f>
        <v>1100</v>
      </c>
      <c r="U360" s="21"/>
      <c r="V360" s="257"/>
    </row>
    <row r="361" spans="2:22" s="143" customFormat="1" ht="15">
      <c r="B361" s="276"/>
      <c r="C361" s="142" t="s">
        <v>2198</v>
      </c>
      <c r="D361" s="90" t="s">
        <v>2199</v>
      </c>
      <c r="E361" s="153"/>
      <c r="F361" s="116"/>
      <c r="G361" s="153" t="s">
        <v>14</v>
      </c>
      <c r="H361" s="140"/>
      <c r="I361" s="141"/>
      <c r="J361" s="36">
        <v>1</v>
      </c>
      <c r="K361" s="154">
        <v>12</v>
      </c>
      <c r="L361" s="139">
        <v>44258</v>
      </c>
      <c r="M361" s="33"/>
      <c r="N361" s="33">
        <v>44258</v>
      </c>
      <c r="O361" s="32">
        <v>2931</v>
      </c>
      <c r="P361" s="142" t="s">
        <v>3</v>
      </c>
      <c r="Q361" s="773">
        <v>12</v>
      </c>
      <c r="S361" s="143">
        <v>1100</v>
      </c>
      <c r="T361" s="143">
        <f>S361*J361</f>
        <v>1100</v>
      </c>
      <c r="U361" s="746"/>
      <c r="V361" s="258"/>
    </row>
    <row r="362" spans="2:22" s="7" customFormat="1" ht="15">
      <c r="B362" s="12"/>
      <c r="C362" s="6" t="s">
        <v>2198</v>
      </c>
      <c r="D362" s="14" t="s">
        <v>2199</v>
      </c>
      <c r="E362" s="22"/>
      <c r="F362" s="102"/>
      <c r="G362" s="22" t="s">
        <v>14</v>
      </c>
      <c r="H362" s="8"/>
      <c r="I362" s="35"/>
      <c r="J362" s="38">
        <v>1</v>
      </c>
      <c r="K362" s="39">
        <v>12</v>
      </c>
      <c r="L362" s="139">
        <v>44258</v>
      </c>
      <c r="M362" s="33"/>
      <c r="N362" s="224" t="s">
        <v>276</v>
      </c>
      <c r="O362" s="32"/>
      <c r="P362" s="6" t="s">
        <v>3</v>
      </c>
      <c r="Q362" s="322">
        <v>12</v>
      </c>
      <c r="S362" s="7">
        <v>1000</v>
      </c>
      <c r="T362" s="7">
        <f>S362*J362</f>
        <v>1000</v>
      </c>
      <c r="U362" s="21"/>
      <c r="V362" s="257"/>
    </row>
    <row r="363" spans="2:22" s="191" customFormat="1" ht="15">
      <c r="B363" s="190"/>
      <c r="C363" s="179" t="s">
        <v>2198</v>
      </c>
      <c r="D363" s="180" t="s">
        <v>2199</v>
      </c>
      <c r="E363" s="217"/>
      <c r="F363" s="182"/>
      <c r="G363" s="182" t="s">
        <v>250</v>
      </c>
      <c r="H363" s="184" t="s">
        <v>252</v>
      </c>
      <c r="I363" s="185"/>
      <c r="J363" s="183"/>
      <c r="K363" s="333">
        <v>147</v>
      </c>
      <c r="L363" s="188">
        <v>44258</v>
      </c>
      <c r="M363" s="187"/>
      <c r="N363" s="187">
        <v>44258</v>
      </c>
      <c r="O363" s="186">
        <v>2931</v>
      </c>
      <c r="P363" s="179"/>
      <c r="Q363" s="322">
        <v>135</v>
      </c>
      <c r="S363" s="197">
        <v>13189</v>
      </c>
      <c r="T363" s="197">
        <v>13189</v>
      </c>
      <c r="U363" s="335"/>
      <c r="V363" s="726"/>
    </row>
    <row r="364" spans="2:22" s="7" customFormat="1" ht="18" customHeight="1">
      <c r="B364" s="12"/>
      <c r="C364" s="6" t="s">
        <v>2205</v>
      </c>
      <c r="D364" s="14" t="s">
        <v>1970</v>
      </c>
      <c r="E364" s="17" t="s">
        <v>160</v>
      </c>
      <c r="F364" s="319"/>
      <c r="G364" s="299"/>
      <c r="H364" s="300" t="s">
        <v>355</v>
      </c>
      <c r="I364" s="320"/>
      <c r="J364" s="321"/>
      <c r="K364" s="110" t="s">
        <v>5</v>
      </c>
      <c r="L364" s="139">
        <v>44253</v>
      </c>
      <c r="M364" s="33"/>
      <c r="N364" s="33">
        <v>44253</v>
      </c>
      <c r="O364" s="32">
        <v>2932</v>
      </c>
      <c r="P364" s="6"/>
      <c r="Q364" s="322"/>
      <c r="U364" s="39"/>
      <c r="V364" s="257"/>
    </row>
    <row r="365" spans="2:22" s="7" customFormat="1" ht="18" customHeight="1">
      <c r="B365" s="12"/>
      <c r="C365" s="6" t="s">
        <v>2205</v>
      </c>
      <c r="D365" s="14" t="s">
        <v>1970</v>
      </c>
      <c r="E365" s="22">
        <v>14552</v>
      </c>
      <c r="F365" s="24">
        <v>38</v>
      </c>
      <c r="G365" s="22" t="s">
        <v>176</v>
      </c>
      <c r="H365" s="108">
        <v>30</v>
      </c>
      <c r="I365" s="109">
        <v>12</v>
      </c>
      <c r="J365" s="108">
        <f>H365*I365</f>
        <v>360</v>
      </c>
      <c r="K365" s="39">
        <v>1.5</v>
      </c>
      <c r="L365" s="139">
        <v>44253</v>
      </c>
      <c r="M365" s="33"/>
      <c r="N365" s="33">
        <v>44253</v>
      </c>
      <c r="O365" s="32">
        <v>2932</v>
      </c>
      <c r="P365" s="6"/>
      <c r="Q365" s="358">
        <v>1.2</v>
      </c>
      <c r="S365" s="7">
        <v>81</v>
      </c>
      <c r="T365" s="7">
        <f>S365*J365</f>
        <v>29160</v>
      </c>
      <c r="U365" s="120"/>
      <c r="V365" s="257"/>
    </row>
    <row r="366" spans="2:22" s="7" customFormat="1" ht="18" customHeight="1">
      <c r="B366" s="12"/>
      <c r="C366" s="6" t="s">
        <v>2205</v>
      </c>
      <c r="D366" s="14" t="s">
        <v>1970</v>
      </c>
      <c r="E366" s="49"/>
      <c r="F366" s="37"/>
      <c r="G366" s="37" t="s">
        <v>14</v>
      </c>
      <c r="H366" s="8"/>
      <c r="I366" s="109" ph="1"/>
      <c r="J366" s="38">
        <v>1</v>
      </c>
      <c r="K366" s="39">
        <v>12</v>
      </c>
      <c r="L366" s="139">
        <v>44253</v>
      </c>
      <c r="M366" s="33"/>
      <c r="N366" s="33">
        <v>44253</v>
      </c>
      <c r="O366" s="32">
        <v>2932</v>
      </c>
      <c r="P366" s="6"/>
      <c r="Q366" s="322">
        <v>12</v>
      </c>
      <c r="S366" s="745">
        <v>0</v>
      </c>
      <c r="T366" s="7">
        <f>S366*J366</f>
        <v>0</v>
      </c>
      <c r="U366" s="21"/>
      <c r="V366" s="257"/>
    </row>
    <row r="367" spans="2:22" s="191" customFormat="1" ht="15">
      <c r="B367" s="190"/>
      <c r="C367" s="179" t="s">
        <v>2205</v>
      </c>
      <c r="D367" s="180" t="s">
        <v>1970</v>
      </c>
      <c r="E367" s="181"/>
      <c r="F367" s="622"/>
      <c r="G367" s="182" t="s">
        <v>250</v>
      </c>
      <c r="H367" s="184" t="s">
        <v>251</v>
      </c>
      <c r="I367" s="185"/>
      <c r="J367" s="183"/>
      <c r="K367" s="192">
        <v>0</v>
      </c>
      <c r="L367" s="188">
        <v>44253</v>
      </c>
      <c r="M367" s="187"/>
      <c r="N367" s="187">
        <v>44253</v>
      </c>
      <c r="O367" s="186">
        <v>2932</v>
      </c>
      <c r="P367" s="179"/>
      <c r="Q367" s="725">
        <v>0</v>
      </c>
      <c r="S367" s="197">
        <v>0</v>
      </c>
      <c r="T367" s="198">
        <v>0</v>
      </c>
      <c r="U367" s="335"/>
      <c r="V367" s="726"/>
    </row>
    <row r="368" spans="2:22" s="7" customFormat="1" ht="18" customHeight="1">
      <c r="B368" s="12"/>
      <c r="C368" s="6" t="s">
        <v>2206</v>
      </c>
      <c r="D368" s="14" t="s">
        <v>2207</v>
      </c>
      <c r="E368" s="14" t="s">
        <v>2208</v>
      </c>
      <c r="F368" s="15"/>
      <c r="G368" s="14"/>
      <c r="H368" s="60"/>
      <c r="I368" s="61"/>
      <c r="J368" s="60"/>
      <c r="K368" s="16" t="s">
        <v>5</v>
      </c>
      <c r="L368" s="139">
        <v>44314</v>
      </c>
      <c r="M368" s="33"/>
      <c r="N368" s="33">
        <v>44314</v>
      </c>
      <c r="O368" s="32">
        <v>2937</v>
      </c>
      <c r="P368" s="6" t="s">
        <v>3</v>
      </c>
      <c r="Q368" s="732"/>
      <c r="U368" s="120"/>
      <c r="V368" s="257"/>
    </row>
    <row r="369" spans="2:22" s="7" customFormat="1" ht="18" customHeight="1">
      <c r="B369" s="12"/>
      <c r="C369" s="6" t="s">
        <v>2206</v>
      </c>
      <c r="D369" s="14" t="s">
        <v>2207</v>
      </c>
      <c r="E369" s="22" t="s">
        <v>1996</v>
      </c>
      <c r="F369" s="15">
        <v>15</v>
      </c>
      <c r="G369" s="22" t="s">
        <v>2184</v>
      </c>
      <c r="H369" s="108">
        <v>30</v>
      </c>
      <c r="I369" s="109">
        <v>46</v>
      </c>
      <c r="J369" s="8">
        <f>I369*H369</f>
        <v>1380</v>
      </c>
      <c r="K369" s="39">
        <v>1.2</v>
      </c>
      <c r="L369" s="139">
        <v>44314</v>
      </c>
      <c r="M369" s="33"/>
      <c r="N369" s="33">
        <v>44314</v>
      </c>
      <c r="O369" s="32">
        <v>2937</v>
      </c>
      <c r="P369" s="39">
        <f>ROUNDUP(S369/0.75/90,2)</f>
        <v>0.96</v>
      </c>
      <c r="Q369" s="322">
        <v>0.96</v>
      </c>
      <c r="S369" s="7">
        <v>64.5</v>
      </c>
      <c r="T369" s="7">
        <f>S369*J369</f>
        <v>89010</v>
      </c>
      <c r="U369" s="733"/>
      <c r="V369" s="257"/>
    </row>
    <row r="370" spans="2:22" s="7" customFormat="1" ht="18" customHeight="1">
      <c r="B370" s="12"/>
      <c r="C370" s="6" t="s">
        <v>2206</v>
      </c>
      <c r="D370" s="14" t="s">
        <v>2207</v>
      </c>
      <c r="E370" s="49"/>
      <c r="F370" s="37"/>
      <c r="G370" s="37" t="s">
        <v>14</v>
      </c>
      <c r="H370" s="8"/>
      <c r="I370" s="109" ph="1"/>
      <c r="J370" s="38">
        <v>1</v>
      </c>
      <c r="K370" s="39">
        <v>15</v>
      </c>
      <c r="L370" s="139">
        <v>44314</v>
      </c>
      <c r="M370" s="33"/>
      <c r="N370" s="33">
        <v>44314</v>
      </c>
      <c r="O370" s="32">
        <v>2937</v>
      </c>
      <c r="P370" s="6"/>
      <c r="Q370" s="322">
        <v>15</v>
      </c>
      <c r="S370" s="7">
        <v>0</v>
      </c>
      <c r="T370" s="7">
        <f>S370*J370</f>
        <v>0</v>
      </c>
      <c r="U370" s="21"/>
      <c r="V370" s="257"/>
    </row>
    <row r="371" spans="2:22" s="191" customFormat="1" ht="15">
      <c r="B371" s="190"/>
      <c r="C371" s="179" t="s">
        <v>2206</v>
      </c>
      <c r="D371" s="180" t="s">
        <v>2207</v>
      </c>
      <c r="E371" s="181"/>
      <c r="F371" s="622"/>
      <c r="G371" s="182" t="s">
        <v>250</v>
      </c>
      <c r="H371" s="184" t="s">
        <v>251</v>
      </c>
      <c r="I371" s="185"/>
      <c r="J371" s="183"/>
      <c r="K371" s="192">
        <v>0</v>
      </c>
      <c r="L371" s="188">
        <v>44314</v>
      </c>
      <c r="M371" s="187"/>
      <c r="N371" s="187">
        <v>44314</v>
      </c>
      <c r="O371" s="186">
        <v>2937</v>
      </c>
      <c r="P371" s="179"/>
      <c r="Q371" s="725">
        <v>0</v>
      </c>
      <c r="S371" s="197">
        <v>0</v>
      </c>
      <c r="T371" s="198">
        <v>0</v>
      </c>
      <c r="U371" s="335"/>
      <c r="V371" s="726"/>
    </row>
    <row r="372" spans="2:22" s="7" customFormat="1" ht="18" customHeight="1">
      <c r="B372" s="12"/>
      <c r="C372" s="6" t="s">
        <v>2209</v>
      </c>
      <c r="D372" s="14" t="s">
        <v>2059</v>
      </c>
      <c r="E372" s="19" t="s">
        <v>2099</v>
      </c>
      <c r="F372" s="37"/>
      <c r="G372" s="37"/>
      <c r="H372" s="108"/>
      <c r="I372" s="108"/>
      <c r="J372" s="108"/>
      <c r="K372" s="29" t="s">
        <v>5</v>
      </c>
      <c r="L372" s="139">
        <v>44259</v>
      </c>
      <c r="M372" s="33"/>
      <c r="N372" s="33">
        <v>44259</v>
      </c>
      <c r="O372" s="32">
        <v>2939</v>
      </c>
      <c r="P372" s="6"/>
      <c r="Q372" s="339"/>
      <c r="U372" s="21"/>
      <c r="V372" s="257"/>
    </row>
    <row r="373" spans="2:22" s="7" customFormat="1" ht="17.25" customHeight="1">
      <c r="B373" s="12"/>
      <c r="C373" s="6" t="s">
        <v>2209</v>
      </c>
      <c r="D373" s="14" t="s">
        <v>2059</v>
      </c>
      <c r="E373" s="22">
        <v>5636</v>
      </c>
      <c r="F373" s="37" t="s">
        <v>1881</v>
      </c>
      <c r="G373" s="37" t="s">
        <v>172</v>
      </c>
      <c r="H373" s="108">
        <v>50</v>
      </c>
      <c r="I373" s="109">
        <v>5</v>
      </c>
      <c r="J373" s="8">
        <f>H373*I373</f>
        <v>250</v>
      </c>
      <c r="K373" s="39">
        <v>0.24</v>
      </c>
      <c r="L373" s="139">
        <v>44259</v>
      </c>
      <c r="M373" s="33"/>
      <c r="N373" s="33">
        <v>44259</v>
      </c>
      <c r="O373" s="32">
        <v>2939</v>
      </c>
      <c r="P373" s="39">
        <f>ROUNDUP(S373/0.75/90,2)</f>
        <v>0.19</v>
      </c>
      <c r="Q373" s="322">
        <v>0.19</v>
      </c>
      <c r="S373" s="7">
        <v>12.7</v>
      </c>
      <c r="T373" s="7">
        <f>S373*J373</f>
        <v>3175</v>
      </c>
      <c r="U373" s="752"/>
      <c r="V373" s="257"/>
    </row>
    <row r="374" spans="2:22" s="7" customFormat="1" ht="18" customHeight="1">
      <c r="B374" s="12"/>
      <c r="C374" s="6" t="s">
        <v>2209</v>
      </c>
      <c r="D374" s="14" t="s">
        <v>2059</v>
      </c>
      <c r="E374" s="49"/>
      <c r="F374" s="37"/>
      <c r="G374" s="37" t="s">
        <v>14</v>
      </c>
      <c r="H374" s="8"/>
      <c r="I374" s="109" ph="1"/>
      <c r="J374" s="38">
        <v>1</v>
      </c>
      <c r="K374" s="39">
        <v>12</v>
      </c>
      <c r="L374" s="139">
        <v>44259</v>
      </c>
      <c r="M374" s="33"/>
      <c r="N374" s="33">
        <v>44259</v>
      </c>
      <c r="O374" s="32">
        <v>2939</v>
      </c>
      <c r="P374" s="6"/>
      <c r="Q374" s="322">
        <v>12</v>
      </c>
      <c r="S374" s="7">
        <v>0</v>
      </c>
      <c r="T374" s="7">
        <f>S374*J374</f>
        <v>0</v>
      </c>
      <c r="U374" s="21"/>
      <c r="V374" s="257"/>
    </row>
    <row r="375" spans="2:22" s="191" customFormat="1" ht="15">
      <c r="B375" s="190"/>
      <c r="C375" s="179" t="s">
        <v>2209</v>
      </c>
      <c r="D375" s="180" t="s">
        <v>2059</v>
      </c>
      <c r="E375" s="181"/>
      <c r="F375" s="622"/>
      <c r="G375" s="182" t="s">
        <v>250</v>
      </c>
      <c r="H375" s="184" t="s">
        <v>251</v>
      </c>
      <c r="I375" s="185"/>
      <c r="J375" s="183"/>
      <c r="K375" s="192">
        <v>0</v>
      </c>
      <c r="L375" s="188">
        <v>44259</v>
      </c>
      <c r="M375" s="187"/>
      <c r="N375" s="187">
        <v>44259</v>
      </c>
      <c r="O375" s="186">
        <v>2939</v>
      </c>
      <c r="P375" s="179"/>
      <c r="Q375" s="725">
        <v>0</v>
      </c>
      <c r="S375" s="197">
        <v>0</v>
      </c>
      <c r="T375" s="198">
        <v>0</v>
      </c>
      <c r="U375" s="335"/>
      <c r="V375" s="726"/>
    </row>
    <row r="376" spans="2:22" s="7" customFormat="1" ht="18" customHeight="1">
      <c r="B376" s="12"/>
      <c r="C376" s="6" t="s">
        <v>2210</v>
      </c>
      <c r="D376" s="14" t="s">
        <v>2211</v>
      </c>
      <c r="E376" s="19" t="s">
        <v>1950</v>
      </c>
      <c r="F376" s="37"/>
      <c r="G376" s="37"/>
      <c r="H376" s="108"/>
      <c r="I376" s="108"/>
      <c r="J376" s="108"/>
      <c r="K376" s="29" t="s">
        <v>5</v>
      </c>
      <c r="L376" s="139">
        <v>44270</v>
      </c>
      <c r="M376" s="33"/>
      <c r="N376" s="33">
        <v>44270</v>
      </c>
      <c r="O376" s="32">
        <v>2952</v>
      </c>
      <c r="P376" s="6"/>
      <c r="Q376" s="339"/>
      <c r="U376" s="21"/>
      <c r="V376" s="257"/>
    </row>
    <row r="377" spans="2:22" s="7" customFormat="1" ht="17.25" customHeight="1">
      <c r="B377" s="12"/>
      <c r="C377" s="6" t="s">
        <v>2210</v>
      </c>
      <c r="D377" s="14" t="s">
        <v>2211</v>
      </c>
      <c r="E377" s="22">
        <v>3808</v>
      </c>
      <c r="F377" s="37">
        <v>9</v>
      </c>
      <c r="G377" s="37" t="s">
        <v>1952</v>
      </c>
      <c r="H377" s="108">
        <v>50</v>
      </c>
      <c r="I377" s="109">
        <v>2</v>
      </c>
      <c r="J377" s="8">
        <f>H377*I377</f>
        <v>100</v>
      </c>
      <c r="K377" s="39">
        <v>0.56999999999999995</v>
      </c>
      <c r="L377" s="139">
        <v>44270</v>
      </c>
      <c r="M377" s="33"/>
      <c r="N377" s="33">
        <v>44270</v>
      </c>
      <c r="O377" s="32">
        <v>2952</v>
      </c>
      <c r="P377" s="722"/>
      <c r="Q377" s="322">
        <v>0.27</v>
      </c>
      <c r="S377" s="7">
        <v>18</v>
      </c>
      <c r="T377" s="7">
        <f>S377*J377</f>
        <v>1800</v>
      </c>
      <c r="U377" s="21"/>
      <c r="V377" s="257"/>
    </row>
    <row r="378" spans="2:22" s="7" customFormat="1" ht="17.25" customHeight="1">
      <c r="B378" s="12"/>
      <c r="C378" s="6" t="s">
        <v>2210</v>
      </c>
      <c r="D378" s="14" t="s">
        <v>2211</v>
      </c>
      <c r="E378" s="22">
        <v>3808</v>
      </c>
      <c r="F378" s="37">
        <v>9</v>
      </c>
      <c r="G378" s="37" t="s">
        <v>1954</v>
      </c>
      <c r="H378" s="108">
        <v>50</v>
      </c>
      <c r="I378" s="109">
        <v>2</v>
      </c>
      <c r="J378" s="8">
        <f>H378*I378</f>
        <v>100</v>
      </c>
      <c r="K378" s="39">
        <v>0.56999999999999995</v>
      </c>
      <c r="L378" s="139">
        <v>44270</v>
      </c>
      <c r="M378" s="33"/>
      <c r="N378" s="33">
        <v>44270</v>
      </c>
      <c r="O378" s="32">
        <v>2952</v>
      </c>
      <c r="P378" s="722"/>
      <c r="Q378" s="322">
        <v>0.27</v>
      </c>
      <c r="S378" s="7">
        <v>18</v>
      </c>
      <c r="T378" s="7">
        <f>S378*J378</f>
        <v>1800</v>
      </c>
      <c r="U378" s="21"/>
      <c r="V378" s="257"/>
    </row>
    <row r="379" spans="2:22" customFormat="1" ht="18" customHeight="1">
      <c r="B379" s="26"/>
      <c r="C379" s="6" t="s">
        <v>2210</v>
      </c>
      <c r="D379" s="14" t="s">
        <v>2211</v>
      </c>
      <c r="E379" s="723"/>
      <c r="F379" s="64"/>
      <c r="G379" s="37" t="s">
        <v>14</v>
      </c>
      <c r="H379" s="8"/>
      <c r="I379" s="8"/>
      <c r="J379" s="38">
        <v>1</v>
      </c>
      <c r="K379" s="39">
        <v>12</v>
      </c>
      <c r="L379" s="139">
        <v>44270</v>
      </c>
      <c r="M379" s="33"/>
      <c r="N379" s="33">
        <v>44270</v>
      </c>
      <c r="O379" s="32">
        <v>2952</v>
      </c>
      <c r="P379" s="4"/>
      <c r="Q379" s="724">
        <v>12</v>
      </c>
      <c r="R379" s="1"/>
      <c r="S379" s="7">
        <v>1000</v>
      </c>
      <c r="T379" s="7">
        <f>S379*J379</f>
        <v>1000</v>
      </c>
      <c r="U379" s="34"/>
      <c r="V379" s="256"/>
    </row>
    <row r="380" spans="2:22" s="191" customFormat="1" ht="18" customHeight="1">
      <c r="B380" s="190"/>
      <c r="C380" s="179" t="s">
        <v>2210</v>
      </c>
      <c r="D380" s="180" t="s">
        <v>2211</v>
      </c>
      <c r="E380" s="736"/>
      <c r="F380" s="737"/>
      <c r="G380" s="182" t="s">
        <v>1955</v>
      </c>
      <c r="H380" s="222">
        <v>200</v>
      </c>
      <c r="I380" s="222"/>
      <c r="J380" s="222"/>
      <c r="K380" s="192">
        <v>0.23</v>
      </c>
      <c r="L380" s="188">
        <v>44270</v>
      </c>
      <c r="M380" s="187"/>
      <c r="N380" s="187">
        <v>44270</v>
      </c>
      <c r="O380" s="186">
        <v>2952</v>
      </c>
      <c r="P380" s="327"/>
      <c r="Q380" s="762">
        <v>46</v>
      </c>
      <c r="S380" s="198">
        <v>2085</v>
      </c>
      <c r="T380" s="198">
        <v>2085</v>
      </c>
      <c r="U380" s="738"/>
      <c r="V380" s="726"/>
    </row>
    <row r="381" spans="2:22" s="7" customFormat="1" ht="15">
      <c r="B381" s="12"/>
      <c r="C381" s="6" t="s">
        <v>2212</v>
      </c>
      <c r="D381" s="14" t="s">
        <v>2059</v>
      </c>
      <c r="E381" s="19" t="s">
        <v>231</v>
      </c>
      <c r="F381" s="37"/>
      <c r="G381" s="37"/>
      <c r="H381" s="108"/>
      <c r="I381" s="108"/>
      <c r="J381" s="108"/>
      <c r="K381" s="29" t="s">
        <v>232</v>
      </c>
      <c r="L381" s="139">
        <v>44279</v>
      </c>
      <c r="M381" s="33"/>
      <c r="N381" s="33">
        <v>44279</v>
      </c>
      <c r="O381" s="32">
        <v>2996</v>
      </c>
      <c r="P381" s="6"/>
      <c r="Q381" s="339"/>
      <c r="U381" s="21"/>
      <c r="V381" s="257"/>
    </row>
    <row r="382" spans="2:22" s="7" customFormat="1" ht="15">
      <c r="B382" s="12"/>
      <c r="C382" s="6" t="s">
        <v>2212</v>
      </c>
      <c r="D382" s="14" t="s">
        <v>2059</v>
      </c>
      <c r="E382" s="22" t="s">
        <v>257</v>
      </c>
      <c r="F382" s="112">
        <v>145</v>
      </c>
      <c r="G382" s="165" t="s">
        <v>2213</v>
      </c>
      <c r="H382" s="166">
        <v>150</v>
      </c>
      <c r="I382" s="166">
        <v>150</v>
      </c>
      <c r="J382" s="166">
        <v>150</v>
      </c>
      <c r="K382" s="39">
        <v>1.08</v>
      </c>
      <c r="L382" s="139">
        <v>44279</v>
      </c>
      <c r="M382" s="33"/>
      <c r="N382" s="33">
        <v>44279</v>
      </c>
      <c r="O382" s="32">
        <v>2996</v>
      </c>
      <c r="P382" s="39">
        <f>ROUNDUP(S382/0.75/90,2)</f>
        <v>0.67</v>
      </c>
      <c r="Q382" s="322">
        <v>0.67</v>
      </c>
      <c r="S382" s="7">
        <v>45.2</v>
      </c>
      <c r="T382" s="7">
        <f>S382*J382</f>
        <v>6780</v>
      </c>
      <c r="U382" s="137"/>
      <c r="V382" s="257"/>
    </row>
    <row r="383" spans="2:22" s="7" customFormat="1" ht="18" customHeight="1">
      <c r="B383" s="12"/>
      <c r="C383" s="6" t="s">
        <v>2212</v>
      </c>
      <c r="D383" s="14" t="s">
        <v>2059</v>
      </c>
      <c r="E383" s="49"/>
      <c r="F383" s="37"/>
      <c r="G383" s="37" t="s">
        <v>14</v>
      </c>
      <c r="H383" s="8"/>
      <c r="I383" s="109" ph="1"/>
      <c r="J383" s="38">
        <v>1</v>
      </c>
      <c r="K383" s="39">
        <v>12</v>
      </c>
      <c r="L383" s="139">
        <v>44279</v>
      </c>
      <c r="M383" s="33"/>
      <c r="N383" s="33">
        <v>44279</v>
      </c>
      <c r="O383" s="32">
        <v>2996</v>
      </c>
      <c r="P383" s="6"/>
      <c r="Q383" s="322">
        <v>12</v>
      </c>
      <c r="S383" s="7">
        <v>1100</v>
      </c>
      <c r="T383" s="7">
        <v>1100</v>
      </c>
      <c r="U383" s="21"/>
      <c r="V383" s="257"/>
    </row>
    <row r="384" spans="2:22" s="191" customFormat="1" ht="15">
      <c r="B384" s="190"/>
      <c r="C384" s="179" t="s">
        <v>2212</v>
      </c>
      <c r="D384" s="180" t="s">
        <v>2059</v>
      </c>
      <c r="E384" s="181"/>
      <c r="F384" s="622"/>
      <c r="G384" s="182" t="s">
        <v>250</v>
      </c>
      <c r="H384" s="184" t="s">
        <v>251</v>
      </c>
      <c r="I384" s="185"/>
      <c r="J384" s="183"/>
      <c r="K384" s="192">
        <v>0</v>
      </c>
      <c r="L384" s="188">
        <v>44279</v>
      </c>
      <c r="M384" s="187"/>
      <c r="N384" s="187">
        <v>44279</v>
      </c>
      <c r="O384" s="186">
        <v>2996</v>
      </c>
      <c r="P384" s="179"/>
      <c r="Q384" s="725">
        <v>0</v>
      </c>
      <c r="S384" s="197">
        <v>0</v>
      </c>
      <c r="T384" s="198">
        <v>0</v>
      </c>
      <c r="U384" s="335"/>
      <c r="V384" s="726"/>
    </row>
    <row r="385" spans="2:22" s="1" customFormat="1" ht="15">
      <c r="B385" s="26"/>
      <c r="C385" s="6" t="s">
        <v>2214</v>
      </c>
      <c r="D385" s="14" t="s">
        <v>2052</v>
      </c>
      <c r="E385" s="14" t="s">
        <v>376</v>
      </c>
      <c r="F385" s="136"/>
      <c r="G385" s="37"/>
      <c r="H385" s="38"/>
      <c r="I385" s="109"/>
      <c r="J385" s="108"/>
      <c r="K385" s="16" t="s">
        <v>5</v>
      </c>
      <c r="L385" s="139">
        <v>44294</v>
      </c>
      <c r="M385" s="33"/>
      <c r="N385" s="33">
        <v>44294</v>
      </c>
      <c r="O385" s="32">
        <v>3048</v>
      </c>
      <c r="P385" s="39"/>
      <c r="Q385" s="748"/>
      <c r="S385" s="39"/>
      <c r="T385" s="92"/>
      <c r="U385" s="23"/>
      <c r="V385" s="256"/>
    </row>
    <row r="386" spans="2:22" s="1" customFormat="1" ht="15">
      <c r="B386" s="26"/>
      <c r="C386" s="6" t="s">
        <v>2214</v>
      </c>
      <c r="D386" s="14" t="s">
        <v>2052</v>
      </c>
      <c r="E386" s="48" t="s">
        <v>2078</v>
      </c>
      <c r="F386" s="37"/>
      <c r="G386" s="37" t="s">
        <v>2215</v>
      </c>
      <c r="H386" s="8">
        <v>50</v>
      </c>
      <c r="I386" s="8">
        <v>50</v>
      </c>
      <c r="J386" s="8">
        <v>50</v>
      </c>
      <c r="K386" s="39">
        <v>5.09</v>
      </c>
      <c r="L386" s="139">
        <v>44294</v>
      </c>
      <c r="M386" s="33"/>
      <c r="N386" s="33">
        <v>44294</v>
      </c>
      <c r="O386" s="32">
        <v>3048</v>
      </c>
      <c r="P386" s="39">
        <f>K386*0.89</f>
        <v>4.5301</v>
      </c>
      <c r="Q386" s="322">
        <v>4.53</v>
      </c>
      <c r="S386" s="39">
        <v>4.28</v>
      </c>
      <c r="T386" s="402">
        <f>S386*J386</f>
        <v>214</v>
      </c>
      <c r="U386" s="39"/>
      <c r="V386" s="256"/>
    </row>
    <row r="387" spans="2:22" s="1" customFormat="1" ht="15">
      <c r="B387" s="26"/>
      <c r="C387" s="6" t="s">
        <v>2214</v>
      </c>
      <c r="D387" s="14" t="s">
        <v>2052</v>
      </c>
      <c r="E387" s="55" t="s">
        <v>2079</v>
      </c>
      <c r="F387" s="37"/>
      <c r="G387" s="37"/>
      <c r="H387" s="38"/>
      <c r="I387" s="109"/>
      <c r="J387" s="108"/>
      <c r="K387" s="39"/>
      <c r="L387" s="139">
        <v>44294</v>
      </c>
      <c r="M387" s="33"/>
      <c r="N387" s="33">
        <v>44294</v>
      </c>
      <c r="O387" s="32">
        <v>3048</v>
      </c>
      <c r="P387" s="39"/>
      <c r="Q387" s="334"/>
      <c r="S387" s="39"/>
      <c r="T387" s="92"/>
      <c r="U387" s="39"/>
      <c r="V387" s="256"/>
    </row>
    <row r="388" spans="2:22" s="1" customFormat="1" ht="15">
      <c r="B388" s="26"/>
      <c r="C388" s="6" t="s">
        <v>2214</v>
      </c>
      <c r="D388" s="14" t="s">
        <v>2052</v>
      </c>
      <c r="E388" s="48" t="s">
        <v>2080</v>
      </c>
      <c r="F388" s="37"/>
      <c r="G388" s="37" t="s">
        <v>2215</v>
      </c>
      <c r="H388" s="8">
        <v>52</v>
      </c>
      <c r="I388" s="8">
        <v>52</v>
      </c>
      <c r="J388" s="8">
        <v>52</v>
      </c>
      <c r="K388" s="39">
        <v>4.79</v>
      </c>
      <c r="L388" s="139">
        <v>44294</v>
      </c>
      <c r="M388" s="33"/>
      <c r="N388" s="33">
        <v>44294</v>
      </c>
      <c r="O388" s="32">
        <v>3048</v>
      </c>
      <c r="P388" s="39">
        <f>K388*0.89</f>
        <v>4.2630999999999997</v>
      </c>
      <c r="Q388" s="334">
        <v>4.26</v>
      </c>
      <c r="S388" s="39">
        <v>4.0199999999999996</v>
      </c>
      <c r="T388" s="402">
        <f>S388*J388</f>
        <v>209.03999999999996</v>
      </c>
      <c r="U388" s="39"/>
      <c r="V388" s="256"/>
    </row>
    <row r="389" spans="2:22" s="1" customFormat="1" ht="15">
      <c r="B389" s="26"/>
      <c r="C389" s="6" t="s">
        <v>2214</v>
      </c>
      <c r="D389" s="14" t="s">
        <v>2052</v>
      </c>
      <c r="E389" s="14" t="s">
        <v>376</v>
      </c>
      <c r="F389" s="136"/>
      <c r="G389" s="37"/>
      <c r="H389" s="38"/>
      <c r="I389" s="109"/>
      <c r="J389" s="108"/>
      <c r="K389" s="16" t="s">
        <v>5</v>
      </c>
      <c r="L389" s="139">
        <v>44294</v>
      </c>
      <c r="M389" s="33"/>
      <c r="N389" s="33">
        <v>44294</v>
      </c>
      <c r="O389" s="32">
        <v>3047</v>
      </c>
      <c r="P389" s="39"/>
      <c r="Q389" s="748"/>
      <c r="S389" s="39"/>
      <c r="T389" s="92"/>
      <c r="U389" s="23"/>
      <c r="V389" s="256"/>
    </row>
    <row r="390" spans="2:22" s="1" customFormat="1" ht="15">
      <c r="B390" s="26"/>
      <c r="C390" s="6" t="s">
        <v>2214</v>
      </c>
      <c r="D390" s="14" t="s">
        <v>2052</v>
      </c>
      <c r="E390" s="48" t="s">
        <v>2078</v>
      </c>
      <c r="F390" s="37"/>
      <c r="G390" s="37" t="s">
        <v>2077</v>
      </c>
      <c r="H390" s="8">
        <v>38</v>
      </c>
      <c r="I390" s="8">
        <v>38</v>
      </c>
      <c r="J390" s="8">
        <v>38</v>
      </c>
      <c r="K390" s="39">
        <v>5.09</v>
      </c>
      <c r="L390" s="139">
        <v>44294</v>
      </c>
      <c r="M390" s="33"/>
      <c r="N390" s="33">
        <v>44294</v>
      </c>
      <c r="O390" s="32">
        <v>3047</v>
      </c>
      <c r="P390" s="39">
        <f>K390*0.89</f>
        <v>4.5301</v>
      </c>
      <c r="Q390" s="322">
        <v>4.53</v>
      </c>
      <c r="S390" s="39">
        <v>4.28</v>
      </c>
      <c r="T390" s="402">
        <f>S390*J390</f>
        <v>162.64000000000001</v>
      </c>
      <c r="U390" s="39"/>
      <c r="V390" s="256"/>
    </row>
    <row r="391" spans="2:22" s="1" customFormat="1" ht="15">
      <c r="B391" s="26"/>
      <c r="C391" s="6" t="s">
        <v>2214</v>
      </c>
      <c r="D391" s="14" t="s">
        <v>2052</v>
      </c>
      <c r="E391" s="55" t="s">
        <v>2079</v>
      </c>
      <c r="F391" s="37"/>
      <c r="G391" s="37"/>
      <c r="H391" s="38"/>
      <c r="I391" s="109"/>
      <c r="J391" s="108"/>
      <c r="K391" s="39"/>
      <c r="L391" s="139">
        <v>44294</v>
      </c>
      <c r="M391" s="33"/>
      <c r="N391" s="33">
        <v>44294</v>
      </c>
      <c r="O391" s="32">
        <v>3047</v>
      </c>
      <c r="P391" s="39"/>
      <c r="Q391" s="334"/>
      <c r="S391" s="39"/>
      <c r="T391" s="92"/>
      <c r="U391" s="39"/>
      <c r="V391" s="256"/>
    </row>
    <row r="392" spans="2:22" s="1" customFormat="1" ht="15">
      <c r="B392" s="26"/>
      <c r="C392" s="6" t="s">
        <v>2214</v>
      </c>
      <c r="D392" s="14" t="s">
        <v>2052</v>
      </c>
      <c r="E392" s="48" t="s">
        <v>2080</v>
      </c>
      <c r="F392" s="37"/>
      <c r="G392" s="37" t="s">
        <v>2077</v>
      </c>
      <c r="H392" s="131">
        <v>38.6</v>
      </c>
      <c r="I392" s="131">
        <v>38.6</v>
      </c>
      <c r="J392" s="131">
        <v>38.6</v>
      </c>
      <c r="K392" s="39">
        <v>4.79</v>
      </c>
      <c r="L392" s="139">
        <v>44294</v>
      </c>
      <c r="M392" s="33"/>
      <c r="N392" s="33">
        <v>44294</v>
      </c>
      <c r="O392" s="32">
        <v>3047</v>
      </c>
      <c r="P392" s="39">
        <f>K392*0.89</f>
        <v>4.2630999999999997</v>
      </c>
      <c r="Q392" s="334">
        <v>4.26</v>
      </c>
      <c r="S392" s="39">
        <v>4.0199999999999996</v>
      </c>
      <c r="T392" s="402">
        <f>S392*J392</f>
        <v>155.172</v>
      </c>
      <c r="U392" s="39"/>
      <c r="V392" s="256"/>
    </row>
    <row r="393" spans="2:22" s="1" customFormat="1" ht="15">
      <c r="B393" s="26"/>
      <c r="C393" s="6" t="s">
        <v>2214</v>
      </c>
      <c r="D393" s="14" t="s">
        <v>2052</v>
      </c>
      <c r="E393" s="49"/>
      <c r="F393" s="136"/>
      <c r="G393" s="37" t="s">
        <v>2216</v>
      </c>
      <c r="H393" s="39"/>
      <c r="I393" s="109"/>
      <c r="J393" s="38">
        <v>1</v>
      </c>
      <c r="K393" s="39">
        <v>40</v>
      </c>
      <c r="L393" s="139">
        <v>44294</v>
      </c>
      <c r="M393" s="33"/>
      <c r="N393" s="33">
        <v>44294</v>
      </c>
      <c r="O393" s="32">
        <v>3047</v>
      </c>
      <c r="P393" s="39">
        <f>K393*0.89</f>
        <v>35.6</v>
      </c>
      <c r="Q393" s="334">
        <v>35.6</v>
      </c>
      <c r="S393" s="39">
        <v>33.6</v>
      </c>
      <c r="T393" s="402">
        <v>33.6</v>
      </c>
      <c r="U393" s="39"/>
      <c r="V393" s="256"/>
    </row>
    <row r="394" spans="2:22" s="1" customFormat="1" ht="15">
      <c r="B394" s="26"/>
      <c r="C394" s="6" t="s">
        <v>2214</v>
      </c>
      <c r="D394" s="14" t="s">
        <v>2052</v>
      </c>
      <c r="E394" s="49"/>
      <c r="F394" s="136"/>
      <c r="G394" s="37" t="s">
        <v>2216</v>
      </c>
      <c r="H394" s="39"/>
      <c r="I394" s="109"/>
      <c r="J394" s="38">
        <v>1</v>
      </c>
      <c r="K394" s="39">
        <v>40</v>
      </c>
      <c r="L394" s="139"/>
      <c r="M394" s="33"/>
      <c r="N394" s="288" t="s">
        <v>2217</v>
      </c>
      <c r="O394" s="32"/>
      <c r="P394" s="39">
        <f>K394*0.89</f>
        <v>35.6</v>
      </c>
      <c r="Q394" s="334">
        <v>35.6</v>
      </c>
      <c r="S394" s="39">
        <v>33.6</v>
      </c>
      <c r="T394" s="402">
        <v>33.6</v>
      </c>
      <c r="U394" s="39"/>
      <c r="V394" s="256"/>
    </row>
    <row r="395" spans="2:22" s="7" customFormat="1" ht="15">
      <c r="B395" s="12"/>
      <c r="C395" s="6" t="s">
        <v>2214</v>
      </c>
      <c r="D395" s="14" t="s">
        <v>2052</v>
      </c>
      <c r="E395" s="19" t="s">
        <v>376</v>
      </c>
      <c r="F395" s="24"/>
      <c r="G395" s="22"/>
      <c r="H395" s="60"/>
      <c r="I395" s="61"/>
      <c r="J395" s="60"/>
      <c r="K395" s="16" t="s">
        <v>5</v>
      </c>
      <c r="L395" s="139">
        <v>44295</v>
      </c>
      <c r="M395" s="33"/>
      <c r="N395" s="33">
        <v>44295</v>
      </c>
      <c r="O395" s="32">
        <v>3054</v>
      </c>
      <c r="P395" s="6" t="s">
        <v>3</v>
      </c>
      <c r="Q395" s="322"/>
      <c r="S395" s="39"/>
      <c r="U395" s="21"/>
      <c r="V395" s="257"/>
    </row>
    <row r="396" spans="2:22" s="7" customFormat="1" ht="15.95" customHeight="1">
      <c r="B396" s="12"/>
      <c r="C396" s="6" t="s">
        <v>2214</v>
      </c>
      <c r="D396" s="14" t="s">
        <v>2052</v>
      </c>
      <c r="E396" s="22" t="s">
        <v>2053</v>
      </c>
      <c r="F396" s="37"/>
      <c r="G396" s="37" t="s">
        <v>2218</v>
      </c>
      <c r="H396" s="8">
        <v>52</v>
      </c>
      <c r="I396" s="8">
        <v>52</v>
      </c>
      <c r="J396" s="8">
        <v>52</v>
      </c>
      <c r="K396" s="39">
        <v>2.04</v>
      </c>
      <c r="L396" s="139">
        <v>44295</v>
      </c>
      <c r="M396" s="33"/>
      <c r="N396" s="33">
        <v>44295</v>
      </c>
      <c r="O396" s="32">
        <v>3054</v>
      </c>
      <c r="P396" s="6"/>
      <c r="Q396" s="322">
        <v>1.63</v>
      </c>
      <c r="S396" s="92">
        <v>80</v>
      </c>
      <c r="T396" s="7">
        <f t="shared" ref="T396:T401" si="12">S396*J396</f>
        <v>4160</v>
      </c>
      <c r="U396" s="211" t="s">
        <v>2054</v>
      </c>
      <c r="V396" s="257"/>
    </row>
    <row r="397" spans="2:22" s="7" customFormat="1" ht="15.95" customHeight="1">
      <c r="B397" s="12"/>
      <c r="C397" s="6" t="s">
        <v>2214</v>
      </c>
      <c r="D397" s="14" t="s">
        <v>2052</v>
      </c>
      <c r="E397" s="22" t="s">
        <v>2053</v>
      </c>
      <c r="F397" s="37"/>
      <c r="G397" s="37" t="s">
        <v>2077</v>
      </c>
      <c r="H397" s="8">
        <v>32</v>
      </c>
      <c r="I397" s="8">
        <v>32</v>
      </c>
      <c r="J397" s="8">
        <v>32</v>
      </c>
      <c r="K397" s="39">
        <v>2.04</v>
      </c>
      <c r="L397" s="139">
        <v>44295</v>
      </c>
      <c r="M397" s="33"/>
      <c r="N397" s="33">
        <v>44295</v>
      </c>
      <c r="O397" s="32">
        <v>3054</v>
      </c>
      <c r="P397" s="6"/>
      <c r="Q397" s="322">
        <v>1.63</v>
      </c>
      <c r="S397" s="92">
        <v>80</v>
      </c>
      <c r="T397" s="7">
        <f t="shared" si="12"/>
        <v>2560</v>
      </c>
      <c r="U397" s="211" t="s">
        <v>2054</v>
      </c>
      <c r="V397" s="257"/>
    </row>
    <row r="398" spans="2:22" s="7" customFormat="1" ht="16.899999999999999" customHeight="1">
      <c r="B398" s="12"/>
      <c r="C398" s="6" t="s">
        <v>2214</v>
      </c>
      <c r="D398" s="14" t="s">
        <v>2052</v>
      </c>
      <c r="E398" s="22"/>
      <c r="F398" s="340"/>
      <c r="G398" s="37" t="s">
        <v>2219</v>
      </c>
      <c r="H398" s="749"/>
      <c r="I398" s="109" ph="1"/>
      <c r="J398" s="195">
        <v>1</v>
      </c>
      <c r="K398" s="39">
        <v>125</v>
      </c>
      <c r="L398" s="139">
        <v>44295</v>
      </c>
      <c r="M398" s="33"/>
      <c r="N398" s="33">
        <v>44295</v>
      </c>
      <c r="O398" s="32">
        <v>3054</v>
      </c>
      <c r="P398" s="6"/>
      <c r="Q398" s="322">
        <v>111.11</v>
      </c>
      <c r="S398" s="92">
        <v>9000</v>
      </c>
      <c r="T398" s="7">
        <f t="shared" si="12"/>
        <v>9000</v>
      </c>
      <c r="U398" s="21"/>
      <c r="V398" s="257"/>
    </row>
    <row r="399" spans="2:22" s="7" customFormat="1" ht="16.899999999999999" customHeight="1">
      <c r="B399" s="12"/>
      <c r="C399" s="6" t="s">
        <v>2214</v>
      </c>
      <c r="D399" s="14" t="s">
        <v>2052</v>
      </c>
      <c r="E399" s="22"/>
      <c r="F399" s="340"/>
      <c r="G399" s="37" t="s">
        <v>14</v>
      </c>
      <c r="H399" s="8"/>
      <c r="I399" s="109" ph="1"/>
      <c r="J399" s="38">
        <v>1</v>
      </c>
      <c r="K399" s="39">
        <v>12</v>
      </c>
      <c r="L399" s="139">
        <v>44295</v>
      </c>
      <c r="M399" s="33"/>
      <c r="N399" s="33">
        <v>44295</v>
      </c>
      <c r="O399" s="32">
        <v>3054</v>
      </c>
      <c r="P399" s="6"/>
      <c r="Q399" s="322">
        <v>12</v>
      </c>
      <c r="S399" s="7">
        <v>0</v>
      </c>
      <c r="T399" s="7">
        <f t="shared" si="12"/>
        <v>0</v>
      </c>
      <c r="U399" s="21"/>
      <c r="V399" s="257"/>
    </row>
    <row r="400" spans="2:22" s="7" customFormat="1" ht="16.899999999999999" customHeight="1">
      <c r="B400" s="12"/>
      <c r="C400" s="6" t="s">
        <v>2214</v>
      </c>
      <c r="D400" s="14" t="s">
        <v>2052</v>
      </c>
      <c r="E400" s="22"/>
      <c r="F400" s="340"/>
      <c r="G400" s="37" t="s">
        <v>2220</v>
      </c>
      <c r="H400" s="749"/>
      <c r="I400" s="109" ph="1"/>
      <c r="J400" s="195">
        <v>1</v>
      </c>
      <c r="K400" s="39">
        <v>50</v>
      </c>
      <c r="L400" s="139">
        <v>44295</v>
      </c>
      <c r="M400" s="33"/>
      <c r="N400" s="33">
        <v>44295</v>
      </c>
      <c r="O400" s="32">
        <v>3054</v>
      </c>
      <c r="P400" s="6"/>
      <c r="Q400" s="322">
        <v>50</v>
      </c>
      <c r="S400" s="92">
        <v>4500</v>
      </c>
      <c r="T400" s="7">
        <f t="shared" si="12"/>
        <v>4500</v>
      </c>
      <c r="U400" s="21"/>
      <c r="V400" s="257"/>
    </row>
    <row r="401" spans="2:22" s="7" customFormat="1" ht="16.899999999999999" customHeight="1">
      <c r="B401" s="12"/>
      <c r="C401" s="6" t="s">
        <v>2214</v>
      </c>
      <c r="D401" s="14" t="s">
        <v>2052</v>
      </c>
      <c r="E401" s="22"/>
      <c r="F401" s="340"/>
      <c r="G401" s="37" t="s">
        <v>2220</v>
      </c>
      <c r="H401" s="749"/>
      <c r="I401" s="109" ph="1"/>
      <c r="J401" s="195">
        <v>1</v>
      </c>
      <c r="K401" s="39">
        <v>50</v>
      </c>
      <c r="L401" s="139"/>
      <c r="M401" s="33"/>
      <c r="N401" s="288" t="s">
        <v>2221</v>
      </c>
      <c r="O401" s="32"/>
      <c r="P401" s="6"/>
      <c r="Q401" s="322"/>
      <c r="S401" s="92">
        <v>4500</v>
      </c>
      <c r="T401" s="7">
        <f t="shared" si="12"/>
        <v>4500</v>
      </c>
      <c r="U401" s="21"/>
      <c r="V401" s="257"/>
    </row>
    <row r="402" spans="2:22" s="191" customFormat="1" ht="15">
      <c r="B402" s="190"/>
      <c r="C402" s="179" t="s">
        <v>2214</v>
      </c>
      <c r="D402" s="180" t="s">
        <v>2052</v>
      </c>
      <c r="E402" s="181"/>
      <c r="F402" s="182"/>
      <c r="G402" s="182" t="s">
        <v>250</v>
      </c>
      <c r="H402" s="184" t="s">
        <v>251</v>
      </c>
      <c r="I402" s="185"/>
      <c r="J402" s="183"/>
      <c r="K402" s="192">
        <v>0</v>
      </c>
      <c r="L402" s="188">
        <v>44295</v>
      </c>
      <c r="M402" s="187"/>
      <c r="N402" s="187">
        <v>44295</v>
      </c>
      <c r="O402" s="186">
        <v>3054</v>
      </c>
      <c r="P402" s="179"/>
      <c r="Q402" s="725">
        <v>0</v>
      </c>
      <c r="S402" s="197">
        <v>0</v>
      </c>
      <c r="T402" s="198">
        <v>0</v>
      </c>
      <c r="U402" s="335"/>
      <c r="V402" s="726"/>
    </row>
    <row r="403" spans="2:22" customFormat="1" ht="18" customHeight="1">
      <c r="B403" s="26"/>
      <c r="C403" s="6" t="s">
        <v>2222</v>
      </c>
      <c r="D403" s="14" t="s">
        <v>2022</v>
      </c>
      <c r="E403" s="19" t="s">
        <v>227</v>
      </c>
      <c r="F403" s="37"/>
      <c r="G403" s="37"/>
      <c r="H403" s="108"/>
      <c r="I403" s="108"/>
      <c r="J403" s="108"/>
      <c r="K403" s="29" t="s">
        <v>101</v>
      </c>
      <c r="L403" s="139">
        <v>44273</v>
      </c>
      <c r="M403" s="33"/>
      <c r="N403" s="33">
        <v>44273</v>
      </c>
      <c r="O403" s="32">
        <v>2979</v>
      </c>
      <c r="P403" s="6"/>
      <c r="Q403" s="339"/>
      <c r="R403" s="1"/>
      <c r="S403" s="7"/>
      <c r="T403" s="7"/>
      <c r="U403" s="21"/>
      <c r="V403" s="257"/>
    </row>
    <row r="404" spans="2:22" customFormat="1" ht="18" customHeight="1">
      <c r="B404" s="26"/>
      <c r="C404" s="6" t="s">
        <v>2222</v>
      </c>
      <c r="D404" s="14" t="s">
        <v>2022</v>
      </c>
      <c r="E404" s="22">
        <v>2250</v>
      </c>
      <c r="F404" s="37">
        <v>9</v>
      </c>
      <c r="G404" s="22" t="s">
        <v>2223</v>
      </c>
      <c r="H404" s="108">
        <v>30</v>
      </c>
      <c r="I404" s="109">
        <v>1</v>
      </c>
      <c r="J404" s="8">
        <f>H404*I404</f>
        <v>30</v>
      </c>
      <c r="K404" s="39">
        <v>0.3</v>
      </c>
      <c r="L404" s="139">
        <v>44273</v>
      </c>
      <c r="M404" s="33"/>
      <c r="N404" s="33">
        <v>44273</v>
      </c>
      <c r="O404" s="32">
        <v>2979</v>
      </c>
      <c r="P404" s="39">
        <f>ROUNDUP(S404/0.75/90,2)</f>
        <v>0.21000000000000002</v>
      </c>
      <c r="Q404" s="322">
        <v>0.21</v>
      </c>
      <c r="R404" s="1"/>
      <c r="S404" s="7">
        <v>14</v>
      </c>
      <c r="T404" s="7">
        <f t="shared" ref="T404:T409" si="13">S404*J404</f>
        <v>420</v>
      </c>
      <c r="U404" s="39"/>
      <c r="V404" s="260"/>
    </row>
    <row r="405" spans="2:22" customFormat="1" ht="18" customHeight="1">
      <c r="B405" s="26"/>
      <c r="C405" s="6" t="s">
        <v>2222</v>
      </c>
      <c r="D405" s="14" t="s">
        <v>2022</v>
      </c>
      <c r="E405" s="22">
        <v>2250</v>
      </c>
      <c r="F405" s="37">
        <v>12</v>
      </c>
      <c r="G405" s="22" t="s">
        <v>2223</v>
      </c>
      <c r="H405" s="108">
        <v>30</v>
      </c>
      <c r="I405" s="109">
        <v>1</v>
      </c>
      <c r="J405" s="8">
        <f>H405*I405</f>
        <v>30</v>
      </c>
      <c r="K405" s="39">
        <v>0.33</v>
      </c>
      <c r="L405" s="139">
        <v>44273</v>
      </c>
      <c r="M405" s="33"/>
      <c r="N405" s="33">
        <v>44273</v>
      </c>
      <c r="O405" s="32">
        <v>2979</v>
      </c>
      <c r="P405" s="39">
        <f>ROUNDUP(S405/0.75/90,2)</f>
        <v>0.26</v>
      </c>
      <c r="Q405" s="322">
        <v>0.26</v>
      </c>
      <c r="R405" s="1"/>
      <c r="S405" s="7">
        <v>17.5</v>
      </c>
      <c r="T405" s="7">
        <f t="shared" si="13"/>
        <v>525</v>
      </c>
      <c r="U405" s="39"/>
      <c r="V405" s="260"/>
    </row>
    <row r="406" spans="2:22" customFormat="1" ht="18" customHeight="1">
      <c r="B406" s="26"/>
      <c r="C406" s="6" t="s">
        <v>2222</v>
      </c>
      <c r="D406" s="14" t="s">
        <v>2022</v>
      </c>
      <c r="E406" s="22">
        <v>2250</v>
      </c>
      <c r="F406" s="37">
        <v>18</v>
      </c>
      <c r="G406" s="22" t="s">
        <v>2223</v>
      </c>
      <c r="H406" s="108">
        <v>30</v>
      </c>
      <c r="I406" s="109">
        <v>1</v>
      </c>
      <c r="J406" s="8">
        <f>H406*I406</f>
        <v>30</v>
      </c>
      <c r="K406" s="39">
        <v>0.46</v>
      </c>
      <c r="L406" s="139">
        <v>44273</v>
      </c>
      <c r="M406" s="33"/>
      <c r="N406" s="33">
        <v>44273</v>
      </c>
      <c r="O406" s="32">
        <v>2979</v>
      </c>
      <c r="P406" s="39">
        <f>ROUNDUP(S406/0.75/90,2)</f>
        <v>0.37</v>
      </c>
      <c r="Q406" s="322">
        <v>0.37</v>
      </c>
      <c r="R406" s="1"/>
      <c r="S406" s="7">
        <v>24.5</v>
      </c>
      <c r="T406" s="7">
        <f t="shared" si="13"/>
        <v>735</v>
      </c>
      <c r="U406" s="39"/>
      <c r="V406" s="260"/>
    </row>
    <row r="407" spans="2:22" customFormat="1" ht="18" customHeight="1">
      <c r="B407" s="26"/>
      <c r="C407" s="6" t="s">
        <v>2222</v>
      </c>
      <c r="D407" s="14" t="s">
        <v>2022</v>
      </c>
      <c r="E407" s="22">
        <v>2250</v>
      </c>
      <c r="F407" s="37">
        <v>24</v>
      </c>
      <c r="G407" s="22" t="s">
        <v>2223</v>
      </c>
      <c r="H407" s="108">
        <v>30</v>
      </c>
      <c r="I407" s="109">
        <v>1</v>
      </c>
      <c r="J407" s="8">
        <f>H407*I407</f>
        <v>30</v>
      </c>
      <c r="K407" s="39">
        <v>0.59</v>
      </c>
      <c r="L407" s="139">
        <v>44273</v>
      </c>
      <c r="M407" s="33"/>
      <c r="N407" s="33">
        <v>44273</v>
      </c>
      <c r="O407" s="32">
        <v>2979</v>
      </c>
      <c r="P407" s="39">
        <f>ROUNDUP(S407/0.75/90,2)</f>
        <v>0.47000000000000003</v>
      </c>
      <c r="Q407" s="322">
        <v>0.47</v>
      </c>
      <c r="R407" s="1"/>
      <c r="S407" s="7">
        <v>31.67</v>
      </c>
      <c r="T407" s="7">
        <f t="shared" si="13"/>
        <v>950.1</v>
      </c>
      <c r="U407" s="39"/>
      <c r="V407" s="260"/>
    </row>
    <row r="408" spans="2:22" customFormat="1" ht="18" customHeight="1">
      <c r="B408" s="26"/>
      <c r="C408" s="6" t="s">
        <v>2222</v>
      </c>
      <c r="D408" s="14" t="s">
        <v>2022</v>
      </c>
      <c r="E408" s="22">
        <v>2250</v>
      </c>
      <c r="F408" s="37">
        <v>36</v>
      </c>
      <c r="G408" s="22" t="s">
        <v>2223</v>
      </c>
      <c r="H408" s="108">
        <v>30</v>
      </c>
      <c r="I408" s="109">
        <v>1</v>
      </c>
      <c r="J408" s="8">
        <f>H408*I408</f>
        <v>30</v>
      </c>
      <c r="K408" s="39">
        <v>0.98</v>
      </c>
      <c r="L408" s="139">
        <v>44273</v>
      </c>
      <c r="M408" s="33"/>
      <c r="N408" s="33">
        <v>44273</v>
      </c>
      <c r="O408" s="32">
        <v>2979</v>
      </c>
      <c r="P408" s="39">
        <f>ROUNDUP(S408/0.75/90,2)</f>
        <v>0.79</v>
      </c>
      <c r="Q408" s="322">
        <v>0.79</v>
      </c>
      <c r="R408" s="1"/>
      <c r="S408" s="7">
        <v>52.67</v>
      </c>
      <c r="T408" s="7">
        <f t="shared" si="13"/>
        <v>1580.1000000000001</v>
      </c>
      <c r="U408" s="39"/>
      <c r="V408" s="260"/>
    </row>
    <row r="409" spans="2:22" s="7" customFormat="1" ht="16.899999999999999" customHeight="1">
      <c r="B409" s="12"/>
      <c r="C409" s="6" t="s">
        <v>2222</v>
      </c>
      <c r="D409" s="14" t="s">
        <v>2022</v>
      </c>
      <c r="E409" s="49"/>
      <c r="F409" s="340"/>
      <c r="G409" s="37" t="s">
        <v>14</v>
      </c>
      <c r="H409" s="8"/>
      <c r="I409" s="109" ph="1"/>
      <c r="J409" s="38">
        <v>1</v>
      </c>
      <c r="K409" s="39">
        <v>12</v>
      </c>
      <c r="L409" s="139">
        <v>44273</v>
      </c>
      <c r="M409" s="33"/>
      <c r="N409" s="33">
        <v>44273</v>
      </c>
      <c r="O409" s="32">
        <v>2979</v>
      </c>
      <c r="P409" s="6"/>
      <c r="Q409" s="322">
        <v>12</v>
      </c>
      <c r="S409" s="7">
        <v>0</v>
      </c>
      <c r="T409" s="7">
        <f t="shared" si="13"/>
        <v>0</v>
      </c>
      <c r="U409" s="21"/>
      <c r="V409" s="257"/>
    </row>
    <row r="410" spans="2:22" s="191" customFormat="1" ht="15">
      <c r="B410" s="190"/>
      <c r="C410" s="179" t="s">
        <v>2222</v>
      </c>
      <c r="D410" s="180" t="s">
        <v>2022</v>
      </c>
      <c r="E410" s="181"/>
      <c r="F410" s="182"/>
      <c r="G410" s="771" t="s">
        <v>2192</v>
      </c>
      <c r="H410" s="184" t="s">
        <v>251</v>
      </c>
      <c r="I410" s="185"/>
      <c r="J410" s="183"/>
      <c r="K410" s="192">
        <v>0</v>
      </c>
      <c r="L410" s="188">
        <v>44273</v>
      </c>
      <c r="M410" s="187"/>
      <c r="N410" s="187">
        <v>44273</v>
      </c>
      <c r="O410" s="186">
        <v>2979</v>
      </c>
      <c r="P410" s="179"/>
      <c r="Q410" s="725">
        <v>0</v>
      </c>
      <c r="S410" s="197">
        <v>0</v>
      </c>
      <c r="T410" s="198">
        <v>0</v>
      </c>
      <c r="U410" s="335"/>
      <c r="V410" s="726"/>
    </row>
    <row r="411" spans="2:22" s="7" customFormat="1" ht="18" customHeight="1">
      <c r="B411" s="12"/>
      <c r="C411" s="6" t="s">
        <v>2224</v>
      </c>
      <c r="D411" s="14" t="s">
        <v>1982</v>
      </c>
      <c r="E411" s="17" t="s">
        <v>1989</v>
      </c>
      <c r="F411" s="319"/>
      <c r="G411" s="299"/>
      <c r="H411" s="300"/>
      <c r="I411" s="320"/>
      <c r="J411" s="321"/>
      <c r="K411" s="110" t="s">
        <v>5</v>
      </c>
      <c r="L411" s="139">
        <v>44291</v>
      </c>
      <c r="M411" s="33"/>
      <c r="N411" s="33">
        <v>44291</v>
      </c>
      <c r="O411" s="32">
        <v>2983</v>
      </c>
      <c r="P411" s="6"/>
      <c r="Q411" s="322"/>
      <c r="U411" s="39"/>
      <c r="V411" s="257"/>
    </row>
    <row r="412" spans="2:22" s="7" customFormat="1" ht="18" customHeight="1">
      <c r="B412" s="12"/>
      <c r="C412" s="6" t="s">
        <v>2224</v>
      </c>
      <c r="D412" s="14" t="s">
        <v>1982</v>
      </c>
      <c r="E412" s="22">
        <v>5637</v>
      </c>
      <c r="F412" s="24" t="s">
        <v>230</v>
      </c>
      <c r="G412" s="22" t="s">
        <v>2048</v>
      </c>
      <c r="H412" s="108">
        <v>50</v>
      </c>
      <c r="I412" s="109">
        <v>5</v>
      </c>
      <c r="J412" s="8">
        <f>H412*I412</f>
        <v>250</v>
      </c>
      <c r="K412" s="137">
        <v>0.24</v>
      </c>
      <c r="L412" s="139">
        <v>44291</v>
      </c>
      <c r="M412" s="33"/>
      <c r="N412" s="33">
        <v>44291</v>
      </c>
      <c r="O412" s="32">
        <v>2983</v>
      </c>
      <c r="P412" s="6"/>
      <c r="Q412" s="322">
        <v>0.19</v>
      </c>
      <c r="S412" s="92">
        <v>10.4</v>
      </c>
      <c r="T412" s="7">
        <f>S412*J412</f>
        <v>2600</v>
      </c>
      <c r="U412" s="774" t="s">
        <v>2225</v>
      </c>
      <c r="V412" s="257"/>
    </row>
    <row r="413" spans="2:22" s="7" customFormat="1" ht="18" customHeight="1">
      <c r="B413" s="12"/>
      <c r="C413" s="6" t="s">
        <v>2224</v>
      </c>
      <c r="D413" s="14" t="s">
        <v>1982</v>
      </c>
      <c r="E413" s="22">
        <v>5637</v>
      </c>
      <c r="F413" s="24" t="s">
        <v>230</v>
      </c>
      <c r="G413" s="22" t="s">
        <v>188</v>
      </c>
      <c r="H413" s="108">
        <v>50</v>
      </c>
      <c r="I413" s="109">
        <v>3</v>
      </c>
      <c r="J413" s="8">
        <f>H413*I413</f>
        <v>150</v>
      </c>
      <c r="K413" s="137">
        <v>0.24</v>
      </c>
      <c r="L413" s="139">
        <v>44291</v>
      </c>
      <c r="M413" s="33"/>
      <c r="N413" s="33">
        <v>44291</v>
      </c>
      <c r="O413" s="32">
        <v>2983</v>
      </c>
      <c r="P413" s="6"/>
      <c r="Q413" s="322">
        <v>0.19</v>
      </c>
      <c r="S413" s="92">
        <v>12.6</v>
      </c>
      <c r="T413" s="7">
        <f>S413*J413</f>
        <v>1890</v>
      </c>
      <c r="U413" s="120"/>
      <c r="V413" s="257"/>
    </row>
    <row r="414" spans="2:22" s="7" customFormat="1" ht="18" customHeight="1">
      <c r="B414" s="12"/>
      <c r="C414" s="6" t="s">
        <v>2224</v>
      </c>
      <c r="D414" s="14" t="s">
        <v>1982</v>
      </c>
      <c r="E414" s="22">
        <v>5637</v>
      </c>
      <c r="F414" s="24" t="s">
        <v>230</v>
      </c>
      <c r="G414" s="22" t="s">
        <v>254</v>
      </c>
      <c r="H414" s="108">
        <v>50</v>
      </c>
      <c r="I414" s="109">
        <v>3</v>
      </c>
      <c r="J414" s="8">
        <f>H414*I414</f>
        <v>150</v>
      </c>
      <c r="K414" s="137">
        <v>0.24</v>
      </c>
      <c r="L414" s="139">
        <v>44291</v>
      </c>
      <c r="M414" s="33"/>
      <c r="N414" s="33">
        <v>44291</v>
      </c>
      <c r="O414" s="32">
        <v>2983</v>
      </c>
      <c r="P414" s="6"/>
      <c r="Q414" s="322">
        <v>0.19</v>
      </c>
      <c r="S414" s="92">
        <v>12.6</v>
      </c>
      <c r="T414" s="7">
        <f>S414*J414</f>
        <v>1890</v>
      </c>
      <c r="U414" s="120"/>
      <c r="V414" s="257"/>
    </row>
    <row r="415" spans="2:22" s="7" customFormat="1" ht="18" customHeight="1">
      <c r="B415" s="12"/>
      <c r="C415" s="6" t="s">
        <v>2224</v>
      </c>
      <c r="D415" s="14" t="s">
        <v>1982</v>
      </c>
      <c r="E415" s="22">
        <v>5637</v>
      </c>
      <c r="F415" s="24" t="s">
        <v>230</v>
      </c>
      <c r="G415" s="22" t="s">
        <v>2049</v>
      </c>
      <c r="H415" s="108">
        <v>50</v>
      </c>
      <c r="I415" s="109">
        <v>2</v>
      </c>
      <c r="J415" s="8">
        <f>H415*I415</f>
        <v>100</v>
      </c>
      <c r="K415" s="137">
        <v>0.24</v>
      </c>
      <c r="L415" s="139">
        <v>44291</v>
      </c>
      <c r="M415" s="33"/>
      <c r="N415" s="33">
        <v>44291</v>
      </c>
      <c r="O415" s="32">
        <v>2983</v>
      </c>
      <c r="P415" s="6"/>
      <c r="Q415" s="322">
        <v>0.19</v>
      </c>
      <c r="S415" s="92">
        <v>12.6</v>
      </c>
      <c r="T415" s="7">
        <f>S415*J415</f>
        <v>1260</v>
      </c>
      <c r="U415" s="120"/>
      <c r="V415" s="257"/>
    </row>
    <row r="416" spans="2:22" s="7" customFormat="1" ht="15">
      <c r="B416" s="12"/>
      <c r="C416" s="6" t="s">
        <v>2224</v>
      </c>
      <c r="D416" s="14" t="s">
        <v>1982</v>
      </c>
      <c r="E416" s="49"/>
      <c r="F416" s="102"/>
      <c r="G416" s="22" t="s">
        <v>14</v>
      </c>
      <c r="H416" s="8"/>
      <c r="I416" s="35"/>
      <c r="J416" s="38">
        <v>1</v>
      </c>
      <c r="K416" s="39">
        <v>30</v>
      </c>
      <c r="L416" s="139">
        <v>44291</v>
      </c>
      <c r="M416" s="33"/>
      <c r="N416" s="33">
        <v>44291</v>
      </c>
      <c r="O416" s="32">
        <v>2983</v>
      </c>
      <c r="P416" s="6"/>
      <c r="Q416" s="322">
        <v>30</v>
      </c>
      <c r="S416" s="197">
        <v>1100</v>
      </c>
      <c r="T416" s="7">
        <f>S416*J416</f>
        <v>1100</v>
      </c>
      <c r="U416" s="21"/>
      <c r="V416" s="257"/>
    </row>
    <row r="417" spans="2:22" s="191" customFormat="1" ht="15">
      <c r="B417" s="190"/>
      <c r="C417" s="179" t="s">
        <v>2224</v>
      </c>
      <c r="D417" s="180" t="s">
        <v>1982</v>
      </c>
      <c r="E417" s="181"/>
      <c r="F417" s="182"/>
      <c r="G417" s="182" t="s">
        <v>250</v>
      </c>
      <c r="H417" s="184" t="s">
        <v>251</v>
      </c>
      <c r="I417" s="185"/>
      <c r="J417" s="183"/>
      <c r="K417" s="192">
        <v>0</v>
      </c>
      <c r="L417" s="188">
        <v>44291</v>
      </c>
      <c r="M417" s="187"/>
      <c r="N417" s="187">
        <v>44291</v>
      </c>
      <c r="O417" s="186">
        <v>2983</v>
      </c>
      <c r="P417" s="179"/>
      <c r="Q417" s="725">
        <v>0</v>
      </c>
      <c r="S417" s="197">
        <v>0</v>
      </c>
      <c r="T417" s="198">
        <v>0</v>
      </c>
      <c r="U417" s="335"/>
      <c r="V417" s="726"/>
    </row>
    <row r="418" spans="2:22" s="7" customFormat="1" ht="15">
      <c r="B418" s="12"/>
      <c r="C418" s="6" t="s">
        <v>2226</v>
      </c>
      <c r="D418" s="14" t="s">
        <v>2227</v>
      </c>
      <c r="E418" s="19" t="s">
        <v>200</v>
      </c>
      <c r="F418" s="24"/>
      <c r="G418" s="22"/>
      <c r="H418" s="60"/>
      <c r="I418" s="61"/>
      <c r="J418" s="60"/>
      <c r="K418" s="16" t="s">
        <v>101</v>
      </c>
      <c r="L418" s="139">
        <v>44277</v>
      </c>
      <c r="M418" s="33"/>
      <c r="N418" s="33">
        <v>44277</v>
      </c>
      <c r="O418" s="32">
        <v>2989</v>
      </c>
      <c r="P418" s="123" t="s">
        <v>8</v>
      </c>
      <c r="Q418" s="775"/>
      <c r="U418" s="229"/>
      <c r="V418" s="257"/>
    </row>
    <row r="419" spans="2:22" s="7" customFormat="1" ht="18" customHeight="1">
      <c r="B419" s="12"/>
      <c r="C419" s="6" t="s">
        <v>2226</v>
      </c>
      <c r="D419" s="14" t="s">
        <v>2227</v>
      </c>
      <c r="E419" s="22">
        <v>5291</v>
      </c>
      <c r="F419" s="24">
        <v>10</v>
      </c>
      <c r="G419" s="22" t="s">
        <v>317</v>
      </c>
      <c r="H419" s="60">
        <v>20</v>
      </c>
      <c r="I419" s="61">
        <v>1</v>
      </c>
      <c r="J419" s="60">
        <f>H419*I419</f>
        <v>20</v>
      </c>
      <c r="K419" s="39">
        <v>0.65</v>
      </c>
      <c r="L419" s="139">
        <v>44277</v>
      </c>
      <c r="M419" s="33"/>
      <c r="N419" s="33">
        <v>44277</v>
      </c>
      <c r="O419" s="32">
        <v>2989</v>
      </c>
      <c r="P419" s="123"/>
      <c r="Q419" s="701">
        <v>0.52</v>
      </c>
      <c r="S419" s="7">
        <v>31.5</v>
      </c>
      <c r="T419" s="92">
        <f>J419*S419</f>
        <v>630</v>
      </c>
      <c r="U419" s="776" t="s">
        <v>2228</v>
      </c>
      <c r="V419" s="257"/>
    </row>
    <row r="420" spans="2:22" s="7" customFormat="1" ht="18" customHeight="1">
      <c r="B420" s="12"/>
      <c r="C420" s="6" t="s">
        <v>2226</v>
      </c>
      <c r="D420" s="14" t="s">
        <v>2227</v>
      </c>
      <c r="E420" s="22">
        <v>5291</v>
      </c>
      <c r="F420" s="24">
        <v>10</v>
      </c>
      <c r="G420" s="22" t="s">
        <v>237</v>
      </c>
      <c r="H420" s="60">
        <v>20</v>
      </c>
      <c r="I420" s="61">
        <v>1</v>
      </c>
      <c r="J420" s="60">
        <f>H420*I420</f>
        <v>20</v>
      </c>
      <c r="K420" s="39">
        <v>0.65</v>
      </c>
      <c r="L420" s="139">
        <v>44277</v>
      </c>
      <c r="M420" s="33"/>
      <c r="N420" s="33">
        <v>44277</v>
      </c>
      <c r="O420" s="32">
        <v>2989</v>
      </c>
      <c r="P420" s="123"/>
      <c r="Q420" s="701">
        <v>0.52</v>
      </c>
      <c r="S420" s="7">
        <v>35</v>
      </c>
      <c r="T420" s="92">
        <f>J420*S420</f>
        <v>700</v>
      </c>
      <c r="U420" s="777"/>
      <c r="V420" s="257"/>
    </row>
    <row r="421" spans="2:22" s="7" customFormat="1" ht="18" customHeight="1">
      <c r="B421" s="12"/>
      <c r="C421" s="6" t="s">
        <v>2226</v>
      </c>
      <c r="D421" s="14" t="s">
        <v>2227</v>
      </c>
      <c r="E421" s="22">
        <v>5291</v>
      </c>
      <c r="F421" s="24">
        <v>10</v>
      </c>
      <c r="G421" s="22" t="s">
        <v>178</v>
      </c>
      <c r="H421" s="60">
        <v>20</v>
      </c>
      <c r="I421" s="61">
        <v>1</v>
      </c>
      <c r="J421" s="60">
        <f>H421*I421</f>
        <v>20</v>
      </c>
      <c r="K421" s="39">
        <v>0.65</v>
      </c>
      <c r="L421" s="139">
        <v>44277</v>
      </c>
      <c r="M421" s="33"/>
      <c r="N421" s="33">
        <v>44277</v>
      </c>
      <c r="O421" s="32">
        <v>2989</v>
      </c>
      <c r="P421" s="123"/>
      <c r="Q421" s="701">
        <v>0.52</v>
      </c>
      <c r="S421" s="7">
        <v>35</v>
      </c>
      <c r="T421" s="92">
        <f>J421*S421</f>
        <v>700</v>
      </c>
      <c r="U421" s="777"/>
      <c r="V421" s="257"/>
    </row>
    <row r="422" spans="2:22" s="7" customFormat="1" ht="18" customHeight="1">
      <c r="B422" s="12"/>
      <c r="C422" s="6" t="s">
        <v>2226</v>
      </c>
      <c r="D422" s="14" t="s">
        <v>2227</v>
      </c>
      <c r="E422" s="22"/>
      <c r="F422" s="102"/>
      <c r="G422" s="22" t="s">
        <v>14</v>
      </c>
      <c r="H422" s="8"/>
      <c r="I422" s="35"/>
      <c r="J422" s="38">
        <v>1</v>
      </c>
      <c r="K422" s="39">
        <v>12</v>
      </c>
      <c r="L422" s="139">
        <v>44277</v>
      </c>
      <c r="M422" s="33"/>
      <c r="N422" s="33">
        <v>44277</v>
      </c>
      <c r="O422" s="32">
        <v>2989</v>
      </c>
      <c r="P422" s="6"/>
      <c r="Q422" s="322">
        <v>12</v>
      </c>
      <c r="S422" s="7">
        <v>1000</v>
      </c>
      <c r="T422" s="92">
        <f>J422*S422</f>
        <v>1000</v>
      </c>
      <c r="U422" s="21"/>
      <c r="V422" s="257"/>
    </row>
    <row r="423" spans="2:22" s="191" customFormat="1" ht="15">
      <c r="B423" s="190"/>
      <c r="C423" s="179" t="s">
        <v>2226</v>
      </c>
      <c r="D423" s="180" t="s">
        <v>2227</v>
      </c>
      <c r="E423" s="217"/>
      <c r="F423" s="182"/>
      <c r="G423" s="182" t="s">
        <v>250</v>
      </c>
      <c r="H423" s="184" t="s">
        <v>251</v>
      </c>
      <c r="I423" s="185"/>
      <c r="J423" s="183"/>
      <c r="K423" s="192">
        <v>0</v>
      </c>
      <c r="L423" s="188">
        <v>44277</v>
      </c>
      <c r="M423" s="187"/>
      <c r="N423" s="187">
        <v>44277</v>
      </c>
      <c r="O423" s="186">
        <v>2989</v>
      </c>
      <c r="P423" s="179"/>
      <c r="Q423" s="725">
        <v>0</v>
      </c>
      <c r="S423" s="197">
        <v>0</v>
      </c>
      <c r="T423" s="198">
        <v>0</v>
      </c>
      <c r="U423" s="335"/>
      <c r="V423" s="726"/>
    </row>
    <row r="424" spans="2:22" s="7" customFormat="1" ht="18" customHeight="1">
      <c r="B424" s="12"/>
      <c r="C424" s="6" t="s">
        <v>2229</v>
      </c>
      <c r="D424" s="14" t="s">
        <v>2162</v>
      </c>
      <c r="E424" s="19" t="s">
        <v>2163</v>
      </c>
      <c r="F424" s="37"/>
      <c r="G424" s="37"/>
      <c r="H424" s="108"/>
      <c r="I424" s="108"/>
      <c r="J424" s="108"/>
      <c r="K424" s="110" t="s">
        <v>5</v>
      </c>
      <c r="L424" s="139">
        <v>44278</v>
      </c>
      <c r="M424" s="33"/>
      <c r="N424" s="33">
        <v>44278</v>
      </c>
      <c r="O424" s="32">
        <v>2990</v>
      </c>
      <c r="P424" s="6"/>
      <c r="Q424" s="339"/>
      <c r="U424" s="21"/>
      <c r="V424" s="257"/>
    </row>
    <row r="425" spans="2:22" s="7" customFormat="1" ht="18" customHeight="1">
      <c r="B425" s="12"/>
      <c r="C425" s="6" t="s">
        <v>2229</v>
      </c>
      <c r="D425" s="14" t="s">
        <v>2162</v>
      </c>
      <c r="E425" s="22">
        <v>5603</v>
      </c>
      <c r="F425" s="37"/>
      <c r="G425" s="37" t="s">
        <v>2164</v>
      </c>
      <c r="H425" s="108">
        <v>50</v>
      </c>
      <c r="I425" s="109">
        <v>7</v>
      </c>
      <c r="J425" s="8">
        <f>I425*H425</f>
        <v>350</v>
      </c>
      <c r="K425" s="39">
        <v>0.3</v>
      </c>
      <c r="L425" s="139">
        <v>44278</v>
      </c>
      <c r="M425" s="33"/>
      <c r="N425" s="33">
        <v>44278</v>
      </c>
      <c r="O425" s="32">
        <v>2990</v>
      </c>
      <c r="P425" s="722"/>
      <c r="Q425" s="322">
        <v>0.24</v>
      </c>
      <c r="S425" s="7">
        <v>16</v>
      </c>
      <c r="T425" s="7">
        <f>S425*J425</f>
        <v>5600</v>
      </c>
      <c r="U425" s="21"/>
      <c r="V425" s="257"/>
    </row>
    <row r="426" spans="2:22" s="7" customFormat="1" ht="18" customHeight="1">
      <c r="B426" s="12"/>
      <c r="C426" s="6" t="s">
        <v>2229</v>
      </c>
      <c r="D426" s="14" t="s">
        <v>2162</v>
      </c>
      <c r="E426" s="22"/>
      <c r="F426" s="102"/>
      <c r="G426" s="22" t="s">
        <v>14</v>
      </c>
      <c r="H426" s="8"/>
      <c r="I426" s="35"/>
      <c r="J426" s="38">
        <v>1</v>
      </c>
      <c r="K426" s="39">
        <v>12</v>
      </c>
      <c r="L426" s="139">
        <v>44278</v>
      </c>
      <c r="M426" s="33"/>
      <c r="N426" s="33">
        <v>44278</v>
      </c>
      <c r="O426" s="32">
        <v>2990</v>
      </c>
      <c r="P426" s="6" t="s">
        <v>3</v>
      </c>
      <c r="Q426" s="322">
        <v>12</v>
      </c>
      <c r="S426" s="7">
        <v>0</v>
      </c>
      <c r="T426" s="7">
        <f>S426*J426</f>
        <v>0</v>
      </c>
      <c r="U426" s="21"/>
      <c r="V426" s="257"/>
    </row>
    <row r="427" spans="2:22" s="191" customFormat="1" ht="15">
      <c r="B427" s="190"/>
      <c r="C427" s="179" t="s">
        <v>2229</v>
      </c>
      <c r="D427" s="180" t="s">
        <v>2162</v>
      </c>
      <c r="E427" s="181"/>
      <c r="F427" s="182"/>
      <c r="G427" s="182" t="s">
        <v>250</v>
      </c>
      <c r="H427" s="184" t="s">
        <v>251</v>
      </c>
      <c r="I427" s="185"/>
      <c r="J427" s="183"/>
      <c r="K427" s="192">
        <v>0</v>
      </c>
      <c r="L427" s="188">
        <v>44278</v>
      </c>
      <c r="M427" s="187"/>
      <c r="N427" s="187">
        <v>44278</v>
      </c>
      <c r="O427" s="186">
        <v>2990</v>
      </c>
      <c r="P427" s="179"/>
      <c r="Q427" s="725">
        <v>0</v>
      </c>
      <c r="S427" s="197">
        <v>0</v>
      </c>
      <c r="T427" s="7">
        <f>S427*J427</f>
        <v>0</v>
      </c>
      <c r="U427" s="335"/>
      <c r="V427" s="726"/>
    </row>
    <row r="428" spans="2:22" s="7" customFormat="1" ht="18" customHeight="1">
      <c r="B428" s="12"/>
      <c r="C428" s="6" t="s">
        <v>2230</v>
      </c>
      <c r="D428" s="14" t="s">
        <v>2231</v>
      </c>
      <c r="E428" s="19" t="s">
        <v>2099</v>
      </c>
      <c r="F428" s="37"/>
      <c r="G428" s="37"/>
      <c r="H428" s="108"/>
      <c r="I428" s="108"/>
      <c r="J428" s="108"/>
      <c r="K428" s="29" t="s">
        <v>5</v>
      </c>
      <c r="L428" s="139">
        <v>44292</v>
      </c>
      <c r="M428" s="33"/>
      <c r="N428" s="33">
        <v>44292</v>
      </c>
      <c r="O428" s="32">
        <v>3001</v>
      </c>
      <c r="P428" s="6"/>
      <c r="Q428" s="339"/>
      <c r="U428" s="21"/>
      <c r="V428" s="257"/>
    </row>
    <row r="429" spans="2:22" s="7" customFormat="1" ht="17.25" customHeight="1">
      <c r="B429" s="12"/>
      <c r="C429" s="6" t="s">
        <v>2230</v>
      </c>
      <c r="D429" s="14" t="s">
        <v>2231</v>
      </c>
      <c r="E429" s="22">
        <v>5636</v>
      </c>
      <c r="F429" s="37" t="s">
        <v>359</v>
      </c>
      <c r="G429" s="37" t="s">
        <v>2232</v>
      </c>
      <c r="H429" s="108">
        <v>50</v>
      </c>
      <c r="I429" s="109">
        <v>8</v>
      </c>
      <c r="J429" s="8">
        <f>H429*I429</f>
        <v>400</v>
      </c>
      <c r="K429" s="39">
        <v>0.16</v>
      </c>
      <c r="L429" s="139">
        <v>44292</v>
      </c>
      <c r="M429" s="33"/>
      <c r="N429" s="33">
        <v>44292</v>
      </c>
      <c r="O429" s="32">
        <v>3001</v>
      </c>
      <c r="P429" s="722"/>
      <c r="Q429" s="322">
        <v>0.13</v>
      </c>
      <c r="S429" s="752">
        <v>6.8</v>
      </c>
      <c r="T429" s="7">
        <f>S429*J429</f>
        <v>2720</v>
      </c>
      <c r="U429" s="751" t="s">
        <v>2102</v>
      </c>
      <c r="V429" s="257"/>
    </row>
    <row r="430" spans="2:22" s="7" customFormat="1" ht="18" customHeight="1">
      <c r="B430" s="12"/>
      <c r="C430" s="6" t="s">
        <v>2230</v>
      </c>
      <c r="D430" s="14" t="s">
        <v>2231</v>
      </c>
      <c r="E430" s="22"/>
      <c r="F430" s="102"/>
      <c r="G430" s="22" t="s">
        <v>14</v>
      </c>
      <c r="H430" s="8"/>
      <c r="I430" s="35"/>
      <c r="J430" s="38">
        <v>1</v>
      </c>
      <c r="K430" s="39">
        <v>12</v>
      </c>
      <c r="L430" s="139">
        <v>44292</v>
      </c>
      <c r="M430" s="33"/>
      <c r="N430" s="33">
        <v>44292</v>
      </c>
      <c r="O430" s="32">
        <v>3001</v>
      </c>
      <c r="P430" s="6" t="s">
        <v>3</v>
      </c>
      <c r="Q430" s="322">
        <v>12</v>
      </c>
      <c r="S430" s="7">
        <v>1100</v>
      </c>
      <c r="T430" s="7">
        <f>S430*J430</f>
        <v>1100</v>
      </c>
      <c r="U430" s="21"/>
      <c r="V430" s="257"/>
    </row>
    <row r="431" spans="2:22" s="191" customFormat="1" ht="15">
      <c r="B431" s="190"/>
      <c r="C431" s="179" t="s">
        <v>2230</v>
      </c>
      <c r="D431" s="180" t="s">
        <v>2231</v>
      </c>
      <c r="E431" s="181"/>
      <c r="F431" s="182"/>
      <c r="G431" s="182" t="s">
        <v>250</v>
      </c>
      <c r="H431" s="184" t="s">
        <v>251</v>
      </c>
      <c r="I431" s="185"/>
      <c r="J431" s="183"/>
      <c r="K431" s="192">
        <v>0</v>
      </c>
      <c r="L431" s="188">
        <v>44292</v>
      </c>
      <c r="M431" s="187"/>
      <c r="N431" s="187">
        <v>44292</v>
      </c>
      <c r="O431" s="186">
        <v>3001</v>
      </c>
      <c r="P431" s="179"/>
      <c r="Q431" s="725">
        <v>0</v>
      </c>
      <c r="S431" s="197">
        <v>0</v>
      </c>
      <c r="T431" s="7">
        <f>S431*J431</f>
        <v>0</v>
      </c>
      <c r="U431" s="335"/>
      <c r="V431" s="726"/>
    </row>
    <row r="432" spans="2:22" s="7" customFormat="1" ht="18" customHeight="1">
      <c r="B432" s="12"/>
      <c r="C432" s="6" t="s">
        <v>2233</v>
      </c>
      <c r="D432" s="14" t="s">
        <v>2171</v>
      </c>
      <c r="E432" s="19" t="s">
        <v>10</v>
      </c>
      <c r="F432" s="107"/>
      <c r="G432" s="22"/>
      <c r="H432" s="108"/>
      <c r="I432" s="109"/>
      <c r="J432" s="108"/>
      <c r="K432" s="29" t="s">
        <v>5</v>
      </c>
      <c r="L432" s="139">
        <v>44309</v>
      </c>
      <c r="M432" s="33"/>
      <c r="N432" s="33">
        <v>44309</v>
      </c>
      <c r="O432" s="32">
        <v>3029</v>
      </c>
      <c r="P432" s="14"/>
      <c r="Q432" s="322"/>
      <c r="U432" s="14"/>
      <c r="V432" s="257"/>
    </row>
    <row r="433" spans="2:22" s="7" customFormat="1" ht="18" customHeight="1">
      <c r="B433" s="12"/>
      <c r="C433" s="6" t="s">
        <v>2233</v>
      </c>
      <c r="D433" s="14" t="s">
        <v>2171</v>
      </c>
      <c r="E433" s="22" t="s">
        <v>207</v>
      </c>
      <c r="F433" s="107">
        <v>152</v>
      </c>
      <c r="G433" s="22" t="s">
        <v>2234</v>
      </c>
      <c r="H433" s="108">
        <v>50</v>
      </c>
      <c r="I433" s="109">
        <v>1</v>
      </c>
      <c r="J433" s="8">
        <f>I433*H433</f>
        <v>50</v>
      </c>
      <c r="K433" s="39">
        <v>4.17</v>
      </c>
      <c r="L433" s="139">
        <v>44309</v>
      </c>
      <c r="M433" s="33"/>
      <c r="N433" s="33">
        <v>44309</v>
      </c>
      <c r="O433" s="32">
        <v>3029</v>
      </c>
      <c r="P433" s="6"/>
      <c r="Q433" s="322">
        <v>3.71</v>
      </c>
      <c r="S433" s="7">
        <v>300</v>
      </c>
      <c r="T433" s="7">
        <f>S433*J433</f>
        <v>15000</v>
      </c>
      <c r="U433" s="21"/>
      <c r="V433" s="257"/>
    </row>
    <row r="434" spans="2:22" s="7" customFormat="1" ht="18" customHeight="1">
      <c r="B434" s="12"/>
      <c r="C434" s="6" t="s">
        <v>2233</v>
      </c>
      <c r="D434" s="14" t="s">
        <v>2171</v>
      </c>
      <c r="E434" s="22" t="s">
        <v>207</v>
      </c>
      <c r="F434" s="107">
        <v>152</v>
      </c>
      <c r="G434" s="22" t="s">
        <v>2174</v>
      </c>
      <c r="H434" s="108">
        <v>50</v>
      </c>
      <c r="I434" s="109">
        <v>1</v>
      </c>
      <c r="J434" s="8">
        <f>I434*H434</f>
        <v>50</v>
      </c>
      <c r="K434" s="39">
        <v>4.17</v>
      </c>
      <c r="L434" s="139">
        <v>44309</v>
      </c>
      <c r="M434" s="33"/>
      <c r="N434" s="33">
        <v>44309</v>
      </c>
      <c r="O434" s="32">
        <v>3029</v>
      </c>
      <c r="P434" s="6"/>
      <c r="Q434" s="322">
        <v>3.71</v>
      </c>
      <c r="S434" s="7">
        <v>300</v>
      </c>
      <c r="T434" s="7">
        <f>S434*J434</f>
        <v>15000</v>
      </c>
      <c r="U434" s="21"/>
      <c r="V434" s="257"/>
    </row>
    <row r="435" spans="2:22" s="7" customFormat="1" ht="18" customHeight="1">
      <c r="B435" s="12"/>
      <c r="C435" s="6" t="s">
        <v>2233</v>
      </c>
      <c r="D435" s="14" t="s">
        <v>2171</v>
      </c>
      <c r="E435" s="22" t="s">
        <v>207</v>
      </c>
      <c r="F435" s="107">
        <v>152</v>
      </c>
      <c r="G435" s="22" t="s">
        <v>2173</v>
      </c>
      <c r="H435" s="108">
        <v>44</v>
      </c>
      <c r="I435" s="109">
        <v>1</v>
      </c>
      <c r="J435" s="8">
        <f>I435*H435</f>
        <v>44</v>
      </c>
      <c r="K435" s="39">
        <v>4.17</v>
      </c>
      <c r="L435" s="139">
        <v>44309</v>
      </c>
      <c r="M435" s="33"/>
      <c r="N435" s="33">
        <v>44309</v>
      </c>
      <c r="O435" s="32">
        <v>3029</v>
      </c>
      <c r="P435" s="6"/>
      <c r="Q435" s="322">
        <v>3.71</v>
      </c>
      <c r="S435" s="7">
        <v>300</v>
      </c>
      <c r="T435" s="7">
        <f>S435*J435</f>
        <v>13200</v>
      </c>
      <c r="U435" s="21"/>
      <c r="V435" s="257"/>
    </row>
    <row r="436" spans="2:22" s="7" customFormat="1" ht="15">
      <c r="B436" s="12"/>
      <c r="C436" s="6" t="s">
        <v>2233</v>
      </c>
      <c r="D436" s="14" t="s">
        <v>2171</v>
      </c>
      <c r="E436" s="22"/>
      <c r="F436" s="102"/>
      <c r="G436" s="22" t="s">
        <v>14</v>
      </c>
      <c r="H436" s="8"/>
      <c r="I436" s="35"/>
      <c r="J436" s="38">
        <v>1</v>
      </c>
      <c r="K436" s="39">
        <v>20</v>
      </c>
      <c r="L436" s="139">
        <v>44309</v>
      </c>
      <c r="M436" s="33"/>
      <c r="N436" s="33">
        <v>44309</v>
      </c>
      <c r="O436" s="32">
        <v>3029</v>
      </c>
      <c r="P436" s="6" t="s">
        <v>3</v>
      </c>
      <c r="Q436" s="322">
        <v>20</v>
      </c>
      <c r="S436" s="7">
        <v>1800</v>
      </c>
      <c r="T436" s="7">
        <f>S436*J436</f>
        <v>1800</v>
      </c>
      <c r="U436" s="21"/>
      <c r="V436" s="257"/>
    </row>
    <row r="437" spans="2:22" s="191" customFormat="1" ht="15">
      <c r="B437" s="190"/>
      <c r="C437" s="179" t="s">
        <v>2233</v>
      </c>
      <c r="D437" s="180" t="s">
        <v>2171</v>
      </c>
      <c r="E437" s="217"/>
      <c r="F437" s="182"/>
      <c r="G437" s="182" t="s">
        <v>250</v>
      </c>
      <c r="H437" s="184" t="s">
        <v>252</v>
      </c>
      <c r="I437" s="185"/>
      <c r="J437" s="183"/>
      <c r="K437" s="333">
        <v>365</v>
      </c>
      <c r="L437" s="188">
        <v>44309</v>
      </c>
      <c r="M437" s="187"/>
      <c r="N437" s="187">
        <v>44309</v>
      </c>
      <c r="O437" s="186">
        <v>3029</v>
      </c>
      <c r="P437" s="179"/>
      <c r="Q437" s="725">
        <v>345</v>
      </c>
      <c r="S437" s="197">
        <v>22622</v>
      </c>
      <c r="T437" s="197">
        <v>22622</v>
      </c>
      <c r="U437" s="335"/>
      <c r="V437" s="726"/>
    </row>
    <row r="438" spans="2:22" s="7" customFormat="1" ht="15">
      <c r="B438" s="12"/>
      <c r="C438" s="6" t="s">
        <v>2235</v>
      </c>
      <c r="D438" s="14" t="s">
        <v>2034</v>
      </c>
      <c r="E438" s="19" t="s">
        <v>2011</v>
      </c>
      <c r="F438" s="24"/>
      <c r="G438" s="22"/>
      <c r="H438" s="60"/>
      <c r="I438" s="61"/>
      <c r="J438" s="60"/>
      <c r="K438" s="16" t="s">
        <v>5</v>
      </c>
      <c r="L438" s="139">
        <v>44284</v>
      </c>
      <c r="M438" s="33"/>
      <c r="N438" s="33">
        <v>44284</v>
      </c>
      <c r="O438" s="32">
        <v>3012</v>
      </c>
      <c r="P438" s="6" t="s">
        <v>3</v>
      </c>
      <c r="Q438" s="358"/>
      <c r="U438" s="120"/>
      <c r="V438" s="257"/>
    </row>
    <row r="439" spans="2:22" s="7" customFormat="1" ht="15.75" customHeight="1">
      <c r="B439" s="12"/>
      <c r="C439" s="6" t="s">
        <v>2235</v>
      </c>
      <c r="D439" s="14" t="s">
        <v>2034</v>
      </c>
      <c r="E439" s="22" t="s">
        <v>2236</v>
      </c>
      <c r="F439" s="24"/>
      <c r="G439" s="22" t="s">
        <v>100</v>
      </c>
      <c r="H439" s="108">
        <v>13.7</v>
      </c>
      <c r="I439" s="109">
        <v>4</v>
      </c>
      <c r="J439" s="131">
        <f>H439*I439</f>
        <v>54.8</v>
      </c>
      <c r="K439" s="39">
        <v>5.74</v>
      </c>
      <c r="L439" s="139">
        <v>44284</v>
      </c>
      <c r="M439" s="33"/>
      <c r="N439" s="33">
        <v>44284</v>
      </c>
      <c r="O439" s="32">
        <v>3012</v>
      </c>
      <c r="P439" s="6"/>
      <c r="Q439" s="322">
        <v>4.5999999999999996</v>
      </c>
      <c r="S439" s="7">
        <v>310</v>
      </c>
      <c r="T439" s="7">
        <f>S439*J439</f>
        <v>16988</v>
      </c>
      <c r="U439" s="386"/>
      <c r="V439" s="257"/>
    </row>
    <row r="440" spans="2:22" s="7" customFormat="1" ht="16.899999999999999" customHeight="1">
      <c r="B440" s="12"/>
      <c r="C440" s="6" t="s">
        <v>2235</v>
      </c>
      <c r="D440" s="14" t="s">
        <v>2034</v>
      </c>
      <c r="E440" s="22"/>
      <c r="F440" s="340"/>
      <c r="G440" s="37" t="s">
        <v>14</v>
      </c>
      <c r="H440" s="8"/>
      <c r="I440" s="109" ph="1"/>
      <c r="J440" s="38">
        <v>1</v>
      </c>
      <c r="K440" s="39">
        <v>12</v>
      </c>
      <c r="L440" s="139">
        <v>44284</v>
      </c>
      <c r="M440" s="33"/>
      <c r="N440" s="33">
        <v>44284</v>
      </c>
      <c r="O440" s="32">
        <v>3012</v>
      </c>
      <c r="P440" s="6"/>
      <c r="Q440" s="322">
        <v>12</v>
      </c>
      <c r="S440" s="7">
        <v>0</v>
      </c>
      <c r="T440" s="7">
        <f>S440*J440</f>
        <v>0</v>
      </c>
      <c r="U440" s="21"/>
      <c r="V440" s="257"/>
    </row>
    <row r="441" spans="2:22" s="191" customFormat="1" ht="15">
      <c r="B441" s="190"/>
      <c r="C441" s="179" t="s">
        <v>2235</v>
      </c>
      <c r="D441" s="180" t="s">
        <v>2034</v>
      </c>
      <c r="E441" s="181"/>
      <c r="F441" s="182"/>
      <c r="G441" s="182" t="s">
        <v>250</v>
      </c>
      <c r="H441" s="184" t="s">
        <v>252</v>
      </c>
      <c r="I441" s="185"/>
      <c r="J441" s="183"/>
      <c r="K441" s="333">
        <v>33</v>
      </c>
      <c r="L441" s="188">
        <v>44284</v>
      </c>
      <c r="M441" s="187"/>
      <c r="N441" s="187">
        <v>44284</v>
      </c>
      <c r="O441" s="186">
        <v>3012</v>
      </c>
      <c r="P441" s="179"/>
      <c r="Q441" s="725">
        <v>21</v>
      </c>
      <c r="S441" s="212">
        <v>2025</v>
      </c>
      <c r="T441" s="7">
        <v>2025</v>
      </c>
      <c r="U441" s="335"/>
      <c r="V441" s="726"/>
    </row>
    <row r="442" spans="2:22" s="7" customFormat="1" ht="15">
      <c r="B442" s="12"/>
      <c r="C442" s="6" t="s">
        <v>2235</v>
      </c>
      <c r="D442" s="14" t="s">
        <v>2034</v>
      </c>
      <c r="E442" s="19" t="s">
        <v>2011</v>
      </c>
      <c r="F442" s="24"/>
      <c r="G442" s="22"/>
      <c r="H442" s="60"/>
      <c r="I442" s="61"/>
      <c r="J442" s="60"/>
      <c r="K442" s="16" t="s">
        <v>5</v>
      </c>
      <c r="L442" s="139">
        <v>44301</v>
      </c>
      <c r="M442" s="33"/>
      <c r="N442" s="33">
        <v>44301</v>
      </c>
      <c r="O442" s="32">
        <v>3065</v>
      </c>
      <c r="P442" s="6" t="s">
        <v>3</v>
      </c>
      <c r="Q442" s="358"/>
      <c r="U442" s="120"/>
      <c r="V442" s="257"/>
    </row>
    <row r="443" spans="2:22" s="7" customFormat="1" ht="15.75" customHeight="1">
      <c r="B443" s="12"/>
      <c r="C443" s="6" t="s">
        <v>2235</v>
      </c>
      <c r="D443" s="14" t="s">
        <v>2034</v>
      </c>
      <c r="E443" s="22" t="s">
        <v>2237</v>
      </c>
      <c r="F443" s="24"/>
      <c r="G443" s="22" t="s">
        <v>100</v>
      </c>
      <c r="H443" s="108">
        <v>13.7</v>
      </c>
      <c r="I443" s="109">
        <v>2</v>
      </c>
      <c r="J443" s="131">
        <f>H443*I443</f>
        <v>27.4</v>
      </c>
      <c r="K443" s="39">
        <v>24.03</v>
      </c>
      <c r="L443" s="139">
        <v>44301</v>
      </c>
      <c r="M443" s="33"/>
      <c r="N443" s="33">
        <v>44301</v>
      </c>
      <c r="O443" s="32">
        <v>3065</v>
      </c>
      <c r="P443" s="6"/>
      <c r="Q443" s="322">
        <v>21.36</v>
      </c>
      <c r="S443" s="7">
        <v>1730</v>
      </c>
      <c r="T443" s="7">
        <f>S443*J443</f>
        <v>47402</v>
      </c>
      <c r="U443" s="386"/>
      <c r="V443" s="257"/>
    </row>
    <row r="444" spans="2:22" s="7" customFormat="1" ht="16.899999999999999" customHeight="1">
      <c r="B444" s="12"/>
      <c r="C444" s="6" t="s">
        <v>2235</v>
      </c>
      <c r="D444" s="14" t="s">
        <v>2034</v>
      </c>
      <c r="E444" s="22"/>
      <c r="F444" s="340"/>
      <c r="G444" s="37" t="s">
        <v>14</v>
      </c>
      <c r="H444" s="8"/>
      <c r="I444" s="109" ph="1"/>
      <c r="J444" s="38">
        <v>1</v>
      </c>
      <c r="K444" s="39">
        <v>12</v>
      </c>
      <c r="L444" s="139">
        <v>44301</v>
      </c>
      <c r="M444" s="33"/>
      <c r="N444" s="33">
        <v>44301</v>
      </c>
      <c r="O444" s="32">
        <v>3065</v>
      </c>
      <c r="P444" s="6"/>
      <c r="Q444" s="322">
        <v>12</v>
      </c>
      <c r="S444" s="7">
        <v>0</v>
      </c>
      <c r="T444" s="7">
        <f>S444*J444</f>
        <v>0</v>
      </c>
      <c r="U444" s="21"/>
      <c r="V444" s="257"/>
    </row>
    <row r="445" spans="2:22" s="191" customFormat="1" ht="15">
      <c r="B445" s="190"/>
      <c r="C445" s="179" t="s">
        <v>2235</v>
      </c>
      <c r="D445" s="180" t="s">
        <v>2034</v>
      </c>
      <c r="E445" s="181"/>
      <c r="F445" s="182"/>
      <c r="G445" s="182" t="s">
        <v>250</v>
      </c>
      <c r="H445" s="184" t="s">
        <v>252</v>
      </c>
      <c r="I445" s="185"/>
      <c r="J445" s="183"/>
      <c r="K445" s="333">
        <v>90</v>
      </c>
      <c r="L445" s="188">
        <v>44301</v>
      </c>
      <c r="M445" s="187"/>
      <c r="N445" s="187">
        <v>44301</v>
      </c>
      <c r="O445" s="186">
        <v>3065</v>
      </c>
      <c r="P445" s="179"/>
      <c r="Q445" s="725">
        <v>78</v>
      </c>
      <c r="S445" s="197">
        <v>7441</v>
      </c>
      <c r="T445" s="197">
        <v>7441</v>
      </c>
      <c r="U445" s="335"/>
      <c r="V445" s="726"/>
    </row>
    <row r="446" spans="2:22" s="7" customFormat="1" ht="18" customHeight="1">
      <c r="B446" s="12"/>
      <c r="C446" s="6" t="s">
        <v>2238</v>
      </c>
      <c r="D446" s="14" t="s">
        <v>1963</v>
      </c>
      <c r="E446" s="19" t="s">
        <v>238</v>
      </c>
      <c r="F446" s="107"/>
      <c r="G446" s="22"/>
      <c r="H446" s="108"/>
      <c r="I446" s="109"/>
      <c r="J446" s="108"/>
      <c r="K446" s="110" t="s">
        <v>5</v>
      </c>
      <c r="L446" s="139">
        <v>44284</v>
      </c>
      <c r="M446" s="33"/>
      <c r="N446" s="33">
        <v>44284</v>
      </c>
      <c r="O446" s="32">
        <v>3011</v>
      </c>
      <c r="P446" s="14"/>
      <c r="Q446" s="322"/>
      <c r="U446" s="14"/>
      <c r="V446" s="257"/>
    </row>
    <row r="447" spans="2:22" s="7" customFormat="1" ht="18" customHeight="1">
      <c r="B447" s="12"/>
      <c r="C447" s="6" t="s">
        <v>2238</v>
      </c>
      <c r="D447" s="14" t="s">
        <v>1963</v>
      </c>
      <c r="E447" s="22" t="s">
        <v>239</v>
      </c>
      <c r="F447" s="107">
        <v>150</v>
      </c>
      <c r="G447" s="22" t="s">
        <v>2239</v>
      </c>
      <c r="H447" s="108">
        <v>20</v>
      </c>
      <c r="I447" s="109">
        <v>1</v>
      </c>
      <c r="J447" s="8">
        <f>H447*I447</f>
        <v>20</v>
      </c>
      <c r="K447" s="39">
        <v>6.53</v>
      </c>
      <c r="L447" s="139">
        <v>44284</v>
      </c>
      <c r="M447" s="33"/>
      <c r="N447" s="33">
        <v>44284</v>
      </c>
      <c r="O447" s="32">
        <v>3011</v>
      </c>
      <c r="P447" s="6"/>
      <c r="Q447" s="322">
        <v>5.81</v>
      </c>
      <c r="S447" s="7">
        <v>470</v>
      </c>
      <c r="T447" s="7">
        <f>S447*J447</f>
        <v>9400</v>
      </c>
      <c r="U447" s="21"/>
      <c r="V447" s="257"/>
    </row>
    <row r="448" spans="2:22" s="7" customFormat="1" ht="15">
      <c r="B448" s="12"/>
      <c r="C448" s="6" t="s">
        <v>2238</v>
      </c>
      <c r="D448" s="14" t="s">
        <v>1963</v>
      </c>
      <c r="E448" s="49"/>
      <c r="F448" s="102"/>
      <c r="G448" s="22" t="s">
        <v>57</v>
      </c>
      <c r="H448" s="195"/>
      <c r="I448" s="35"/>
      <c r="J448" s="195">
        <v>1</v>
      </c>
      <c r="K448" s="39">
        <v>15</v>
      </c>
      <c r="L448" s="139">
        <v>44284</v>
      </c>
      <c r="M448" s="33"/>
      <c r="N448" s="33">
        <v>44284</v>
      </c>
      <c r="O448" s="32">
        <v>3011</v>
      </c>
      <c r="P448" s="6"/>
      <c r="Q448" s="322">
        <v>15</v>
      </c>
      <c r="S448" s="7">
        <v>1000</v>
      </c>
      <c r="T448" s="7">
        <f>S448*J448</f>
        <v>1000</v>
      </c>
      <c r="U448" s="21"/>
      <c r="V448" s="257"/>
    </row>
    <row r="449" spans="2:22" s="7" customFormat="1" ht="15">
      <c r="B449" s="12"/>
      <c r="C449" s="6" t="s">
        <v>2238</v>
      </c>
      <c r="D449" s="14" t="s">
        <v>1963</v>
      </c>
      <c r="E449" s="49"/>
      <c r="F449" s="102"/>
      <c r="G449" s="22" t="s">
        <v>14</v>
      </c>
      <c r="H449" s="38"/>
      <c r="I449" s="35"/>
      <c r="J449" s="38">
        <v>1</v>
      </c>
      <c r="K449" s="39">
        <v>20</v>
      </c>
      <c r="L449" s="139">
        <v>44284</v>
      </c>
      <c r="M449" s="33"/>
      <c r="N449" s="33">
        <v>44284</v>
      </c>
      <c r="O449" s="32">
        <v>3011</v>
      </c>
      <c r="P449" s="6"/>
      <c r="Q449" s="322">
        <v>20</v>
      </c>
      <c r="S449" s="7">
        <v>1000</v>
      </c>
      <c r="T449" s="7">
        <f>S449*J449</f>
        <v>1000</v>
      </c>
      <c r="U449" s="21"/>
      <c r="V449" s="257"/>
    </row>
    <row r="450" spans="2:22" s="191" customFormat="1" ht="15">
      <c r="B450" s="190"/>
      <c r="C450" s="179" t="s">
        <v>2238</v>
      </c>
      <c r="D450" s="180" t="s">
        <v>1963</v>
      </c>
      <c r="E450" s="181"/>
      <c r="F450" s="182"/>
      <c r="G450" s="182" t="s">
        <v>250</v>
      </c>
      <c r="H450" s="184" t="s">
        <v>251</v>
      </c>
      <c r="I450" s="185"/>
      <c r="J450" s="183"/>
      <c r="K450" s="192">
        <v>0</v>
      </c>
      <c r="L450" s="188">
        <v>44284</v>
      </c>
      <c r="M450" s="187"/>
      <c r="N450" s="187">
        <v>44284</v>
      </c>
      <c r="O450" s="186">
        <v>3011</v>
      </c>
      <c r="P450" s="179"/>
      <c r="Q450" s="725">
        <v>0</v>
      </c>
      <c r="S450" s="197">
        <v>0</v>
      </c>
      <c r="T450" s="198">
        <v>0</v>
      </c>
      <c r="U450" s="335"/>
      <c r="V450" s="726"/>
    </row>
    <row r="451" spans="2:22" s="7" customFormat="1" ht="15">
      <c r="B451" s="12"/>
      <c r="C451" s="6" t="s">
        <v>2240</v>
      </c>
      <c r="D451" s="14" t="s">
        <v>2227</v>
      </c>
      <c r="E451" s="19" t="s">
        <v>200</v>
      </c>
      <c r="F451" s="24"/>
      <c r="G451" s="22"/>
      <c r="H451" s="60"/>
      <c r="I451" s="61"/>
      <c r="J451" s="60"/>
      <c r="K451" s="16" t="s">
        <v>101</v>
      </c>
      <c r="L451" s="139">
        <v>44284</v>
      </c>
      <c r="M451" s="33"/>
      <c r="N451" s="33">
        <v>44284</v>
      </c>
      <c r="O451" s="32">
        <v>3010</v>
      </c>
      <c r="P451" s="123" t="s">
        <v>8</v>
      </c>
      <c r="Q451" s="775"/>
      <c r="U451" s="229"/>
      <c r="V451" s="257"/>
    </row>
    <row r="452" spans="2:22" s="7" customFormat="1" ht="18" customHeight="1">
      <c r="B452" s="12"/>
      <c r="C452" s="6" t="s">
        <v>2240</v>
      </c>
      <c r="D452" s="14" t="s">
        <v>2227</v>
      </c>
      <c r="E452" s="22">
        <v>5291</v>
      </c>
      <c r="F452" s="24">
        <v>8</v>
      </c>
      <c r="G452" s="22" t="s">
        <v>317</v>
      </c>
      <c r="H452" s="60">
        <v>50</v>
      </c>
      <c r="I452" s="61">
        <v>1</v>
      </c>
      <c r="J452" s="8">
        <f>H452*I452</f>
        <v>50</v>
      </c>
      <c r="K452" s="39">
        <v>0.45</v>
      </c>
      <c r="L452" s="139">
        <v>44284</v>
      </c>
      <c r="M452" s="33"/>
      <c r="N452" s="33">
        <v>44284</v>
      </c>
      <c r="O452" s="32">
        <v>3010</v>
      </c>
      <c r="P452" s="39"/>
      <c r="Q452" s="701">
        <v>0.36</v>
      </c>
      <c r="S452" s="7">
        <v>21</v>
      </c>
      <c r="T452" s="7">
        <f>S452*J452</f>
        <v>1050</v>
      </c>
      <c r="U452" s="776" t="s">
        <v>2241</v>
      </c>
      <c r="V452" s="257"/>
    </row>
    <row r="453" spans="2:22" s="7" customFormat="1" ht="18" customHeight="1">
      <c r="B453" s="12"/>
      <c r="C453" s="6" t="s">
        <v>2240</v>
      </c>
      <c r="D453" s="14" t="s">
        <v>2227</v>
      </c>
      <c r="E453" s="22"/>
      <c r="F453" s="102"/>
      <c r="G453" s="22" t="s">
        <v>14</v>
      </c>
      <c r="H453" s="8"/>
      <c r="I453" s="35"/>
      <c r="J453" s="38">
        <v>1</v>
      </c>
      <c r="K453" s="39">
        <v>12</v>
      </c>
      <c r="L453" s="139">
        <v>44284</v>
      </c>
      <c r="M453" s="33"/>
      <c r="N453" s="33">
        <v>44284</v>
      </c>
      <c r="O453" s="32">
        <v>3010</v>
      </c>
      <c r="P453" s="6"/>
      <c r="Q453" s="322">
        <v>12</v>
      </c>
      <c r="S453" s="7">
        <v>850</v>
      </c>
      <c r="T453" s="7">
        <f>S453*J453</f>
        <v>850</v>
      </c>
      <c r="U453" s="21"/>
      <c r="V453" s="257"/>
    </row>
    <row r="454" spans="2:22" s="191" customFormat="1" ht="15">
      <c r="B454" s="190"/>
      <c r="C454" s="179" t="s">
        <v>2240</v>
      </c>
      <c r="D454" s="180" t="s">
        <v>2227</v>
      </c>
      <c r="E454" s="217"/>
      <c r="F454" s="182"/>
      <c r="G454" s="182" t="s">
        <v>250</v>
      </c>
      <c r="H454" s="184" t="s">
        <v>251</v>
      </c>
      <c r="I454" s="185"/>
      <c r="J454" s="183"/>
      <c r="K454" s="192">
        <v>0</v>
      </c>
      <c r="L454" s="188">
        <v>44284</v>
      </c>
      <c r="M454" s="187"/>
      <c r="N454" s="187">
        <v>44284</v>
      </c>
      <c r="O454" s="186">
        <v>3010</v>
      </c>
      <c r="P454" s="179"/>
      <c r="Q454" s="725">
        <v>0</v>
      </c>
      <c r="S454" s="197">
        <v>0</v>
      </c>
      <c r="T454" s="198">
        <v>0</v>
      </c>
      <c r="U454" s="335"/>
      <c r="V454" s="726"/>
    </row>
    <row r="455" spans="2:22" s="7" customFormat="1" ht="18" customHeight="1">
      <c r="B455" s="12"/>
      <c r="C455" s="6" t="s">
        <v>2242</v>
      </c>
      <c r="D455" s="14" t="s">
        <v>1970</v>
      </c>
      <c r="E455" s="17" t="s">
        <v>160</v>
      </c>
      <c r="F455" s="319"/>
      <c r="G455" s="299"/>
      <c r="H455" s="300" t="s">
        <v>355</v>
      </c>
      <c r="I455" s="320"/>
      <c r="J455" s="321"/>
      <c r="K455" s="110" t="s">
        <v>5</v>
      </c>
      <c r="L455" s="139">
        <v>44288</v>
      </c>
      <c r="M455" s="33"/>
      <c r="N455" s="33">
        <v>44288</v>
      </c>
      <c r="O455" s="32">
        <v>3030</v>
      </c>
      <c r="P455" s="6"/>
      <c r="Q455" s="322"/>
      <c r="U455" s="39"/>
      <c r="V455" s="257"/>
    </row>
    <row r="456" spans="2:22" s="7" customFormat="1" ht="18" customHeight="1">
      <c r="B456" s="12"/>
      <c r="C456" s="6" t="s">
        <v>2242</v>
      </c>
      <c r="D456" s="14" t="s">
        <v>1970</v>
      </c>
      <c r="E456" s="22">
        <v>14552</v>
      </c>
      <c r="F456" s="24">
        <v>18</v>
      </c>
      <c r="G456" s="22" t="s">
        <v>2243</v>
      </c>
      <c r="H456" s="108">
        <v>30</v>
      </c>
      <c r="I456" s="109">
        <v>1</v>
      </c>
      <c r="J456" s="108">
        <f>H456*I456</f>
        <v>30</v>
      </c>
      <c r="K456" s="39">
        <v>0.86</v>
      </c>
      <c r="L456" s="139">
        <v>44288</v>
      </c>
      <c r="M456" s="33"/>
      <c r="N456" s="33">
        <v>44288</v>
      </c>
      <c r="O456" s="32">
        <v>3030</v>
      </c>
      <c r="P456" s="6"/>
      <c r="Q456" s="358">
        <v>0.69</v>
      </c>
      <c r="S456" s="7">
        <v>46</v>
      </c>
      <c r="T456" s="7">
        <f>S456*J456</f>
        <v>1380</v>
      </c>
      <c r="U456" s="120"/>
      <c r="V456" s="257"/>
    </row>
    <row r="457" spans="2:22" s="7" customFormat="1" ht="15">
      <c r="B457" s="12"/>
      <c r="C457" s="6" t="s">
        <v>2242</v>
      </c>
      <c r="D457" s="14" t="s">
        <v>1970</v>
      </c>
      <c r="E457" s="19" t="s">
        <v>2244</v>
      </c>
      <c r="F457" s="24"/>
      <c r="G457" s="22"/>
      <c r="H457" s="60"/>
      <c r="I457" s="61"/>
      <c r="J457" s="8"/>
      <c r="K457" s="110" t="s">
        <v>5</v>
      </c>
      <c r="L457" s="139">
        <v>44288</v>
      </c>
      <c r="M457" s="33"/>
      <c r="N457" s="33">
        <v>44288</v>
      </c>
      <c r="O457" s="32">
        <v>3030</v>
      </c>
      <c r="P457" s="6" t="s">
        <v>8</v>
      </c>
      <c r="Q457" s="358"/>
      <c r="U457" s="120"/>
      <c r="V457" s="257"/>
    </row>
    <row r="458" spans="2:22" s="7" customFormat="1" ht="18" customHeight="1">
      <c r="B458" s="12"/>
      <c r="C458" s="6" t="s">
        <v>2242</v>
      </c>
      <c r="D458" s="14" t="s">
        <v>1970</v>
      </c>
      <c r="E458" s="22">
        <v>11700</v>
      </c>
      <c r="F458" s="37">
        <v>36</v>
      </c>
      <c r="G458" s="22" t="s">
        <v>2245</v>
      </c>
      <c r="H458" s="8">
        <v>10</v>
      </c>
      <c r="I458" s="35">
        <v>12</v>
      </c>
      <c r="J458" s="108">
        <f>H458*I458</f>
        <v>120</v>
      </c>
      <c r="K458" s="39">
        <v>3.91</v>
      </c>
      <c r="L458" s="139">
        <v>44288</v>
      </c>
      <c r="M458" s="33"/>
      <c r="N458" s="33">
        <v>44288</v>
      </c>
      <c r="O458" s="32">
        <v>3030</v>
      </c>
      <c r="P458" s="6"/>
      <c r="Q458" s="322">
        <v>3.13</v>
      </c>
      <c r="S458" s="7">
        <v>210.8</v>
      </c>
      <c r="T458" s="7">
        <f>S458*J458</f>
        <v>25296</v>
      </c>
      <c r="U458" s="39"/>
      <c r="V458" s="257"/>
    </row>
    <row r="459" spans="2:22" s="7" customFormat="1" ht="18" customHeight="1">
      <c r="B459" s="12"/>
      <c r="C459" s="6" t="s">
        <v>2242</v>
      </c>
      <c r="D459" s="14" t="s">
        <v>1970</v>
      </c>
      <c r="E459" s="22">
        <v>11700</v>
      </c>
      <c r="F459" s="37">
        <v>36</v>
      </c>
      <c r="G459" s="22" t="s">
        <v>2246</v>
      </c>
      <c r="H459" s="8">
        <v>10</v>
      </c>
      <c r="I459" s="35">
        <v>5</v>
      </c>
      <c r="J459" s="108">
        <f>H459*I459</f>
        <v>50</v>
      </c>
      <c r="K459" s="39">
        <v>3.91</v>
      </c>
      <c r="L459" s="139">
        <v>44288</v>
      </c>
      <c r="M459" s="33"/>
      <c r="N459" s="33">
        <v>44288</v>
      </c>
      <c r="O459" s="32">
        <v>3030</v>
      </c>
      <c r="P459" s="6"/>
      <c r="Q459" s="322">
        <v>3.13</v>
      </c>
      <c r="S459" s="7">
        <v>210.8</v>
      </c>
      <c r="T459" s="7">
        <f>S459*J459</f>
        <v>10540</v>
      </c>
      <c r="U459" s="39"/>
      <c r="V459" s="257"/>
    </row>
    <row r="460" spans="2:22" s="7" customFormat="1" ht="18" customHeight="1">
      <c r="B460" s="12"/>
      <c r="C460" s="6" t="s">
        <v>2242</v>
      </c>
      <c r="D460" s="14" t="s">
        <v>1970</v>
      </c>
      <c r="E460" s="49"/>
      <c r="F460" s="37"/>
      <c r="G460" s="37" t="s">
        <v>14</v>
      </c>
      <c r="H460" s="8"/>
      <c r="I460" s="109" ph="1"/>
      <c r="J460" s="38">
        <v>1</v>
      </c>
      <c r="K460" s="39">
        <v>12</v>
      </c>
      <c r="L460" s="139">
        <v>44288</v>
      </c>
      <c r="M460" s="33"/>
      <c r="N460" s="33">
        <v>44288</v>
      </c>
      <c r="O460" s="32">
        <v>3030</v>
      </c>
      <c r="P460" s="6"/>
      <c r="Q460" s="322">
        <v>12</v>
      </c>
      <c r="S460" s="7">
        <f>0+0</f>
        <v>0</v>
      </c>
      <c r="T460" s="7">
        <f>S460*J460</f>
        <v>0</v>
      </c>
      <c r="U460" s="21"/>
      <c r="V460" s="257"/>
    </row>
    <row r="461" spans="2:22" s="7" customFormat="1" ht="15">
      <c r="B461" s="12"/>
      <c r="C461" s="6" t="s">
        <v>2242</v>
      </c>
      <c r="D461" s="14" t="s">
        <v>1970</v>
      </c>
      <c r="E461" s="19" t="s">
        <v>2244</v>
      </c>
      <c r="F461" s="24"/>
      <c r="G461" s="22"/>
      <c r="H461" s="60"/>
      <c r="I461" s="61"/>
      <c r="J461" s="8"/>
      <c r="K461" s="110" t="s">
        <v>5</v>
      </c>
      <c r="L461" s="139">
        <v>44298</v>
      </c>
      <c r="M461" s="33"/>
      <c r="N461" s="33">
        <v>44298</v>
      </c>
      <c r="O461" s="32">
        <v>3058</v>
      </c>
      <c r="P461" s="6" t="s">
        <v>8</v>
      </c>
      <c r="Q461" s="358"/>
      <c r="U461" s="120"/>
      <c r="V461" s="257"/>
    </row>
    <row r="462" spans="2:22" s="7" customFormat="1" ht="18" customHeight="1">
      <c r="B462" s="12"/>
      <c r="C462" s="6" t="s">
        <v>2242</v>
      </c>
      <c r="D462" s="14" t="s">
        <v>1970</v>
      </c>
      <c r="E462" s="22">
        <v>11700</v>
      </c>
      <c r="F462" s="37">
        <v>36</v>
      </c>
      <c r="G462" s="22" t="s">
        <v>2246</v>
      </c>
      <c r="H462" s="8">
        <v>10</v>
      </c>
      <c r="I462" s="35">
        <v>1</v>
      </c>
      <c r="J462" s="108">
        <f>H462*I462</f>
        <v>10</v>
      </c>
      <c r="K462" s="39">
        <v>3.91</v>
      </c>
      <c r="L462" s="139">
        <v>44298</v>
      </c>
      <c r="M462" s="33"/>
      <c r="N462" s="33">
        <v>44298</v>
      </c>
      <c r="O462" s="32">
        <v>3058</v>
      </c>
      <c r="P462" s="6"/>
      <c r="Q462" s="322">
        <v>3.13</v>
      </c>
      <c r="S462" s="7">
        <v>210.8</v>
      </c>
      <c r="T462" s="7">
        <f>S462*J462</f>
        <v>2108</v>
      </c>
      <c r="U462" s="39"/>
      <c r="V462" s="257"/>
    </row>
    <row r="463" spans="2:22" s="191" customFormat="1" ht="15">
      <c r="B463" s="190"/>
      <c r="C463" s="179" t="s">
        <v>2242</v>
      </c>
      <c r="D463" s="180" t="s">
        <v>1970</v>
      </c>
      <c r="E463" s="181"/>
      <c r="F463" s="622"/>
      <c r="G463" s="182" t="s">
        <v>250</v>
      </c>
      <c r="H463" s="184" t="s">
        <v>251</v>
      </c>
      <c r="I463" s="185"/>
      <c r="J463" s="183"/>
      <c r="K463" s="192">
        <v>0</v>
      </c>
      <c r="L463" s="188">
        <v>44298</v>
      </c>
      <c r="M463" s="187"/>
      <c r="N463" s="187">
        <v>44298</v>
      </c>
      <c r="O463" s="186">
        <v>3058</v>
      </c>
      <c r="P463" s="179"/>
      <c r="Q463" s="725">
        <v>0</v>
      </c>
      <c r="S463" s="197">
        <v>0</v>
      </c>
      <c r="T463" s="198">
        <v>0</v>
      </c>
      <c r="U463" s="335"/>
      <c r="V463" s="726"/>
    </row>
    <row r="464" spans="2:22" s="7" customFormat="1" ht="18" customHeight="1">
      <c r="B464" s="12"/>
      <c r="C464" s="6" t="s">
        <v>2247</v>
      </c>
      <c r="D464" s="14" t="s">
        <v>1970</v>
      </c>
      <c r="E464" s="19" t="s">
        <v>2027</v>
      </c>
      <c r="F464" s="37"/>
      <c r="G464" s="37"/>
      <c r="H464" s="108"/>
      <c r="I464" s="108"/>
      <c r="J464" s="108"/>
      <c r="K464" s="110" t="s">
        <v>5</v>
      </c>
      <c r="L464" s="139">
        <v>44287</v>
      </c>
      <c r="M464" s="33"/>
      <c r="N464" s="33">
        <v>44287</v>
      </c>
      <c r="O464" s="32">
        <v>3031</v>
      </c>
      <c r="P464" s="6"/>
      <c r="Q464" s="339"/>
      <c r="U464" s="21"/>
      <c r="V464" s="257"/>
    </row>
    <row r="465" spans="2:22" s="7" customFormat="1" ht="18" customHeight="1">
      <c r="B465" s="12"/>
      <c r="C465" s="6" t="s">
        <v>2247</v>
      </c>
      <c r="D465" s="14" t="s">
        <v>1970</v>
      </c>
      <c r="E465" s="22" t="s">
        <v>2248</v>
      </c>
      <c r="F465" s="37">
        <v>12</v>
      </c>
      <c r="G465" s="37" t="s">
        <v>2249</v>
      </c>
      <c r="H465" s="108">
        <v>30</v>
      </c>
      <c r="I465" s="109">
        <v>2</v>
      </c>
      <c r="J465" s="8">
        <f>H465*I465</f>
        <v>60</v>
      </c>
      <c r="K465" s="39">
        <v>0.76</v>
      </c>
      <c r="L465" s="139">
        <v>44287</v>
      </c>
      <c r="M465" s="33"/>
      <c r="N465" s="33">
        <v>44287</v>
      </c>
      <c r="O465" s="32">
        <v>3031</v>
      </c>
      <c r="P465" s="722"/>
      <c r="Q465" s="322">
        <v>0.61</v>
      </c>
      <c r="S465" s="7">
        <v>41</v>
      </c>
      <c r="T465" s="7">
        <f>S465*J465</f>
        <v>2460</v>
      </c>
      <c r="U465" s="21"/>
      <c r="V465" s="257"/>
    </row>
    <row r="466" spans="2:22" s="7" customFormat="1" ht="18" customHeight="1">
      <c r="B466" s="12"/>
      <c r="C466" s="6" t="s">
        <v>2247</v>
      </c>
      <c r="D466" s="14" t="s">
        <v>1970</v>
      </c>
      <c r="E466" s="22"/>
      <c r="F466" s="102"/>
      <c r="G466" s="22" t="s">
        <v>14</v>
      </c>
      <c r="H466" s="8"/>
      <c r="I466" s="35"/>
      <c r="J466" s="38">
        <v>1</v>
      </c>
      <c r="K466" s="39">
        <v>12</v>
      </c>
      <c r="L466" s="139">
        <v>44287</v>
      </c>
      <c r="M466" s="33"/>
      <c r="N466" s="33">
        <v>44287</v>
      </c>
      <c r="O466" s="32">
        <v>3031</v>
      </c>
      <c r="P466" s="6" t="s">
        <v>3</v>
      </c>
      <c r="Q466" s="322">
        <v>12</v>
      </c>
      <c r="S466" s="7">
        <v>1000</v>
      </c>
      <c r="T466" s="7">
        <f>S466*J466</f>
        <v>1000</v>
      </c>
      <c r="U466" s="21"/>
      <c r="V466" s="257"/>
    </row>
    <row r="467" spans="2:22" s="191" customFormat="1" ht="15">
      <c r="B467" s="190"/>
      <c r="C467" s="179" t="s">
        <v>2247</v>
      </c>
      <c r="D467" s="180" t="s">
        <v>1970</v>
      </c>
      <c r="E467" s="181"/>
      <c r="F467" s="622"/>
      <c r="G467" s="182" t="s">
        <v>250</v>
      </c>
      <c r="H467" s="184" t="s">
        <v>251</v>
      </c>
      <c r="I467" s="185"/>
      <c r="J467" s="183"/>
      <c r="K467" s="192">
        <v>0</v>
      </c>
      <c r="L467" s="188">
        <v>44287</v>
      </c>
      <c r="M467" s="187"/>
      <c r="N467" s="187">
        <v>44287</v>
      </c>
      <c r="O467" s="186">
        <v>3031</v>
      </c>
      <c r="P467" s="179"/>
      <c r="Q467" s="725">
        <v>0</v>
      </c>
      <c r="S467" s="197">
        <v>0</v>
      </c>
      <c r="T467" s="198">
        <v>0</v>
      </c>
      <c r="U467" s="335"/>
      <c r="V467" s="726"/>
    </row>
    <row r="468" spans="2:22" s="7" customFormat="1" ht="18" customHeight="1">
      <c r="B468" s="12"/>
      <c r="C468" s="6" t="s">
        <v>2250</v>
      </c>
      <c r="D468" s="14" t="s">
        <v>2149</v>
      </c>
      <c r="E468" s="19" t="s">
        <v>2251</v>
      </c>
      <c r="F468" s="37"/>
      <c r="G468" s="37"/>
      <c r="H468" s="108"/>
      <c r="I468" s="108"/>
      <c r="J468" s="108"/>
      <c r="K468" s="110" t="s">
        <v>5</v>
      </c>
      <c r="L468" s="139">
        <v>44288</v>
      </c>
      <c r="M468" s="33"/>
      <c r="N468" s="33">
        <v>44288</v>
      </c>
      <c r="O468" s="32">
        <v>3037</v>
      </c>
      <c r="P468" s="6"/>
      <c r="Q468" s="339"/>
      <c r="U468" s="21"/>
      <c r="V468" s="257"/>
    </row>
    <row r="469" spans="2:22" s="7" customFormat="1" ht="18" customHeight="1">
      <c r="B469" s="12"/>
      <c r="C469" s="6" t="s">
        <v>2250</v>
      </c>
      <c r="D469" s="14" t="s">
        <v>2149</v>
      </c>
      <c r="E469" s="22" t="s">
        <v>2252</v>
      </c>
      <c r="F469" s="37"/>
      <c r="G469" s="37" t="s">
        <v>100</v>
      </c>
      <c r="H469" s="108">
        <v>14</v>
      </c>
      <c r="I469" s="109">
        <v>2</v>
      </c>
      <c r="J469" s="8">
        <f>H469*I469</f>
        <v>28</v>
      </c>
      <c r="K469" s="39">
        <v>5.6</v>
      </c>
      <c r="L469" s="139">
        <v>44288</v>
      </c>
      <c r="M469" s="33"/>
      <c r="N469" s="33">
        <v>44288</v>
      </c>
      <c r="O469" s="32">
        <v>3037</v>
      </c>
      <c r="P469" s="722"/>
      <c r="Q469" s="322">
        <v>4.24</v>
      </c>
      <c r="S469" s="7">
        <v>286</v>
      </c>
      <c r="T469" s="7">
        <f>S469*J469</f>
        <v>8008</v>
      </c>
      <c r="U469" s="21"/>
      <c r="V469" s="257"/>
    </row>
    <row r="470" spans="2:22" s="7" customFormat="1" ht="18" customHeight="1">
      <c r="B470" s="12"/>
      <c r="C470" s="6" t="s">
        <v>2250</v>
      </c>
      <c r="D470" s="14" t="s">
        <v>2149</v>
      </c>
      <c r="E470" s="22"/>
      <c r="F470" s="102"/>
      <c r="G470" s="22" t="s">
        <v>14</v>
      </c>
      <c r="H470" s="8"/>
      <c r="I470" s="35"/>
      <c r="J470" s="38">
        <v>1</v>
      </c>
      <c r="K470" s="39">
        <v>12</v>
      </c>
      <c r="L470" s="139">
        <v>44288</v>
      </c>
      <c r="M470" s="33"/>
      <c r="N470" s="33">
        <v>44288</v>
      </c>
      <c r="O470" s="32">
        <v>3037</v>
      </c>
      <c r="P470" s="6" t="s">
        <v>3</v>
      </c>
      <c r="Q470" s="322">
        <v>12</v>
      </c>
      <c r="S470" s="7">
        <v>0</v>
      </c>
      <c r="T470" s="7">
        <f>S470*J470</f>
        <v>0</v>
      </c>
      <c r="U470" s="21"/>
      <c r="V470" s="257"/>
    </row>
    <row r="471" spans="2:22" s="191" customFormat="1" ht="15">
      <c r="B471" s="190"/>
      <c r="C471" s="179" t="s">
        <v>2250</v>
      </c>
      <c r="D471" s="180" t="s">
        <v>2149</v>
      </c>
      <c r="E471" s="181"/>
      <c r="F471" s="622"/>
      <c r="G471" s="182" t="s">
        <v>250</v>
      </c>
      <c r="H471" s="184" t="s">
        <v>252</v>
      </c>
      <c r="I471" s="185"/>
      <c r="J471" s="183"/>
      <c r="K471" s="333">
        <v>35</v>
      </c>
      <c r="L471" s="188">
        <v>44288</v>
      </c>
      <c r="M471" s="187"/>
      <c r="N471" s="187">
        <v>44288</v>
      </c>
      <c r="O471" s="186">
        <v>3037</v>
      </c>
      <c r="P471" s="179"/>
      <c r="Q471" s="725">
        <v>23</v>
      </c>
      <c r="S471" s="212">
        <v>2025</v>
      </c>
      <c r="T471" s="212">
        <v>2025</v>
      </c>
      <c r="U471" s="335"/>
      <c r="V471" s="726"/>
    </row>
    <row r="472" spans="2:22" s="7" customFormat="1" ht="18" customHeight="1">
      <c r="B472" s="12"/>
      <c r="C472" s="6" t="s">
        <v>2253</v>
      </c>
      <c r="D472" s="14" t="s">
        <v>2254</v>
      </c>
      <c r="E472" s="19" t="s">
        <v>2099</v>
      </c>
      <c r="F472" s="37"/>
      <c r="G472" s="37"/>
      <c r="H472" s="108"/>
      <c r="I472" s="108"/>
      <c r="J472" s="108"/>
      <c r="K472" s="29" t="s">
        <v>5</v>
      </c>
      <c r="L472" s="139">
        <v>44323</v>
      </c>
      <c r="M472" s="33"/>
      <c r="N472" s="33">
        <v>44323</v>
      </c>
      <c r="O472" s="32">
        <v>3044</v>
      </c>
      <c r="P472" s="6"/>
      <c r="Q472" s="339"/>
      <c r="U472" s="21"/>
      <c r="V472" s="257"/>
    </row>
    <row r="473" spans="2:22" s="7" customFormat="1" ht="17.25" customHeight="1">
      <c r="B473" s="12"/>
      <c r="C473" s="6" t="s">
        <v>2253</v>
      </c>
      <c r="D473" s="14" t="s">
        <v>2254</v>
      </c>
      <c r="E473" s="22">
        <v>5636</v>
      </c>
      <c r="F473" s="37" t="s">
        <v>230</v>
      </c>
      <c r="G473" s="37" t="s">
        <v>283</v>
      </c>
      <c r="H473" s="108">
        <v>50</v>
      </c>
      <c r="I473" s="109">
        <v>10</v>
      </c>
      <c r="J473" s="8">
        <f>H473*I473</f>
        <v>500</v>
      </c>
      <c r="K473" s="39">
        <v>0.35</v>
      </c>
      <c r="L473" s="139">
        <v>44323</v>
      </c>
      <c r="M473" s="33"/>
      <c r="N473" s="33">
        <v>44323</v>
      </c>
      <c r="O473" s="32">
        <v>3044</v>
      </c>
      <c r="P473" s="722"/>
      <c r="Q473" s="322">
        <v>0.21</v>
      </c>
      <c r="S473" s="752">
        <v>10.4</v>
      </c>
      <c r="T473" s="7">
        <f>S473*J473</f>
        <v>5200</v>
      </c>
      <c r="U473" s="778" t="s">
        <v>2255</v>
      </c>
      <c r="V473" s="257"/>
    </row>
    <row r="474" spans="2:22" s="7" customFormat="1" ht="17.25" customHeight="1">
      <c r="B474" s="12"/>
      <c r="C474" s="6" t="s">
        <v>2253</v>
      </c>
      <c r="D474" s="14" t="s">
        <v>2254</v>
      </c>
      <c r="E474" s="22">
        <v>5636</v>
      </c>
      <c r="F474" s="37" t="s">
        <v>230</v>
      </c>
      <c r="G474" s="37" t="s">
        <v>2256</v>
      </c>
      <c r="H474" s="108">
        <v>50</v>
      </c>
      <c r="I474" s="109">
        <v>10</v>
      </c>
      <c r="J474" s="8">
        <f>H474*I474</f>
        <v>500</v>
      </c>
      <c r="K474" s="39">
        <v>0.35</v>
      </c>
      <c r="L474" s="139">
        <v>44323</v>
      </c>
      <c r="M474" s="33"/>
      <c r="N474" s="33">
        <v>44323</v>
      </c>
      <c r="O474" s="32">
        <v>3044</v>
      </c>
      <c r="P474" s="722"/>
      <c r="Q474" s="322">
        <v>0.21</v>
      </c>
      <c r="S474" s="7">
        <v>13.8</v>
      </c>
      <c r="T474" s="7">
        <f>S474*J474</f>
        <v>6900</v>
      </c>
      <c r="U474" s="752"/>
      <c r="V474" s="257"/>
    </row>
    <row r="475" spans="2:22" s="7" customFormat="1" ht="15">
      <c r="B475" s="12"/>
      <c r="C475" s="6" t="s">
        <v>2253</v>
      </c>
      <c r="D475" s="14" t="s">
        <v>2254</v>
      </c>
      <c r="E475" s="82"/>
      <c r="F475" s="102"/>
      <c r="G475" s="22" t="s">
        <v>14</v>
      </c>
      <c r="H475" s="8"/>
      <c r="I475" s="35"/>
      <c r="J475" s="38">
        <v>1</v>
      </c>
      <c r="K475" s="39">
        <v>12</v>
      </c>
      <c r="L475" s="139">
        <v>44323</v>
      </c>
      <c r="M475" s="33"/>
      <c r="N475" s="33">
        <v>44323</v>
      </c>
      <c r="O475" s="32">
        <v>3044</v>
      </c>
      <c r="P475" s="6" t="s">
        <v>3</v>
      </c>
      <c r="Q475" s="322">
        <v>12</v>
      </c>
      <c r="S475" s="7">
        <v>1100</v>
      </c>
      <c r="T475" s="7">
        <f>S475*J475</f>
        <v>1100</v>
      </c>
      <c r="U475" s="21"/>
      <c r="V475" s="257"/>
    </row>
    <row r="476" spans="2:22" s="191" customFormat="1" ht="15">
      <c r="B476" s="190"/>
      <c r="C476" s="179" t="s">
        <v>2253</v>
      </c>
      <c r="D476" s="180" t="s">
        <v>2254</v>
      </c>
      <c r="E476" s="181"/>
      <c r="F476" s="622"/>
      <c r="G476" s="182" t="s">
        <v>250</v>
      </c>
      <c r="H476" s="184" t="s">
        <v>252</v>
      </c>
      <c r="I476" s="185"/>
      <c r="J476" s="183"/>
      <c r="K476" s="203" t="s">
        <v>2257</v>
      </c>
      <c r="L476" s="188">
        <v>44323</v>
      </c>
      <c r="M476" s="187"/>
      <c r="N476" s="187">
        <v>44323</v>
      </c>
      <c r="O476" s="186">
        <v>3044</v>
      </c>
      <c r="P476" s="179"/>
      <c r="Q476" s="725">
        <v>78</v>
      </c>
      <c r="S476" s="197">
        <v>5593</v>
      </c>
      <c r="T476" s="197">
        <v>5593</v>
      </c>
      <c r="U476" s="335"/>
      <c r="V476" s="726"/>
    </row>
    <row r="477" spans="2:22" s="7" customFormat="1" ht="18" customHeight="1">
      <c r="B477" s="12"/>
      <c r="C477" s="6" t="s">
        <v>2258</v>
      </c>
      <c r="D477" s="14" t="s">
        <v>2259</v>
      </c>
      <c r="E477" s="19" t="s">
        <v>2260</v>
      </c>
      <c r="F477" s="37"/>
      <c r="G477" s="37"/>
      <c r="H477" s="108"/>
      <c r="I477" s="108"/>
      <c r="J477" s="108"/>
      <c r="K477" s="110" t="s">
        <v>5</v>
      </c>
      <c r="L477" s="139">
        <v>44316</v>
      </c>
      <c r="M477" s="33"/>
      <c r="N477" s="33">
        <v>44316</v>
      </c>
      <c r="O477" s="32">
        <v>3125</v>
      </c>
      <c r="P477" s="6"/>
      <c r="Q477" s="339"/>
      <c r="U477" s="21"/>
      <c r="V477" s="257"/>
    </row>
    <row r="478" spans="2:22" s="7" customFormat="1" ht="18" customHeight="1">
      <c r="B478" s="12"/>
      <c r="C478" s="6" t="s">
        <v>2258</v>
      </c>
      <c r="D478" s="14" t="s">
        <v>2259</v>
      </c>
      <c r="E478" s="22" t="s">
        <v>2261</v>
      </c>
      <c r="F478" s="37"/>
      <c r="G478" s="37" t="s">
        <v>2262</v>
      </c>
      <c r="H478" s="108">
        <v>13.4</v>
      </c>
      <c r="I478" s="109">
        <v>1</v>
      </c>
      <c r="J478" s="131">
        <f>H478*I478</f>
        <v>13.4</v>
      </c>
      <c r="K478" s="39">
        <v>58.77</v>
      </c>
      <c r="L478" s="139">
        <v>44316</v>
      </c>
      <c r="M478" s="33"/>
      <c r="N478" s="33">
        <v>44316</v>
      </c>
      <c r="O478" s="32">
        <v>3125</v>
      </c>
      <c r="P478" s="722"/>
      <c r="Q478" s="322">
        <v>34.57</v>
      </c>
      <c r="S478" s="7">
        <v>2800</v>
      </c>
      <c r="T478" s="7">
        <f>S478*J478</f>
        <v>37520</v>
      </c>
      <c r="U478" s="21"/>
      <c r="V478" s="257"/>
    </row>
    <row r="479" spans="2:22" s="7" customFormat="1" ht="18" customHeight="1">
      <c r="B479" s="12"/>
      <c r="C479" s="6" t="s">
        <v>2258</v>
      </c>
      <c r="D479" s="14" t="s">
        <v>2259</v>
      </c>
      <c r="E479" s="49"/>
      <c r="F479" s="37"/>
      <c r="G479" s="37" t="s">
        <v>2263</v>
      </c>
      <c r="H479" s="108"/>
      <c r="I479" s="109"/>
      <c r="J479" s="131"/>
      <c r="K479" s="39"/>
      <c r="L479" s="139">
        <v>44316</v>
      </c>
      <c r="M479" s="33"/>
      <c r="N479" s="33">
        <v>44316</v>
      </c>
      <c r="O479" s="32">
        <v>3125</v>
      </c>
      <c r="P479" s="722"/>
      <c r="Q479" s="322">
        <v>241.98</v>
      </c>
      <c r="S479" s="7">
        <v>19600</v>
      </c>
      <c r="T479" s="7">
        <v>19600</v>
      </c>
      <c r="U479" s="21"/>
      <c r="V479" s="257"/>
    </row>
    <row r="480" spans="2:22" s="7" customFormat="1" ht="18" customHeight="1">
      <c r="B480" s="12"/>
      <c r="C480" s="6" t="s">
        <v>2258</v>
      </c>
      <c r="D480" s="14" t="s">
        <v>2259</v>
      </c>
      <c r="E480" s="22" t="s">
        <v>2261</v>
      </c>
      <c r="F480" s="37"/>
      <c r="G480" s="37" t="s">
        <v>2264</v>
      </c>
      <c r="H480" s="108">
        <v>13.2</v>
      </c>
      <c r="I480" s="109">
        <v>1</v>
      </c>
      <c r="J480" s="131">
        <f>H480*I480</f>
        <v>13.2</v>
      </c>
      <c r="K480" s="39">
        <v>52.07</v>
      </c>
      <c r="L480" s="139">
        <v>44330</v>
      </c>
      <c r="M480" s="33"/>
      <c r="N480" s="33">
        <v>44330</v>
      </c>
      <c r="O480" s="32">
        <v>3155</v>
      </c>
      <c r="P480" s="722"/>
      <c r="Q480" s="322">
        <v>34.57</v>
      </c>
      <c r="S480" s="7">
        <v>2800</v>
      </c>
      <c r="T480" s="7">
        <f>S480*J480</f>
        <v>36960</v>
      </c>
      <c r="U480" s="21"/>
      <c r="V480" s="257"/>
    </row>
    <row r="481" spans="2:22" s="7" customFormat="1" ht="18" customHeight="1">
      <c r="B481" s="12"/>
      <c r="C481" s="6" t="s">
        <v>2258</v>
      </c>
      <c r="D481" s="14" t="s">
        <v>2259</v>
      </c>
      <c r="E481" s="22" t="s">
        <v>2261</v>
      </c>
      <c r="F481" s="37"/>
      <c r="G481" s="37" t="s">
        <v>2264</v>
      </c>
      <c r="H481" s="108">
        <v>13.6</v>
      </c>
      <c r="I481" s="109">
        <v>1</v>
      </c>
      <c r="J481" s="131">
        <f>H481*I481</f>
        <v>13.6</v>
      </c>
      <c r="K481" s="39">
        <v>52.07</v>
      </c>
      <c r="L481" s="139">
        <v>44330</v>
      </c>
      <c r="M481" s="33"/>
      <c r="N481" s="33">
        <v>44330</v>
      </c>
      <c r="O481" s="32">
        <v>3155</v>
      </c>
      <c r="P481" s="722"/>
      <c r="Q481" s="322">
        <v>34.57</v>
      </c>
      <c r="S481" s="7">
        <v>2800</v>
      </c>
      <c r="T481" s="7">
        <f>S481*J481</f>
        <v>38080</v>
      </c>
      <c r="U481" s="21"/>
      <c r="V481" s="257"/>
    </row>
    <row r="482" spans="2:22" s="7" customFormat="1" ht="18" customHeight="1">
      <c r="B482" s="12"/>
      <c r="C482" s="6" t="s">
        <v>2258</v>
      </c>
      <c r="D482" s="14" t="s">
        <v>2259</v>
      </c>
      <c r="E482" s="22" t="s">
        <v>2261</v>
      </c>
      <c r="F482" s="37"/>
      <c r="G482" s="37" t="s">
        <v>2265</v>
      </c>
      <c r="H482" s="108">
        <v>12.6</v>
      </c>
      <c r="I482" s="109">
        <v>1</v>
      </c>
      <c r="J482" s="131">
        <f>H482*I482</f>
        <v>12.6</v>
      </c>
      <c r="K482" s="39">
        <v>58.77</v>
      </c>
      <c r="L482" s="139">
        <v>44330</v>
      </c>
      <c r="M482" s="33"/>
      <c r="N482" s="33">
        <v>44330</v>
      </c>
      <c r="O482" s="32">
        <v>3155</v>
      </c>
      <c r="P482" s="722"/>
      <c r="Q482" s="322">
        <v>34.57</v>
      </c>
      <c r="S482" s="7">
        <v>2800</v>
      </c>
      <c r="T482" s="7">
        <f>S482*J482</f>
        <v>35280</v>
      </c>
      <c r="U482" s="21"/>
      <c r="V482" s="257"/>
    </row>
    <row r="483" spans="2:22" s="7" customFormat="1" ht="18" customHeight="1">
      <c r="B483" s="12"/>
      <c r="C483" s="6" t="s">
        <v>2258</v>
      </c>
      <c r="D483" s="14" t="s">
        <v>2259</v>
      </c>
      <c r="E483" s="49"/>
      <c r="F483" s="37"/>
      <c r="G483" s="37" t="s">
        <v>2266</v>
      </c>
      <c r="H483" s="108"/>
      <c r="I483" s="109"/>
      <c r="J483" s="131"/>
      <c r="K483" s="39"/>
      <c r="L483" s="139">
        <v>44330</v>
      </c>
      <c r="M483" s="33"/>
      <c r="N483" s="33">
        <v>44330</v>
      </c>
      <c r="O483" s="32">
        <v>3155</v>
      </c>
      <c r="P483" s="722"/>
      <c r="Q483" s="322">
        <v>320.99</v>
      </c>
      <c r="S483" s="7">
        <v>26000</v>
      </c>
      <c r="T483" s="7">
        <v>26000</v>
      </c>
      <c r="U483" s="21"/>
      <c r="V483" s="257"/>
    </row>
    <row r="484" spans="2:22" s="7" customFormat="1" ht="18" customHeight="1">
      <c r="B484" s="12"/>
      <c r="C484" s="6" t="s">
        <v>2258</v>
      </c>
      <c r="D484" s="14" t="s">
        <v>2259</v>
      </c>
      <c r="E484" s="49"/>
      <c r="F484" s="37"/>
      <c r="G484" s="37" t="s">
        <v>2267</v>
      </c>
      <c r="H484" s="108"/>
      <c r="I484" s="109"/>
      <c r="J484" s="131"/>
      <c r="K484" s="39"/>
      <c r="L484" s="139">
        <v>44330</v>
      </c>
      <c r="M484" s="33"/>
      <c r="N484" s="33">
        <v>44330</v>
      </c>
      <c r="O484" s="32">
        <v>3155</v>
      </c>
      <c r="P484" s="722"/>
      <c r="Q484" s="322">
        <v>241.98</v>
      </c>
      <c r="S484" s="7">
        <v>19600</v>
      </c>
      <c r="T484" s="7">
        <v>19600</v>
      </c>
      <c r="U484" s="21"/>
      <c r="V484" s="257"/>
    </row>
    <row r="485" spans="2:22" s="191" customFormat="1" ht="15">
      <c r="B485" s="190"/>
      <c r="C485" s="179" t="s">
        <v>2258</v>
      </c>
      <c r="D485" s="180" t="s">
        <v>2259</v>
      </c>
      <c r="E485" s="181"/>
      <c r="F485" s="622"/>
      <c r="G485" s="182" t="s">
        <v>250</v>
      </c>
      <c r="H485" s="184" t="s">
        <v>251</v>
      </c>
      <c r="I485" s="185"/>
      <c r="J485" s="183"/>
      <c r="K485" s="192">
        <v>0</v>
      </c>
      <c r="L485" s="188">
        <v>44330</v>
      </c>
      <c r="M485" s="187"/>
      <c r="N485" s="187">
        <v>44330</v>
      </c>
      <c r="O485" s="186">
        <v>3155</v>
      </c>
      <c r="P485" s="179"/>
      <c r="Q485" s="725">
        <v>0</v>
      </c>
      <c r="S485" s="212">
        <v>0</v>
      </c>
      <c r="T485" s="212">
        <v>0</v>
      </c>
      <c r="U485" s="335"/>
      <c r="V485" s="726"/>
    </row>
    <row r="486" spans="2:22" s="7" customFormat="1" ht="18" customHeight="1">
      <c r="B486" s="12"/>
      <c r="C486" s="6" t="s">
        <v>2268</v>
      </c>
      <c r="D486" s="14" t="s">
        <v>2269</v>
      </c>
      <c r="E486" s="19" t="s">
        <v>2270</v>
      </c>
      <c r="F486" s="37"/>
      <c r="G486" s="37"/>
      <c r="H486" s="108"/>
      <c r="I486" s="108"/>
      <c r="J486" s="108"/>
      <c r="K486" s="29" t="s">
        <v>5</v>
      </c>
      <c r="L486" s="139">
        <v>44334</v>
      </c>
      <c r="M486" s="33"/>
      <c r="N486" s="33">
        <v>44334</v>
      </c>
      <c r="O486" s="32">
        <v>3060</v>
      </c>
      <c r="P486" s="6"/>
      <c r="Q486" s="339"/>
      <c r="U486" s="21"/>
      <c r="V486" s="257"/>
    </row>
    <row r="487" spans="2:22" s="7" customFormat="1" ht="17.25" customHeight="1">
      <c r="B487" s="12"/>
      <c r="C487" s="6" t="s">
        <v>2268</v>
      </c>
      <c r="D487" s="14" t="s">
        <v>2269</v>
      </c>
      <c r="E487" s="22">
        <v>5636</v>
      </c>
      <c r="F487" s="37" t="s">
        <v>230</v>
      </c>
      <c r="G487" s="37" t="s">
        <v>2271</v>
      </c>
      <c r="H487" s="108">
        <v>50</v>
      </c>
      <c r="I487" s="109">
        <v>9</v>
      </c>
      <c r="J487" s="8">
        <f>H487*I487</f>
        <v>450</v>
      </c>
      <c r="K487" s="39">
        <v>0.26</v>
      </c>
      <c r="L487" s="139">
        <v>44334</v>
      </c>
      <c r="M487" s="33"/>
      <c r="N487" s="33">
        <v>44334</v>
      </c>
      <c r="O487" s="32">
        <v>3060</v>
      </c>
      <c r="P487" s="722"/>
      <c r="Q487" s="322">
        <v>0.21</v>
      </c>
      <c r="S487" s="7">
        <v>13.8</v>
      </c>
      <c r="T487" s="7">
        <f>S487*J487</f>
        <v>6210</v>
      </c>
      <c r="U487" s="778"/>
      <c r="V487" s="257"/>
    </row>
    <row r="488" spans="2:22" s="7" customFormat="1" ht="15">
      <c r="B488" s="12"/>
      <c r="C488" s="6" t="s">
        <v>2268</v>
      </c>
      <c r="D488" s="14" t="s">
        <v>2269</v>
      </c>
      <c r="E488" s="82"/>
      <c r="F488" s="102"/>
      <c r="G488" s="22" t="s">
        <v>14</v>
      </c>
      <c r="H488" s="8"/>
      <c r="I488" s="35"/>
      <c r="J488" s="38">
        <v>1</v>
      </c>
      <c r="K488" s="39">
        <v>12</v>
      </c>
      <c r="L488" s="139">
        <v>44334</v>
      </c>
      <c r="M488" s="33"/>
      <c r="N488" s="33">
        <v>44334</v>
      </c>
      <c r="O488" s="32">
        <v>3060</v>
      </c>
      <c r="P488" s="6" t="s">
        <v>3</v>
      </c>
      <c r="Q488" s="322">
        <v>12</v>
      </c>
      <c r="S488" s="7">
        <v>1100</v>
      </c>
      <c r="T488" s="7">
        <v>1100</v>
      </c>
      <c r="U488" s="21"/>
      <c r="V488" s="257"/>
    </row>
    <row r="489" spans="2:22" s="191" customFormat="1" ht="15">
      <c r="B489" s="190"/>
      <c r="C489" s="179" t="s">
        <v>2268</v>
      </c>
      <c r="D489" s="180" t="s">
        <v>2269</v>
      </c>
      <c r="E489" s="181"/>
      <c r="F489" s="622"/>
      <c r="G489" s="182" t="s">
        <v>250</v>
      </c>
      <c r="H489" s="184" t="s">
        <v>252</v>
      </c>
      <c r="I489" s="185"/>
      <c r="J489" s="183"/>
      <c r="K489" s="333">
        <v>152</v>
      </c>
      <c r="L489" s="188">
        <v>44334</v>
      </c>
      <c r="M489" s="187"/>
      <c r="N489" s="187">
        <v>44334</v>
      </c>
      <c r="O489" s="186">
        <v>3060</v>
      </c>
      <c r="P489" s="179"/>
      <c r="Q489" s="725">
        <v>140</v>
      </c>
      <c r="S489" s="212">
        <v>13815</v>
      </c>
      <c r="T489" s="212">
        <v>13815</v>
      </c>
      <c r="U489" s="335"/>
      <c r="V489" s="726"/>
    </row>
    <row r="490" spans="2:22" s="7" customFormat="1" ht="18.600000000000001" customHeight="1">
      <c r="B490" s="12"/>
      <c r="C490" s="6" t="s">
        <v>2272</v>
      </c>
      <c r="D490" s="14" t="s">
        <v>2273</v>
      </c>
      <c r="E490" s="19" t="s">
        <v>228</v>
      </c>
      <c r="F490" s="22"/>
      <c r="G490" s="37"/>
      <c r="H490" s="108"/>
      <c r="I490" s="108"/>
      <c r="J490" s="108"/>
      <c r="K490" s="110" t="s">
        <v>5</v>
      </c>
      <c r="L490" s="139">
        <v>44301</v>
      </c>
      <c r="M490" s="33"/>
      <c r="N490" s="33">
        <v>44301</v>
      </c>
      <c r="O490" s="32">
        <v>3064</v>
      </c>
      <c r="P490" s="6"/>
      <c r="Q490" s="779"/>
      <c r="U490" s="772" t="s">
        <v>265</v>
      </c>
      <c r="V490" s="257"/>
    </row>
    <row r="491" spans="2:22" s="7" customFormat="1" ht="15.95" customHeight="1">
      <c r="B491" s="12"/>
      <c r="C491" s="6" t="s">
        <v>2272</v>
      </c>
      <c r="D491" s="14" t="s">
        <v>2273</v>
      </c>
      <c r="E491" s="22" t="s">
        <v>2274</v>
      </c>
      <c r="F491" s="37"/>
      <c r="G491" s="37" t="s">
        <v>100</v>
      </c>
      <c r="H491" s="60">
        <v>14</v>
      </c>
      <c r="I491" s="61">
        <v>1</v>
      </c>
      <c r="J491" s="60">
        <v>14</v>
      </c>
      <c r="K491" s="39">
        <v>2.73</v>
      </c>
      <c r="L491" s="139">
        <v>44301</v>
      </c>
      <c r="M491" s="33"/>
      <c r="N491" s="33">
        <v>44301</v>
      </c>
      <c r="O491" s="32">
        <v>3064</v>
      </c>
      <c r="P491" s="39" t="e">
        <f>ROUNDUP(#REF!/0.75/90,2)</f>
        <v>#REF!</v>
      </c>
      <c r="Q491" s="322">
        <v>2.1800000000000002</v>
      </c>
      <c r="S491" s="7">
        <v>112</v>
      </c>
      <c r="T491" s="7">
        <f>S491*J491</f>
        <v>1568</v>
      </c>
      <c r="U491" s="81">
        <f>112+35</f>
        <v>147</v>
      </c>
      <c r="V491" s="257"/>
    </row>
    <row r="492" spans="2:22" s="143" customFormat="1" ht="15">
      <c r="B492" s="276"/>
      <c r="C492" s="6" t="s">
        <v>2272</v>
      </c>
      <c r="D492" s="14" t="s">
        <v>2273</v>
      </c>
      <c r="E492" s="49"/>
      <c r="F492" s="24"/>
      <c r="G492" s="22" t="s">
        <v>14</v>
      </c>
      <c r="H492" s="38"/>
      <c r="I492" s="35"/>
      <c r="J492" s="38">
        <v>1</v>
      </c>
      <c r="K492" s="39">
        <v>12</v>
      </c>
      <c r="L492" s="139">
        <v>44301</v>
      </c>
      <c r="M492" s="33"/>
      <c r="N492" s="33">
        <v>44301</v>
      </c>
      <c r="O492" s="32">
        <v>3064</v>
      </c>
      <c r="P492" s="142"/>
      <c r="Q492" s="322">
        <v>12</v>
      </c>
      <c r="S492" s="7">
        <v>900</v>
      </c>
      <c r="T492" s="7">
        <v>900</v>
      </c>
      <c r="U492" s="746"/>
      <c r="V492" s="258"/>
    </row>
    <row r="493" spans="2:22" s="191" customFormat="1" ht="15">
      <c r="B493" s="190"/>
      <c r="C493" s="179" t="s">
        <v>2272</v>
      </c>
      <c r="D493" s="180" t="s">
        <v>2273</v>
      </c>
      <c r="E493" s="181"/>
      <c r="F493" s="182"/>
      <c r="G493" s="182" t="s">
        <v>250</v>
      </c>
      <c r="H493" s="184" t="s">
        <v>251</v>
      </c>
      <c r="I493" s="185"/>
      <c r="J493" s="183"/>
      <c r="K493" s="192">
        <v>0</v>
      </c>
      <c r="L493" s="188">
        <v>44301</v>
      </c>
      <c r="M493" s="187"/>
      <c r="N493" s="187">
        <v>44301</v>
      </c>
      <c r="O493" s="186">
        <v>3064</v>
      </c>
      <c r="P493" s="179"/>
      <c r="Q493" s="725">
        <v>0</v>
      </c>
      <c r="S493" s="189">
        <v>0</v>
      </c>
      <c r="T493" s="190">
        <v>0</v>
      </c>
      <c r="U493" s="335"/>
      <c r="V493" s="726"/>
    </row>
    <row r="494" spans="2:22" s="7" customFormat="1" ht="18" customHeight="1">
      <c r="B494" s="12"/>
      <c r="C494" s="6" t="s">
        <v>2275</v>
      </c>
      <c r="D494" s="14" t="s">
        <v>2276</v>
      </c>
      <c r="E494" s="19" t="s">
        <v>2277</v>
      </c>
      <c r="F494" s="37"/>
      <c r="G494" s="37"/>
      <c r="H494" s="108"/>
      <c r="I494" s="108"/>
      <c r="J494" s="108"/>
      <c r="K494" s="110" t="s">
        <v>5</v>
      </c>
      <c r="L494" s="139">
        <v>44307</v>
      </c>
      <c r="M494" s="33"/>
      <c r="N494" s="33">
        <v>44307</v>
      </c>
      <c r="O494" s="32">
        <v>3085</v>
      </c>
      <c r="P494" s="6"/>
      <c r="Q494" s="339"/>
      <c r="U494" s="21"/>
      <c r="V494" s="257"/>
    </row>
    <row r="495" spans="2:22" s="7" customFormat="1" ht="18" customHeight="1">
      <c r="B495" s="12"/>
      <c r="C495" s="6" t="s">
        <v>2275</v>
      </c>
      <c r="D495" s="14" t="s">
        <v>2276</v>
      </c>
      <c r="E495" s="22" t="s">
        <v>2278</v>
      </c>
      <c r="F495" s="37"/>
      <c r="G495" s="37" t="s">
        <v>100</v>
      </c>
      <c r="H495" s="8">
        <v>9</v>
      </c>
      <c r="I495" s="8">
        <v>9</v>
      </c>
      <c r="J495" s="8">
        <v>9</v>
      </c>
      <c r="K495" s="39">
        <v>15.28</v>
      </c>
      <c r="L495" s="139">
        <v>44307</v>
      </c>
      <c r="M495" s="33"/>
      <c r="N495" s="33">
        <v>44307</v>
      </c>
      <c r="O495" s="32">
        <v>3085</v>
      </c>
      <c r="P495" s="39"/>
      <c r="Q495" s="322">
        <v>13.58</v>
      </c>
      <c r="S495" s="7">
        <v>1100</v>
      </c>
      <c r="T495" s="7">
        <f>S495*J495</f>
        <v>9900</v>
      </c>
      <c r="U495" s="21"/>
      <c r="V495" s="257"/>
    </row>
    <row r="496" spans="2:22" s="7" customFormat="1" ht="18" customHeight="1">
      <c r="B496" s="12"/>
      <c r="C496" s="6" t="s">
        <v>2275</v>
      </c>
      <c r="D496" s="14" t="s">
        <v>2276</v>
      </c>
      <c r="E496" s="22" t="s">
        <v>2279</v>
      </c>
      <c r="F496" s="37"/>
      <c r="G496" s="37" t="s">
        <v>100</v>
      </c>
      <c r="H496" s="60">
        <v>14</v>
      </c>
      <c r="I496" s="61">
        <v>1</v>
      </c>
      <c r="J496" s="60">
        <v>14</v>
      </c>
      <c r="K496" s="39">
        <v>2.87</v>
      </c>
      <c r="L496" s="139">
        <v>44307</v>
      </c>
      <c r="M496" s="33"/>
      <c r="N496" s="33">
        <v>44307</v>
      </c>
      <c r="O496" s="32">
        <v>3085</v>
      </c>
      <c r="P496" s="39"/>
      <c r="Q496" s="322">
        <v>2.2999999999999998</v>
      </c>
      <c r="S496" s="7">
        <v>155</v>
      </c>
      <c r="T496" s="7">
        <f>S496*J496</f>
        <v>2170</v>
      </c>
      <c r="U496" s="21"/>
      <c r="V496" s="257"/>
    </row>
    <row r="497" spans="2:22" s="7" customFormat="1" ht="18" customHeight="1">
      <c r="B497" s="12"/>
      <c r="C497" s="6" t="s">
        <v>2275</v>
      </c>
      <c r="D497" s="14" t="s">
        <v>2276</v>
      </c>
      <c r="E497" s="19" t="s">
        <v>352</v>
      </c>
      <c r="F497" s="107"/>
      <c r="G497" s="22"/>
      <c r="H497" s="108"/>
      <c r="I497" s="109"/>
      <c r="J497" s="108"/>
      <c r="K497" s="110" t="s">
        <v>5</v>
      </c>
      <c r="L497" s="139">
        <v>44307</v>
      </c>
      <c r="M497" s="33"/>
      <c r="N497" s="33">
        <v>44307</v>
      </c>
      <c r="O497" s="32">
        <v>3085</v>
      </c>
      <c r="P497" s="14"/>
      <c r="Q497" s="322"/>
      <c r="U497" s="14"/>
      <c r="V497" s="257"/>
    </row>
    <row r="498" spans="2:22" s="7" customFormat="1" ht="18" customHeight="1">
      <c r="B498" s="12"/>
      <c r="C498" s="6" t="s">
        <v>2275</v>
      </c>
      <c r="D498" s="14" t="s">
        <v>2276</v>
      </c>
      <c r="E498" s="22">
        <v>5540</v>
      </c>
      <c r="F498" s="107">
        <v>152</v>
      </c>
      <c r="G498" s="22" t="s">
        <v>218</v>
      </c>
      <c r="H498" s="108">
        <v>17</v>
      </c>
      <c r="I498" s="109">
        <v>1</v>
      </c>
      <c r="J498" s="8">
        <f>H498*I498</f>
        <v>17</v>
      </c>
      <c r="K498" s="39">
        <v>8.6199999999999992</v>
      </c>
      <c r="L498" s="139">
        <v>44307</v>
      </c>
      <c r="M498" s="33"/>
      <c r="N498" s="33">
        <v>44307</v>
      </c>
      <c r="O498" s="32">
        <v>3085</v>
      </c>
      <c r="P498" s="6"/>
      <c r="Q498" s="322">
        <v>7.66</v>
      </c>
      <c r="S498" s="7">
        <v>620</v>
      </c>
      <c r="T498" s="7">
        <f>S498*J498</f>
        <v>10540</v>
      </c>
      <c r="U498" s="21"/>
      <c r="V498" s="257"/>
    </row>
    <row r="499" spans="2:22" s="7" customFormat="1" ht="15">
      <c r="B499" s="12"/>
      <c r="C499" s="6" t="s">
        <v>2275</v>
      </c>
      <c r="D499" s="14" t="s">
        <v>2276</v>
      </c>
      <c r="E499" s="49"/>
      <c r="F499" s="102"/>
      <c r="G499" s="22" t="s">
        <v>14</v>
      </c>
      <c r="H499" s="38"/>
      <c r="I499" s="35"/>
      <c r="J499" s="38">
        <v>3</v>
      </c>
      <c r="K499" s="39">
        <v>44</v>
      </c>
      <c r="L499" s="139">
        <v>44307</v>
      </c>
      <c r="M499" s="33"/>
      <c r="N499" s="33">
        <v>44307</v>
      </c>
      <c r="O499" s="32">
        <v>3085</v>
      </c>
      <c r="P499" s="6"/>
      <c r="Q499" s="322">
        <v>44</v>
      </c>
      <c r="S499" s="7">
        <f>1000+900+1000</f>
        <v>2900</v>
      </c>
      <c r="T499" s="7">
        <f>1000+900+1000</f>
        <v>2900</v>
      </c>
      <c r="U499" s="21"/>
      <c r="V499" s="257"/>
    </row>
    <row r="500" spans="2:22" s="191" customFormat="1" ht="15">
      <c r="B500" s="190"/>
      <c r="C500" s="179" t="s">
        <v>2275</v>
      </c>
      <c r="D500" s="180" t="s">
        <v>2276</v>
      </c>
      <c r="E500" s="181"/>
      <c r="F500" s="622"/>
      <c r="G500" s="182" t="s">
        <v>250</v>
      </c>
      <c r="H500" s="184" t="s">
        <v>252</v>
      </c>
      <c r="I500" s="185"/>
      <c r="J500" s="183"/>
      <c r="K500" s="333">
        <v>123.46</v>
      </c>
      <c r="L500" s="188">
        <v>44307</v>
      </c>
      <c r="M500" s="187"/>
      <c r="N500" s="187">
        <v>44307</v>
      </c>
      <c r="O500" s="186">
        <v>3085</v>
      </c>
      <c r="P500" s="179"/>
      <c r="Q500" s="725">
        <v>79.459999999999994</v>
      </c>
      <c r="S500" s="212">
        <v>7151</v>
      </c>
      <c r="T500" s="212">
        <v>7151</v>
      </c>
      <c r="U500" s="335"/>
      <c r="V500" s="726"/>
    </row>
    <row r="501" spans="2:22" s="7" customFormat="1" ht="15">
      <c r="B501" s="12"/>
      <c r="C501" s="6" t="s">
        <v>2280</v>
      </c>
      <c r="D501" s="14" t="s">
        <v>2227</v>
      </c>
      <c r="E501" s="19" t="s">
        <v>200</v>
      </c>
      <c r="F501" s="24"/>
      <c r="G501" s="22"/>
      <c r="H501" s="60"/>
      <c r="I501" s="61"/>
      <c r="J501" s="60"/>
      <c r="K501" s="16" t="s">
        <v>101</v>
      </c>
      <c r="L501" s="139">
        <v>44305</v>
      </c>
      <c r="M501" s="33"/>
      <c r="N501" s="33">
        <v>44305</v>
      </c>
      <c r="O501" s="32">
        <v>3076</v>
      </c>
      <c r="P501" s="123" t="s">
        <v>8</v>
      </c>
      <c r="Q501" s="775"/>
      <c r="U501" s="229"/>
      <c r="V501" s="257"/>
    </row>
    <row r="502" spans="2:22" s="7" customFormat="1" ht="18" customHeight="1">
      <c r="B502" s="12"/>
      <c r="C502" s="6" t="s">
        <v>2280</v>
      </c>
      <c r="D502" s="14" t="s">
        <v>2227</v>
      </c>
      <c r="E502" s="22">
        <v>5291</v>
      </c>
      <c r="F502" s="24">
        <v>10</v>
      </c>
      <c r="G502" s="22" t="s">
        <v>317</v>
      </c>
      <c r="H502" s="60">
        <v>20</v>
      </c>
      <c r="I502" s="61">
        <v>1</v>
      </c>
      <c r="J502" s="60">
        <v>20</v>
      </c>
      <c r="K502" s="39">
        <v>0.65</v>
      </c>
      <c r="L502" s="139">
        <v>44305</v>
      </c>
      <c r="M502" s="33"/>
      <c r="N502" s="33">
        <v>44305</v>
      </c>
      <c r="O502" s="32">
        <v>3076</v>
      </c>
      <c r="P502" s="123"/>
      <c r="Q502" s="701">
        <v>0.52</v>
      </c>
      <c r="S502" s="7">
        <v>31.5</v>
      </c>
      <c r="T502" s="92">
        <v>630</v>
      </c>
      <c r="U502" s="776" t="s">
        <v>2228</v>
      </c>
      <c r="V502" s="257"/>
    </row>
    <row r="503" spans="2:22" s="7" customFormat="1" ht="18" customHeight="1">
      <c r="B503" s="12"/>
      <c r="C503" s="6" t="s">
        <v>2280</v>
      </c>
      <c r="D503" s="14" t="s">
        <v>2227</v>
      </c>
      <c r="E503" s="22">
        <v>5291</v>
      </c>
      <c r="F503" s="24">
        <v>10</v>
      </c>
      <c r="G503" s="22" t="s">
        <v>2281</v>
      </c>
      <c r="H503" s="60">
        <v>20</v>
      </c>
      <c r="I503" s="61">
        <v>1</v>
      </c>
      <c r="J503" s="60">
        <f>H503*I503</f>
        <v>20</v>
      </c>
      <c r="K503" s="39">
        <v>0.65</v>
      </c>
      <c r="L503" s="139">
        <v>44305</v>
      </c>
      <c r="M503" s="33"/>
      <c r="N503" s="33">
        <v>44305</v>
      </c>
      <c r="O503" s="32">
        <v>3076</v>
      </c>
      <c r="P503" s="123"/>
      <c r="Q503" s="701">
        <v>0.52</v>
      </c>
      <c r="S503" s="7">
        <v>35</v>
      </c>
      <c r="T503" s="92">
        <f>J503*S503</f>
        <v>700</v>
      </c>
      <c r="U503" s="777"/>
      <c r="V503" s="257"/>
    </row>
    <row r="504" spans="2:22" s="7" customFormat="1" ht="18" customHeight="1">
      <c r="B504" s="12"/>
      <c r="C504" s="6" t="s">
        <v>2280</v>
      </c>
      <c r="D504" s="14" t="s">
        <v>2227</v>
      </c>
      <c r="E504" s="22">
        <v>5291</v>
      </c>
      <c r="F504" s="24">
        <v>10</v>
      </c>
      <c r="G504" s="22" t="s">
        <v>161</v>
      </c>
      <c r="H504" s="60">
        <v>20</v>
      </c>
      <c r="I504" s="61">
        <v>1</v>
      </c>
      <c r="J504" s="60">
        <f>H504*I504</f>
        <v>20</v>
      </c>
      <c r="K504" s="39">
        <v>0.65</v>
      </c>
      <c r="L504" s="139">
        <v>44305</v>
      </c>
      <c r="M504" s="33"/>
      <c r="N504" s="33">
        <v>44305</v>
      </c>
      <c r="O504" s="32">
        <v>3076</v>
      </c>
      <c r="P504" s="123"/>
      <c r="Q504" s="701">
        <v>0.52</v>
      </c>
      <c r="S504" s="7">
        <v>35</v>
      </c>
      <c r="T504" s="92">
        <f>J504*S504</f>
        <v>700</v>
      </c>
      <c r="U504" s="777"/>
      <c r="V504" s="257"/>
    </row>
    <row r="505" spans="2:22" s="7" customFormat="1" ht="18" customHeight="1">
      <c r="B505" s="12"/>
      <c r="C505" s="6" t="s">
        <v>2282</v>
      </c>
      <c r="D505" s="14" t="s">
        <v>2227</v>
      </c>
      <c r="E505" s="22">
        <v>5291</v>
      </c>
      <c r="F505" s="24">
        <v>10</v>
      </c>
      <c r="G505" s="22" t="s">
        <v>317</v>
      </c>
      <c r="H505" s="60">
        <v>20</v>
      </c>
      <c r="I505" s="61">
        <v>1</v>
      </c>
      <c r="J505" s="60">
        <v>20</v>
      </c>
      <c r="K505" s="39">
        <v>0.65</v>
      </c>
      <c r="L505" s="139">
        <v>44305</v>
      </c>
      <c r="M505" s="33"/>
      <c r="N505" s="33">
        <v>44305</v>
      </c>
      <c r="O505" s="32">
        <v>3077</v>
      </c>
      <c r="P505" s="123"/>
      <c r="Q505" s="701">
        <v>0.52</v>
      </c>
      <c r="S505" s="7">
        <v>31.5</v>
      </c>
      <c r="T505" s="92">
        <f>J505*S505</f>
        <v>630</v>
      </c>
      <c r="U505" s="776" t="s">
        <v>2228</v>
      </c>
      <c r="V505" s="257"/>
    </row>
    <row r="506" spans="2:22" s="7" customFormat="1" ht="18" customHeight="1">
      <c r="B506" s="12"/>
      <c r="C506" s="6" t="s">
        <v>2282</v>
      </c>
      <c r="D506" s="14" t="s">
        <v>2227</v>
      </c>
      <c r="E506" s="22">
        <v>5291</v>
      </c>
      <c r="F506" s="24">
        <v>10</v>
      </c>
      <c r="G506" s="22" t="s">
        <v>161</v>
      </c>
      <c r="H506" s="60">
        <v>20</v>
      </c>
      <c r="I506" s="61">
        <v>1</v>
      </c>
      <c r="J506" s="60">
        <v>20</v>
      </c>
      <c r="K506" s="39">
        <v>0.65</v>
      </c>
      <c r="L506" s="139">
        <v>44305</v>
      </c>
      <c r="M506" s="33"/>
      <c r="N506" s="33">
        <v>44305</v>
      </c>
      <c r="O506" s="32">
        <v>3077</v>
      </c>
      <c r="P506" s="123"/>
      <c r="Q506" s="701">
        <v>0.52</v>
      </c>
      <c r="S506" s="7">
        <v>35</v>
      </c>
      <c r="T506" s="92">
        <f>J506*S506</f>
        <v>700</v>
      </c>
      <c r="U506" s="777"/>
      <c r="V506" s="257"/>
    </row>
    <row r="507" spans="2:22" s="7" customFormat="1" ht="18" customHeight="1">
      <c r="B507" s="12"/>
      <c r="C507" s="6" t="s">
        <v>2282</v>
      </c>
      <c r="D507" s="14" t="s">
        <v>2227</v>
      </c>
      <c r="E507" s="22"/>
      <c r="F507" s="102"/>
      <c r="G507" s="22" t="s">
        <v>14</v>
      </c>
      <c r="H507" s="8"/>
      <c r="I507" s="35"/>
      <c r="J507" s="38">
        <v>1</v>
      </c>
      <c r="K507" s="39">
        <v>12</v>
      </c>
      <c r="L507" s="139">
        <v>44305</v>
      </c>
      <c r="M507" s="33"/>
      <c r="N507" s="33">
        <v>44305</v>
      </c>
      <c r="O507" s="32">
        <v>3077</v>
      </c>
      <c r="P507" s="6"/>
      <c r="Q507" s="322">
        <v>12</v>
      </c>
      <c r="S507" s="7">
        <v>850</v>
      </c>
      <c r="T507" s="92">
        <f>J507*S507</f>
        <v>850</v>
      </c>
      <c r="U507" s="21"/>
      <c r="V507" s="257"/>
    </row>
    <row r="508" spans="2:22" s="191" customFormat="1" ht="15">
      <c r="B508" s="190"/>
      <c r="C508" s="179" t="s">
        <v>2282</v>
      </c>
      <c r="D508" s="180" t="s">
        <v>2227</v>
      </c>
      <c r="E508" s="217"/>
      <c r="F508" s="182"/>
      <c r="G508" s="182" t="s">
        <v>250</v>
      </c>
      <c r="H508" s="184" t="s">
        <v>251</v>
      </c>
      <c r="I508" s="185"/>
      <c r="J508" s="183"/>
      <c r="K508" s="192">
        <v>0</v>
      </c>
      <c r="L508" s="188">
        <v>44305</v>
      </c>
      <c r="M508" s="187"/>
      <c r="N508" s="187">
        <v>44305</v>
      </c>
      <c r="O508" s="186">
        <v>3077</v>
      </c>
      <c r="P508" s="179"/>
      <c r="Q508" s="725">
        <v>0</v>
      </c>
      <c r="S508" s="197">
        <v>0</v>
      </c>
      <c r="T508" s="198">
        <v>0</v>
      </c>
      <c r="U508" s="335"/>
      <c r="V508" s="726"/>
    </row>
    <row r="509" spans="2:22" s="7" customFormat="1" ht="18" customHeight="1">
      <c r="B509" s="12"/>
      <c r="C509" s="6" t="s">
        <v>2283</v>
      </c>
      <c r="D509" s="14" t="s">
        <v>2004</v>
      </c>
      <c r="E509" s="19" t="s">
        <v>2284</v>
      </c>
      <c r="F509" s="37"/>
      <c r="G509" s="37"/>
      <c r="H509" s="108"/>
      <c r="I509" s="108"/>
      <c r="J509" s="108"/>
      <c r="K509" s="29" t="s">
        <v>5</v>
      </c>
      <c r="L509" s="139">
        <v>44306</v>
      </c>
      <c r="M509" s="33"/>
      <c r="N509" s="33">
        <v>44306</v>
      </c>
      <c r="O509" s="32">
        <v>3081</v>
      </c>
      <c r="P509" s="6"/>
      <c r="Q509" s="339"/>
      <c r="U509" s="21"/>
      <c r="V509" s="257"/>
    </row>
    <row r="510" spans="2:22" s="7" customFormat="1" ht="17.25" customHeight="1">
      <c r="B510" s="12"/>
      <c r="C510" s="6" t="s">
        <v>2283</v>
      </c>
      <c r="D510" s="14" t="s">
        <v>2004</v>
      </c>
      <c r="E510" s="22">
        <v>5634</v>
      </c>
      <c r="F510" s="37" t="s">
        <v>230</v>
      </c>
      <c r="G510" s="37" t="s">
        <v>283</v>
      </c>
      <c r="H510" s="108">
        <v>50</v>
      </c>
      <c r="I510" s="109">
        <v>1</v>
      </c>
      <c r="J510" s="8">
        <f>H510*I510</f>
        <v>50</v>
      </c>
      <c r="K510" s="39">
        <v>0.36</v>
      </c>
      <c r="L510" s="139">
        <v>44306</v>
      </c>
      <c r="M510" s="33"/>
      <c r="N510" s="33">
        <v>44306</v>
      </c>
      <c r="O510" s="32">
        <v>3081</v>
      </c>
      <c r="P510" s="39">
        <f>ROUNDUP(S510/0.75/90,2)</f>
        <v>0.29000000000000004</v>
      </c>
      <c r="Q510" s="322">
        <v>0.28999999999999998</v>
      </c>
      <c r="S510" s="7">
        <v>19.100000000000001</v>
      </c>
      <c r="T510" s="92">
        <f>J510*S510</f>
        <v>955.00000000000011</v>
      </c>
      <c r="U510" s="778"/>
      <c r="V510" s="257"/>
    </row>
    <row r="511" spans="2:22" s="7" customFormat="1" ht="17.25" customHeight="1">
      <c r="B511" s="12"/>
      <c r="C511" s="6" t="s">
        <v>2283</v>
      </c>
      <c r="D511" s="14" t="s">
        <v>2004</v>
      </c>
      <c r="E511" s="22">
        <v>5634</v>
      </c>
      <c r="F511" s="37" t="s">
        <v>230</v>
      </c>
      <c r="G511" s="37" t="s">
        <v>2285</v>
      </c>
      <c r="H511" s="108">
        <v>50</v>
      </c>
      <c r="I511" s="109">
        <v>1</v>
      </c>
      <c r="J511" s="8">
        <f>H511*I511</f>
        <v>50</v>
      </c>
      <c r="K511" s="39">
        <v>0.36</v>
      </c>
      <c r="L511" s="139">
        <v>44306</v>
      </c>
      <c r="M511" s="33"/>
      <c r="N511" s="33">
        <v>44306</v>
      </c>
      <c r="O511" s="32">
        <v>3081</v>
      </c>
      <c r="P511" s="39">
        <f>ROUNDUP(S511/0.75/90,2)</f>
        <v>0.29000000000000004</v>
      </c>
      <c r="Q511" s="322">
        <v>0.28999999999999998</v>
      </c>
      <c r="S511" s="7">
        <v>19.100000000000001</v>
      </c>
      <c r="T511" s="92">
        <f>J511*S511</f>
        <v>955.00000000000011</v>
      </c>
      <c r="U511" s="778"/>
      <c r="V511" s="257"/>
    </row>
    <row r="512" spans="2:22" s="7" customFormat="1" ht="17.25" customHeight="1">
      <c r="B512" s="12"/>
      <c r="C512" s="6" t="s">
        <v>2283</v>
      </c>
      <c r="D512" s="14" t="s">
        <v>2004</v>
      </c>
      <c r="E512" s="22">
        <v>5634</v>
      </c>
      <c r="F512" s="37" t="s">
        <v>230</v>
      </c>
      <c r="G512" s="37" t="s">
        <v>2286</v>
      </c>
      <c r="H512" s="108">
        <v>50</v>
      </c>
      <c r="I512" s="109">
        <v>1</v>
      </c>
      <c r="J512" s="8">
        <f>H512*I512</f>
        <v>50</v>
      </c>
      <c r="K512" s="39">
        <v>0.36</v>
      </c>
      <c r="L512" s="139">
        <v>44306</v>
      </c>
      <c r="M512" s="33"/>
      <c r="N512" s="33">
        <v>44306</v>
      </c>
      <c r="O512" s="32">
        <v>3081</v>
      </c>
      <c r="P512" s="39">
        <f>ROUNDUP(S512/0.75/90,2)</f>
        <v>0.29000000000000004</v>
      </c>
      <c r="Q512" s="322">
        <v>0.28999999999999998</v>
      </c>
      <c r="S512" s="7">
        <v>19.100000000000001</v>
      </c>
      <c r="T512" s="92">
        <f>J512*S512</f>
        <v>955.00000000000011</v>
      </c>
      <c r="U512" s="778"/>
      <c r="V512" s="257"/>
    </row>
    <row r="513" spans="2:22" s="7" customFormat="1" ht="18" customHeight="1">
      <c r="B513" s="12"/>
      <c r="C513" s="6" t="s">
        <v>2283</v>
      </c>
      <c r="D513" s="14" t="s">
        <v>2004</v>
      </c>
      <c r="E513" s="22"/>
      <c r="F513" s="102"/>
      <c r="G513" s="22" t="s">
        <v>14</v>
      </c>
      <c r="H513" s="8"/>
      <c r="I513" s="35"/>
      <c r="J513" s="38">
        <v>1</v>
      </c>
      <c r="K513" s="39">
        <v>12</v>
      </c>
      <c r="L513" s="139">
        <v>44306</v>
      </c>
      <c r="M513" s="33"/>
      <c r="N513" s="33">
        <v>44306</v>
      </c>
      <c r="O513" s="32">
        <v>3081</v>
      </c>
      <c r="P513" s="6"/>
      <c r="Q513" s="322">
        <v>12</v>
      </c>
      <c r="S513" s="7">
        <v>1100</v>
      </c>
      <c r="T513" s="92">
        <f>J513*S513</f>
        <v>1100</v>
      </c>
      <c r="U513" s="21"/>
      <c r="V513" s="257"/>
    </row>
    <row r="514" spans="2:22" s="191" customFormat="1" ht="15">
      <c r="B514" s="190"/>
      <c r="C514" s="179" t="s">
        <v>2283</v>
      </c>
      <c r="D514" s="180" t="s">
        <v>2004</v>
      </c>
      <c r="E514" s="217"/>
      <c r="F514" s="182"/>
      <c r="G514" s="182" t="s">
        <v>250</v>
      </c>
      <c r="H514" s="184" t="s">
        <v>251</v>
      </c>
      <c r="I514" s="185"/>
      <c r="J514" s="183"/>
      <c r="K514" s="192">
        <v>0</v>
      </c>
      <c r="L514" s="188">
        <v>44306</v>
      </c>
      <c r="M514" s="187"/>
      <c r="N514" s="187">
        <v>44306</v>
      </c>
      <c r="O514" s="186">
        <v>3081</v>
      </c>
      <c r="P514" s="179"/>
      <c r="Q514" s="725">
        <v>0</v>
      </c>
      <c r="S514" s="197">
        <v>0</v>
      </c>
      <c r="T514" s="198">
        <v>0</v>
      </c>
      <c r="U514" s="335"/>
      <c r="V514" s="726"/>
    </row>
    <row r="515" spans="2:22" s="7" customFormat="1" ht="18" customHeight="1">
      <c r="B515" s="12"/>
      <c r="C515" s="6" t="s">
        <v>2287</v>
      </c>
      <c r="D515" s="14" t="s">
        <v>2211</v>
      </c>
      <c r="E515" s="19" t="s">
        <v>1950</v>
      </c>
      <c r="F515" s="37"/>
      <c r="G515" s="37"/>
      <c r="H515" s="108"/>
      <c r="I515" s="108"/>
      <c r="J515" s="108"/>
      <c r="K515" s="29" t="s">
        <v>5</v>
      </c>
      <c r="L515" s="139">
        <v>44323</v>
      </c>
      <c r="M515" s="33"/>
      <c r="N515" s="33">
        <v>44323</v>
      </c>
      <c r="O515" s="32">
        <v>3080</v>
      </c>
      <c r="P515" s="6"/>
      <c r="Q515" s="339"/>
      <c r="U515" s="21"/>
      <c r="V515" s="257"/>
    </row>
    <row r="516" spans="2:22" s="7" customFormat="1" ht="17.25" customHeight="1">
      <c r="B516" s="12"/>
      <c r="C516" s="6" t="s">
        <v>2287</v>
      </c>
      <c r="D516" s="14" t="s">
        <v>2211</v>
      </c>
      <c r="E516" s="22">
        <v>3808</v>
      </c>
      <c r="F516" s="37">
        <v>9</v>
      </c>
      <c r="G516" s="37" t="s">
        <v>1952</v>
      </c>
      <c r="H516" s="108">
        <v>50</v>
      </c>
      <c r="I516" s="109">
        <v>2</v>
      </c>
      <c r="J516" s="8">
        <f>H516*I516</f>
        <v>100</v>
      </c>
      <c r="K516" s="39">
        <v>0.56999999999999995</v>
      </c>
      <c r="L516" s="139">
        <v>44323</v>
      </c>
      <c r="M516" s="33"/>
      <c r="N516" s="33">
        <v>44323</v>
      </c>
      <c r="O516" s="32">
        <v>3080</v>
      </c>
      <c r="P516" s="722"/>
      <c r="Q516" s="322">
        <v>0.27</v>
      </c>
      <c r="S516" s="7">
        <v>18</v>
      </c>
      <c r="T516" s="7">
        <f>S516*J516</f>
        <v>1800</v>
      </c>
      <c r="U516" s="21"/>
      <c r="V516" s="257"/>
    </row>
    <row r="517" spans="2:22" s="7" customFormat="1" ht="17.25" customHeight="1">
      <c r="B517" s="12"/>
      <c r="C517" s="6" t="s">
        <v>2287</v>
      </c>
      <c r="D517" s="14" t="s">
        <v>2211</v>
      </c>
      <c r="E517" s="22">
        <v>3808</v>
      </c>
      <c r="F517" s="37">
        <v>9</v>
      </c>
      <c r="G517" s="37" t="s">
        <v>2288</v>
      </c>
      <c r="H517" s="108">
        <v>50</v>
      </c>
      <c r="I517" s="109">
        <v>3</v>
      </c>
      <c r="J517" s="8">
        <f>H517*I517</f>
        <v>150</v>
      </c>
      <c r="K517" s="39">
        <v>0.56999999999999995</v>
      </c>
      <c r="L517" s="139">
        <v>44323</v>
      </c>
      <c r="M517" s="33"/>
      <c r="N517" s="33">
        <v>44323</v>
      </c>
      <c r="O517" s="32">
        <v>3080</v>
      </c>
      <c r="P517" s="722"/>
      <c r="Q517" s="322">
        <v>0.27</v>
      </c>
      <c r="S517" s="7">
        <v>18</v>
      </c>
      <c r="T517" s="7">
        <f>S517*J517</f>
        <v>2700</v>
      </c>
      <c r="U517" s="21"/>
      <c r="V517" s="257"/>
    </row>
    <row r="518" spans="2:22" customFormat="1" ht="18" customHeight="1">
      <c r="B518" s="26"/>
      <c r="C518" s="6" t="s">
        <v>2287</v>
      </c>
      <c r="D518" s="14" t="s">
        <v>2211</v>
      </c>
      <c r="E518" s="723"/>
      <c r="F518" s="64"/>
      <c r="G518" s="37" t="s">
        <v>14</v>
      </c>
      <c r="H518" s="8"/>
      <c r="I518" s="8"/>
      <c r="J518" s="38">
        <v>1</v>
      </c>
      <c r="K518" s="39">
        <v>12</v>
      </c>
      <c r="L518" s="139">
        <v>44323</v>
      </c>
      <c r="M518" s="33"/>
      <c r="N518" s="33">
        <v>44323</v>
      </c>
      <c r="O518" s="32">
        <v>3080</v>
      </c>
      <c r="P518" s="4"/>
      <c r="Q518" s="724">
        <v>12</v>
      </c>
      <c r="R518" s="1"/>
      <c r="S518" s="7">
        <v>1000</v>
      </c>
      <c r="T518" s="7">
        <f>S518*J518</f>
        <v>1000</v>
      </c>
      <c r="U518" s="34"/>
      <c r="V518" s="256"/>
    </row>
    <row r="519" spans="2:22" s="7" customFormat="1" ht="18" customHeight="1">
      <c r="B519" s="12"/>
      <c r="C519" s="6" t="s">
        <v>2289</v>
      </c>
      <c r="D519" s="14" t="s">
        <v>2211</v>
      </c>
      <c r="E519" s="19" t="s">
        <v>1950</v>
      </c>
      <c r="F519" s="37"/>
      <c r="G519" s="37"/>
      <c r="H519" s="108"/>
      <c r="I519" s="108"/>
      <c r="J519" s="108"/>
      <c r="K519" s="29" t="s">
        <v>5</v>
      </c>
      <c r="L519" s="139">
        <v>44323</v>
      </c>
      <c r="M519" s="33"/>
      <c r="N519" s="33">
        <v>44323</v>
      </c>
      <c r="O519" s="32">
        <v>3080</v>
      </c>
      <c r="P519" s="6"/>
      <c r="Q519" s="339"/>
      <c r="U519" s="21"/>
      <c r="V519" s="257"/>
    </row>
    <row r="520" spans="2:22" s="7" customFormat="1" ht="17.25" customHeight="1">
      <c r="B520" s="12"/>
      <c r="C520" s="6" t="s">
        <v>2289</v>
      </c>
      <c r="D520" s="14" t="s">
        <v>2211</v>
      </c>
      <c r="E520" s="22">
        <v>3808</v>
      </c>
      <c r="F520" s="37">
        <v>9</v>
      </c>
      <c r="G520" s="37" t="s">
        <v>1953</v>
      </c>
      <c r="H520" s="108">
        <v>50</v>
      </c>
      <c r="I520" s="109">
        <v>1</v>
      </c>
      <c r="J520" s="8">
        <f>H520*I520</f>
        <v>50</v>
      </c>
      <c r="K520" s="39">
        <v>0.56999999999999995</v>
      </c>
      <c r="L520" s="139">
        <v>44323</v>
      </c>
      <c r="M520" s="33"/>
      <c r="N520" s="33">
        <v>44323</v>
      </c>
      <c r="O520" s="32">
        <v>3080</v>
      </c>
      <c r="P520" s="722"/>
      <c r="Q520" s="322">
        <v>0.27</v>
      </c>
      <c r="S520" s="7">
        <v>18</v>
      </c>
      <c r="T520" s="7">
        <f>S520*J520</f>
        <v>900</v>
      </c>
      <c r="U520" s="21"/>
      <c r="V520" s="257"/>
    </row>
    <row r="521" spans="2:22" s="7" customFormat="1" ht="17.25" customHeight="1">
      <c r="B521" s="12"/>
      <c r="C521" s="6" t="s">
        <v>2289</v>
      </c>
      <c r="D521" s="14" t="s">
        <v>2211</v>
      </c>
      <c r="E521" s="22">
        <v>3808</v>
      </c>
      <c r="F521" s="37">
        <v>9</v>
      </c>
      <c r="G521" s="37" t="s">
        <v>1954</v>
      </c>
      <c r="H521" s="108">
        <v>50</v>
      </c>
      <c r="I521" s="109">
        <v>2</v>
      </c>
      <c r="J521" s="8">
        <f>H521*I521</f>
        <v>100</v>
      </c>
      <c r="K521" s="39">
        <v>0.56999999999999995</v>
      </c>
      <c r="L521" s="139">
        <v>44323</v>
      </c>
      <c r="M521" s="33"/>
      <c r="N521" s="33">
        <v>44323</v>
      </c>
      <c r="O521" s="32">
        <v>3080</v>
      </c>
      <c r="P521" s="722"/>
      <c r="Q521" s="322">
        <v>0.27</v>
      </c>
      <c r="S521" s="7">
        <v>18</v>
      </c>
      <c r="T521" s="7">
        <f>S521*J521</f>
        <v>1800</v>
      </c>
      <c r="U521" s="21"/>
      <c r="V521" s="257"/>
    </row>
    <row r="522" spans="2:22" customFormat="1" ht="18" customHeight="1">
      <c r="B522" s="26"/>
      <c r="C522" s="6" t="s">
        <v>2289</v>
      </c>
      <c r="D522" s="14" t="s">
        <v>2211</v>
      </c>
      <c r="E522" s="723"/>
      <c r="F522" s="64"/>
      <c r="G522" s="37" t="s">
        <v>14</v>
      </c>
      <c r="H522" s="8"/>
      <c r="I522" s="8"/>
      <c r="J522" s="38">
        <v>1</v>
      </c>
      <c r="K522" s="39">
        <v>12</v>
      </c>
      <c r="L522" s="139">
        <v>44323</v>
      </c>
      <c r="M522" s="33"/>
      <c r="N522" s="33">
        <v>44323</v>
      </c>
      <c r="O522" s="32">
        <v>3080</v>
      </c>
      <c r="P522" s="4"/>
      <c r="Q522" s="724">
        <v>12</v>
      </c>
      <c r="R522" s="1"/>
      <c r="S522" s="7">
        <v>1000</v>
      </c>
      <c r="T522" s="7">
        <f>S522*J522</f>
        <v>1000</v>
      </c>
      <c r="U522" s="34"/>
      <c r="V522" s="256"/>
    </row>
    <row r="523" spans="2:22" s="191" customFormat="1" ht="18" customHeight="1">
      <c r="B523" s="190"/>
      <c r="C523" s="179" t="s">
        <v>2289</v>
      </c>
      <c r="D523" s="180" t="s">
        <v>2211</v>
      </c>
      <c r="E523" s="736"/>
      <c r="F523" s="737"/>
      <c r="G523" s="182" t="s">
        <v>1955</v>
      </c>
      <c r="H523" s="222">
        <v>400</v>
      </c>
      <c r="I523" s="222"/>
      <c r="J523" s="222"/>
      <c r="K523" s="192">
        <v>0.23</v>
      </c>
      <c r="L523" s="188">
        <v>44323</v>
      </c>
      <c r="M523" s="187"/>
      <c r="N523" s="187">
        <v>44323</v>
      </c>
      <c r="O523" s="186">
        <v>3080</v>
      </c>
      <c r="P523" s="327"/>
      <c r="Q523" s="762">
        <v>92</v>
      </c>
      <c r="S523" s="198">
        <v>2437</v>
      </c>
      <c r="T523" s="198">
        <v>2437</v>
      </c>
      <c r="U523" s="738"/>
      <c r="V523" s="726"/>
    </row>
    <row r="524" spans="2:22" s="7" customFormat="1" ht="18" customHeight="1">
      <c r="B524" s="12"/>
      <c r="C524" s="6" t="s">
        <v>2290</v>
      </c>
      <c r="D524" s="14" t="s">
        <v>2067</v>
      </c>
      <c r="E524" s="19" t="s">
        <v>352</v>
      </c>
      <c r="F524" s="107"/>
      <c r="G524" s="22"/>
      <c r="H524" s="108"/>
      <c r="I524" s="109"/>
      <c r="J524" s="108"/>
      <c r="K524" s="110" t="s">
        <v>5</v>
      </c>
      <c r="L524" s="139">
        <v>44307</v>
      </c>
      <c r="M524" s="33"/>
      <c r="N524" s="33">
        <v>44307</v>
      </c>
      <c r="O524" s="32">
        <v>3088</v>
      </c>
      <c r="P524" s="14"/>
      <c r="Q524" s="322"/>
      <c r="U524" s="14"/>
      <c r="V524" s="257"/>
    </row>
    <row r="525" spans="2:22" s="7" customFormat="1" ht="18" customHeight="1">
      <c r="B525" s="12"/>
      <c r="C525" s="6" t="s">
        <v>2290</v>
      </c>
      <c r="D525" s="14" t="s">
        <v>2067</v>
      </c>
      <c r="E525" s="22">
        <v>2600</v>
      </c>
      <c r="F525" s="107">
        <v>140</v>
      </c>
      <c r="G525" s="22" t="s">
        <v>2291</v>
      </c>
      <c r="H525" s="108">
        <v>11</v>
      </c>
      <c r="I525" s="109">
        <v>1</v>
      </c>
      <c r="J525" s="8">
        <f>H525*I525</f>
        <v>11</v>
      </c>
      <c r="K525" s="39">
        <v>4.17</v>
      </c>
      <c r="L525" s="139">
        <v>44307</v>
      </c>
      <c r="M525" s="33"/>
      <c r="N525" s="33">
        <v>44307</v>
      </c>
      <c r="O525" s="32">
        <v>3088</v>
      </c>
      <c r="P525" s="6"/>
      <c r="Q525" s="322">
        <v>3.71</v>
      </c>
      <c r="S525" s="7">
        <v>300</v>
      </c>
      <c r="T525" s="7">
        <f>S525*J525</f>
        <v>3300</v>
      </c>
      <c r="U525" s="21"/>
      <c r="V525" s="257"/>
    </row>
    <row r="526" spans="2:22" s="7" customFormat="1" ht="15">
      <c r="B526" s="12"/>
      <c r="C526" s="6" t="s">
        <v>2290</v>
      </c>
      <c r="D526" s="14" t="s">
        <v>2067</v>
      </c>
      <c r="E526" s="49"/>
      <c r="F526" s="102"/>
      <c r="G526" s="22" t="s">
        <v>14</v>
      </c>
      <c r="H526" s="38"/>
      <c r="I526" s="35"/>
      <c r="J526" s="38">
        <v>1</v>
      </c>
      <c r="K526" s="39">
        <v>20</v>
      </c>
      <c r="L526" s="139">
        <v>44307</v>
      </c>
      <c r="M526" s="33"/>
      <c r="N526" s="33">
        <v>44307</v>
      </c>
      <c r="O526" s="32">
        <v>3088</v>
      </c>
      <c r="P526" s="6"/>
      <c r="Q526" s="322">
        <v>20</v>
      </c>
      <c r="S526" s="7">
        <v>1000</v>
      </c>
      <c r="T526" s="7">
        <f>S526*J526</f>
        <v>1000</v>
      </c>
      <c r="U526" s="21"/>
      <c r="V526" s="257"/>
    </row>
    <row r="527" spans="2:22" s="191" customFormat="1" ht="15">
      <c r="B527" s="190"/>
      <c r="C527" s="179" t="s">
        <v>2290</v>
      </c>
      <c r="D527" s="180" t="s">
        <v>2067</v>
      </c>
      <c r="E527" s="217"/>
      <c r="F527" s="182"/>
      <c r="G527" s="182" t="s">
        <v>250</v>
      </c>
      <c r="H527" s="184" t="s">
        <v>251</v>
      </c>
      <c r="I527" s="185"/>
      <c r="J527" s="183"/>
      <c r="K527" s="192">
        <v>0</v>
      </c>
      <c r="L527" s="188">
        <v>44307</v>
      </c>
      <c r="M527" s="187"/>
      <c r="N527" s="187">
        <v>44307</v>
      </c>
      <c r="O527" s="186">
        <v>3088</v>
      </c>
      <c r="P527" s="179"/>
      <c r="Q527" s="725">
        <v>0</v>
      </c>
      <c r="S527" s="197">
        <v>0</v>
      </c>
      <c r="T527" s="198">
        <v>0</v>
      </c>
      <c r="U527" s="335"/>
      <c r="V527" s="726"/>
    </row>
    <row r="528" spans="2:22" s="7" customFormat="1" ht="18" customHeight="1">
      <c r="B528" s="12"/>
      <c r="C528" s="6" t="s">
        <v>2292</v>
      </c>
      <c r="D528" s="14" t="s">
        <v>2022</v>
      </c>
      <c r="E528" s="19" t="s">
        <v>352</v>
      </c>
      <c r="F528" s="107"/>
      <c r="G528" s="22"/>
      <c r="H528" s="108"/>
      <c r="I528" s="109"/>
      <c r="J528" s="108"/>
      <c r="K528" s="110" t="s">
        <v>5</v>
      </c>
      <c r="L528" s="139">
        <v>44306</v>
      </c>
      <c r="M528" s="33"/>
      <c r="N528" s="33">
        <v>44306</v>
      </c>
      <c r="O528" s="32">
        <v>3083</v>
      </c>
      <c r="P528" s="14"/>
      <c r="Q528" s="322"/>
      <c r="U528" s="14"/>
      <c r="V528" s="257"/>
    </row>
    <row r="529" spans="2:22" s="7" customFormat="1" ht="18" customHeight="1">
      <c r="B529" s="12"/>
      <c r="C529" s="6" t="s">
        <v>2292</v>
      </c>
      <c r="D529" s="14" t="s">
        <v>2022</v>
      </c>
      <c r="E529" s="22" t="s">
        <v>242</v>
      </c>
      <c r="F529" s="107">
        <v>148</v>
      </c>
      <c r="G529" s="22" t="s">
        <v>2293</v>
      </c>
      <c r="H529" s="108">
        <v>15</v>
      </c>
      <c r="I529" s="109">
        <v>1</v>
      </c>
      <c r="J529" s="8">
        <f>H529*I529</f>
        <v>15</v>
      </c>
      <c r="K529" s="39">
        <v>12.92</v>
      </c>
      <c r="L529" s="39">
        <f>K529*J529</f>
        <v>193.8</v>
      </c>
      <c r="M529" s="33"/>
      <c r="N529" s="33">
        <v>44306</v>
      </c>
      <c r="O529" s="32">
        <v>3083</v>
      </c>
      <c r="P529" s="6"/>
      <c r="Q529" s="322">
        <v>11.49</v>
      </c>
      <c r="S529" s="7">
        <v>930</v>
      </c>
      <c r="T529" s="7">
        <f>S529*J529</f>
        <v>13950</v>
      </c>
      <c r="U529" s="21"/>
      <c r="V529" s="257"/>
    </row>
    <row r="530" spans="2:22" s="7" customFormat="1" ht="15">
      <c r="B530" s="12"/>
      <c r="C530" s="6" t="s">
        <v>2292</v>
      </c>
      <c r="D530" s="14" t="s">
        <v>2022</v>
      </c>
      <c r="E530" s="49"/>
      <c r="F530" s="102"/>
      <c r="G530" s="22" t="s">
        <v>57</v>
      </c>
      <c r="H530" s="38"/>
      <c r="I530" s="35"/>
      <c r="J530" s="38">
        <v>1</v>
      </c>
      <c r="K530" s="39">
        <v>15</v>
      </c>
      <c r="L530" s="139">
        <v>44306</v>
      </c>
      <c r="M530" s="33"/>
      <c r="N530" s="33">
        <v>44306</v>
      </c>
      <c r="O530" s="32">
        <v>3083</v>
      </c>
      <c r="P530" s="6"/>
      <c r="Q530" s="322">
        <v>15</v>
      </c>
      <c r="S530" s="7">
        <v>1000</v>
      </c>
      <c r="T530" s="7">
        <f>S530*J530</f>
        <v>1000</v>
      </c>
      <c r="U530" s="21"/>
      <c r="V530" s="257"/>
    </row>
    <row r="531" spans="2:22" s="7" customFormat="1" ht="15">
      <c r="B531" s="12"/>
      <c r="C531" s="6" t="s">
        <v>2292</v>
      </c>
      <c r="D531" s="14" t="s">
        <v>2022</v>
      </c>
      <c r="E531" s="49"/>
      <c r="F531" s="102"/>
      <c r="G531" s="22" t="s">
        <v>14</v>
      </c>
      <c r="H531" s="38"/>
      <c r="I531" s="35"/>
      <c r="J531" s="38">
        <v>1</v>
      </c>
      <c r="K531" s="39">
        <v>20</v>
      </c>
      <c r="L531" s="139">
        <v>44306</v>
      </c>
      <c r="M531" s="33"/>
      <c r="N531" s="33">
        <v>44306</v>
      </c>
      <c r="O531" s="32">
        <v>3083</v>
      </c>
      <c r="P531" s="6"/>
      <c r="Q531" s="322">
        <v>20</v>
      </c>
      <c r="S531" s="7">
        <v>1000</v>
      </c>
      <c r="T531" s="7">
        <f>S531*J531</f>
        <v>1000</v>
      </c>
      <c r="U531" s="21"/>
      <c r="V531" s="257"/>
    </row>
    <row r="532" spans="2:22" s="191" customFormat="1" ht="15">
      <c r="B532" s="190"/>
      <c r="C532" s="179" t="s">
        <v>2292</v>
      </c>
      <c r="D532" s="180" t="s">
        <v>2022</v>
      </c>
      <c r="E532" s="217"/>
      <c r="F532" s="182"/>
      <c r="G532" s="182" t="s">
        <v>250</v>
      </c>
      <c r="H532" s="184" t="s">
        <v>251</v>
      </c>
      <c r="I532" s="185"/>
      <c r="J532" s="183"/>
      <c r="K532" s="192">
        <v>0</v>
      </c>
      <c r="L532" s="188">
        <v>44306</v>
      </c>
      <c r="M532" s="187"/>
      <c r="N532" s="187">
        <v>44306</v>
      </c>
      <c r="O532" s="186">
        <v>3083</v>
      </c>
      <c r="P532" s="179"/>
      <c r="Q532" s="725">
        <v>0</v>
      </c>
      <c r="S532" s="197">
        <v>0</v>
      </c>
      <c r="T532" s="198">
        <v>0</v>
      </c>
      <c r="U532" s="335"/>
      <c r="V532" s="726"/>
    </row>
    <row r="533" spans="2:22" s="7" customFormat="1" ht="18" customHeight="1">
      <c r="B533" s="12"/>
      <c r="C533" s="6" t="s">
        <v>2294</v>
      </c>
      <c r="D533" s="14" t="s">
        <v>2022</v>
      </c>
      <c r="E533" s="19" t="s">
        <v>352</v>
      </c>
      <c r="F533" s="107"/>
      <c r="G533" s="22"/>
      <c r="H533" s="108"/>
      <c r="I533" s="109"/>
      <c r="J533" s="108"/>
      <c r="K533" s="110" t="s">
        <v>5</v>
      </c>
      <c r="L533" s="139">
        <v>44354</v>
      </c>
      <c r="M533" s="33"/>
      <c r="N533" s="33">
        <v>44354</v>
      </c>
      <c r="O533" s="32">
        <v>3218</v>
      </c>
      <c r="P533" s="14"/>
      <c r="Q533" s="322"/>
      <c r="U533" s="14"/>
      <c r="V533" s="257"/>
    </row>
    <row r="534" spans="2:22" s="7" customFormat="1" ht="18" customHeight="1">
      <c r="B534" s="12"/>
      <c r="C534" s="6" t="s">
        <v>2294</v>
      </c>
      <c r="D534" s="14" t="s">
        <v>2022</v>
      </c>
      <c r="E534" s="22" t="s">
        <v>242</v>
      </c>
      <c r="F534" s="107">
        <v>148</v>
      </c>
      <c r="G534" s="22" t="s">
        <v>2293</v>
      </c>
      <c r="H534" s="108">
        <v>56</v>
      </c>
      <c r="I534" s="109">
        <v>1</v>
      </c>
      <c r="J534" s="8">
        <f>H534*I534</f>
        <v>56</v>
      </c>
      <c r="K534" s="39">
        <v>12.92</v>
      </c>
      <c r="L534" s="39">
        <f>K534*J534</f>
        <v>723.52</v>
      </c>
      <c r="M534" s="33"/>
      <c r="N534" s="33">
        <v>44354</v>
      </c>
      <c r="O534" s="32">
        <v>3218</v>
      </c>
      <c r="P534" s="6"/>
      <c r="Q534" s="322">
        <v>11.49</v>
      </c>
      <c r="S534" s="7">
        <v>930</v>
      </c>
      <c r="T534" s="7">
        <f>S534*J534</f>
        <v>52080</v>
      </c>
      <c r="U534" s="21"/>
      <c r="V534" s="257"/>
    </row>
    <row r="535" spans="2:22" s="7" customFormat="1" ht="18" customHeight="1">
      <c r="B535" s="12"/>
      <c r="C535" s="6" t="s">
        <v>2294</v>
      </c>
      <c r="D535" s="14" t="s">
        <v>2022</v>
      </c>
      <c r="E535" s="22" t="s">
        <v>242</v>
      </c>
      <c r="F535" s="107">
        <v>148</v>
      </c>
      <c r="G535" s="22" t="s">
        <v>2293</v>
      </c>
      <c r="H535" s="108">
        <v>58</v>
      </c>
      <c r="I535" s="109">
        <v>2</v>
      </c>
      <c r="J535" s="8">
        <f>H535*I535</f>
        <v>116</v>
      </c>
      <c r="K535" s="39">
        <v>12.92</v>
      </c>
      <c r="L535" s="39">
        <f>K535*J535</f>
        <v>1498.72</v>
      </c>
      <c r="M535" s="33"/>
      <c r="N535" s="33">
        <v>44354</v>
      </c>
      <c r="O535" s="32">
        <v>3218</v>
      </c>
      <c r="P535" s="6"/>
      <c r="Q535" s="322">
        <v>11.49</v>
      </c>
      <c r="S535" s="7">
        <v>930</v>
      </c>
      <c r="T535" s="7">
        <f>S535*J535</f>
        <v>107880</v>
      </c>
      <c r="U535" s="21"/>
      <c r="V535" s="257"/>
    </row>
    <row r="536" spans="2:22" s="7" customFormat="1" ht="15">
      <c r="B536" s="12"/>
      <c r="C536" s="6" t="s">
        <v>2294</v>
      </c>
      <c r="D536" s="14" t="s">
        <v>2022</v>
      </c>
      <c r="E536" s="49"/>
      <c r="F536" s="102"/>
      <c r="G536" s="22" t="s">
        <v>14</v>
      </c>
      <c r="H536" s="38"/>
      <c r="I536" s="35"/>
      <c r="J536" s="38">
        <v>1</v>
      </c>
      <c r="K536" s="39">
        <v>20</v>
      </c>
      <c r="L536" s="139">
        <v>44354</v>
      </c>
      <c r="M536" s="33"/>
      <c r="N536" s="33">
        <v>44354</v>
      </c>
      <c r="O536" s="32">
        <v>3218</v>
      </c>
      <c r="P536" s="6"/>
      <c r="Q536" s="322">
        <v>20</v>
      </c>
      <c r="S536" s="7">
        <v>1800</v>
      </c>
      <c r="T536" s="7">
        <f>S536*J536</f>
        <v>1800</v>
      </c>
      <c r="U536" s="21"/>
      <c r="V536" s="257"/>
    </row>
    <row r="537" spans="2:22" s="191" customFormat="1" ht="15">
      <c r="B537" s="190"/>
      <c r="C537" s="179" t="s">
        <v>2294</v>
      </c>
      <c r="D537" s="180" t="s">
        <v>2022</v>
      </c>
      <c r="E537" s="217"/>
      <c r="F537" s="182"/>
      <c r="G537" s="182" t="s">
        <v>250</v>
      </c>
      <c r="H537" s="184" t="s">
        <v>251</v>
      </c>
      <c r="I537" s="185"/>
      <c r="J537" s="183"/>
      <c r="K537" s="192">
        <v>0</v>
      </c>
      <c r="L537" s="188">
        <v>44354</v>
      </c>
      <c r="M537" s="187"/>
      <c r="N537" s="187">
        <v>44354</v>
      </c>
      <c r="O537" s="186">
        <v>3218</v>
      </c>
      <c r="P537" s="179"/>
      <c r="Q537" s="725">
        <v>0</v>
      </c>
      <c r="S537" s="197">
        <v>0</v>
      </c>
      <c r="T537" s="198">
        <v>0</v>
      </c>
      <c r="U537" s="335"/>
      <c r="V537" s="726"/>
    </row>
    <row r="538" spans="2:22" s="7" customFormat="1" ht="18" customHeight="1">
      <c r="B538" s="12"/>
      <c r="C538" s="6" t="s">
        <v>2295</v>
      </c>
      <c r="D538" s="14" t="s">
        <v>2296</v>
      </c>
      <c r="E538" s="375" t="s">
        <v>2297</v>
      </c>
      <c r="F538" s="15"/>
      <c r="G538" s="780" t="s">
        <v>2298</v>
      </c>
      <c r="H538" s="8"/>
      <c r="I538" s="35"/>
      <c r="J538" s="108"/>
      <c r="K538" s="110" t="s">
        <v>102</v>
      </c>
      <c r="L538" s="139">
        <v>44337</v>
      </c>
      <c r="M538" s="33"/>
      <c r="N538" s="33">
        <v>44337</v>
      </c>
      <c r="O538" s="32">
        <v>3181</v>
      </c>
      <c r="P538" s="6"/>
      <c r="Q538" s="322"/>
      <c r="U538" s="39"/>
      <c r="V538" s="257"/>
    </row>
    <row r="539" spans="2:22" s="7" customFormat="1" ht="18" customHeight="1">
      <c r="B539" s="12"/>
      <c r="C539" s="6" t="s">
        <v>2295</v>
      </c>
      <c r="D539" s="14" t="s">
        <v>2296</v>
      </c>
      <c r="E539" s="19" t="s">
        <v>2299</v>
      </c>
      <c r="F539" s="37">
        <v>39</v>
      </c>
      <c r="G539" s="781" t="s">
        <v>2300</v>
      </c>
      <c r="H539" s="8">
        <v>20</v>
      </c>
      <c r="I539" s="8">
        <v>20</v>
      </c>
      <c r="J539" s="8">
        <v>20</v>
      </c>
      <c r="K539" s="782">
        <v>350</v>
      </c>
      <c r="L539" s="139">
        <v>44337</v>
      </c>
      <c r="M539" s="33"/>
      <c r="N539" s="33">
        <v>44337</v>
      </c>
      <c r="O539" s="32">
        <v>3181</v>
      </c>
      <c r="P539" s="722"/>
      <c r="Q539" s="783">
        <v>308.64999999999998</v>
      </c>
      <c r="S539" s="7">
        <v>25000</v>
      </c>
      <c r="T539" s="7">
        <v>25000</v>
      </c>
      <c r="U539" s="784" t="s">
        <v>2301</v>
      </c>
      <c r="V539" s="735"/>
    </row>
    <row r="540" spans="2:22" s="7" customFormat="1" ht="15">
      <c r="B540" s="12"/>
      <c r="C540" s="6" t="s">
        <v>2295</v>
      </c>
      <c r="D540" s="14" t="s">
        <v>2296</v>
      </c>
      <c r="E540" s="22"/>
      <c r="F540" s="102"/>
      <c r="G540" s="22" t="s">
        <v>14</v>
      </c>
      <c r="H540" s="8"/>
      <c r="I540" s="35"/>
      <c r="J540" s="38">
        <v>1</v>
      </c>
      <c r="K540" s="39">
        <v>12</v>
      </c>
      <c r="L540" s="139">
        <v>44337</v>
      </c>
      <c r="M540" s="33"/>
      <c r="N540" s="33">
        <v>44337</v>
      </c>
      <c r="O540" s="32">
        <v>3181</v>
      </c>
      <c r="P540" s="6" t="s">
        <v>3</v>
      </c>
      <c r="Q540" s="334">
        <v>12</v>
      </c>
      <c r="S540" s="7">
        <v>0</v>
      </c>
      <c r="T540" s="7">
        <f>S540*J540</f>
        <v>0</v>
      </c>
      <c r="U540" s="785" t="s">
        <v>310</v>
      </c>
      <c r="V540" s="257"/>
    </row>
    <row r="541" spans="2:22" s="7" customFormat="1" ht="18" customHeight="1">
      <c r="B541" s="12"/>
      <c r="C541" s="6" t="s">
        <v>2295</v>
      </c>
      <c r="D541" s="14" t="s">
        <v>2296</v>
      </c>
      <c r="E541" s="19" t="s">
        <v>2299</v>
      </c>
      <c r="F541" s="37">
        <v>39</v>
      </c>
      <c r="G541" s="781" t="s">
        <v>2300</v>
      </c>
      <c r="H541" s="8">
        <v>5</v>
      </c>
      <c r="I541" s="8">
        <v>5</v>
      </c>
      <c r="J541" s="8">
        <v>5</v>
      </c>
      <c r="K541" s="782"/>
      <c r="L541" s="139"/>
      <c r="M541" s="33"/>
      <c r="N541" s="224" t="s">
        <v>2302</v>
      </c>
      <c r="O541" s="32"/>
      <c r="P541" s="722"/>
      <c r="Q541" s="783"/>
      <c r="S541" s="7">
        <v>0</v>
      </c>
      <c r="T541" s="7">
        <v>0</v>
      </c>
      <c r="U541" s="784"/>
      <c r="V541" s="735"/>
    </row>
    <row r="542" spans="2:22" s="191" customFormat="1" ht="15">
      <c r="B542" s="190"/>
      <c r="C542" s="179" t="s">
        <v>2295</v>
      </c>
      <c r="D542" s="180" t="s">
        <v>2296</v>
      </c>
      <c r="E542" s="217"/>
      <c r="F542" s="182"/>
      <c r="G542" s="182" t="s">
        <v>250</v>
      </c>
      <c r="H542" s="184" t="s">
        <v>251</v>
      </c>
      <c r="I542" s="185"/>
      <c r="J542" s="183"/>
      <c r="K542" s="192">
        <v>0</v>
      </c>
      <c r="L542" s="188">
        <v>44337</v>
      </c>
      <c r="M542" s="187"/>
      <c r="N542" s="187">
        <v>44337</v>
      </c>
      <c r="O542" s="186">
        <v>3181</v>
      </c>
      <c r="P542" s="179"/>
      <c r="Q542" s="725">
        <v>0</v>
      </c>
      <c r="S542" s="197">
        <v>0</v>
      </c>
      <c r="T542" s="198">
        <v>0</v>
      </c>
      <c r="U542" s="335"/>
      <c r="V542" s="726"/>
    </row>
    <row r="543" spans="2:22" s="7" customFormat="1" ht="15">
      <c r="B543" s="12"/>
      <c r="C543" s="6" t="s">
        <v>2303</v>
      </c>
      <c r="D543" s="14" t="s">
        <v>2086</v>
      </c>
      <c r="E543" s="19" t="s">
        <v>2087</v>
      </c>
      <c r="F543" s="37"/>
      <c r="G543" s="37"/>
      <c r="H543" s="108"/>
      <c r="I543" s="108"/>
      <c r="J543" s="108"/>
      <c r="K543" s="16" t="s">
        <v>5</v>
      </c>
      <c r="L543" s="139">
        <v>44308</v>
      </c>
      <c r="M543" s="33"/>
      <c r="N543" s="33">
        <v>44308</v>
      </c>
      <c r="O543" s="32">
        <v>3095</v>
      </c>
      <c r="P543" s="6"/>
      <c r="Q543" s="339"/>
      <c r="U543" s="21"/>
      <c r="V543" s="257"/>
    </row>
    <row r="544" spans="2:22" s="7" customFormat="1" ht="15">
      <c r="B544" s="12"/>
      <c r="C544" s="6" t="s">
        <v>2303</v>
      </c>
      <c r="D544" s="14" t="s">
        <v>2086</v>
      </c>
      <c r="E544" s="22">
        <v>3806</v>
      </c>
      <c r="F544" s="37">
        <v>38</v>
      </c>
      <c r="G544" s="22" t="s">
        <v>2089</v>
      </c>
      <c r="H544" s="108">
        <v>30</v>
      </c>
      <c r="I544" s="109">
        <v>10</v>
      </c>
      <c r="J544" s="8">
        <f>H544*I544</f>
        <v>300</v>
      </c>
      <c r="K544" s="39">
        <v>0.72</v>
      </c>
      <c r="L544" s="139">
        <v>44308</v>
      </c>
      <c r="M544" s="33"/>
      <c r="N544" s="33">
        <v>44308</v>
      </c>
      <c r="O544" s="32">
        <v>3095</v>
      </c>
      <c r="P544" s="39"/>
      <c r="Q544" s="322">
        <v>0.57999999999999996</v>
      </c>
      <c r="S544" s="7">
        <v>36.6</v>
      </c>
      <c r="T544" s="7">
        <f>S544*J544</f>
        <v>10980</v>
      </c>
      <c r="U544" s="750" t="s">
        <v>2090</v>
      </c>
      <c r="V544" s="257"/>
    </row>
    <row r="545" spans="2:22" s="191" customFormat="1" ht="15">
      <c r="B545" s="190"/>
      <c r="C545" s="179" t="s">
        <v>2303</v>
      </c>
      <c r="D545" s="180" t="s">
        <v>2086</v>
      </c>
      <c r="E545" s="181"/>
      <c r="F545" s="622"/>
      <c r="G545" s="182" t="s">
        <v>250</v>
      </c>
      <c r="H545" s="184" t="s">
        <v>252</v>
      </c>
      <c r="I545" s="185"/>
      <c r="J545" s="183"/>
      <c r="K545" s="203">
        <v>57</v>
      </c>
      <c r="L545" s="188">
        <v>44308</v>
      </c>
      <c r="M545" s="187"/>
      <c r="N545" s="187">
        <v>44308</v>
      </c>
      <c r="O545" s="186">
        <v>3095</v>
      </c>
      <c r="P545" s="179"/>
      <c r="Q545" s="747">
        <v>57</v>
      </c>
      <c r="S545" s="212">
        <v>5055</v>
      </c>
      <c r="T545" s="212">
        <v>5055</v>
      </c>
      <c r="U545" s="335"/>
      <c r="V545" s="726"/>
    </row>
    <row r="546" spans="2:22" s="7" customFormat="1" ht="18" customHeight="1">
      <c r="B546" s="12"/>
      <c r="C546" s="6" t="s">
        <v>2304</v>
      </c>
      <c r="D546" s="14" t="s">
        <v>2231</v>
      </c>
      <c r="E546" s="19" t="s">
        <v>2270</v>
      </c>
      <c r="F546" s="37"/>
      <c r="G546" s="37"/>
      <c r="H546" s="108"/>
      <c r="I546" s="108"/>
      <c r="J546" s="108"/>
      <c r="K546" s="29" t="s">
        <v>5</v>
      </c>
      <c r="L546" s="139">
        <v>44335</v>
      </c>
      <c r="M546" s="33"/>
      <c r="N546" s="33">
        <v>44335</v>
      </c>
      <c r="O546" s="32">
        <v>3089</v>
      </c>
      <c r="P546" s="6"/>
      <c r="Q546" s="339"/>
      <c r="U546" s="21"/>
      <c r="V546" s="257"/>
    </row>
    <row r="547" spans="2:22" s="7" customFormat="1" ht="17.25" customHeight="1">
      <c r="B547" s="12"/>
      <c r="C547" s="6" t="s">
        <v>2304</v>
      </c>
      <c r="D547" s="14" t="s">
        <v>2231</v>
      </c>
      <c r="E547" s="22">
        <v>5636</v>
      </c>
      <c r="F547" s="37" t="s">
        <v>230</v>
      </c>
      <c r="G547" s="37" t="s">
        <v>2305</v>
      </c>
      <c r="H547" s="108">
        <v>50</v>
      </c>
      <c r="I547" s="109">
        <v>8</v>
      </c>
      <c r="J547" s="8">
        <f>H547*I547</f>
        <v>400</v>
      </c>
      <c r="K547" s="39">
        <v>0.26</v>
      </c>
      <c r="L547" s="139">
        <v>44335</v>
      </c>
      <c r="M547" s="33"/>
      <c r="N547" s="33">
        <v>44335</v>
      </c>
      <c r="O547" s="32">
        <v>3089</v>
      </c>
      <c r="P547" s="722"/>
      <c r="Q547" s="322">
        <v>0.21</v>
      </c>
      <c r="S547" s="7">
        <v>13.8</v>
      </c>
      <c r="T547" s="7">
        <f>S547*J547</f>
        <v>5520</v>
      </c>
      <c r="U547" s="778"/>
      <c r="V547" s="257"/>
    </row>
    <row r="548" spans="2:22" s="7" customFormat="1" ht="17.25" customHeight="1">
      <c r="B548" s="12"/>
      <c r="C548" s="6" t="s">
        <v>2304</v>
      </c>
      <c r="D548" s="14" t="s">
        <v>2231</v>
      </c>
      <c r="E548" s="22">
        <v>5636</v>
      </c>
      <c r="F548" s="37" t="s">
        <v>230</v>
      </c>
      <c r="G548" s="37" t="s">
        <v>2306</v>
      </c>
      <c r="H548" s="108">
        <v>50</v>
      </c>
      <c r="I548" s="109">
        <v>6</v>
      </c>
      <c r="J548" s="8">
        <f>H548*I548</f>
        <v>300</v>
      </c>
      <c r="K548" s="39">
        <v>0.26</v>
      </c>
      <c r="L548" s="139">
        <v>44335</v>
      </c>
      <c r="M548" s="33"/>
      <c r="N548" s="33">
        <v>44335</v>
      </c>
      <c r="O548" s="32">
        <v>3089</v>
      </c>
      <c r="P548" s="722"/>
      <c r="Q548" s="322">
        <v>0.21</v>
      </c>
      <c r="S548" s="7">
        <v>13.8</v>
      </c>
      <c r="T548" s="7">
        <f>S548*J548</f>
        <v>4140</v>
      </c>
      <c r="U548" s="778"/>
      <c r="V548" s="257"/>
    </row>
    <row r="549" spans="2:22" s="7" customFormat="1" ht="17.25" customHeight="1">
      <c r="B549" s="12"/>
      <c r="C549" s="6" t="s">
        <v>2304</v>
      </c>
      <c r="D549" s="14" t="s">
        <v>2231</v>
      </c>
      <c r="E549" s="22">
        <v>5636</v>
      </c>
      <c r="F549" s="37" t="s">
        <v>230</v>
      </c>
      <c r="G549" s="37" t="s">
        <v>2232</v>
      </c>
      <c r="H549" s="108">
        <v>50</v>
      </c>
      <c r="I549" s="109">
        <v>96</v>
      </c>
      <c r="J549" s="8">
        <f>H549*I549</f>
        <v>4800</v>
      </c>
      <c r="K549" s="39">
        <v>0.26</v>
      </c>
      <c r="L549" s="139">
        <v>44335</v>
      </c>
      <c r="M549" s="33"/>
      <c r="N549" s="33">
        <v>44335</v>
      </c>
      <c r="O549" s="32">
        <v>3089</v>
      </c>
      <c r="P549" s="722"/>
      <c r="Q549" s="322">
        <v>0.21</v>
      </c>
      <c r="S549" s="752">
        <v>10.4</v>
      </c>
      <c r="T549" s="7">
        <f>S549*J549</f>
        <v>49920</v>
      </c>
      <c r="U549" s="778" t="s">
        <v>2255</v>
      </c>
      <c r="V549" s="257"/>
    </row>
    <row r="550" spans="2:22" s="7" customFormat="1" ht="17.25" customHeight="1">
      <c r="B550" s="12"/>
      <c r="C550" s="6" t="s">
        <v>2304</v>
      </c>
      <c r="D550" s="14" t="s">
        <v>2231</v>
      </c>
      <c r="E550" s="22">
        <v>5636</v>
      </c>
      <c r="F550" s="37" t="s">
        <v>230</v>
      </c>
      <c r="G550" s="37" t="s">
        <v>2307</v>
      </c>
      <c r="H550" s="108">
        <v>50</v>
      </c>
      <c r="I550" s="109">
        <v>15</v>
      </c>
      <c r="J550" s="8">
        <f>H550*I550</f>
        <v>750</v>
      </c>
      <c r="K550" s="39">
        <v>0.26</v>
      </c>
      <c r="L550" s="139">
        <v>44335</v>
      </c>
      <c r="M550" s="33"/>
      <c r="N550" s="33">
        <v>44335</v>
      </c>
      <c r="O550" s="32">
        <v>3089</v>
      </c>
      <c r="P550" s="722"/>
      <c r="Q550" s="322">
        <v>0.21</v>
      </c>
      <c r="S550" s="7">
        <v>13.8</v>
      </c>
      <c r="T550" s="7">
        <f>S550*J550</f>
        <v>10350</v>
      </c>
      <c r="U550" s="778"/>
      <c r="V550" s="257"/>
    </row>
    <row r="551" spans="2:22" s="7" customFormat="1" ht="15">
      <c r="B551" s="12"/>
      <c r="C551" s="6" t="s">
        <v>2304</v>
      </c>
      <c r="D551" s="14" t="s">
        <v>2231</v>
      </c>
      <c r="E551" s="82"/>
      <c r="F551" s="102"/>
      <c r="G551" s="22" t="s">
        <v>14</v>
      </c>
      <c r="H551" s="8"/>
      <c r="I551" s="35"/>
      <c r="J551" s="38">
        <v>1</v>
      </c>
      <c r="K551" s="39">
        <v>12</v>
      </c>
      <c r="L551" s="139">
        <v>44335</v>
      </c>
      <c r="M551" s="33"/>
      <c r="N551" s="33">
        <v>44335</v>
      </c>
      <c r="O551" s="32">
        <v>3089</v>
      </c>
      <c r="P551" s="6" t="s">
        <v>3</v>
      </c>
      <c r="Q551" s="322">
        <v>12</v>
      </c>
      <c r="S551" s="7">
        <v>1100</v>
      </c>
      <c r="T551" s="7">
        <v>1100</v>
      </c>
      <c r="U551" s="21"/>
      <c r="V551" s="257"/>
    </row>
    <row r="552" spans="2:22" s="191" customFormat="1" ht="15">
      <c r="B552" s="190"/>
      <c r="C552" s="179" t="s">
        <v>2304</v>
      </c>
      <c r="D552" s="180" t="s">
        <v>2231</v>
      </c>
      <c r="E552" s="181"/>
      <c r="F552" s="622"/>
      <c r="G552" s="182" t="s">
        <v>250</v>
      </c>
      <c r="H552" s="184" t="s">
        <v>251</v>
      </c>
      <c r="I552" s="185"/>
      <c r="J552" s="183"/>
      <c r="K552" s="192">
        <v>0</v>
      </c>
      <c r="L552" s="188">
        <v>44335</v>
      </c>
      <c r="M552" s="187"/>
      <c r="N552" s="187">
        <v>44335</v>
      </c>
      <c r="O552" s="186">
        <v>3089</v>
      </c>
      <c r="P552" s="179"/>
      <c r="Q552" s="725">
        <v>0</v>
      </c>
      <c r="S552" s="197">
        <v>0</v>
      </c>
      <c r="T552" s="198">
        <v>0</v>
      </c>
      <c r="U552" s="335"/>
      <c r="V552" s="726"/>
    </row>
    <row r="553" spans="2:22" s="7" customFormat="1" ht="18" customHeight="1">
      <c r="B553" s="12"/>
      <c r="C553" s="6" t="s">
        <v>2308</v>
      </c>
      <c r="D553" s="14" t="s">
        <v>2231</v>
      </c>
      <c r="E553" s="19" t="s">
        <v>2270</v>
      </c>
      <c r="F553" s="37"/>
      <c r="G553" s="37"/>
      <c r="H553" s="108"/>
      <c r="I553" s="108"/>
      <c r="J553" s="108"/>
      <c r="K553" s="29" t="s">
        <v>5</v>
      </c>
      <c r="L553" s="139">
        <v>44313</v>
      </c>
      <c r="M553" s="33"/>
      <c r="N553" s="33">
        <v>44313</v>
      </c>
      <c r="O553" s="32">
        <v>3114</v>
      </c>
      <c r="P553" s="6"/>
      <c r="Q553" s="339"/>
      <c r="U553" s="21"/>
      <c r="V553" s="257"/>
    </row>
    <row r="554" spans="2:22" s="7" customFormat="1" ht="17.25" customHeight="1">
      <c r="B554" s="12"/>
      <c r="C554" s="6" t="s">
        <v>2308</v>
      </c>
      <c r="D554" s="14" t="s">
        <v>2231</v>
      </c>
      <c r="E554" s="22">
        <v>5636</v>
      </c>
      <c r="F554" s="37" t="s">
        <v>230</v>
      </c>
      <c r="G554" s="37" t="s">
        <v>2232</v>
      </c>
      <c r="H554" s="108">
        <v>50</v>
      </c>
      <c r="I554" s="109">
        <v>1</v>
      </c>
      <c r="J554" s="8">
        <f>H554*I554</f>
        <v>50</v>
      </c>
      <c r="K554" s="39">
        <v>0.26</v>
      </c>
      <c r="L554" s="139">
        <v>44313</v>
      </c>
      <c r="M554" s="33"/>
      <c r="N554" s="33">
        <v>44313</v>
      </c>
      <c r="O554" s="32">
        <v>3114</v>
      </c>
      <c r="P554" s="722"/>
      <c r="Q554" s="322">
        <v>0.21</v>
      </c>
      <c r="S554" s="752">
        <v>10.4</v>
      </c>
      <c r="T554" s="7">
        <f>S554*J554</f>
        <v>520</v>
      </c>
      <c r="U554" s="778" t="s">
        <v>2255</v>
      </c>
      <c r="V554" s="257"/>
    </row>
    <row r="555" spans="2:22" s="7" customFormat="1" ht="15">
      <c r="B555" s="12"/>
      <c r="C555" s="6" t="s">
        <v>2308</v>
      </c>
      <c r="D555" s="14" t="s">
        <v>2231</v>
      </c>
      <c r="E555" s="82"/>
      <c r="F555" s="102"/>
      <c r="G555" s="22" t="s">
        <v>14</v>
      </c>
      <c r="H555" s="8"/>
      <c r="I555" s="35"/>
      <c r="J555" s="38">
        <v>1</v>
      </c>
      <c r="K555" s="39">
        <v>12</v>
      </c>
      <c r="L555" s="139">
        <v>44313</v>
      </c>
      <c r="M555" s="33"/>
      <c r="N555" s="33">
        <v>44313</v>
      </c>
      <c r="O555" s="32">
        <v>3114</v>
      </c>
      <c r="P555" s="6" t="s">
        <v>3</v>
      </c>
      <c r="Q555" s="322">
        <v>12</v>
      </c>
      <c r="S555" s="7">
        <v>1100</v>
      </c>
      <c r="T555" s="7">
        <v>1100</v>
      </c>
      <c r="U555" s="21"/>
      <c r="V555" s="257"/>
    </row>
    <row r="556" spans="2:22" s="191" customFormat="1" ht="15">
      <c r="B556" s="190"/>
      <c r="C556" s="179" t="s">
        <v>2308</v>
      </c>
      <c r="D556" s="180" t="s">
        <v>2231</v>
      </c>
      <c r="E556" s="181"/>
      <c r="F556" s="622"/>
      <c r="G556" s="182" t="s">
        <v>250</v>
      </c>
      <c r="H556" s="184" t="s">
        <v>251</v>
      </c>
      <c r="I556" s="185"/>
      <c r="J556" s="183"/>
      <c r="K556" s="192">
        <v>0</v>
      </c>
      <c r="L556" s="188">
        <v>44313</v>
      </c>
      <c r="M556" s="187"/>
      <c r="N556" s="187">
        <v>44313</v>
      </c>
      <c r="O556" s="186">
        <v>3114</v>
      </c>
      <c r="P556" s="179"/>
      <c r="Q556" s="725">
        <v>0</v>
      </c>
      <c r="S556" s="197">
        <v>0</v>
      </c>
      <c r="T556" s="198">
        <v>0</v>
      </c>
      <c r="U556" s="335"/>
      <c r="V556" s="726"/>
    </row>
    <row r="557" spans="2:22" s="7" customFormat="1" ht="18" customHeight="1">
      <c r="B557" s="12"/>
      <c r="C557" s="6" t="s">
        <v>2309</v>
      </c>
      <c r="D557" s="14" t="s">
        <v>2194</v>
      </c>
      <c r="E557" s="19" t="s">
        <v>10</v>
      </c>
      <c r="F557" s="107"/>
      <c r="G557" s="22"/>
      <c r="H557" s="108"/>
      <c r="I557" s="109"/>
      <c r="J557" s="108"/>
      <c r="K557" s="110" t="s">
        <v>5</v>
      </c>
      <c r="L557" s="139">
        <v>44312</v>
      </c>
      <c r="M557" s="33"/>
      <c r="N557" s="33">
        <v>44312</v>
      </c>
      <c r="O557" s="32">
        <v>3101</v>
      </c>
      <c r="P557" s="14"/>
      <c r="Q557" s="322"/>
      <c r="U557" s="14"/>
      <c r="V557" s="257"/>
    </row>
    <row r="558" spans="2:22" s="7" customFormat="1" ht="18" customHeight="1">
      <c r="B558" s="12"/>
      <c r="C558" s="6" t="s">
        <v>2309</v>
      </c>
      <c r="D558" s="14" t="s">
        <v>2194</v>
      </c>
      <c r="E558" s="22" t="s">
        <v>206</v>
      </c>
      <c r="F558" s="107">
        <v>162</v>
      </c>
      <c r="G558" s="22" t="s">
        <v>2195</v>
      </c>
      <c r="H558" s="108">
        <v>50</v>
      </c>
      <c r="I558" s="109">
        <v>3</v>
      </c>
      <c r="J558" s="8">
        <f>H558*I558</f>
        <v>150</v>
      </c>
      <c r="K558" s="39">
        <v>4.17</v>
      </c>
      <c r="L558" s="139">
        <v>44312</v>
      </c>
      <c r="M558" s="33"/>
      <c r="N558" s="33">
        <v>44312</v>
      </c>
      <c r="O558" s="32">
        <v>3101</v>
      </c>
      <c r="P558" s="6"/>
      <c r="Q558" s="322">
        <v>3.71</v>
      </c>
      <c r="S558" s="7">
        <v>300</v>
      </c>
      <c r="T558" s="7">
        <f>S558*J558</f>
        <v>45000</v>
      </c>
      <c r="U558" s="21"/>
      <c r="V558" s="257"/>
    </row>
    <row r="559" spans="2:22" s="7" customFormat="1" ht="17.45" customHeight="1">
      <c r="B559" s="12"/>
      <c r="C559" s="6" t="s">
        <v>2309</v>
      </c>
      <c r="D559" s="14" t="s">
        <v>2194</v>
      </c>
      <c r="E559" s="159"/>
      <c r="F559" s="37"/>
      <c r="G559" s="37" t="s">
        <v>14</v>
      </c>
      <c r="H559" s="8"/>
      <c r="I559" s="109" ph="1"/>
      <c r="J559" s="38">
        <v>1</v>
      </c>
      <c r="K559" s="39">
        <v>20</v>
      </c>
      <c r="L559" s="139">
        <v>44312</v>
      </c>
      <c r="M559" s="33"/>
      <c r="N559" s="33">
        <v>44312</v>
      </c>
      <c r="O559" s="32">
        <v>3101</v>
      </c>
      <c r="P559" s="6"/>
      <c r="Q559" s="322">
        <v>20</v>
      </c>
      <c r="S559" s="7">
        <v>1800</v>
      </c>
      <c r="T559" s="7">
        <v>1800</v>
      </c>
      <c r="U559" s="21"/>
      <c r="V559" s="257"/>
    </row>
    <row r="560" spans="2:22" s="191" customFormat="1" ht="15">
      <c r="B560" s="190"/>
      <c r="C560" s="179" t="s">
        <v>2309</v>
      </c>
      <c r="D560" s="180" t="s">
        <v>2194</v>
      </c>
      <c r="E560" s="217"/>
      <c r="F560" s="182"/>
      <c r="G560" s="182" t="s">
        <v>250</v>
      </c>
      <c r="H560" s="184" t="s">
        <v>252</v>
      </c>
      <c r="I560" s="185"/>
      <c r="J560" s="183"/>
      <c r="K560" s="333">
        <v>237</v>
      </c>
      <c r="L560" s="188">
        <v>44312</v>
      </c>
      <c r="M560" s="187"/>
      <c r="N560" s="187">
        <v>44312</v>
      </c>
      <c r="O560" s="186">
        <v>3101</v>
      </c>
      <c r="P560" s="179"/>
      <c r="Q560" s="322">
        <v>217</v>
      </c>
      <c r="S560" s="197">
        <v>19530</v>
      </c>
      <c r="T560" s="197">
        <v>19530</v>
      </c>
      <c r="U560" s="335"/>
      <c r="V560" s="726"/>
    </row>
    <row r="561" spans="2:22" s="7" customFormat="1" ht="18.600000000000001" customHeight="1">
      <c r="B561" s="12"/>
      <c r="C561" s="6" t="s">
        <v>2310</v>
      </c>
      <c r="D561" s="14" t="s">
        <v>2273</v>
      </c>
      <c r="E561" s="19" t="s">
        <v>228</v>
      </c>
      <c r="F561" s="22"/>
      <c r="G561" s="37"/>
      <c r="H561" s="108"/>
      <c r="I561" s="108"/>
      <c r="J561" s="108"/>
      <c r="K561" s="110" t="s">
        <v>5</v>
      </c>
      <c r="L561" s="139">
        <v>44314</v>
      </c>
      <c r="M561" s="33"/>
      <c r="N561" s="33">
        <v>44314</v>
      </c>
      <c r="O561" s="32">
        <v>3102</v>
      </c>
      <c r="P561" s="6"/>
      <c r="Q561" s="779"/>
      <c r="U561" s="772" t="s">
        <v>265</v>
      </c>
      <c r="V561" s="257"/>
    </row>
    <row r="562" spans="2:22" s="7" customFormat="1" ht="15.95" customHeight="1">
      <c r="B562" s="12"/>
      <c r="C562" s="6" t="s">
        <v>2310</v>
      </c>
      <c r="D562" s="14" t="s">
        <v>2273</v>
      </c>
      <c r="E562" s="22" t="s">
        <v>2311</v>
      </c>
      <c r="F562" s="37"/>
      <c r="G562" s="37" t="s">
        <v>100</v>
      </c>
      <c r="H562" s="60">
        <v>14</v>
      </c>
      <c r="I562" s="61">
        <v>1</v>
      </c>
      <c r="J562" s="60">
        <v>14</v>
      </c>
      <c r="K562" s="39">
        <v>2.12</v>
      </c>
      <c r="L562" s="139">
        <v>44314</v>
      </c>
      <c r="M562" s="33"/>
      <c r="N562" s="33">
        <v>44314</v>
      </c>
      <c r="O562" s="32">
        <v>3102</v>
      </c>
      <c r="P562" s="39"/>
      <c r="Q562" s="322">
        <v>1.69</v>
      </c>
      <c r="S562" s="7">
        <v>84</v>
      </c>
      <c r="T562" s="7">
        <f>S562*J562</f>
        <v>1176</v>
      </c>
      <c r="U562" s="81">
        <f>84+30</f>
        <v>114</v>
      </c>
      <c r="V562" s="257"/>
    </row>
    <row r="563" spans="2:22" s="143" customFormat="1" ht="15">
      <c r="B563" s="276"/>
      <c r="C563" s="6" t="s">
        <v>2310</v>
      </c>
      <c r="D563" s="14" t="s">
        <v>2273</v>
      </c>
      <c r="E563" s="49"/>
      <c r="F563" s="24"/>
      <c r="G563" s="22" t="s">
        <v>14</v>
      </c>
      <c r="H563" s="38"/>
      <c r="I563" s="35"/>
      <c r="J563" s="38">
        <v>1</v>
      </c>
      <c r="K563" s="39">
        <v>12</v>
      </c>
      <c r="L563" s="139">
        <v>44314</v>
      </c>
      <c r="M563" s="33"/>
      <c r="N563" s="33">
        <v>44314</v>
      </c>
      <c r="O563" s="32">
        <v>3102</v>
      </c>
      <c r="P563" s="142"/>
      <c r="Q563" s="322">
        <v>12</v>
      </c>
      <c r="S563" s="7">
        <v>0</v>
      </c>
      <c r="T563" s="7">
        <v>0</v>
      </c>
      <c r="U563" s="746"/>
      <c r="V563" s="258"/>
    </row>
    <row r="564" spans="2:22" s="191" customFormat="1" ht="15">
      <c r="B564" s="190"/>
      <c r="C564" s="179" t="s">
        <v>2310</v>
      </c>
      <c r="D564" s="180" t="s">
        <v>2273</v>
      </c>
      <c r="E564" s="181"/>
      <c r="F564" s="182"/>
      <c r="G564" s="182" t="s">
        <v>250</v>
      </c>
      <c r="H564" s="184" t="s">
        <v>251</v>
      </c>
      <c r="I564" s="185"/>
      <c r="J564" s="183"/>
      <c r="K564" s="192">
        <v>0</v>
      </c>
      <c r="L564" s="188">
        <v>44314</v>
      </c>
      <c r="M564" s="187"/>
      <c r="N564" s="187">
        <v>44314</v>
      </c>
      <c r="O564" s="186">
        <v>3102</v>
      </c>
      <c r="P564" s="179"/>
      <c r="Q564" s="725">
        <v>0</v>
      </c>
      <c r="S564" s="189">
        <v>0</v>
      </c>
      <c r="T564" s="190">
        <v>0</v>
      </c>
      <c r="U564" s="335"/>
      <c r="V564" s="726"/>
    </row>
    <row r="565" spans="2:22" s="7" customFormat="1" ht="18" customHeight="1">
      <c r="B565" s="12"/>
      <c r="C565" s="6" t="s">
        <v>2312</v>
      </c>
      <c r="D565" s="14" t="s">
        <v>1957</v>
      </c>
      <c r="E565" s="19" t="s">
        <v>1958</v>
      </c>
      <c r="F565" s="37"/>
      <c r="G565" s="37"/>
      <c r="H565" s="108"/>
      <c r="I565" s="108"/>
      <c r="J565" s="108"/>
      <c r="K565" s="29" t="s">
        <v>5</v>
      </c>
      <c r="L565" s="139">
        <v>44312</v>
      </c>
      <c r="M565" s="33"/>
      <c r="N565" s="33">
        <v>44312</v>
      </c>
      <c r="O565" s="32">
        <v>3103</v>
      </c>
      <c r="P565" s="6"/>
      <c r="Q565" s="339"/>
      <c r="U565" s="21"/>
      <c r="V565" s="257"/>
    </row>
    <row r="566" spans="2:22" s="7" customFormat="1" ht="17.25" customHeight="1">
      <c r="B566" s="12"/>
      <c r="C566" s="6" t="s">
        <v>2312</v>
      </c>
      <c r="D566" s="14" t="s">
        <v>1957</v>
      </c>
      <c r="E566" s="22" t="s">
        <v>1960</v>
      </c>
      <c r="F566" s="107">
        <v>148</v>
      </c>
      <c r="G566" s="37" t="s">
        <v>218</v>
      </c>
      <c r="H566" s="108">
        <v>13</v>
      </c>
      <c r="I566" s="109">
        <v>1</v>
      </c>
      <c r="J566" s="8">
        <f>H566*I566</f>
        <v>13</v>
      </c>
      <c r="K566" s="39">
        <v>8.48</v>
      </c>
      <c r="L566" s="139">
        <v>44312</v>
      </c>
      <c r="M566" s="33"/>
      <c r="N566" s="33">
        <v>44312</v>
      </c>
      <c r="O566" s="32">
        <v>3103</v>
      </c>
      <c r="P566" s="722"/>
      <c r="Q566" s="322">
        <v>7.53</v>
      </c>
      <c r="S566" s="7">
        <v>610</v>
      </c>
      <c r="T566" s="7">
        <f>S566*J566</f>
        <v>7930</v>
      </c>
      <c r="U566" s="21"/>
      <c r="V566" s="257"/>
    </row>
    <row r="567" spans="2:22" s="7" customFormat="1" ht="15">
      <c r="B567" s="12"/>
      <c r="C567" s="6" t="s">
        <v>2312</v>
      </c>
      <c r="D567" s="14" t="s">
        <v>1957</v>
      </c>
      <c r="E567" s="49"/>
      <c r="F567" s="102"/>
      <c r="G567" s="22" t="s">
        <v>57</v>
      </c>
      <c r="H567" s="8"/>
      <c r="I567" s="35"/>
      <c r="J567" s="38">
        <v>1</v>
      </c>
      <c r="K567" s="39">
        <v>15</v>
      </c>
      <c r="L567" s="139">
        <v>44312</v>
      </c>
      <c r="M567" s="33"/>
      <c r="N567" s="33">
        <v>44312</v>
      </c>
      <c r="O567" s="32">
        <v>3103</v>
      </c>
      <c r="P567" s="6"/>
      <c r="Q567" s="322">
        <v>15</v>
      </c>
      <c r="S567" s="7">
        <v>1000</v>
      </c>
      <c r="T567" s="7">
        <v>1000</v>
      </c>
      <c r="U567" s="21"/>
      <c r="V567" s="257"/>
    </row>
    <row r="568" spans="2:22" s="7" customFormat="1" ht="15">
      <c r="B568" s="12"/>
      <c r="C568" s="6" t="s">
        <v>2312</v>
      </c>
      <c r="D568" s="14" t="s">
        <v>1957</v>
      </c>
      <c r="E568" s="49"/>
      <c r="F568" s="102"/>
      <c r="G568" s="22" t="s">
        <v>14</v>
      </c>
      <c r="H568" s="8"/>
      <c r="I568" s="35"/>
      <c r="J568" s="38">
        <v>1</v>
      </c>
      <c r="K568" s="39">
        <v>20</v>
      </c>
      <c r="L568" s="139">
        <v>44312</v>
      </c>
      <c r="M568" s="33"/>
      <c r="N568" s="33">
        <v>44312</v>
      </c>
      <c r="O568" s="32">
        <v>3103</v>
      </c>
      <c r="P568" s="6"/>
      <c r="Q568" s="322">
        <v>20</v>
      </c>
      <c r="S568" s="7">
        <v>1000</v>
      </c>
      <c r="T568" s="7">
        <v>1000</v>
      </c>
      <c r="U568" s="21"/>
      <c r="V568" s="257"/>
    </row>
    <row r="569" spans="2:22" s="191" customFormat="1" ht="15">
      <c r="B569" s="190"/>
      <c r="C569" s="179" t="s">
        <v>2312</v>
      </c>
      <c r="D569" s="180" t="s">
        <v>1957</v>
      </c>
      <c r="E569" s="181"/>
      <c r="F569" s="182"/>
      <c r="G569" s="182" t="s">
        <v>250</v>
      </c>
      <c r="H569" s="184" t="s">
        <v>251</v>
      </c>
      <c r="I569" s="185"/>
      <c r="J569" s="183"/>
      <c r="K569" s="192">
        <v>0</v>
      </c>
      <c r="L569" s="188">
        <v>44312</v>
      </c>
      <c r="M569" s="187"/>
      <c r="N569" s="187">
        <v>44312</v>
      </c>
      <c r="O569" s="186">
        <v>3103</v>
      </c>
      <c r="P569" s="179"/>
      <c r="Q569" s="725">
        <v>0</v>
      </c>
      <c r="S569" s="197">
        <v>0</v>
      </c>
      <c r="T569" s="198">
        <v>0</v>
      </c>
      <c r="U569" s="335"/>
      <c r="V569" s="726"/>
    </row>
    <row r="570" spans="2:22" s="7" customFormat="1" ht="18" customHeight="1">
      <c r="B570" s="12"/>
      <c r="C570" s="6" t="s">
        <v>2313</v>
      </c>
      <c r="D570" s="14" t="s">
        <v>2314</v>
      </c>
      <c r="E570" s="19" t="s">
        <v>2270</v>
      </c>
      <c r="F570" s="37"/>
      <c r="G570" s="37"/>
      <c r="H570" s="108"/>
      <c r="I570" s="108"/>
      <c r="J570" s="108"/>
      <c r="K570" s="29" t="s">
        <v>5</v>
      </c>
      <c r="L570" s="139">
        <v>44337</v>
      </c>
      <c r="M570" s="33"/>
      <c r="N570" s="33">
        <v>44337</v>
      </c>
      <c r="O570" s="32">
        <v>3116</v>
      </c>
      <c r="P570" s="6"/>
      <c r="Q570" s="339"/>
      <c r="U570" s="21"/>
      <c r="V570" s="257"/>
    </row>
    <row r="571" spans="2:22" s="7" customFormat="1" ht="17.25" customHeight="1">
      <c r="B571" s="12"/>
      <c r="C571" s="6" t="s">
        <v>2313</v>
      </c>
      <c r="D571" s="14" t="s">
        <v>2314</v>
      </c>
      <c r="E571" s="22">
        <v>5636</v>
      </c>
      <c r="F571" s="37" t="s">
        <v>230</v>
      </c>
      <c r="G571" s="37" t="s">
        <v>2232</v>
      </c>
      <c r="H571" s="108">
        <v>50</v>
      </c>
      <c r="I571" s="109">
        <v>5</v>
      </c>
      <c r="J571" s="8">
        <f>H571*I571</f>
        <v>250</v>
      </c>
      <c r="K571" s="39">
        <v>0.26</v>
      </c>
      <c r="L571" s="139">
        <v>44337</v>
      </c>
      <c r="M571" s="33"/>
      <c r="N571" s="33">
        <v>44337</v>
      </c>
      <c r="O571" s="32">
        <v>3116</v>
      </c>
      <c r="P571" s="722"/>
      <c r="Q571" s="322">
        <v>0.21</v>
      </c>
      <c r="S571" s="752">
        <v>10.4</v>
      </c>
      <c r="T571" s="7">
        <f>S571*J571</f>
        <v>2600</v>
      </c>
      <c r="U571" s="778" t="s">
        <v>2255</v>
      </c>
      <c r="V571" s="257"/>
    </row>
    <row r="572" spans="2:22" s="7" customFormat="1" ht="17.25" customHeight="1">
      <c r="B572" s="12"/>
      <c r="C572" s="6" t="s">
        <v>2313</v>
      </c>
      <c r="D572" s="14" t="s">
        <v>2314</v>
      </c>
      <c r="E572" s="22">
        <v>5636</v>
      </c>
      <c r="F572" s="37" t="s">
        <v>230</v>
      </c>
      <c r="G572" s="37" t="s">
        <v>2271</v>
      </c>
      <c r="H572" s="108">
        <v>50</v>
      </c>
      <c r="I572" s="109">
        <v>13</v>
      </c>
      <c r="J572" s="8">
        <f>H572*I572</f>
        <v>650</v>
      </c>
      <c r="K572" s="39">
        <v>0.26</v>
      </c>
      <c r="L572" s="139">
        <v>44337</v>
      </c>
      <c r="M572" s="33"/>
      <c r="N572" s="33">
        <v>44337</v>
      </c>
      <c r="O572" s="32">
        <v>3116</v>
      </c>
      <c r="P572" s="722"/>
      <c r="Q572" s="322">
        <v>0.21</v>
      </c>
      <c r="S572" s="7">
        <v>13.8</v>
      </c>
      <c r="T572" s="7">
        <f>S572*J572</f>
        <v>8970</v>
      </c>
      <c r="U572" s="778"/>
      <c r="V572" s="257"/>
    </row>
    <row r="573" spans="2:22" s="7" customFormat="1" ht="17.25" customHeight="1">
      <c r="B573" s="12"/>
      <c r="C573" s="6" t="s">
        <v>2313</v>
      </c>
      <c r="D573" s="14" t="s">
        <v>2314</v>
      </c>
      <c r="E573" s="22">
        <v>5636</v>
      </c>
      <c r="F573" s="37" t="s">
        <v>230</v>
      </c>
      <c r="G573" s="37" t="s">
        <v>2305</v>
      </c>
      <c r="H573" s="108">
        <v>50</v>
      </c>
      <c r="I573" s="109">
        <v>3</v>
      </c>
      <c r="J573" s="8">
        <f>H573*I573</f>
        <v>150</v>
      </c>
      <c r="K573" s="39">
        <v>0.26</v>
      </c>
      <c r="L573" s="139">
        <v>44337</v>
      </c>
      <c r="M573" s="33"/>
      <c r="N573" s="33">
        <v>44337</v>
      </c>
      <c r="O573" s="32">
        <v>3116</v>
      </c>
      <c r="P573" s="722"/>
      <c r="Q573" s="322">
        <v>0.21</v>
      </c>
      <c r="S573" s="7">
        <v>13.8</v>
      </c>
      <c r="T573" s="7">
        <f>S573*J573</f>
        <v>2070</v>
      </c>
      <c r="U573" s="778"/>
      <c r="V573" s="257"/>
    </row>
    <row r="574" spans="2:22" s="7" customFormat="1" ht="15">
      <c r="B574" s="12"/>
      <c r="C574" s="6" t="s">
        <v>2313</v>
      </c>
      <c r="D574" s="14" t="s">
        <v>2314</v>
      </c>
      <c r="E574" s="82"/>
      <c r="F574" s="102"/>
      <c r="G574" s="22" t="s">
        <v>14</v>
      </c>
      <c r="H574" s="8"/>
      <c r="I574" s="35"/>
      <c r="J574" s="38">
        <v>1</v>
      </c>
      <c r="K574" s="39">
        <v>12</v>
      </c>
      <c r="L574" s="139">
        <v>44337</v>
      </c>
      <c r="M574" s="33"/>
      <c r="N574" s="33">
        <v>44337</v>
      </c>
      <c r="O574" s="32">
        <v>3116</v>
      </c>
      <c r="P574" s="6" t="s">
        <v>3</v>
      </c>
      <c r="Q574" s="322">
        <v>12</v>
      </c>
      <c r="S574" s="7">
        <v>1100</v>
      </c>
      <c r="T574" s="7">
        <v>1100</v>
      </c>
      <c r="U574" s="21"/>
      <c r="V574" s="257"/>
    </row>
    <row r="575" spans="2:22" s="7" customFormat="1" ht="15">
      <c r="B575" s="12"/>
      <c r="C575" s="6" t="s">
        <v>2313</v>
      </c>
      <c r="D575" s="14" t="s">
        <v>2314</v>
      </c>
      <c r="E575" s="82"/>
      <c r="F575" s="102"/>
      <c r="G575" s="22" t="s">
        <v>2315</v>
      </c>
      <c r="H575" s="8"/>
      <c r="I575" s="35"/>
      <c r="J575" s="38">
        <v>1</v>
      </c>
      <c r="K575" s="39">
        <v>20</v>
      </c>
      <c r="L575" s="139">
        <v>44337</v>
      </c>
      <c r="M575" s="33"/>
      <c r="N575" s="33">
        <v>44337</v>
      </c>
      <c r="O575" s="32">
        <v>3116</v>
      </c>
      <c r="P575" s="6" t="s">
        <v>3</v>
      </c>
      <c r="Q575" s="322">
        <v>16.3</v>
      </c>
      <c r="S575" s="7">
        <v>1100</v>
      </c>
      <c r="T575" s="7">
        <v>1100</v>
      </c>
      <c r="U575" s="21"/>
      <c r="V575" s="257"/>
    </row>
    <row r="576" spans="2:22" s="191" customFormat="1" ht="15">
      <c r="B576" s="190"/>
      <c r="C576" s="179" t="s">
        <v>2313</v>
      </c>
      <c r="D576" s="180" t="s">
        <v>2314</v>
      </c>
      <c r="E576" s="181"/>
      <c r="F576" s="622"/>
      <c r="G576" s="182" t="s">
        <v>250</v>
      </c>
      <c r="H576" s="184" t="s">
        <v>251</v>
      </c>
      <c r="I576" s="185"/>
      <c r="J576" s="183"/>
      <c r="K576" s="192">
        <v>0</v>
      </c>
      <c r="L576" s="188">
        <v>44337</v>
      </c>
      <c r="M576" s="187"/>
      <c r="N576" s="187">
        <v>44337</v>
      </c>
      <c r="O576" s="186">
        <v>3116</v>
      </c>
      <c r="P576" s="179"/>
      <c r="Q576" s="725">
        <v>0</v>
      </c>
      <c r="S576" s="197">
        <v>0</v>
      </c>
      <c r="T576" s="198">
        <v>0</v>
      </c>
      <c r="U576" s="335"/>
      <c r="V576" s="726"/>
    </row>
    <row r="577" spans="2:22" s="7" customFormat="1" ht="18" customHeight="1">
      <c r="B577" s="12"/>
      <c r="C577" s="6" t="s">
        <v>2316</v>
      </c>
      <c r="D577" s="14" t="s">
        <v>1982</v>
      </c>
      <c r="E577" s="17" t="s">
        <v>1989</v>
      </c>
      <c r="F577" s="319"/>
      <c r="G577" s="299"/>
      <c r="H577" s="300"/>
      <c r="I577" s="320"/>
      <c r="J577" s="321"/>
      <c r="K577" s="110" t="s">
        <v>5</v>
      </c>
      <c r="L577" s="139">
        <v>44314</v>
      </c>
      <c r="M577" s="33"/>
      <c r="N577" s="33">
        <v>44314</v>
      </c>
      <c r="O577" s="32">
        <v>3117</v>
      </c>
      <c r="P577" s="6"/>
      <c r="Q577" s="322"/>
      <c r="U577" s="39"/>
      <c r="V577" s="257"/>
    </row>
    <row r="578" spans="2:22" s="7" customFormat="1" ht="18" customHeight="1">
      <c r="B578" s="12"/>
      <c r="C578" s="6" t="s">
        <v>2316</v>
      </c>
      <c r="D578" s="14" t="s">
        <v>1982</v>
      </c>
      <c r="E578" s="22">
        <v>5637</v>
      </c>
      <c r="F578" s="24" t="s">
        <v>230</v>
      </c>
      <c r="G578" s="22" t="s">
        <v>2048</v>
      </c>
      <c r="H578" s="108">
        <v>50</v>
      </c>
      <c r="I578" s="109">
        <v>2</v>
      </c>
      <c r="J578" s="8">
        <f>H578*I578</f>
        <v>100</v>
      </c>
      <c r="K578" s="137">
        <v>0.24</v>
      </c>
      <c r="L578" s="139">
        <v>44314</v>
      </c>
      <c r="M578" s="33"/>
      <c r="N578" s="33">
        <v>44314</v>
      </c>
      <c r="O578" s="32">
        <v>3117</v>
      </c>
      <c r="P578" s="6"/>
      <c r="Q578" s="322">
        <v>0.19</v>
      </c>
      <c r="S578" s="92">
        <v>10.4</v>
      </c>
      <c r="T578" s="7">
        <f>S578*J578</f>
        <v>1040</v>
      </c>
      <c r="U578" s="774" t="s">
        <v>2225</v>
      </c>
      <c r="V578" s="257"/>
    </row>
    <row r="579" spans="2:22" s="7" customFormat="1" ht="18" customHeight="1">
      <c r="B579" s="12"/>
      <c r="C579" s="6" t="s">
        <v>2316</v>
      </c>
      <c r="D579" s="14" t="s">
        <v>1982</v>
      </c>
      <c r="E579" s="22">
        <v>5637</v>
      </c>
      <c r="F579" s="24" t="s">
        <v>230</v>
      </c>
      <c r="G579" s="22" t="s">
        <v>188</v>
      </c>
      <c r="H579" s="108">
        <v>50</v>
      </c>
      <c r="I579" s="109">
        <v>1</v>
      </c>
      <c r="J579" s="8">
        <f>H579*I579</f>
        <v>50</v>
      </c>
      <c r="K579" s="137">
        <v>0.24</v>
      </c>
      <c r="L579" s="139">
        <v>44314</v>
      </c>
      <c r="M579" s="33"/>
      <c r="N579" s="33">
        <v>44314</v>
      </c>
      <c r="O579" s="32">
        <v>3117</v>
      </c>
      <c r="P579" s="6"/>
      <c r="Q579" s="322">
        <v>0.19</v>
      </c>
      <c r="S579" s="92">
        <v>12.6</v>
      </c>
      <c r="T579" s="7">
        <f>S579*J579</f>
        <v>630</v>
      </c>
      <c r="U579" s="120"/>
      <c r="V579" s="257"/>
    </row>
    <row r="580" spans="2:22" s="7" customFormat="1" ht="18" customHeight="1">
      <c r="B580" s="12"/>
      <c r="C580" s="6" t="s">
        <v>2316</v>
      </c>
      <c r="D580" s="14" t="s">
        <v>1982</v>
      </c>
      <c r="E580" s="22">
        <v>5637</v>
      </c>
      <c r="F580" s="24" t="s">
        <v>230</v>
      </c>
      <c r="G580" s="22" t="s">
        <v>2049</v>
      </c>
      <c r="H580" s="108">
        <v>50</v>
      </c>
      <c r="I580" s="109">
        <v>1</v>
      </c>
      <c r="J580" s="8">
        <f>H580*I580</f>
        <v>50</v>
      </c>
      <c r="K580" s="137">
        <v>0.24</v>
      </c>
      <c r="L580" s="139">
        <v>44314</v>
      </c>
      <c r="M580" s="33"/>
      <c r="N580" s="33">
        <v>44314</v>
      </c>
      <c r="O580" s="32">
        <v>3117</v>
      </c>
      <c r="P580" s="6"/>
      <c r="Q580" s="322">
        <v>0.19</v>
      </c>
      <c r="S580" s="92">
        <v>12.6</v>
      </c>
      <c r="T580" s="7">
        <f>S580*J580</f>
        <v>630</v>
      </c>
      <c r="U580" s="120"/>
      <c r="V580" s="257"/>
    </row>
    <row r="581" spans="2:22" s="7" customFormat="1" ht="18" customHeight="1">
      <c r="B581" s="12"/>
      <c r="C581" s="6" t="s">
        <v>2316</v>
      </c>
      <c r="D581" s="14" t="s">
        <v>1982</v>
      </c>
      <c r="E581" s="22">
        <v>5637</v>
      </c>
      <c r="F581" s="24" t="s">
        <v>230</v>
      </c>
      <c r="G581" s="22" t="s">
        <v>254</v>
      </c>
      <c r="H581" s="108">
        <v>50</v>
      </c>
      <c r="I581" s="109">
        <v>1</v>
      </c>
      <c r="J581" s="8">
        <f>H581*I581</f>
        <v>50</v>
      </c>
      <c r="K581" s="137">
        <v>0.24</v>
      </c>
      <c r="L581" s="139">
        <v>44314</v>
      </c>
      <c r="M581" s="33"/>
      <c r="N581" s="33">
        <v>44314</v>
      </c>
      <c r="O581" s="32">
        <v>3117</v>
      </c>
      <c r="P581" s="6"/>
      <c r="Q581" s="322">
        <v>0.19</v>
      </c>
      <c r="S581" s="92">
        <v>12.6</v>
      </c>
      <c r="T581" s="7">
        <f>S581*J581</f>
        <v>630</v>
      </c>
      <c r="U581" s="120"/>
      <c r="V581" s="257"/>
    </row>
    <row r="582" spans="2:22" s="7" customFormat="1" ht="15">
      <c r="B582" s="12"/>
      <c r="C582" s="6" t="s">
        <v>2316</v>
      </c>
      <c r="D582" s="14" t="s">
        <v>1982</v>
      </c>
      <c r="E582" s="49"/>
      <c r="F582" s="102"/>
      <c r="G582" s="22" t="s">
        <v>14</v>
      </c>
      <c r="H582" s="8"/>
      <c r="I582" s="35"/>
      <c r="J582" s="38">
        <v>1</v>
      </c>
      <c r="K582" s="39">
        <v>30</v>
      </c>
      <c r="L582" s="139">
        <v>44314</v>
      </c>
      <c r="M582" s="33"/>
      <c r="N582" s="33">
        <v>44314</v>
      </c>
      <c r="O582" s="32">
        <v>3117</v>
      </c>
      <c r="P582" s="6"/>
      <c r="Q582" s="322">
        <v>30</v>
      </c>
      <c r="S582" s="197">
        <v>0</v>
      </c>
      <c r="T582" s="7">
        <f>S582*J582</f>
        <v>0</v>
      </c>
      <c r="U582" s="21"/>
      <c r="V582" s="257"/>
    </row>
    <row r="583" spans="2:22" s="191" customFormat="1" ht="15">
      <c r="B583" s="190"/>
      <c r="C583" s="179" t="s">
        <v>2316</v>
      </c>
      <c r="D583" s="180" t="s">
        <v>1982</v>
      </c>
      <c r="E583" s="181"/>
      <c r="F583" s="182"/>
      <c r="G583" s="182" t="s">
        <v>250</v>
      </c>
      <c r="H583" s="184" t="s">
        <v>251</v>
      </c>
      <c r="I583" s="185"/>
      <c r="J583" s="183"/>
      <c r="K583" s="192">
        <v>0</v>
      </c>
      <c r="L583" s="188">
        <v>44314</v>
      </c>
      <c r="M583" s="187"/>
      <c r="N583" s="187">
        <v>44314</v>
      </c>
      <c r="O583" s="186">
        <v>3117</v>
      </c>
      <c r="P583" s="179"/>
      <c r="Q583" s="725">
        <v>0</v>
      </c>
      <c r="S583" s="197">
        <v>0</v>
      </c>
      <c r="T583" s="198">
        <v>0</v>
      </c>
      <c r="U583" s="335"/>
      <c r="V583" s="726"/>
    </row>
    <row r="584" spans="2:22" s="7" customFormat="1" ht="15">
      <c r="B584" s="12"/>
      <c r="C584" s="6" t="s">
        <v>2317</v>
      </c>
      <c r="D584" s="14" t="s">
        <v>1970</v>
      </c>
      <c r="E584" s="19" t="s">
        <v>2135</v>
      </c>
      <c r="F584" s="24"/>
      <c r="G584" s="22"/>
      <c r="H584" s="60"/>
      <c r="I584" s="61"/>
      <c r="J584" s="60"/>
      <c r="K584" s="10" t="s">
        <v>5</v>
      </c>
      <c r="L584" s="139">
        <v>44326</v>
      </c>
      <c r="M584" s="33"/>
      <c r="N584" s="33">
        <v>44326</v>
      </c>
      <c r="O584" s="32">
        <v>3138</v>
      </c>
      <c r="P584" s="6" t="s">
        <v>3</v>
      </c>
      <c r="Q584" s="358"/>
      <c r="U584" s="120"/>
      <c r="V584" s="257"/>
    </row>
    <row r="585" spans="2:22" s="7" customFormat="1" ht="15">
      <c r="B585" s="12"/>
      <c r="C585" s="6" t="s">
        <v>2317</v>
      </c>
      <c r="D585" s="14" t="s">
        <v>1970</v>
      </c>
      <c r="E585" s="22" t="s">
        <v>2137</v>
      </c>
      <c r="F585" s="24">
        <v>9</v>
      </c>
      <c r="G585" s="22" t="s">
        <v>2318</v>
      </c>
      <c r="H585" s="8">
        <v>50</v>
      </c>
      <c r="I585" s="35">
        <v>1</v>
      </c>
      <c r="J585" s="8">
        <f>H585*I585</f>
        <v>50</v>
      </c>
      <c r="K585" s="23">
        <v>0.45</v>
      </c>
      <c r="L585" s="139">
        <v>44326</v>
      </c>
      <c r="M585" s="33"/>
      <c r="N585" s="33">
        <v>44326</v>
      </c>
      <c r="O585" s="32">
        <v>3138</v>
      </c>
      <c r="P585" s="39">
        <f>ROUNDUP(S585/0.75/90,2)</f>
        <v>0.36</v>
      </c>
      <c r="Q585" s="358">
        <v>0.36</v>
      </c>
      <c r="S585" s="7">
        <v>24</v>
      </c>
      <c r="T585" s="7">
        <f>S585*J585</f>
        <v>1200</v>
      </c>
      <c r="U585" s="120"/>
      <c r="V585" s="257"/>
    </row>
    <row r="586" spans="2:22" s="7" customFormat="1" ht="18" customHeight="1">
      <c r="B586" s="12"/>
      <c r="C586" s="6" t="s">
        <v>2317</v>
      </c>
      <c r="D586" s="14" t="s">
        <v>1970</v>
      </c>
      <c r="E586" s="22"/>
      <c r="F586" s="102"/>
      <c r="G586" s="22" t="s">
        <v>14</v>
      </c>
      <c r="H586" s="8"/>
      <c r="I586" s="35"/>
      <c r="J586" s="38">
        <v>1</v>
      </c>
      <c r="K586" s="39">
        <v>12</v>
      </c>
      <c r="L586" s="139">
        <v>44326</v>
      </c>
      <c r="M586" s="33"/>
      <c r="N586" s="33">
        <v>44326</v>
      </c>
      <c r="O586" s="32">
        <v>3138</v>
      </c>
      <c r="P586" s="6" t="s">
        <v>3</v>
      </c>
      <c r="Q586" s="322">
        <v>12</v>
      </c>
      <c r="S586" s="7">
        <v>1000</v>
      </c>
      <c r="T586" s="7">
        <f>S586*J586</f>
        <v>1000</v>
      </c>
      <c r="U586" s="21"/>
      <c r="V586" s="257"/>
    </row>
    <row r="587" spans="2:22" s="191" customFormat="1" ht="15">
      <c r="B587" s="190"/>
      <c r="C587" s="179" t="s">
        <v>2317</v>
      </c>
      <c r="D587" s="180" t="s">
        <v>1970</v>
      </c>
      <c r="E587" s="181"/>
      <c r="F587" s="622"/>
      <c r="G587" s="182" t="s">
        <v>250</v>
      </c>
      <c r="H587" s="184" t="s">
        <v>251</v>
      </c>
      <c r="I587" s="185"/>
      <c r="J587" s="183"/>
      <c r="K587" s="192">
        <v>0</v>
      </c>
      <c r="L587" s="188">
        <v>44326</v>
      </c>
      <c r="M587" s="187"/>
      <c r="N587" s="187">
        <v>44326</v>
      </c>
      <c r="O587" s="186">
        <v>3138</v>
      </c>
      <c r="P587" s="179"/>
      <c r="Q587" s="725">
        <v>0</v>
      </c>
      <c r="S587" s="197">
        <v>0</v>
      </c>
      <c r="T587" s="198">
        <v>0</v>
      </c>
      <c r="U587" s="335"/>
      <c r="V587" s="726"/>
    </row>
    <row r="588" spans="2:22" s="7" customFormat="1" ht="18" customHeight="1">
      <c r="B588" s="12"/>
      <c r="C588" s="6" t="s">
        <v>2319</v>
      </c>
      <c r="D588" s="14" t="s">
        <v>1963</v>
      </c>
      <c r="E588" s="19" t="s">
        <v>238</v>
      </c>
      <c r="F588" s="107"/>
      <c r="G588" s="22"/>
      <c r="H588" s="108"/>
      <c r="I588" s="109"/>
      <c r="J588" s="108"/>
      <c r="K588" s="110" t="s">
        <v>5</v>
      </c>
      <c r="L588" s="139">
        <v>44323</v>
      </c>
      <c r="M588" s="33"/>
      <c r="N588" s="33">
        <v>44323</v>
      </c>
      <c r="O588" s="32">
        <v>3131</v>
      </c>
      <c r="P588" s="14"/>
      <c r="Q588" s="322"/>
      <c r="U588" s="14"/>
      <c r="V588" s="257"/>
    </row>
    <row r="589" spans="2:22" s="7" customFormat="1" ht="18" customHeight="1">
      <c r="B589" s="12"/>
      <c r="C589" s="6" t="s">
        <v>2319</v>
      </c>
      <c r="D589" s="14" t="s">
        <v>1963</v>
      </c>
      <c r="E589" s="22" t="s">
        <v>239</v>
      </c>
      <c r="F589" s="107">
        <v>150</v>
      </c>
      <c r="G589" s="22" t="s">
        <v>2293</v>
      </c>
      <c r="H589" s="108">
        <v>10</v>
      </c>
      <c r="I589" s="109">
        <v>1</v>
      </c>
      <c r="J589" s="8">
        <f>H589*I589</f>
        <v>10</v>
      </c>
      <c r="K589" s="39">
        <v>6.53</v>
      </c>
      <c r="L589" s="139">
        <v>44323</v>
      </c>
      <c r="M589" s="33"/>
      <c r="N589" s="33">
        <v>44323</v>
      </c>
      <c r="O589" s="32">
        <v>3131</v>
      </c>
      <c r="P589" s="6"/>
      <c r="Q589" s="322">
        <v>5.81</v>
      </c>
      <c r="S589" s="7">
        <v>470</v>
      </c>
      <c r="T589" s="7">
        <f>S589*J589</f>
        <v>4700</v>
      </c>
      <c r="U589" s="21"/>
      <c r="V589" s="257"/>
    </row>
    <row r="590" spans="2:22" s="7" customFormat="1" ht="15">
      <c r="B590" s="12"/>
      <c r="C590" s="6" t="s">
        <v>2319</v>
      </c>
      <c r="D590" s="14" t="s">
        <v>1963</v>
      </c>
      <c r="E590" s="49"/>
      <c r="F590" s="102"/>
      <c r="G590" s="22" t="s">
        <v>57</v>
      </c>
      <c r="H590" s="195"/>
      <c r="I590" s="35"/>
      <c r="J590" s="195">
        <v>1</v>
      </c>
      <c r="K590" s="39">
        <v>15</v>
      </c>
      <c r="L590" s="139">
        <v>44323</v>
      </c>
      <c r="M590" s="33"/>
      <c r="N590" s="33">
        <v>44323</v>
      </c>
      <c r="O590" s="32">
        <v>3131</v>
      </c>
      <c r="P590" s="6"/>
      <c r="Q590" s="322">
        <v>15</v>
      </c>
      <c r="S590" s="7">
        <v>1000</v>
      </c>
      <c r="T590" s="7">
        <f>S590*J590</f>
        <v>1000</v>
      </c>
      <c r="U590" s="21"/>
      <c r="V590" s="257"/>
    </row>
    <row r="591" spans="2:22" s="7" customFormat="1" ht="15">
      <c r="B591" s="12"/>
      <c r="C591" s="6" t="s">
        <v>2319</v>
      </c>
      <c r="D591" s="14" t="s">
        <v>1963</v>
      </c>
      <c r="E591" s="49"/>
      <c r="F591" s="102"/>
      <c r="G591" s="22" t="s">
        <v>14</v>
      </c>
      <c r="H591" s="38"/>
      <c r="I591" s="35"/>
      <c r="J591" s="38">
        <v>1</v>
      </c>
      <c r="K591" s="39">
        <v>20</v>
      </c>
      <c r="L591" s="139">
        <v>44323</v>
      </c>
      <c r="M591" s="33"/>
      <c r="N591" s="33">
        <v>44323</v>
      </c>
      <c r="O591" s="32">
        <v>3131</v>
      </c>
      <c r="P591" s="6"/>
      <c r="Q591" s="322">
        <v>20</v>
      </c>
      <c r="S591" s="7">
        <v>1000</v>
      </c>
      <c r="T591" s="7">
        <f>S591*J591</f>
        <v>1000</v>
      </c>
      <c r="U591" s="21"/>
      <c r="V591" s="257"/>
    </row>
    <row r="592" spans="2:22" s="191" customFormat="1" ht="15">
      <c r="B592" s="190"/>
      <c r="C592" s="179" t="s">
        <v>2319</v>
      </c>
      <c r="D592" s="180" t="s">
        <v>1963</v>
      </c>
      <c r="E592" s="181"/>
      <c r="F592" s="182"/>
      <c r="G592" s="182" t="s">
        <v>250</v>
      </c>
      <c r="H592" s="184" t="s">
        <v>251</v>
      </c>
      <c r="I592" s="185"/>
      <c r="J592" s="183"/>
      <c r="K592" s="192">
        <v>0</v>
      </c>
      <c r="L592" s="188">
        <v>44323</v>
      </c>
      <c r="M592" s="187"/>
      <c r="N592" s="187">
        <v>44323</v>
      </c>
      <c r="O592" s="186">
        <v>3131</v>
      </c>
      <c r="P592" s="179"/>
      <c r="Q592" s="725">
        <v>0</v>
      </c>
      <c r="S592" s="197">
        <v>0</v>
      </c>
      <c r="T592" s="198">
        <v>0</v>
      </c>
      <c r="U592" s="335"/>
      <c r="V592" s="726"/>
    </row>
    <row r="593" spans="2:22" s="7" customFormat="1" ht="15">
      <c r="B593" s="12"/>
      <c r="C593" s="6" t="s">
        <v>2320</v>
      </c>
      <c r="D593" s="14" t="s">
        <v>2022</v>
      </c>
      <c r="E593" s="19" t="s">
        <v>59</v>
      </c>
      <c r="F593" s="107"/>
      <c r="G593" s="22"/>
      <c r="H593" s="108"/>
      <c r="I593" s="109"/>
      <c r="J593" s="108"/>
      <c r="K593" s="110" t="s">
        <v>5</v>
      </c>
      <c r="L593" s="139">
        <v>44328</v>
      </c>
      <c r="M593" s="33"/>
      <c r="N593" s="33">
        <v>44328</v>
      </c>
      <c r="O593" s="32">
        <v>3145</v>
      </c>
      <c r="P593" s="14"/>
      <c r="Q593" s="322"/>
      <c r="S593" s="72"/>
      <c r="U593" s="14"/>
      <c r="V593" s="257"/>
    </row>
    <row r="594" spans="2:22" s="7" customFormat="1" ht="15">
      <c r="B594" s="12"/>
      <c r="C594" s="6" t="s">
        <v>2320</v>
      </c>
      <c r="D594" s="14" t="s">
        <v>2022</v>
      </c>
      <c r="E594" s="22">
        <v>2440</v>
      </c>
      <c r="F594" s="107">
        <v>140</v>
      </c>
      <c r="G594" s="22" t="s">
        <v>2321</v>
      </c>
      <c r="H594" s="60">
        <v>4</v>
      </c>
      <c r="I594" s="61">
        <v>1</v>
      </c>
      <c r="J594" s="8">
        <f>H594*I594</f>
        <v>4</v>
      </c>
      <c r="K594" s="39">
        <v>3.34</v>
      </c>
      <c r="L594" s="39">
        <f>K594*J594</f>
        <v>13.36</v>
      </c>
      <c r="M594" s="33"/>
      <c r="N594" s="33">
        <v>44328</v>
      </c>
      <c r="O594" s="32">
        <v>3145</v>
      </c>
      <c r="P594" s="6"/>
      <c r="Q594" s="322">
        <v>2.97</v>
      </c>
      <c r="S594" s="92">
        <v>240</v>
      </c>
      <c r="T594" s="210">
        <f>S594*J594</f>
        <v>960</v>
      </c>
      <c r="U594" s="21"/>
      <c r="V594" s="257"/>
    </row>
    <row r="595" spans="2:22" s="7" customFormat="1" ht="15">
      <c r="B595" s="12"/>
      <c r="C595" s="6" t="s">
        <v>2320</v>
      </c>
      <c r="D595" s="14" t="s">
        <v>2022</v>
      </c>
      <c r="E595" s="22">
        <v>2440</v>
      </c>
      <c r="F595" s="107">
        <v>140</v>
      </c>
      <c r="G595" s="22" t="s">
        <v>2322</v>
      </c>
      <c r="H595" s="60">
        <v>4</v>
      </c>
      <c r="I595" s="61">
        <v>1</v>
      </c>
      <c r="J595" s="60">
        <f>H595*I595</f>
        <v>4</v>
      </c>
      <c r="K595" s="39">
        <v>3.34</v>
      </c>
      <c r="L595" s="39">
        <f>K595*J595</f>
        <v>13.36</v>
      </c>
      <c r="M595" s="33"/>
      <c r="N595" s="33">
        <v>44328</v>
      </c>
      <c r="O595" s="32">
        <v>3145</v>
      </c>
      <c r="P595" s="6"/>
      <c r="Q595" s="322">
        <v>2.97</v>
      </c>
      <c r="S595" s="92">
        <v>240</v>
      </c>
      <c r="T595" s="210">
        <f>S595*J595</f>
        <v>960</v>
      </c>
      <c r="U595" s="21"/>
      <c r="V595" s="257"/>
    </row>
    <row r="596" spans="2:22" s="7" customFormat="1" ht="15">
      <c r="B596" s="12"/>
      <c r="C596" s="6" t="s">
        <v>2320</v>
      </c>
      <c r="D596" s="14" t="s">
        <v>2022</v>
      </c>
      <c r="E596" s="22">
        <v>2440</v>
      </c>
      <c r="F596" s="107">
        <v>140</v>
      </c>
      <c r="G596" s="22" t="s">
        <v>2323</v>
      </c>
      <c r="H596" s="60">
        <v>4</v>
      </c>
      <c r="I596" s="61">
        <v>1</v>
      </c>
      <c r="J596" s="60">
        <f>H596*I596</f>
        <v>4</v>
      </c>
      <c r="K596" s="39">
        <v>3.34</v>
      </c>
      <c r="L596" s="39">
        <f>K596*J596</f>
        <v>13.36</v>
      </c>
      <c r="M596" s="33"/>
      <c r="N596" s="33">
        <v>44328</v>
      </c>
      <c r="O596" s="32">
        <v>3145</v>
      </c>
      <c r="P596" s="6"/>
      <c r="Q596" s="322">
        <v>2.97</v>
      </c>
      <c r="S596" s="92">
        <v>240</v>
      </c>
      <c r="T596" s="210">
        <f>S596*J596</f>
        <v>960</v>
      </c>
      <c r="U596" s="21"/>
      <c r="V596" s="257"/>
    </row>
    <row r="597" spans="2:22" s="7" customFormat="1" ht="15">
      <c r="B597" s="12"/>
      <c r="C597" s="6" t="s">
        <v>2320</v>
      </c>
      <c r="D597" s="14" t="s">
        <v>2022</v>
      </c>
      <c r="E597" s="49"/>
      <c r="F597" s="102"/>
      <c r="G597" s="22" t="s">
        <v>57</v>
      </c>
      <c r="H597" s="195"/>
      <c r="I597" s="35"/>
      <c r="J597" s="195">
        <v>3</v>
      </c>
      <c r="K597" s="39">
        <v>12</v>
      </c>
      <c r="L597" s="139">
        <v>44328</v>
      </c>
      <c r="M597" s="33"/>
      <c r="N597" s="33">
        <v>44328</v>
      </c>
      <c r="O597" s="32">
        <v>3145</v>
      </c>
      <c r="P597" s="6"/>
      <c r="Q597" s="322">
        <v>36</v>
      </c>
      <c r="S597" s="7">
        <v>1000</v>
      </c>
      <c r="T597" s="7">
        <f>S597*J597</f>
        <v>3000</v>
      </c>
      <c r="U597" s="21"/>
      <c r="V597" s="257"/>
    </row>
    <row r="598" spans="2:22" s="7" customFormat="1" ht="15">
      <c r="B598" s="12"/>
      <c r="C598" s="6" t="s">
        <v>2320</v>
      </c>
      <c r="D598" s="14" t="s">
        <v>2022</v>
      </c>
      <c r="E598" s="49"/>
      <c r="F598" s="102"/>
      <c r="G598" s="22" t="s">
        <v>14</v>
      </c>
      <c r="H598" s="38"/>
      <c r="I598" s="35"/>
      <c r="J598" s="38">
        <v>1</v>
      </c>
      <c r="K598" s="39">
        <v>20</v>
      </c>
      <c r="L598" s="139">
        <v>44328</v>
      </c>
      <c r="M598" s="33"/>
      <c r="N598" s="33">
        <v>44328</v>
      </c>
      <c r="O598" s="32">
        <v>3145</v>
      </c>
      <c r="P598" s="6"/>
      <c r="Q598" s="322">
        <v>20</v>
      </c>
      <c r="S598" s="7">
        <v>1000</v>
      </c>
      <c r="T598" s="7">
        <f>S598*J598</f>
        <v>1000</v>
      </c>
      <c r="U598" s="21"/>
      <c r="V598" s="257"/>
    </row>
    <row r="599" spans="2:22" s="191" customFormat="1" ht="15">
      <c r="B599" s="190"/>
      <c r="C599" s="179" t="s">
        <v>2320</v>
      </c>
      <c r="D599" s="180" t="s">
        <v>2022</v>
      </c>
      <c r="E599" s="181"/>
      <c r="F599" s="182"/>
      <c r="G599" s="182" t="s">
        <v>250</v>
      </c>
      <c r="H599" s="184" t="s">
        <v>251</v>
      </c>
      <c r="I599" s="185"/>
      <c r="J599" s="183"/>
      <c r="K599" s="192">
        <v>0</v>
      </c>
      <c r="L599" s="188">
        <v>44328</v>
      </c>
      <c r="M599" s="187"/>
      <c r="N599" s="187">
        <v>44328</v>
      </c>
      <c r="O599" s="186">
        <v>3145</v>
      </c>
      <c r="P599" s="179"/>
      <c r="Q599" s="725">
        <v>0</v>
      </c>
      <c r="S599" s="189">
        <v>0</v>
      </c>
      <c r="T599" s="190">
        <v>0</v>
      </c>
      <c r="U599" s="335"/>
      <c r="V599" s="726"/>
    </row>
    <row r="600" spans="2:22" s="7" customFormat="1" ht="15">
      <c r="B600" s="12"/>
      <c r="C600" s="6" t="s">
        <v>2324</v>
      </c>
      <c r="D600" s="14" t="s">
        <v>2059</v>
      </c>
      <c r="E600" s="19" t="s">
        <v>231</v>
      </c>
      <c r="F600" s="37"/>
      <c r="G600" s="37"/>
      <c r="H600" s="108"/>
      <c r="I600" s="108"/>
      <c r="J600" s="108"/>
      <c r="K600" s="29" t="s">
        <v>232</v>
      </c>
      <c r="L600" s="139">
        <v>44341</v>
      </c>
      <c r="M600" s="33"/>
      <c r="N600" s="33">
        <v>44341</v>
      </c>
      <c r="O600" s="32">
        <v>3189</v>
      </c>
      <c r="P600" s="6"/>
      <c r="Q600" s="339"/>
      <c r="U600" s="21"/>
      <c r="V600" s="257"/>
    </row>
    <row r="601" spans="2:22" s="7" customFormat="1" ht="15">
      <c r="B601" s="12"/>
      <c r="C601" s="6" t="s">
        <v>2324</v>
      </c>
      <c r="D601" s="14" t="s">
        <v>2059</v>
      </c>
      <c r="E601" s="22" t="s">
        <v>257</v>
      </c>
      <c r="F601" s="112">
        <v>327</v>
      </c>
      <c r="G601" s="165" t="s">
        <v>2213</v>
      </c>
      <c r="H601" s="166">
        <v>60</v>
      </c>
      <c r="I601" s="166">
        <v>60</v>
      </c>
      <c r="J601" s="166">
        <v>60</v>
      </c>
      <c r="K601" s="39">
        <v>1.97</v>
      </c>
      <c r="L601" s="139">
        <v>44341</v>
      </c>
      <c r="M601" s="33"/>
      <c r="N601" s="33">
        <v>44341</v>
      </c>
      <c r="O601" s="32">
        <v>3189</v>
      </c>
      <c r="P601" s="39">
        <f>ROUNDUP(S601/0.75/90,2)</f>
        <v>1.23</v>
      </c>
      <c r="Q601" s="322">
        <v>1.23</v>
      </c>
      <c r="S601" s="7">
        <v>82.4</v>
      </c>
      <c r="T601" s="7">
        <f>S601*J601</f>
        <v>4944</v>
      </c>
      <c r="U601" s="137"/>
      <c r="V601" s="257"/>
    </row>
    <row r="602" spans="2:22" s="7" customFormat="1" ht="15">
      <c r="B602" s="12"/>
      <c r="C602" s="6" t="s">
        <v>2324</v>
      </c>
      <c r="D602" s="14" t="s">
        <v>2059</v>
      </c>
      <c r="E602" s="22" t="s">
        <v>257</v>
      </c>
      <c r="F602" s="112">
        <v>135</v>
      </c>
      <c r="G602" s="165" t="s">
        <v>2213</v>
      </c>
      <c r="H602" s="166">
        <v>60</v>
      </c>
      <c r="I602" s="166">
        <v>60</v>
      </c>
      <c r="J602" s="166">
        <v>60</v>
      </c>
      <c r="K602" s="39">
        <v>1.04</v>
      </c>
      <c r="L602" s="139">
        <v>44341</v>
      </c>
      <c r="M602" s="33"/>
      <c r="N602" s="33">
        <v>44341</v>
      </c>
      <c r="O602" s="32">
        <v>3189</v>
      </c>
      <c r="P602" s="39">
        <f>ROUNDUP(S602/0.75/90,2)</f>
        <v>0.65</v>
      </c>
      <c r="Q602" s="322">
        <v>0.65</v>
      </c>
      <c r="S602" s="7">
        <v>43.6</v>
      </c>
      <c r="T602" s="7">
        <f>S602*J602</f>
        <v>2616</v>
      </c>
      <c r="U602" s="137"/>
      <c r="V602" s="257"/>
    </row>
    <row r="603" spans="2:22" s="7" customFormat="1" ht="15">
      <c r="B603" s="12"/>
      <c r="C603" s="6" t="s">
        <v>2324</v>
      </c>
      <c r="D603" s="14" t="s">
        <v>2059</v>
      </c>
      <c r="E603" s="22" t="s">
        <v>257</v>
      </c>
      <c r="F603" s="112">
        <v>327</v>
      </c>
      <c r="G603" s="165" t="s">
        <v>2061</v>
      </c>
      <c r="H603" s="166">
        <v>25</v>
      </c>
      <c r="I603" s="166">
        <v>25</v>
      </c>
      <c r="J603" s="166">
        <v>25</v>
      </c>
      <c r="K603" s="39">
        <v>1.34</v>
      </c>
      <c r="L603" s="139">
        <v>44341</v>
      </c>
      <c r="M603" s="33"/>
      <c r="N603" s="33">
        <v>44341</v>
      </c>
      <c r="O603" s="32">
        <v>3189</v>
      </c>
      <c r="P603" s="39">
        <f>ROUNDUP(S603/0.75/90,2)</f>
        <v>1.08</v>
      </c>
      <c r="Q603" s="322">
        <v>1.08</v>
      </c>
      <c r="S603" s="7">
        <v>72.400000000000006</v>
      </c>
      <c r="T603" s="7">
        <f>S603*J603</f>
        <v>1810.0000000000002</v>
      </c>
      <c r="U603" s="137"/>
      <c r="V603" s="257"/>
    </row>
    <row r="604" spans="2:22" s="7" customFormat="1" ht="18" customHeight="1">
      <c r="B604" s="12"/>
      <c r="C604" s="6" t="s">
        <v>2324</v>
      </c>
      <c r="D604" s="14" t="s">
        <v>2059</v>
      </c>
      <c r="E604" s="49"/>
      <c r="F604" s="37"/>
      <c r="G604" s="37" t="s">
        <v>191</v>
      </c>
      <c r="H604" s="8"/>
      <c r="I604" s="109" ph="1"/>
      <c r="J604" s="38">
        <v>3</v>
      </c>
      <c r="K604" s="39">
        <v>10</v>
      </c>
      <c r="L604" s="139">
        <v>44341</v>
      </c>
      <c r="M604" s="33"/>
      <c r="N604" s="33">
        <v>44341</v>
      </c>
      <c r="O604" s="32">
        <v>3189</v>
      </c>
      <c r="P604" s="6"/>
      <c r="Q604" s="322">
        <v>7.41</v>
      </c>
      <c r="S604" s="7">
        <v>500</v>
      </c>
      <c r="T604" s="7">
        <f>S604*J604</f>
        <v>1500</v>
      </c>
      <c r="U604" s="21"/>
      <c r="V604" s="257"/>
    </row>
    <row r="605" spans="2:22" s="7" customFormat="1" ht="18" customHeight="1">
      <c r="B605" s="12"/>
      <c r="C605" s="6" t="s">
        <v>2324</v>
      </c>
      <c r="D605" s="14" t="s">
        <v>2059</v>
      </c>
      <c r="E605" s="49"/>
      <c r="F605" s="37"/>
      <c r="G605" s="37" t="s">
        <v>14</v>
      </c>
      <c r="H605" s="8"/>
      <c r="I605" s="109" ph="1"/>
      <c r="J605" s="38">
        <v>1</v>
      </c>
      <c r="K605" s="39">
        <v>12</v>
      </c>
      <c r="L605" s="139">
        <v>44341</v>
      </c>
      <c r="M605" s="33"/>
      <c r="N605" s="33">
        <v>44341</v>
      </c>
      <c r="O605" s="32">
        <v>3189</v>
      </c>
      <c r="P605" s="6"/>
      <c r="Q605" s="322">
        <v>12</v>
      </c>
      <c r="S605" s="7">
        <v>1100</v>
      </c>
      <c r="T605" s="7">
        <f>S605*J605</f>
        <v>1100</v>
      </c>
      <c r="U605" s="21"/>
      <c r="V605" s="257"/>
    </row>
    <row r="606" spans="2:22" s="191" customFormat="1" ht="15">
      <c r="B606" s="190"/>
      <c r="C606" s="179" t="s">
        <v>2325</v>
      </c>
      <c r="D606" s="180" t="s">
        <v>2059</v>
      </c>
      <c r="E606" s="181"/>
      <c r="F606" s="622"/>
      <c r="G606" s="182" t="s">
        <v>250</v>
      </c>
      <c r="H606" s="184" t="s">
        <v>251</v>
      </c>
      <c r="I606" s="185"/>
      <c r="J606" s="183"/>
      <c r="K606" s="192">
        <v>35</v>
      </c>
      <c r="L606" s="188">
        <v>44341</v>
      </c>
      <c r="M606" s="187"/>
      <c r="N606" s="187">
        <v>44341</v>
      </c>
      <c r="O606" s="186">
        <v>3189</v>
      </c>
      <c r="P606" s="179"/>
      <c r="Q606" s="725">
        <v>35</v>
      </c>
      <c r="S606" s="212">
        <v>2938</v>
      </c>
      <c r="T606" s="786">
        <v>2938</v>
      </c>
      <c r="U606" s="335"/>
      <c r="V606" s="726"/>
    </row>
    <row r="607" spans="2:22" s="7" customFormat="1" ht="18" customHeight="1">
      <c r="B607" s="12"/>
      <c r="C607" s="6" t="s">
        <v>2326</v>
      </c>
      <c r="D607" s="14" t="s">
        <v>1970</v>
      </c>
      <c r="E607" s="17" t="s">
        <v>160</v>
      </c>
      <c r="F607" s="319"/>
      <c r="G607" s="299"/>
      <c r="H607" s="300" t="s">
        <v>355</v>
      </c>
      <c r="I607" s="320"/>
      <c r="J607" s="321"/>
      <c r="K607" s="110" t="s">
        <v>101</v>
      </c>
      <c r="L607" s="139">
        <v>44333</v>
      </c>
      <c r="M607" s="33"/>
      <c r="N607" s="33">
        <v>44333</v>
      </c>
      <c r="O607" s="32">
        <v>3157</v>
      </c>
      <c r="P607" s="6"/>
      <c r="Q607" s="322"/>
      <c r="U607" s="39"/>
      <c r="V607" s="257"/>
    </row>
    <row r="608" spans="2:22" s="7" customFormat="1" ht="18" customHeight="1">
      <c r="B608" s="12"/>
      <c r="C608" s="6" t="s">
        <v>2326</v>
      </c>
      <c r="D608" s="14" t="s">
        <v>1970</v>
      </c>
      <c r="E608" s="22">
        <v>14552</v>
      </c>
      <c r="F608" s="24">
        <v>25</v>
      </c>
      <c r="G608" s="22" t="s">
        <v>2327</v>
      </c>
      <c r="H608" s="108">
        <v>30</v>
      </c>
      <c r="I608" s="109">
        <v>1</v>
      </c>
      <c r="J608" s="108">
        <v>30</v>
      </c>
      <c r="K608" s="39">
        <v>1.02</v>
      </c>
      <c r="L608" s="139">
        <v>44333</v>
      </c>
      <c r="M608" s="33"/>
      <c r="N608" s="33">
        <v>44333</v>
      </c>
      <c r="O608" s="32">
        <v>3157</v>
      </c>
      <c r="P608" s="6"/>
      <c r="Q608" s="358">
        <v>0.82</v>
      </c>
      <c r="S608" s="7">
        <v>55</v>
      </c>
      <c r="T608" s="7">
        <f>S608*J608</f>
        <v>1650</v>
      </c>
      <c r="U608" s="120"/>
      <c r="V608" s="257"/>
    </row>
    <row r="609" spans="2:22" s="7" customFormat="1" ht="18" customHeight="1">
      <c r="B609" s="12"/>
      <c r="C609" s="6" t="s">
        <v>2326</v>
      </c>
      <c r="D609" s="14" t="s">
        <v>1970</v>
      </c>
      <c r="E609" s="49"/>
      <c r="F609" s="37"/>
      <c r="G609" s="37" t="s">
        <v>14</v>
      </c>
      <c r="H609" s="8"/>
      <c r="I609" s="109" ph="1"/>
      <c r="J609" s="38">
        <v>1</v>
      </c>
      <c r="K609" s="39">
        <v>12</v>
      </c>
      <c r="L609" s="139">
        <v>44333</v>
      </c>
      <c r="M609" s="33"/>
      <c r="N609" s="33">
        <v>44333</v>
      </c>
      <c r="O609" s="32">
        <v>3157</v>
      </c>
      <c r="P609" s="6"/>
      <c r="Q609" s="322">
        <v>12</v>
      </c>
      <c r="S609" s="7">
        <v>1000</v>
      </c>
      <c r="T609" s="7">
        <f>S609*J609</f>
        <v>1000</v>
      </c>
      <c r="U609" s="21"/>
      <c r="V609" s="257"/>
    </row>
    <row r="610" spans="2:22" s="191" customFormat="1" ht="15">
      <c r="B610" s="190"/>
      <c r="C610" s="179" t="s">
        <v>2326</v>
      </c>
      <c r="D610" s="180" t="s">
        <v>1970</v>
      </c>
      <c r="E610" s="181"/>
      <c r="F610" s="622"/>
      <c r="G610" s="182" t="s">
        <v>250</v>
      </c>
      <c r="H610" s="184" t="s">
        <v>251</v>
      </c>
      <c r="I610" s="185"/>
      <c r="J610" s="183"/>
      <c r="K610" s="192">
        <v>0</v>
      </c>
      <c r="L610" s="188">
        <v>44333</v>
      </c>
      <c r="M610" s="187"/>
      <c r="N610" s="187">
        <v>44333</v>
      </c>
      <c r="O610" s="186">
        <v>3157</v>
      </c>
      <c r="P610" s="179"/>
      <c r="Q610" s="725">
        <v>0</v>
      </c>
      <c r="S610" s="197">
        <v>0</v>
      </c>
      <c r="T610" s="198">
        <v>0</v>
      </c>
      <c r="U610" s="335"/>
      <c r="V610" s="726"/>
    </row>
    <row r="611" spans="2:22" s="7" customFormat="1" ht="15">
      <c r="B611" s="12"/>
      <c r="C611" s="6" t="s">
        <v>2328</v>
      </c>
      <c r="D611" s="14" t="s">
        <v>2329</v>
      </c>
      <c r="E611" s="19" t="s">
        <v>59</v>
      </c>
      <c r="F611" s="107"/>
      <c r="G611" s="22"/>
      <c r="H611" s="108"/>
      <c r="I611" s="109"/>
      <c r="J611" s="108"/>
      <c r="K611" s="110" t="s">
        <v>5</v>
      </c>
      <c r="L611" s="139">
        <v>44357</v>
      </c>
      <c r="M611" s="33"/>
      <c r="N611" s="33">
        <v>44357</v>
      </c>
      <c r="O611" s="32">
        <v>3170</v>
      </c>
      <c r="P611" s="14"/>
      <c r="Q611" s="322"/>
      <c r="S611" s="72"/>
      <c r="U611" s="14"/>
      <c r="V611" s="257"/>
    </row>
    <row r="612" spans="2:22" s="7" customFormat="1" ht="15">
      <c r="B612" s="12"/>
      <c r="C612" s="6" t="s">
        <v>2328</v>
      </c>
      <c r="D612" s="14" t="s">
        <v>2329</v>
      </c>
      <c r="E612" s="22">
        <v>2440</v>
      </c>
      <c r="F612" s="107">
        <v>140</v>
      </c>
      <c r="G612" s="22" t="s">
        <v>2330</v>
      </c>
      <c r="H612" s="8">
        <v>58</v>
      </c>
      <c r="I612" s="35">
        <v>2</v>
      </c>
      <c r="J612" s="8">
        <f>H612*I612</f>
        <v>116</v>
      </c>
      <c r="K612" s="39">
        <v>3.34</v>
      </c>
      <c r="L612" s="139">
        <v>44357</v>
      </c>
      <c r="M612" s="33"/>
      <c r="N612" s="33">
        <v>44357</v>
      </c>
      <c r="O612" s="32">
        <v>3170</v>
      </c>
      <c r="P612" s="6"/>
      <c r="Q612" s="322">
        <v>2.97</v>
      </c>
      <c r="S612" s="92">
        <v>240</v>
      </c>
      <c r="T612" s="210">
        <f>S612*J612</f>
        <v>27840</v>
      </c>
      <c r="U612" s="21"/>
      <c r="V612" s="257"/>
    </row>
    <row r="613" spans="2:22" s="7" customFormat="1" ht="15">
      <c r="B613" s="12"/>
      <c r="C613" s="6" t="s">
        <v>2328</v>
      </c>
      <c r="D613" s="14" t="s">
        <v>2329</v>
      </c>
      <c r="E613" s="22">
        <v>2440</v>
      </c>
      <c r="F613" s="107">
        <v>140</v>
      </c>
      <c r="G613" s="22" t="s">
        <v>2331</v>
      </c>
      <c r="H613" s="8">
        <v>58</v>
      </c>
      <c r="I613" s="35">
        <v>1</v>
      </c>
      <c r="J613" s="8">
        <f>H613*I613</f>
        <v>58</v>
      </c>
      <c r="K613" s="39">
        <v>3.34</v>
      </c>
      <c r="L613" s="139">
        <v>44357</v>
      </c>
      <c r="M613" s="33"/>
      <c r="N613" s="33">
        <v>44357</v>
      </c>
      <c r="O613" s="32">
        <v>3170</v>
      </c>
      <c r="P613" s="6"/>
      <c r="Q613" s="322">
        <v>2.97</v>
      </c>
      <c r="S613" s="92">
        <v>240</v>
      </c>
      <c r="T613" s="210">
        <f>S613*J613</f>
        <v>13920</v>
      </c>
      <c r="U613" s="21"/>
      <c r="V613" s="257"/>
    </row>
    <row r="614" spans="2:22" s="7" customFormat="1" ht="15">
      <c r="B614" s="12"/>
      <c r="C614" s="6" t="s">
        <v>2328</v>
      </c>
      <c r="D614" s="14" t="s">
        <v>2329</v>
      </c>
      <c r="E614" s="22">
        <v>2440</v>
      </c>
      <c r="F614" s="107">
        <v>140</v>
      </c>
      <c r="G614" s="22" t="s">
        <v>2331</v>
      </c>
      <c r="H614" s="8">
        <v>22</v>
      </c>
      <c r="I614" s="35">
        <v>1</v>
      </c>
      <c r="J614" s="8">
        <f>H614*I614</f>
        <v>22</v>
      </c>
      <c r="K614" s="39">
        <v>3.34</v>
      </c>
      <c r="L614" s="139">
        <v>44357</v>
      </c>
      <c r="M614" s="33"/>
      <c r="N614" s="33">
        <v>44357</v>
      </c>
      <c r="O614" s="32">
        <v>3170</v>
      </c>
      <c r="P614" s="6"/>
      <c r="Q614" s="322">
        <v>2.97</v>
      </c>
      <c r="S614" s="92">
        <v>240</v>
      </c>
      <c r="T614" s="210">
        <f>S614*J614</f>
        <v>5280</v>
      </c>
      <c r="U614" s="21"/>
      <c r="V614" s="257"/>
    </row>
    <row r="615" spans="2:22" s="7" customFormat="1" ht="15">
      <c r="B615" s="12"/>
      <c r="C615" s="6" t="s">
        <v>2328</v>
      </c>
      <c r="D615" s="14" t="s">
        <v>2329</v>
      </c>
      <c r="E615" s="22"/>
      <c r="F615" s="102"/>
      <c r="G615" s="22" t="s">
        <v>57</v>
      </c>
      <c r="H615" s="8"/>
      <c r="I615" s="35"/>
      <c r="J615" s="38">
        <v>1</v>
      </c>
      <c r="K615" s="39">
        <v>15</v>
      </c>
      <c r="L615" s="139">
        <v>44357</v>
      </c>
      <c r="M615" s="33"/>
      <c r="N615" s="33">
        <v>44357</v>
      </c>
      <c r="O615" s="32">
        <v>3170</v>
      </c>
      <c r="P615" s="6"/>
      <c r="Q615" s="322">
        <v>15</v>
      </c>
      <c r="S615" s="92">
        <v>1000</v>
      </c>
      <c r="T615" s="210">
        <f>S615*J615</f>
        <v>1000</v>
      </c>
      <c r="U615" s="21"/>
      <c r="V615" s="257"/>
    </row>
    <row r="616" spans="2:22" s="7" customFormat="1" ht="15">
      <c r="B616" s="12"/>
      <c r="C616" s="6" t="s">
        <v>2328</v>
      </c>
      <c r="D616" s="14" t="s">
        <v>2329</v>
      </c>
      <c r="E616" s="22"/>
      <c r="F616" s="102"/>
      <c r="G616" s="22" t="s">
        <v>180</v>
      </c>
      <c r="H616" s="8"/>
      <c r="I616" s="35"/>
      <c r="J616" s="38">
        <v>1</v>
      </c>
      <c r="K616" s="39">
        <v>20</v>
      </c>
      <c r="L616" s="139">
        <v>44357</v>
      </c>
      <c r="M616" s="33"/>
      <c r="N616" s="33">
        <v>44357</v>
      </c>
      <c r="O616" s="32">
        <v>3170</v>
      </c>
      <c r="P616" s="6"/>
      <c r="Q616" s="322">
        <v>20</v>
      </c>
      <c r="S616" s="92">
        <v>1800</v>
      </c>
      <c r="T616" s="210">
        <f>S616*J616</f>
        <v>1800</v>
      </c>
      <c r="U616" s="21"/>
      <c r="V616" s="257"/>
    </row>
    <row r="617" spans="2:22" s="191" customFormat="1" ht="15">
      <c r="B617" s="190"/>
      <c r="C617" s="179" t="s">
        <v>2328</v>
      </c>
      <c r="D617" s="180" t="s">
        <v>2329</v>
      </c>
      <c r="E617" s="181"/>
      <c r="F617" s="182"/>
      <c r="G617" s="182" t="s">
        <v>250</v>
      </c>
      <c r="H617" s="184" t="s">
        <v>252</v>
      </c>
      <c r="I617" s="185"/>
      <c r="J617" s="183"/>
      <c r="K617" s="192">
        <v>210</v>
      </c>
      <c r="L617" s="188">
        <v>44357</v>
      </c>
      <c r="M617" s="187"/>
      <c r="N617" s="187">
        <v>44357</v>
      </c>
      <c r="O617" s="186">
        <v>3170</v>
      </c>
      <c r="P617" s="179"/>
      <c r="Q617" s="725">
        <v>190</v>
      </c>
      <c r="S617" s="212">
        <v>6991</v>
      </c>
      <c r="T617" s="212">
        <v>6991</v>
      </c>
      <c r="U617" s="335"/>
      <c r="V617" s="726"/>
    </row>
    <row r="618" spans="2:22" s="7" customFormat="1" ht="15">
      <c r="B618" s="12"/>
      <c r="C618" s="6" t="s">
        <v>2332</v>
      </c>
      <c r="D618" s="14" t="s">
        <v>2126</v>
      </c>
      <c r="E618" s="17" t="s">
        <v>160</v>
      </c>
      <c r="F618" s="319"/>
      <c r="G618" s="299"/>
      <c r="H618" s="300"/>
      <c r="I618" s="320"/>
      <c r="J618" s="321"/>
      <c r="K618" s="110" t="s">
        <v>5</v>
      </c>
      <c r="L618" s="139">
        <v>44340</v>
      </c>
      <c r="M618" s="33"/>
      <c r="N618" s="33">
        <v>44340</v>
      </c>
      <c r="O618" s="32">
        <v>3184</v>
      </c>
      <c r="P618" s="6"/>
      <c r="Q618" s="322"/>
      <c r="U618" s="39"/>
      <c r="V618" s="257"/>
    </row>
    <row r="619" spans="2:22" s="7" customFormat="1" ht="15">
      <c r="B619" s="12"/>
      <c r="C619" s="6" t="s">
        <v>2332</v>
      </c>
      <c r="D619" s="14" t="s">
        <v>2126</v>
      </c>
      <c r="E619" s="22">
        <v>14552</v>
      </c>
      <c r="F619" s="24">
        <v>10</v>
      </c>
      <c r="G619" s="22" t="s">
        <v>2128</v>
      </c>
      <c r="H619" s="108">
        <v>30</v>
      </c>
      <c r="I619" s="109">
        <v>11</v>
      </c>
      <c r="J619" s="8">
        <f>H619*I619</f>
        <v>330</v>
      </c>
      <c r="K619" s="39">
        <v>0.57999999999999996</v>
      </c>
      <c r="L619" s="139">
        <v>44340</v>
      </c>
      <c r="M619" s="33"/>
      <c r="N619" s="33">
        <v>44340</v>
      </c>
      <c r="O619" s="32">
        <v>3184</v>
      </c>
      <c r="P619" s="6"/>
      <c r="Q619" s="358">
        <v>0.46</v>
      </c>
      <c r="S619" s="7">
        <v>31</v>
      </c>
      <c r="T619" s="210">
        <f>S619*J619</f>
        <v>10230</v>
      </c>
      <c r="U619" s="120"/>
      <c r="V619" s="257"/>
    </row>
    <row r="620" spans="2:22" s="7" customFormat="1" ht="18" customHeight="1">
      <c r="B620" s="12"/>
      <c r="C620" s="6" t="s">
        <v>2332</v>
      </c>
      <c r="D620" s="14" t="s">
        <v>2126</v>
      </c>
      <c r="E620" s="22">
        <v>14552</v>
      </c>
      <c r="F620" s="24">
        <v>10</v>
      </c>
      <c r="G620" s="22" t="s">
        <v>274</v>
      </c>
      <c r="H620" s="108">
        <v>30</v>
      </c>
      <c r="I620" s="109">
        <v>4</v>
      </c>
      <c r="J620" s="8">
        <f>H620*I620</f>
        <v>120</v>
      </c>
      <c r="K620" s="39">
        <v>0.57999999999999996</v>
      </c>
      <c r="L620" s="139">
        <v>44340</v>
      </c>
      <c r="M620" s="33"/>
      <c r="N620" s="33">
        <v>44340</v>
      </c>
      <c r="O620" s="32">
        <v>3184</v>
      </c>
      <c r="P620" s="6"/>
      <c r="Q620" s="358">
        <v>0.46</v>
      </c>
      <c r="S620" s="7">
        <v>31</v>
      </c>
      <c r="T620" s="210">
        <f>S620*J620</f>
        <v>3720</v>
      </c>
      <c r="U620" s="120"/>
      <c r="V620" s="257"/>
    </row>
    <row r="621" spans="2:22" s="7" customFormat="1" ht="15">
      <c r="B621" s="12"/>
      <c r="C621" s="6" t="s">
        <v>2332</v>
      </c>
      <c r="D621" s="14" t="s">
        <v>2126</v>
      </c>
      <c r="E621" s="49"/>
      <c r="F621" s="102"/>
      <c r="G621" s="22" t="s">
        <v>14</v>
      </c>
      <c r="H621" s="8"/>
      <c r="I621" s="35"/>
      <c r="J621" s="38">
        <v>1</v>
      </c>
      <c r="K621" s="39">
        <v>12</v>
      </c>
      <c r="L621" s="139">
        <v>44340</v>
      </c>
      <c r="M621" s="33"/>
      <c r="N621" s="33">
        <v>44340</v>
      </c>
      <c r="O621" s="32">
        <v>3184</v>
      </c>
      <c r="P621" s="6"/>
      <c r="Q621" s="322">
        <v>12</v>
      </c>
      <c r="S621" s="7">
        <v>1000</v>
      </c>
      <c r="T621" s="7">
        <f>S621*J621</f>
        <v>1000</v>
      </c>
      <c r="U621" s="21"/>
      <c r="V621" s="257"/>
    </row>
    <row r="622" spans="2:22" s="191" customFormat="1" ht="15">
      <c r="B622" s="190"/>
      <c r="C622" s="179" t="s">
        <v>2332</v>
      </c>
      <c r="D622" s="180" t="s">
        <v>2126</v>
      </c>
      <c r="E622" s="181"/>
      <c r="F622" s="182"/>
      <c r="G622" s="182" t="s">
        <v>250</v>
      </c>
      <c r="H622" s="184" t="s">
        <v>251</v>
      </c>
      <c r="I622" s="185"/>
      <c r="J622" s="183"/>
      <c r="K622" s="192">
        <v>0</v>
      </c>
      <c r="L622" s="188">
        <v>44340</v>
      </c>
      <c r="M622" s="187"/>
      <c r="N622" s="187">
        <v>44340</v>
      </c>
      <c r="O622" s="186">
        <v>3184</v>
      </c>
      <c r="P622" s="179"/>
      <c r="Q622" s="725">
        <v>0</v>
      </c>
      <c r="S622" s="197">
        <v>0</v>
      </c>
      <c r="T622" s="198">
        <v>0</v>
      </c>
      <c r="U622" s="335"/>
      <c r="V622" s="726"/>
    </row>
    <row r="623" spans="2:22" s="7" customFormat="1" ht="15">
      <c r="B623" s="12"/>
      <c r="C623" s="6" t="s">
        <v>2333</v>
      </c>
      <c r="D623" s="14" t="s">
        <v>1970</v>
      </c>
      <c r="E623" s="19" t="s">
        <v>2135</v>
      </c>
      <c r="F623" s="24"/>
      <c r="G623" s="22"/>
      <c r="H623" s="60"/>
      <c r="I623" s="61"/>
      <c r="J623" s="60"/>
      <c r="K623" s="10" t="s">
        <v>5</v>
      </c>
      <c r="L623" s="139">
        <v>44343</v>
      </c>
      <c r="M623" s="33"/>
      <c r="N623" s="33">
        <v>44343</v>
      </c>
      <c r="O623" s="32">
        <v>3193</v>
      </c>
      <c r="P623" s="6" t="s">
        <v>3</v>
      </c>
      <c r="Q623" s="358"/>
      <c r="U623" s="120"/>
      <c r="V623" s="257"/>
    </row>
    <row r="624" spans="2:22" s="7" customFormat="1" ht="15">
      <c r="B624" s="12"/>
      <c r="C624" s="6" t="s">
        <v>2333</v>
      </c>
      <c r="D624" s="14" t="s">
        <v>1970</v>
      </c>
      <c r="E624" s="22" t="s">
        <v>2137</v>
      </c>
      <c r="F624" s="24">
        <v>18</v>
      </c>
      <c r="G624" s="22" t="s">
        <v>2334</v>
      </c>
      <c r="H624" s="8">
        <v>50</v>
      </c>
      <c r="I624" s="35">
        <v>1</v>
      </c>
      <c r="J624" s="8">
        <f>H624*I624</f>
        <v>50</v>
      </c>
      <c r="K624" s="23">
        <v>0.87</v>
      </c>
      <c r="L624" s="139">
        <v>44343</v>
      </c>
      <c r="M624" s="33"/>
      <c r="N624" s="33">
        <v>44343</v>
      </c>
      <c r="O624" s="32">
        <v>3193</v>
      </c>
      <c r="P624" s="39">
        <v>0.7</v>
      </c>
      <c r="Q624" s="358">
        <v>0.7</v>
      </c>
      <c r="S624" s="7">
        <v>47</v>
      </c>
      <c r="T624" s="210">
        <f>S624*J624</f>
        <v>2350</v>
      </c>
      <c r="U624" s="120"/>
      <c r="V624" s="257"/>
    </row>
    <row r="625" spans="2:22" s="7" customFormat="1" ht="15">
      <c r="B625" s="12"/>
      <c r="C625" s="6" t="s">
        <v>2333</v>
      </c>
      <c r="D625" s="14" t="s">
        <v>1970</v>
      </c>
      <c r="E625" s="49"/>
      <c r="F625" s="102"/>
      <c r="G625" s="22" t="s">
        <v>14</v>
      </c>
      <c r="H625" s="8"/>
      <c r="I625" s="35"/>
      <c r="J625" s="38">
        <v>1</v>
      </c>
      <c r="K625" s="23">
        <v>12</v>
      </c>
      <c r="L625" s="139">
        <v>44343</v>
      </c>
      <c r="M625" s="33"/>
      <c r="N625" s="33">
        <v>44343</v>
      </c>
      <c r="O625" s="32">
        <v>3193</v>
      </c>
      <c r="P625" s="6"/>
      <c r="Q625" s="322">
        <v>12</v>
      </c>
      <c r="S625" s="7">
        <v>1000</v>
      </c>
      <c r="T625" s="210">
        <f>S625*J625</f>
        <v>1000</v>
      </c>
      <c r="U625" s="21"/>
      <c r="V625" s="257"/>
    </row>
    <row r="626" spans="2:22" s="191" customFormat="1" ht="15">
      <c r="B626" s="190"/>
      <c r="C626" s="179" t="s">
        <v>2333</v>
      </c>
      <c r="D626" s="180" t="s">
        <v>1970</v>
      </c>
      <c r="E626" s="181"/>
      <c r="F626" s="182"/>
      <c r="G626" s="182" t="s">
        <v>250</v>
      </c>
      <c r="H626" s="184" t="s">
        <v>251</v>
      </c>
      <c r="I626" s="185"/>
      <c r="J626" s="183"/>
      <c r="K626" s="192">
        <v>0</v>
      </c>
      <c r="L626" s="188">
        <v>44343</v>
      </c>
      <c r="M626" s="187"/>
      <c r="N626" s="187">
        <v>44343</v>
      </c>
      <c r="O626" s="186">
        <v>3193</v>
      </c>
      <c r="P626" s="179"/>
      <c r="Q626" s="725">
        <v>0</v>
      </c>
      <c r="S626" s="197">
        <v>0</v>
      </c>
      <c r="T626" s="198">
        <v>0</v>
      </c>
      <c r="U626" s="335"/>
      <c r="V626" s="726"/>
    </row>
    <row r="627" spans="2:22" s="7" customFormat="1" ht="18" customHeight="1">
      <c r="B627" s="12"/>
      <c r="C627" s="6" t="s">
        <v>2335</v>
      </c>
      <c r="D627" s="14" t="s">
        <v>2162</v>
      </c>
      <c r="E627" s="19" t="s">
        <v>2163</v>
      </c>
      <c r="F627" s="37"/>
      <c r="G627" s="37"/>
      <c r="H627" s="108"/>
      <c r="I627" s="108"/>
      <c r="J627" s="108"/>
      <c r="K627" s="110" t="s">
        <v>5</v>
      </c>
      <c r="L627" s="139">
        <v>44344</v>
      </c>
      <c r="M627" s="33"/>
      <c r="N627" s="33">
        <v>44344</v>
      </c>
      <c r="O627" s="32">
        <v>3194</v>
      </c>
      <c r="P627" s="6"/>
      <c r="Q627" s="339"/>
      <c r="U627" s="21"/>
      <c r="V627" s="257"/>
    </row>
    <row r="628" spans="2:22" s="7" customFormat="1" ht="18" customHeight="1">
      <c r="B628" s="12"/>
      <c r="C628" s="6" t="s">
        <v>2335</v>
      </c>
      <c r="D628" s="14" t="s">
        <v>2162</v>
      </c>
      <c r="E628" s="22">
        <v>5603</v>
      </c>
      <c r="F628" s="37"/>
      <c r="G628" s="37" t="s">
        <v>2164</v>
      </c>
      <c r="H628" s="108">
        <v>50</v>
      </c>
      <c r="I628" s="109">
        <v>16</v>
      </c>
      <c r="J628" s="8">
        <f>I628*H628</f>
        <v>800</v>
      </c>
      <c r="K628" s="39">
        <v>0.3</v>
      </c>
      <c r="L628" s="139">
        <v>44344</v>
      </c>
      <c r="M628" s="33"/>
      <c r="N628" s="33">
        <v>44344</v>
      </c>
      <c r="O628" s="32">
        <v>3194</v>
      </c>
      <c r="P628" s="722"/>
      <c r="Q628" s="322">
        <v>0.24</v>
      </c>
      <c r="S628" s="7">
        <v>16</v>
      </c>
      <c r="T628" s="7">
        <f>S628*J628</f>
        <v>12800</v>
      </c>
      <c r="U628" s="21"/>
      <c r="V628" s="257"/>
    </row>
    <row r="629" spans="2:22" s="7" customFormat="1" ht="18" customHeight="1">
      <c r="B629" s="12"/>
      <c r="C629" s="6" t="s">
        <v>2335</v>
      </c>
      <c r="D629" s="14" t="s">
        <v>2162</v>
      </c>
      <c r="E629" s="22"/>
      <c r="F629" s="102"/>
      <c r="G629" s="22" t="s">
        <v>14</v>
      </c>
      <c r="H629" s="8"/>
      <c r="I629" s="35"/>
      <c r="J629" s="38">
        <v>1</v>
      </c>
      <c r="K629" s="39">
        <v>12</v>
      </c>
      <c r="L629" s="139">
        <v>44344</v>
      </c>
      <c r="M629" s="33"/>
      <c r="N629" s="33">
        <v>44344</v>
      </c>
      <c r="O629" s="32">
        <v>3194</v>
      </c>
      <c r="P629" s="6" t="s">
        <v>3</v>
      </c>
      <c r="Q629" s="322">
        <v>12</v>
      </c>
      <c r="S629" s="745">
        <v>1100</v>
      </c>
      <c r="T629" s="7">
        <f>S629*J629</f>
        <v>1100</v>
      </c>
      <c r="U629" s="21"/>
      <c r="V629" s="257"/>
    </row>
    <row r="630" spans="2:22" s="191" customFormat="1" ht="15">
      <c r="B630" s="190"/>
      <c r="C630" s="179" t="s">
        <v>2335</v>
      </c>
      <c r="D630" s="180" t="s">
        <v>2162</v>
      </c>
      <c r="E630" s="181"/>
      <c r="F630" s="182"/>
      <c r="G630" s="182" t="s">
        <v>250</v>
      </c>
      <c r="H630" s="184" t="s">
        <v>251</v>
      </c>
      <c r="I630" s="185"/>
      <c r="J630" s="183"/>
      <c r="K630" s="192">
        <v>0</v>
      </c>
      <c r="L630" s="188">
        <v>44344</v>
      </c>
      <c r="M630" s="187"/>
      <c r="N630" s="187">
        <v>44344</v>
      </c>
      <c r="O630" s="186">
        <v>3194</v>
      </c>
      <c r="P630" s="179"/>
      <c r="Q630" s="725">
        <v>0</v>
      </c>
      <c r="S630" s="197">
        <v>0</v>
      </c>
      <c r="T630" s="7">
        <f>S630*J630</f>
        <v>0</v>
      </c>
      <c r="U630" s="335"/>
      <c r="V630" s="726"/>
    </row>
    <row r="631" spans="2:22" s="1" customFormat="1" ht="15">
      <c r="B631" s="26"/>
      <c r="C631" s="6" t="s">
        <v>2336</v>
      </c>
      <c r="D631" s="14" t="s">
        <v>2337</v>
      </c>
      <c r="E631" s="14" t="s">
        <v>376</v>
      </c>
      <c r="F631" s="136"/>
      <c r="G631" s="37"/>
      <c r="H631" s="38"/>
      <c r="I631" s="109"/>
      <c r="J631" s="108"/>
      <c r="K631" s="16" t="s">
        <v>5</v>
      </c>
      <c r="L631" s="139">
        <v>44368</v>
      </c>
      <c r="M631" s="33"/>
      <c r="N631" s="33">
        <v>44368</v>
      </c>
      <c r="O631" s="32">
        <v>3255</v>
      </c>
      <c r="P631" s="39"/>
      <c r="Q631" s="748"/>
      <c r="S631" s="39"/>
      <c r="T631" s="92"/>
      <c r="U631" s="23"/>
      <c r="V631" s="256"/>
    </row>
    <row r="632" spans="2:22" s="1" customFormat="1" ht="15">
      <c r="B632" s="26"/>
      <c r="C632" s="6" t="s">
        <v>2336</v>
      </c>
      <c r="D632" s="14" t="s">
        <v>2337</v>
      </c>
      <c r="E632" s="22" t="s">
        <v>2078</v>
      </c>
      <c r="F632" s="37"/>
      <c r="G632" s="37" t="s">
        <v>2215</v>
      </c>
      <c r="H632" s="8">
        <v>150</v>
      </c>
      <c r="I632" s="8">
        <v>150</v>
      </c>
      <c r="J632" s="8">
        <v>150</v>
      </c>
      <c r="K632" s="39">
        <v>4.9000000000000004</v>
      </c>
      <c r="L632" s="139">
        <v>44368</v>
      </c>
      <c r="M632" s="33"/>
      <c r="N632" s="33">
        <v>44368</v>
      </c>
      <c r="O632" s="32">
        <v>3255</v>
      </c>
      <c r="P632" s="39">
        <f>K632*0.89</f>
        <v>4.3610000000000007</v>
      </c>
      <c r="Q632" s="322">
        <v>4.3600000000000003</v>
      </c>
      <c r="S632" s="39">
        <v>4.12</v>
      </c>
      <c r="T632" s="402">
        <f>S632*J632</f>
        <v>618</v>
      </c>
      <c r="U632" s="39"/>
      <c r="V632" s="256"/>
    </row>
    <row r="633" spans="2:22" s="1" customFormat="1" ht="15">
      <c r="B633" s="26"/>
      <c r="C633" s="6" t="s">
        <v>2336</v>
      </c>
      <c r="D633" s="14" t="s">
        <v>2337</v>
      </c>
      <c r="E633" s="22" t="s">
        <v>2078</v>
      </c>
      <c r="F633" s="37"/>
      <c r="G633" s="37" t="s">
        <v>2215</v>
      </c>
      <c r="H633" s="131">
        <v>1133.5</v>
      </c>
      <c r="I633" s="131">
        <v>1133.5</v>
      </c>
      <c r="J633" s="131">
        <v>1133.5</v>
      </c>
      <c r="K633" s="39">
        <v>4.9000000000000004</v>
      </c>
      <c r="L633" s="139">
        <v>44392</v>
      </c>
      <c r="M633" s="33"/>
      <c r="N633" s="33">
        <v>44392</v>
      </c>
      <c r="O633" s="32">
        <v>3267</v>
      </c>
      <c r="P633" s="39">
        <f>K633*0.89</f>
        <v>4.3610000000000007</v>
      </c>
      <c r="Q633" s="322">
        <v>4.3600000000000003</v>
      </c>
      <c r="S633" s="39">
        <v>4.12</v>
      </c>
      <c r="T633" s="402">
        <f>S633*J633</f>
        <v>4670.0200000000004</v>
      </c>
      <c r="U633" s="39"/>
      <c r="V633" s="256"/>
    </row>
    <row r="634" spans="2:22" s="1" customFormat="1" ht="15">
      <c r="B634" s="26"/>
      <c r="C634" s="6" t="s">
        <v>2336</v>
      </c>
      <c r="D634" s="14" t="s">
        <v>2337</v>
      </c>
      <c r="E634" s="55" t="s">
        <v>2079</v>
      </c>
      <c r="F634" s="37"/>
      <c r="G634" s="37"/>
      <c r="H634" s="38"/>
      <c r="I634" s="109"/>
      <c r="J634" s="108"/>
      <c r="K634" s="39"/>
      <c r="L634" s="139">
        <v>44368</v>
      </c>
      <c r="M634" s="33"/>
      <c r="N634" s="33">
        <v>44368</v>
      </c>
      <c r="O634" s="32">
        <v>3255</v>
      </c>
      <c r="P634" s="39"/>
      <c r="Q634" s="334"/>
      <c r="S634" s="39"/>
      <c r="T634" s="92"/>
      <c r="U634" s="39"/>
      <c r="V634" s="256"/>
    </row>
    <row r="635" spans="2:22" s="1" customFormat="1" ht="15">
      <c r="B635" s="26"/>
      <c r="C635" s="6" t="s">
        <v>2336</v>
      </c>
      <c r="D635" s="14" t="s">
        <v>2337</v>
      </c>
      <c r="E635" s="22" t="s">
        <v>2080</v>
      </c>
      <c r="F635" s="37"/>
      <c r="G635" s="37" t="s">
        <v>2215</v>
      </c>
      <c r="H635" s="8">
        <v>72</v>
      </c>
      <c r="I635" s="8">
        <v>72</v>
      </c>
      <c r="J635" s="8">
        <v>72</v>
      </c>
      <c r="K635" s="39">
        <v>4.79</v>
      </c>
      <c r="L635" s="139">
        <v>44368</v>
      </c>
      <c r="M635" s="33"/>
      <c r="N635" s="33">
        <v>44368</v>
      </c>
      <c r="O635" s="32">
        <v>3255</v>
      </c>
      <c r="P635" s="39">
        <f>K635*0.89</f>
        <v>4.2630999999999997</v>
      </c>
      <c r="Q635" s="334">
        <v>4.26</v>
      </c>
      <c r="S635" s="39">
        <v>4.0199999999999996</v>
      </c>
      <c r="T635" s="402">
        <f>S635*J635</f>
        <v>289.43999999999994</v>
      </c>
      <c r="U635" s="39"/>
      <c r="V635" s="256"/>
    </row>
    <row r="636" spans="2:22" s="1" customFormat="1" ht="15">
      <c r="B636" s="26"/>
      <c r="C636" s="6" t="s">
        <v>2336</v>
      </c>
      <c r="D636" s="14" t="s">
        <v>2337</v>
      </c>
      <c r="E636" s="22" t="s">
        <v>2080</v>
      </c>
      <c r="F636" s="37"/>
      <c r="G636" s="37" t="s">
        <v>2215</v>
      </c>
      <c r="H636" s="8">
        <v>355</v>
      </c>
      <c r="I636" s="8">
        <v>355</v>
      </c>
      <c r="J636" s="8">
        <v>355</v>
      </c>
      <c r="K636" s="39">
        <v>4.79</v>
      </c>
      <c r="L636" s="139">
        <v>44392</v>
      </c>
      <c r="M636" s="33"/>
      <c r="N636" s="33">
        <v>44392</v>
      </c>
      <c r="O636" s="32">
        <v>3267</v>
      </c>
      <c r="P636" s="39">
        <f>K636*0.89</f>
        <v>4.2630999999999997</v>
      </c>
      <c r="Q636" s="334">
        <v>4.26</v>
      </c>
      <c r="S636" s="39">
        <v>4.0199999999999996</v>
      </c>
      <c r="T636" s="402">
        <f>S636*J636</f>
        <v>1427.1</v>
      </c>
      <c r="U636" s="39"/>
      <c r="V636" s="256"/>
    </row>
    <row r="637" spans="2:22" s="7" customFormat="1" ht="15">
      <c r="B637" s="12"/>
      <c r="C637" s="6" t="s">
        <v>2338</v>
      </c>
      <c r="D637" s="14" t="s">
        <v>2337</v>
      </c>
      <c r="E637" s="19" t="s">
        <v>376</v>
      </c>
      <c r="F637" s="24"/>
      <c r="G637" s="22"/>
      <c r="H637" s="60"/>
      <c r="I637" s="61"/>
      <c r="J637" s="60"/>
      <c r="K637" s="16" t="s">
        <v>5</v>
      </c>
      <c r="L637" s="139"/>
      <c r="M637" s="33"/>
      <c r="N637" s="33"/>
      <c r="O637" s="32"/>
      <c r="P637" s="6" t="s">
        <v>3</v>
      </c>
      <c r="Q637" s="322"/>
      <c r="S637" s="39"/>
      <c r="U637" s="21"/>
      <c r="V637" s="257"/>
    </row>
    <row r="638" spans="2:22" s="7" customFormat="1" ht="15.95" customHeight="1">
      <c r="B638" s="12"/>
      <c r="C638" s="6" t="s">
        <v>2338</v>
      </c>
      <c r="D638" s="14" t="s">
        <v>2337</v>
      </c>
      <c r="E638" s="22" t="s">
        <v>2053</v>
      </c>
      <c r="F638" s="37"/>
      <c r="G638" s="37" t="s">
        <v>2218</v>
      </c>
      <c r="H638" s="8">
        <v>168</v>
      </c>
      <c r="I638" s="8">
        <v>168</v>
      </c>
      <c r="J638" s="8">
        <v>168</v>
      </c>
      <c r="K638" s="39">
        <v>2.04</v>
      </c>
      <c r="L638" s="139">
        <v>44365</v>
      </c>
      <c r="M638" s="33"/>
      <c r="N638" s="33">
        <v>44365</v>
      </c>
      <c r="O638" s="32">
        <v>3251</v>
      </c>
      <c r="P638" s="6"/>
      <c r="Q638" s="322">
        <v>1.63</v>
      </c>
      <c r="S638" s="92">
        <f t="shared" ref="S638:S643" si="14">80+30</f>
        <v>110</v>
      </c>
      <c r="T638" s="7">
        <f t="shared" ref="T638:T643" si="15">S638*J638</f>
        <v>18480</v>
      </c>
      <c r="U638" s="211" t="s">
        <v>2054</v>
      </c>
      <c r="V638" s="257"/>
    </row>
    <row r="639" spans="2:22" s="7" customFormat="1" ht="15.95" customHeight="1">
      <c r="B639" s="12"/>
      <c r="C639" s="6" t="s">
        <v>2338</v>
      </c>
      <c r="D639" s="14" t="s">
        <v>2337</v>
      </c>
      <c r="E639" s="22" t="s">
        <v>2053</v>
      </c>
      <c r="F639" s="37"/>
      <c r="G639" s="37" t="s">
        <v>2077</v>
      </c>
      <c r="H639" s="8">
        <v>168</v>
      </c>
      <c r="I639" s="8">
        <v>168</v>
      </c>
      <c r="J639" s="8">
        <v>168</v>
      </c>
      <c r="K639" s="39">
        <v>2.04</v>
      </c>
      <c r="L639" s="139">
        <v>44365</v>
      </c>
      <c r="M639" s="33"/>
      <c r="N639" s="33">
        <v>44365</v>
      </c>
      <c r="O639" s="32">
        <v>3251</v>
      </c>
      <c r="P639" s="6"/>
      <c r="Q639" s="322">
        <v>1.63</v>
      </c>
      <c r="S639" s="92">
        <f t="shared" si="14"/>
        <v>110</v>
      </c>
      <c r="T639" s="7">
        <f t="shared" si="15"/>
        <v>18480</v>
      </c>
      <c r="U639" s="211" t="s">
        <v>2054</v>
      </c>
      <c r="V639" s="257"/>
    </row>
    <row r="640" spans="2:22" s="7" customFormat="1" ht="15.95" customHeight="1">
      <c r="B640" s="12"/>
      <c r="C640" s="6" t="s">
        <v>2338</v>
      </c>
      <c r="D640" s="14" t="s">
        <v>2337</v>
      </c>
      <c r="E640" s="22" t="s">
        <v>2053</v>
      </c>
      <c r="F640" s="37"/>
      <c r="G640" s="37" t="s">
        <v>2218</v>
      </c>
      <c r="H640" s="8">
        <v>1240</v>
      </c>
      <c r="I640" s="8">
        <v>1240</v>
      </c>
      <c r="J640" s="8">
        <v>1240</v>
      </c>
      <c r="K640" s="39">
        <v>2.04</v>
      </c>
      <c r="L640" s="139">
        <v>44391</v>
      </c>
      <c r="M640" s="33"/>
      <c r="N640" s="33">
        <v>44391</v>
      </c>
      <c r="O640" s="32">
        <v>3270</v>
      </c>
      <c r="P640" s="6"/>
      <c r="Q640" s="322">
        <v>1.63</v>
      </c>
      <c r="S640" s="92">
        <f t="shared" si="14"/>
        <v>110</v>
      </c>
      <c r="T640" s="7">
        <f t="shared" si="15"/>
        <v>136400</v>
      </c>
      <c r="U640" s="211" t="s">
        <v>2054</v>
      </c>
      <c r="V640" s="257"/>
    </row>
    <row r="641" spans="2:22" s="7" customFormat="1" ht="15">
      <c r="B641" s="12"/>
      <c r="C641" s="6" t="s">
        <v>2338</v>
      </c>
      <c r="D641" s="14" t="s">
        <v>2337</v>
      </c>
      <c r="E641" s="22" t="s">
        <v>2053</v>
      </c>
      <c r="F641" s="37"/>
      <c r="G641" s="37" t="s">
        <v>2077</v>
      </c>
      <c r="H641" s="8">
        <v>1680</v>
      </c>
      <c r="I641" s="8">
        <v>1680</v>
      </c>
      <c r="J641" s="8">
        <v>1680</v>
      </c>
      <c r="K641" s="39">
        <v>2.04</v>
      </c>
      <c r="L641" s="139">
        <v>44391</v>
      </c>
      <c r="M641" s="33"/>
      <c r="N641" s="33">
        <v>44391</v>
      </c>
      <c r="O641" s="32">
        <v>3270</v>
      </c>
      <c r="P641" s="6"/>
      <c r="Q641" s="322">
        <v>1.63</v>
      </c>
      <c r="S641" s="92">
        <f t="shared" si="14"/>
        <v>110</v>
      </c>
      <c r="T641" s="7">
        <f t="shared" si="15"/>
        <v>184800</v>
      </c>
      <c r="U641" s="211" t="s">
        <v>2054</v>
      </c>
      <c r="V641" s="257"/>
    </row>
    <row r="642" spans="2:22" s="7" customFormat="1" ht="15">
      <c r="B642" s="12"/>
      <c r="C642" s="6" t="s">
        <v>2338</v>
      </c>
      <c r="D642" s="14" t="s">
        <v>2337</v>
      </c>
      <c r="E642" s="22" t="s">
        <v>2053</v>
      </c>
      <c r="F642" s="37"/>
      <c r="G642" s="37" t="s">
        <v>2218</v>
      </c>
      <c r="H642" s="8">
        <v>10</v>
      </c>
      <c r="I642" s="8">
        <v>10</v>
      </c>
      <c r="J642" s="8">
        <v>10</v>
      </c>
      <c r="K642" s="39">
        <v>2.04</v>
      </c>
      <c r="L642" s="139"/>
      <c r="M642" s="33"/>
      <c r="N642" s="288" t="s">
        <v>2339</v>
      </c>
      <c r="O642" s="39"/>
      <c r="P642" s="6"/>
      <c r="Q642" s="322">
        <v>1.63</v>
      </c>
      <c r="S642" s="92">
        <f t="shared" si="14"/>
        <v>110</v>
      </c>
      <c r="T642" s="7">
        <f t="shared" si="15"/>
        <v>1100</v>
      </c>
      <c r="U642" s="211" t="s">
        <v>2054</v>
      </c>
      <c r="V642" s="257"/>
    </row>
    <row r="643" spans="2:22" s="7" customFormat="1" ht="15">
      <c r="B643" s="12"/>
      <c r="C643" s="6" t="s">
        <v>2338</v>
      </c>
      <c r="D643" s="14" t="s">
        <v>2337</v>
      </c>
      <c r="E643" s="22" t="s">
        <v>2053</v>
      </c>
      <c r="F643" s="37"/>
      <c r="G643" s="37" t="s">
        <v>2077</v>
      </c>
      <c r="H643" s="8">
        <v>10</v>
      </c>
      <c r="I643" s="8">
        <v>10</v>
      </c>
      <c r="J643" s="8">
        <v>10</v>
      </c>
      <c r="K643" s="39">
        <v>2.04</v>
      </c>
      <c r="L643" s="139"/>
      <c r="M643" s="33"/>
      <c r="N643" s="288" t="s">
        <v>2339</v>
      </c>
      <c r="O643" s="39"/>
      <c r="P643" s="6"/>
      <c r="Q643" s="322">
        <v>1.63</v>
      </c>
      <c r="S643" s="92">
        <f t="shared" si="14"/>
        <v>110</v>
      </c>
      <c r="T643" s="7">
        <f t="shared" si="15"/>
        <v>1100</v>
      </c>
      <c r="U643" s="211" t="s">
        <v>2054</v>
      </c>
      <c r="V643" s="257"/>
    </row>
    <row r="644" spans="2:22" s="191" customFormat="1" ht="15">
      <c r="B644" s="190"/>
      <c r="C644" s="179" t="s">
        <v>2338</v>
      </c>
      <c r="D644" s="180" t="s">
        <v>2052</v>
      </c>
      <c r="E644" s="181"/>
      <c r="F644" s="182"/>
      <c r="G644" s="182" t="s">
        <v>250</v>
      </c>
      <c r="H644" s="184" t="s">
        <v>251</v>
      </c>
      <c r="I644" s="185"/>
      <c r="J644" s="183"/>
      <c r="K644" s="192">
        <v>0</v>
      </c>
      <c r="L644" s="188"/>
      <c r="M644" s="187"/>
      <c r="N644" s="187"/>
      <c r="O644" s="186"/>
      <c r="P644" s="179"/>
      <c r="Q644" s="725">
        <v>0</v>
      </c>
      <c r="S644" s="197">
        <v>0</v>
      </c>
      <c r="T644" s="198">
        <v>0</v>
      </c>
      <c r="U644" s="335"/>
      <c r="V644" s="726"/>
    </row>
    <row r="645" spans="2:22" s="7" customFormat="1" ht="15">
      <c r="B645" s="12"/>
      <c r="C645" s="6" t="s">
        <v>2340</v>
      </c>
      <c r="D645" s="14" t="s">
        <v>2059</v>
      </c>
      <c r="E645" s="19" t="s">
        <v>231</v>
      </c>
      <c r="F645" s="37"/>
      <c r="G645" s="37"/>
      <c r="H645" s="108"/>
      <c r="I645" s="108"/>
      <c r="J645" s="108"/>
      <c r="K645" s="29" t="s">
        <v>232</v>
      </c>
      <c r="L645" s="139">
        <v>44364</v>
      </c>
      <c r="M645" s="33"/>
      <c r="N645" s="33">
        <v>44364</v>
      </c>
      <c r="O645" s="32">
        <v>3243</v>
      </c>
      <c r="P645" s="6"/>
      <c r="Q645" s="339"/>
      <c r="U645" s="21"/>
      <c r="V645" s="257"/>
    </row>
    <row r="646" spans="2:22" s="7" customFormat="1" ht="15">
      <c r="B646" s="12"/>
      <c r="C646" s="6" t="s">
        <v>2340</v>
      </c>
      <c r="D646" s="14" t="s">
        <v>2059</v>
      </c>
      <c r="E646" s="22" t="s">
        <v>257</v>
      </c>
      <c r="F646" s="112">
        <v>355</v>
      </c>
      <c r="G646" s="165" t="s">
        <v>2064</v>
      </c>
      <c r="H646" s="166">
        <v>15</v>
      </c>
      <c r="I646" s="166">
        <v>15</v>
      </c>
      <c r="J646" s="166">
        <v>15</v>
      </c>
      <c r="K646" s="39">
        <v>2.0699999999999998</v>
      </c>
      <c r="L646" s="139">
        <v>44364</v>
      </c>
      <c r="M646" s="33"/>
      <c r="N646" s="33">
        <v>44364</v>
      </c>
      <c r="O646" s="32">
        <v>3243</v>
      </c>
      <c r="P646" s="39">
        <f>ROUNDUP(S646/0.7/90,2)</f>
        <v>1.3800000000000001</v>
      </c>
      <c r="Q646" s="322">
        <v>1.38</v>
      </c>
      <c r="S646" s="7">
        <v>86.8</v>
      </c>
      <c r="T646" s="7">
        <f>S646*J646</f>
        <v>1302</v>
      </c>
      <c r="U646" s="137"/>
      <c r="V646" s="257"/>
    </row>
    <row r="647" spans="2:22" s="7" customFormat="1" ht="15">
      <c r="B647" s="12"/>
      <c r="C647" s="6" t="s">
        <v>2340</v>
      </c>
      <c r="D647" s="14" t="s">
        <v>2059</v>
      </c>
      <c r="E647" s="22" t="s">
        <v>257</v>
      </c>
      <c r="F647" s="112">
        <v>170</v>
      </c>
      <c r="G647" s="165" t="s">
        <v>2064</v>
      </c>
      <c r="H647" s="166">
        <v>60</v>
      </c>
      <c r="I647" s="166">
        <v>60</v>
      </c>
      <c r="J647" s="166">
        <v>60</v>
      </c>
      <c r="K647" s="39">
        <v>1.18</v>
      </c>
      <c r="L647" s="139">
        <v>44364</v>
      </c>
      <c r="M647" s="33"/>
      <c r="N647" s="33">
        <v>44364</v>
      </c>
      <c r="O647" s="32">
        <v>3243</v>
      </c>
      <c r="P647" s="39">
        <f>ROUNDUP(S647/0.7/90,2)</f>
        <v>0.79</v>
      </c>
      <c r="Q647" s="322">
        <v>0.79</v>
      </c>
      <c r="S647" s="7">
        <v>49.2</v>
      </c>
      <c r="T647" s="7">
        <f>S647*J647</f>
        <v>2952</v>
      </c>
      <c r="U647" s="137"/>
      <c r="V647" s="257"/>
    </row>
    <row r="648" spans="2:22" s="7" customFormat="1" ht="15">
      <c r="B648" s="12"/>
      <c r="C648" s="6" t="s">
        <v>2340</v>
      </c>
      <c r="D648" s="14" t="s">
        <v>2059</v>
      </c>
      <c r="E648" s="22" t="s">
        <v>257</v>
      </c>
      <c r="F648" s="112">
        <v>290</v>
      </c>
      <c r="G648" s="165" t="s">
        <v>2064</v>
      </c>
      <c r="H648" s="166">
        <v>15</v>
      </c>
      <c r="I648" s="166">
        <v>15</v>
      </c>
      <c r="J648" s="166">
        <v>15</v>
      </c>
      <c r="K648" s="39">
        <v>1.75</v>
      </c>
      <c r="L648" s="139">
        <v>44364</v>
      </c>
      <c r="M648" s="33"/>
      <c r="N648" s="33">
        <v>44364</v>
      </c>
      <c r="O648" s="32">
        <v>3243</v>
      </c>
      <c r="P648" s="39">
        <f>ROUNDUP(S648/0.7/90,2)</f>
        <v>1.17</v>
      </c>
      <c r="Q648" s="322">
        <v>1.17</v>
      </c>
      <c r="S648" s="7">
        <v>73.400000000000006</v>
      </c>
      <c r="T648" s="7">
        <f>S648*J648</f>
        <v>1101</v>
      </c>
      <c r="U648" s="39"/>
      <c r="V648" s="257"/>
    </row>
    <row r="649" spans="2:22" s="7" customFormat="1" ht="18" customHeight="1">
      <c r="B649" s="12"/>
      <c r="C649" s="6" t="s">
        <v>2340</v>
      </c>
      <c r="D649" s="14" t="s">
        <v>2059</v>
      </c>
      <c r="E649" s="22"/>
      <c r="F649" s="37"/>
      <c r="G649" s="37" t="s">
        <v>2197</v>
      </c>
      <c r="H649" s="8"/>
      <c r="I649" s="109" ph="1"/>
      <c r="J649" s="38">
        <v>3</v>
      </c>
      <c r="K649" s="39">
        <v>10</v>
      </c>
      <c r="L649" s="139">
        <v>44364</v>
      </c>
      <c r="M649" s="33"/>
      <c r="N649" s="33">
        <v>44364</v>
      </c>
      <c r="O649" s="32">
        <v>3243</v>
      </c>
      <c r="P649" s="39">
        <f>ROUNDUP(S649/0.88/90,2)</f>
        <v>6.3199999999999994</v>
      </c>
      <c r="Q649" s="322">
        <v>6.32</v>
      </c>
      <c r="S649" s="7">
        <v>500</v>
      </c>
      <c r="T649" s="7">
        <f>S649*J649</f>
        <v>1500</v>
      </c>
      <c r="U649" s="21"/>
      <c r="V649" s="257"/>
    </row>
    <row r="650" spans="2:22" s="7" customFormat="1" ht="18" customHeight="1">
      <c r="B650" s="12"/>
      <c r="C650" s="6" t="s">
        <v>2340</v>
      </c>
      <c r="D650" s="14" t="s">
        <v>2059</v>
      </c>
      <c r="E650" s="49"/>
      <c r="F650" s="37"/>
      <c r="G650" s="37" t="s">
        <v>14</v>
      </c>
      <c r="H650" s="8"/>
      <c r="I650" s="109" ph="1"/>
      <c r="J650" s="38">
        <v>1</v>
      </c>
      <c r="K650" s="39">
        <v>12</v>
      </c>
      <c r="L650" s="139">
        <v>44364</v>
      </c>
      <c r="M650" s="33"/>
      <c r="N650" s="33">
        <v>44364</v>
      </c>
      <c r="O650" s="32">
        <v>3243</v>
      </c>
      <c r="P650" s="6"/>
      <c r="Q650" s="322">
        <v>12</v>
      </c>
      <c r="S650" s="7">
        <v>1100</v>
      </c>
      <c r="T650" s="7">
        <f>S650*J650</f>
        <v>1100</v>
      </c>
      <c r="U650" s="21"/>
      <c r="V650" s="257"/>
    </row>
    <row r="651" spans="2:22" s="191" customFormat="1" ht="15">
      <c r="B651" s="190"/>
      <c r="C651" s="179" t="s">
        <v>2340</v>
      </c>
      <c r="D651" s="180" t="s">
        <v>2059</v>
      </c>
      <c r="E651" s="181"/>
      <c r="F651" s="622"/>
      <c r="G651" s="182" t="s">
        <v>250</v>
      </c>
      <c r="H651" s="184" t="s">
        <v>251</v>
      </c>
      <c r="I651" s="185"/>
      <c r="J651" s="183"/>
      <c r="K651" s="192">
        <v>0</v>
      </c>
      <c r="L651" s="188">
        <v>44364</v>
      </c>
      <c r="M651" s="187"/>
      <c r="N651" s="187">
        <v>44364</v>
      </c>
      <c r="O651" s="186">
        <v>3243</v>
      </c>
      <c r="P651" s="179"/>
      <c r="Q651" s="725">
        <v>0</v>
      </c>
      <c r="S651" s="197">
        <v>0</v>
      </c>
      <c r="T651" s="198">
        <v>0</v>
      </c>
      <c r="U651" s="335"/>
      <c r="V651" s="726"/>
    </row>
    <row r="652" spans="2:22" s="7" customFormat="1" ht="18" customHeight="1">
      <c r="B652" s="12"/>
      <c r="C652" s="6" t="s">
        <v>2341</v>
      </c>
      <c r="D652" s="14" t="s">
        <v>2067</v>
      </c>
      <c r="E652" s="19" t="s">
        <v>10</v>
      </c>
      <c r="F652" s="107"/>
      <c r="G652" s="22"/>
      <c r="H652" s="108"/>
      <c r="I652" s="109"/>
      <c r="J652" s="108"/>
      <c r="K652" s="29" t="s">
        <v>5</v>
      </c>
      <c r="L652" s="139">
        <v>44361</v>
      </c>
      <c r="M652" s="33"/>
      <c r="N652" s="33">
        <v>44361</v>
      </c>
      <c r="O652" s="32">
        <v>3230</v>
      </c>
      <c r="P652" s="14"/>
      <c r="Q652" s="322"/>
      <c r="U652" s="14"/>
      <c r="V652" s="257"/>
    </row>
    <row r="653" spans="2:22" s="7" customFormat="1" ht="18" customHeight="1">
      <c r="B653" s="12"/>
      <c r="C653" s="6" t="s">
        <v>2341</v>
      </c>
      <c r="D653" s="14" t="s">
        <v>2067</v>
      </c>
      <c r="E653" s="22" t="s">
        <v>6</v>
      </c>
      <c r="F653" s="107">
        <v>160</v>
      </c>
      <c r="G653" s="22" t="s">
        <v>2342</v>
      </c>
      <c r="H653" s="108">
        <v>15</v>
      </c>
      <c r="I653" s="109">
        <v>1</v>
      </c>
      <c r="J653" s="8">
        <f>H653*I653</f>
        <v>15</v>
      </c>
      <c r="K653" s="39">
        <v>4.45</v>
      </c>
      <c r="L653" s="139">
        <v>44361</v>
      </c>
      <c r="M653" s="33"/>
      <c r="N653" s="33">
        <v>44361</v>
      </c>
      <c r="O653" s="32">
        <v>3230</v>
      </c>
      <c r="P653" s="39">
        <f>ROUNDUP(S653/0.88/90,2)</f>
        <v>4.05</v>
      </c>
      <c r="Q653" s="322">
        <v>4.05</v>
      </c>
      <c r="S653" s="7">
        <v>320</v>
      </c>
      <c r="T653" s="7">
        <f>S653*J653</f>
        <v>4800</v>
      </c>
      <c r="U653" s="21"/>
      <c r="V653" s="257"/>
    </row>
    <row r="654" spans="2:22" s="7" customFormat="1" ht="18" customHeight="1">
      <c r="B654" s="12"/>
      <c r="C654" s="6" t="s">
        <v>2341</v>
      </c>
      <c r="D654" s="14" t="s">
        <v>2067</v>
      </c>
      <c r="E654" s="22" t="s">
        <v>6</v>
      </c>
      <c r="F654" s="107">
        <v>160</v>
      </c>
      <c r="G654" s="22" t="s">
        <v>2343</v>
      </c>
      <c r="H654" s="108">
        <v>15</v>
      </c>
      <c r="I654" s="109">
        <v>1</v>
      </c>
      <c r="J654" s="8">
        <f>H654*I654</f>
        <v>15</v>
      </c>
      <c r="K654" s="39">
        <v>4.45</v>
      </c>
      <c r="L654" s="139">
        <v>44361</v>
      </c>
      <c r="M654" s="33"/>
      <c r="N654" s="33">
        <v>44361</v>
      </c>
      <c r="O654" s="32">
        <v>3230</v>
      </c>
      <c r="P654" s="39">
        <f>ROUNDUP(S654/0.88/90,2)</f>
        <v>4.05</v>
      </c>
      <c r="Q654" s="322">
        <v>4.05</v>
      </c>
      <c r="S654" s="7">
        <v>320</v>
      </c>
      <c r="T654" s="7">
        <f>S654*J654</f>
        <v>4800</v>
      </c>
      <c r="U654" s="21"/>
      <c r="V654" s="257"/>
    </row>
    <row r="655" spans="2:22" s="7" customFormat="1" ht="15">
      <c r="B655" s="12"/>
      <c r="C655" s="6" t="s">
        <v>2341</v>
      </c>
      <c r="D655" s="14" t="s">
        <v>2067</v>
      </c>
      <c r="E655" s="22"/>
      <c r="F655" s="102"/>
      <c r="G655" s="22" t="s">
        <v>57</v>
      </c>
      <c r="H655" s="8"/>
      <c r="I655" s="35"/>
      <c r="J655" s="38">
        <v>2</v>
      </c>
      <c r="K655" s="39">
        <v>15</v>
      </c>
      <c r="L655" s="139">
        <v>44361</v>
      </c>
      <c r="M655" s="33"/>
      <c r="N655" s="33">
        <v>44361</v>
      </c>
      <c r="O655" s="32">
        <v>3230</v>
      </c>
      <c r="P655" s="6" t="s">
        <v>3</v>
      </c>
      <c r="Q655" s="322">
        <v>30</v>
      </c>
      <c r="S655" s="7">
        <v>1000</v>
      </c>
      <c r="T655" s="7">
        <f>S655*J655</f>
        <v>2000</v>
      </c>
      <c r="U655" s="21"/>
      <c r="V655" s="257"/>
    </row>
    <row r="656" spans="2:22" s="7" customFormat="1" ht="15">
      <c r="B656" s="12"/>
      <c r="C656" s="6" t="s">
        <v>2341</v>
      </c>
      <c r="D656" s="14" t="s">
        <v>2067</v>
      </c>
      <c r="E656" s="22"/>
      <c r="F656" s="102"/>
      <c r="G656" s="22" t="s">
        <v>14</v>
      </c>
      <c r="H656" s="8"/>
      <c r="I656" s="35"/>
      <c r="J656" s="38">
        <v>1</v>
      </c>
      <c r="K656" s="39">
        <v>20</v>
      </c>
      <c r="L656" s="139">
        <v>44361</v>
      </c>
      <c r="M656" s="33"/>
      <c r="N656" s="33">
        <v>44361</v>
      </c>
      <c r="O656" s="32">
        <v>3230</v>
      </c>
      <c r="P656" s="6" t="s">
        <v>3</v>
      </c>
      <c r="Q656" s="322">
        <v>20</v>
      </c>
      <c r="S656" s="7">
        <v>1000</v>
      </c>
      <c r="T656" s="7">
        <f>S656*J656</f>
        <v>1000</v>
      </c>
      <c r="U656" s="21"/>
      <c r="V656" s="257"/>
    </row>
    <row r="657" spans="2:22" s="191" customFormat="1" ht="15">
      <c r="B657" s="190"/>
      <c r="C657" s="179" t="s">
        <v>2341</v>
      </c>
      <c r="D657" s="180" t="s">
        <v>2067</v>
      </c>
      <c r="E657" s="181"/>
      <c r="F657" s="622"/>
      <c r="G657" s="182" t="s">
        <v>250</v>
      </c>
      <c r="H657" s="184" t="s">
        <v>251</v>
      </c>
      <c r="I657" s="185"/>
      <c r="J657" s="183"/>
      <c r="K657" s="192">
        <v>0</v>
      </c>
      <c r="L657" s="188">
        <v>44361</v>
      </c>
      <c r="M657" s="187"/>
      <c r="N657" s="187">
        <v>44361</v>
      </c>
      <c r="O657" s="186">
        <v>3230</v>
      </c>
      <c r="P657" s="179"/>
      <c r="Q657" s="725">
        <v>0</v>
      </c>
      <c r="S657" s="197">
        <v>0</v>
      </c>
      <c r="T657" s="198">
        <v>0</v>
      </c>
      <c r="U657" s="335"/>
      <c r="V657" s="726"/>
    </row>
    <row r="658" spans="2:22" s="7" customFormat="1" ht="18" customHeight="1">
      <c r="B658" s="12"/>
      <c r="C658" s="6" t="s">
        <v>2344</v>
      </c>
      <c r="D658" s="14" t="s">
        <v>2022</v>
      </c>
      <c r="E658" s="19" t="s">
        <v>352</v>
      </c>
      <c r="F658" s="107"/>
      <c r="G658" s="22"/>
      <c r="H658" s="108"/>
      <c r="I658" s="109"/>
      <c r="J658" s="108"/>
      <c r="K658" s="110" t="s">
        <v>5</v>
      </c>
      <c r="L658" s="139">
        <v>44364</v>
      </c>
      <c r="M658" s="33"/>
      <c r="N658" s="33">
        <v>44364</v>
      </c>
      <c r="O658" s="32">
        <v>3240</v>
      </c>
      <c r="P658" s="14"/>
      <c r="Q658" s="322"/>
      <c r="U658" s="14"/>
      <c r="V658" s="257"/>
    </row>
    <row r="659" spans="2:22" s="7" customFormat="1" ht="18" customHeight="1">
      <c r="B659" s="12"/>
      <c r="C659" s="6" t="s">
        <v>2344</v>
      </c>
      <c r="D659" s="14" t="s">
        <v>2022</v>
      </c>
      <c r="E659" s="22" t="s">
        <v>242</v>
      </c>
      <c r="F659" s="107">
        <v>148</v>
      </c>
      <c r="G659" s="22" t="s">
        <v>2345</v>
      </c>
      <c r="H659" s="108">
        <v>55</v>
      </c>
      <c r="I659" s="109">
        <v>1</v>
      </c>
      <c r="J659" s="8">
        <f>H659*I659</f>
        <v>55</v>
      </c>
      <c r="K659" s="39">
        <v>12.92</v>
      </c>
      <c r="L659" s="39">
        <f>K659*J659</f>
        <v>710.6</v>
      </c>
      <c r="M659" s="33"/>
      <c r="N659" s="33">
        <v>44364</v>
      </c>
      <c r="O659" s="32">
        <v>3240</v>
      </c>
      <c r="P659" s="39">
        <f>S659/0.88/90</f>
        <v>11.742424242424242</v>
      </c>
      <c r="Q659" s="322">
        <v>11.74</v>
      </c>
      <c r="S659" s="7">
        <v>930</v>
      </c>
      <c r="T659" s="7">
        <f>S659*J659</f>
        <v>51150</v>
      </c>
      <c r="U659" s="21"/>
      <c r="V659" s="257"/>
    </row>
    <row r="660" spans="2:22" s="7" customFormat="1" ht="18" customHeight="1">
      <c r="B660" s="12"/>
      <c r="C660" s="6" t="s">
        <v>2344</v>
      </c>
      <c r="D660" s="14" t="s">
        <v>2022</v>
      </c>
      <c r="E660" s="22" t="s">
        <v>242</v>
      </c>
      <c r="F660" s="107">
        <v>148</v>
      </c>
      <c r="G660" s="22" t="s">
        <v>2345</v>
      </c>
      <c r="H660" s="108">
        <v>56</v>
      </c>
      <c r="I660" s="109">
        <v>1</v>
      </c>
      <c r="J660" s="8">
        <f>H660*I660</f>
        <v>56</v>
      </c>
      <c r="K660" s="39">
        <v>12.92</v>
      </c>
      <c r="L660" s="39">
        <f>K660*J660</f>
        <v>723.52</v>
      </c>
      <c r="M660" s="33"/>
      <c r="N660" s="33">
        <v>44364</v>
      </c>
      <c r="O660" s="32">
        <v>3240</v>
      </c>
      <c r="P660" s="39">
        <f>S660/0.88/90</f>
        <v>11.742424242424242</v>
      </c>
      <c r="Q660" s="322">
        <v>11.74</v>
      </c>
      <c r="S660" s="7">
        <v>930</v>
      </c>
      <c r="T660" s="7">
        <f>S660*J660</f>
        <v>52080</v>
      </c>
      <c r="U660" s="21"/>
      <c r="V660" s="257"/>
    </row>
    <row r="661" spans="2:22" s="7" customFormat="1" ht="15">
      <c r="B661" s="12"/>
      <c r="C661" s="6" t="s">
        <v>2344</v>
      </c>
      <c r="D661" s="14" t="s">
        <v>2022</v>
      </c>
      <c r="E661" s="49"/>
      <c r="F661" s="102"/>
      <c r="G661" s="22" t="s">
        <v>14</v>
      </c>
      <c r="H661" s="38"/>
      <c r="I661" s="35"/>
      <c r="J661" s="38">
        <v>1</v>
      </c>
      <c r="K661" s="39">
        <v>20</v>
      </c>
      <c r="L661" s="139">
        <v>44364</v>
      </c>
      <c r="M661" s="33"/>
      <c r="N661" s="33">
        <v>44364</v>
      </c>
      <c r="O661" s="32">
        <v>3240</v>
      </c>
      <c r="P661" s="6"/>
      <c r="Q661" s="322">
        <v>20</v>
      </c>
      <c r="S661" s="7">
        <v>1800</v>
      </c>
      <c r="T661" s="7">
        <f>S661*J661</f>
        <v>1800</v>
      </c>
      <c r="U661" s="21"/>
      <c r="V661" s="257"/>
    </row>
    <row r="662" spans="2:22" s="191" customFormat="1" ht="15">
      <c r="B662" s="190"/>
      <c r="C662" s="179" t="s">
        <v>2344</v>
      </c>
      <c r="D662" s="180" t="s">
        <v>2022</v>
      </c>
      <c r="E662" s="217"/>
      <c r="F662" s="182"/>
      <c r="G662" s="182" t="s">
        <v>250</v>
      </c>
      <c r="H662" s="184" t="s">
        <v>251</v>
      </c>
      <c r="I662" s="185"/>
      <c r="J662" s="183"/>
      <c r="K662" s="192">
        <v>0</v>
      </c>
      <c r="L662" s="188">
        <v>44364</v>
      </c>
      <c r="M662" s="187"/>
      <c r="N662" s="187">
        <v>44364</v>
      </c>
      <c r="O662" s="186">
        <v>3240</v>
      </c>
      <c r="P662" s="179"/>
      <c r="Q662" s="725">
        <v>0</v>
      </c>
      <c r="S662" s="197">
        <v>0</v>
      </c>
      <c r="T662" s="198">
        <v>0</v>
      </c>
      <c r="U662" s="335"/>
      <c r="V662" s="726"/>
    </row>
    <row r="663" spans="2:22" s="7" customFormat="1" ht="15">
      <c r="B663" s="12"/>
      <c r="C663" s="6" t="s">
        <v>2346</v>
      </c>
      <c r="D663" s="14" t="s">
        <v>2126</v>
      </c>
      <c r="E663" s="17" t="s">
        <v>160</v>
      </c>
      <c r="F663" s="319"/>
      <c r="G663" s="299"/>
      <c r="H663" s="300"/>
      <c r="I663" s="320"/>
      <c r="J663" s="321"/>
      <c r="K663" s="110" t="s">
        <v>5</v>
      </c>
      <c r="L663" s="139">
        <v>44364</v>
      </c>
      <c r="M663" s="33"/>
      <c r="N663" s="33">
        <v>44364</v>
      </c>
      <c r="O663" s="32">
        <v>3241</v>
      </c>
      <c r="P663" s="6"/>
      <c r="Q663" s="322"/>
      <c r="U663" s="39"/>
      <c r="V663" s="257"/>
    </row>
    <row r="664" spans="2:22" s="7" customFormat="1" ht="15">
      <c r="B664" s="12"/>
      <c r="C664" s="6" t="s">
        <v>2346</v>
      </c>
      <c r="D664" s="14" t="s">
        <v>2126</v>
      </c>
      <c r="E664" s="22">
        <v>14552</v>
      </c>
      <c r="F664" s="24">
        <v>10</v>
      </c>
      <c r="G664" s="22" t="s">
        <v>2128</v>
      </c>
      <c r="H664" s="108">
        <v>30</v>
      </c>
      <c r="I664" s="109">
        <v>14</v>
      </c>
      <c r="J664" s="8">
        <f>H664*I664</f>
        <v>420</v>
      </c>
      <c r="K664" s="39">
        <v>0.57999999999999996</v>
      </c>
      <c r="L664" s="139">
        <v>44364</v>
      </c>
      <c r="M664" s="33"/>
      <c r="N664" s="33">
        <v>44364</v>
      </c>
      <c r="O664" s="32">
        <v>3241</v>
      </c>
      <c r="P664" s="39">
        <f>ROUNDUP(S664/0.7/90,2)</f>
        <v>0.5</v>
      </c>
      <c r="Q664" s="358">
        <v>0.5</v>
      </c>
      <c r="S664" s="7">
        <v>31</v>
      </c>
      <c r="T664" s="7">
        <f>S664*J664</f>
        <v>13020</v>
      </c>
      <c r="U664" s="120"/>
      <c r="V664" s="257"/>
    </row>
    <row r="665" spans="2:22" s="7" customFormat="1" ht="15">
      <c r="B665" s="12"/>
      <c r="C665" s="6" t="s">
        <v>2346</v>
      </c>
      <c r="D665" s="14" t="s">
        <v>2126</v>
      </c>
      <c r="E665" s="49"/>
      <c r="F665" s="102"/>
      <c r="G665" s="22" t="s">
        <v>14</v>
      </c>
      <c r="H665" s="8"/>
      <c r="I665" s="35"/>
      <c r="J665" s="38">
        <v>1</v>
      </c>
      <c r="K665" s="39">
        <v>12</v>
      </c>
      <c r="L665" s="139">
        <v>44364</v>
      </c>
      <c r="M665" s="33"/>
      <c r="N665" s="33">
        <v>44364</v>
      </c>
      <c r="O665" s="32">
        <v>3241</v>
      </c>
      <c r="P665" s="6"/>
      <c r="Q665" s="322">
        <v>12</v>
      </c>
      <c r="S665" s="7">
        <v>1000</v>
      </c>
      <c r="T665" s="7">
        <v>1000</v>
      </c>
      <c r="U665" s="21"/>
      <c r="V665" s="257"/>
    </row>
    <row r="666" spans="2:22" s="191" customFormat="1" ht="15">
      <c r="B666" s="190"/>
      <c r="C666" s="179" t="s">
        <v>2346</v>
      </c>
      <c r="D666" s="180" t="s">
        <v>2126</v>
      </c>
      <c r="E666" s="181"/>
      <c r="F666" s="182"/>
      <c r="G666" s="182" t="s">
        <v>250</v>
      </c>
      <c r="H666" s="184" t="s">
        <v>251</v>
      </c>
      <c r="I666" s="185"/>
      <c r="J666" s="183"/>
      <c r="K666" s="192">
        <v>0</v>
      </c>
      <c r="L666" s="188">
        <v>44364</v>
      </c>
      <c r="M666" s="187"/>
      <c r="N666" s="187">
        <v>44364</v>
      </c>
      <c r="O666" s="186">
        <v>3241</v>
      </c>
      <c r="P666" s="179"/>
      <c r="Q666" s="725">
        <v>0</v>
      </c>
      <c r="S666" s="197">
        <v>0</v>
      </c>
      <c r="T666" s="198">
        <v>0</v>
      </c>
      <c r="U666" s="335"/>
      <c r="V666" s="726"/>
    </row>
    <row r="667" spans="2:22" s="7" customFormat="1" ht="18" customHeight="1">
      <c r="B667" s="12"/>
      <c r="C667" s="6" t="s">
        <v>2347</v>
      </c>
      <c r="D667" s="14" t="s">
        <v>2348</v>
      </c>
      <c r="E667" s="19" t="s">
        <v>2270</v>
      </c>
      <c r="F667" s="37"/>
      <c r="G667" s="37"/>
      <c r="H667" s="108"/>
      <c r="I667" s="108"/>
      <c r="J667" s="108"/>
      <c r="K667" s="29" t="s">
        <v>5</v>
      </c>
      <c r="L667" s="139">
        <v>44385</v>
      </c>
      <c r="M667" s="33"/>
      <c r="N667" s="33">
        <v>44385</v>
      </c>
      <c r="O667" s="32">
        <v>3263</v>
      </c>
      <c r="P667" s="6"/>
      <c r="Q667" s="339" t="s">
        <v>2349</v>
      </c>
      <c r="U667" s="21"/>
      <c r="V667" s="257"/>
    </row>
    <row r="668" spans="2:22" s="7" customFormat="1" ht="17.25" customHeight="1">
      <c r="B668" s="12"/>
      <c r="C668" s="6" t="s">
        <v>2347</v>
      </c>
      <c r="D668" s="14" t="s">
        <v>2348</v>
      </c>
      <c r="E668" s="22">
        <v>5636</v>
      </c>
      <c r="F668" s="37" t="s">
        <v>230</v>
      </c>
      <c r="G668" s="37" t="s">
        <v>283</v>
      </c>
      <c r="H668" s="108">
        <v>50</v>
      </c>
      <c r="I668" s="109">
        <v>24</v>
      </c>
      <c r="J668" s="8">
        <f>H668*I668</f>
        <v>1200</v>
      </c>
      <c r="K668" s="39">
        <v>0.35</v>
      </c>
      <c r="L668" s="139">
        <v>44385</v>
      </c>
      <c r="M668" s="33"/>
      <c r="N668" s="33">
        <v>44385</v>
      </c>
      <c r="O668" s="32">
        <v>3263</v>
      </c>
      <c r="P668" s="39">
        <f>ROUNDUP(S668/0.7/90,2)</f>
        <v>0.17</v>
      </c>
      <c r="Q668" s="322">
        <v>0.17</v>
      </c>
      <c r="S668" s="752">
        <v>10.4</v>
      </c>
      <c r="T668" s="7">
        <f t="shared" ref="T668:T675" si="16">S668*J668</f>
        <v>12480</v>
      </c>
      <c r="U668" s="778" t="s">
        <v>2255</v>
      </c>
      <c r="V668" s="257"/>
    </row>
    <row r="669" spans="2:22" s="7" customFormat="1" ht="17.25" customHeight="1">
      <c r="B669" s="12"/>
      <c r="C669" s="6" t="s">
        <v>2350</v>
      </c>
      <c r="D669" s="14" t="s">
        <v>2351</v>
      </c>
      <c r="E669" s="22">
        <v>5636</v>
      </c>
      <c r="F669" s="37" t="s">
        <v>230</v>
      </c>
      <c r="G669" s="37" t="s">
        <v>2352</v>
      </c>
      <c r="H669" s="108">
        <v>50</v>
      </c>
      <c r="I669" s="109">
        <v>35</v>
      </c>
      <c r="J669" s="8">
        <f>H669*I669</f>
        <v>1750</v>
      </c>
      <c r="K669" s="39">
        <v>0.68</v>
      </c>
      <c r="L669" s="139">
        <v>44385</v>
      </c>
      <c r="M669" s="33"/>
      <c r="N669" s="33">
        <v>44385</v>
      </c>
      <c r="O669" s="32">
        <v>3263</v>
      </c>
      <c r="P669" s="39">
        <f>S669/0.7/90</f>
        <v>0.39047619047619053</v>
      </c>
      <c r="Q669" s="322">
        <v>0.39</v>
      </c>
      <c r="S669" s="7">
        <v>24.6</v>
      </c>
      <c r="T669" s="7">
        <f t="shared" si="16"/>
        <v>43050</v>
      </c>
      <c r="U669" s="752"/>
      <c r="V669" s="257"/>
    </row>
    <row r="670" spans="2:22" s="7" customFormat="1" ht="15">
      <c r="B670" s="12"/>
      <c r="C670" s="6" t="s">
        <v>2347</v>
      </c>
      <c r="D670" s="14" t="s">
        <v>2348</v>
      </c>
      <c r="E670" s="22"/>
      <c r="F670" s="102"/>
      <c r="G670" s="22" t="s">
        <v>2353</v>
      </c>
      <c r="H670" s="8"/>
      <c r="I670" s="35"/>
      <c r="J670" s="38">
        <v>1</v>
      </c>
      <c r="K670" s="154">
        <v>270</v>
      </c>
      <c r="L670" s="139">
        <v>44385</v>
      </c>
      <c r="M670" s="33"/>
      <c r="N670" s="33">
        <v>44385</v>
      </c>
      <c r="O670" s="32">
        <v>3263</v>
      </c>
      <c r="P670" s="39">
        <f>ROUNDUP(S670/0.88/90,2)</f>
        <v>239.89999999999998</v>
      </c>
      <c r="Q670" s="322">
        <v>239.9</v>
      </c>
      <c r="S670" s="7">
        <v>19000</v>
      </c>
      <c r="T670" s="7">
        <f t="shared" si="16"/>
        <v>19000</v>
      </c>
      <c r="U670" s="21"/>
      <c r="V670" s="257"/>
    </row>
    <row r="671" spans="2:22" s="7" customFormat="1" ht="17.25" customHeight="1">
      <c r="B671" s="12"/>
      <c r="C671" s="6" t="s">
        <v>2350</v>
      </c>
      <c r="D671" s="14" t="s">
        <v>2351</v>
      </c>
      <c r="E671" s="22">
        <v>5636</v>
      </c>
      <c r="F671" s="37" t="s">
        <v>230</v>
      </c>
      <c r="G671" s="37" t="s">
        <v>2354</v>
      </c>
      <c r="H671" s="108">
        <v>50</v>
      </c>
      <c r="I671" s="109">
        <v>28</v>
      </c>
      <c r="J671" s="8">
        <f>H671*I671</f>
        <v>1400</v>
      </c>
      <c r="K671" s="39">
        <v>0.76</v>
      </c>
      <c r="L671" s="139">
        <v>44385</v>
      </c>
      <c r="M671" s="33"/>
      <c r="N671" s="33">
        <v>44385</v>
      </c>
      <c r="O671" s="32">
        <v>3263</v>
      </c>
      <c r="P671" s="39">
        <f>S671/0.7/90</f>
        <v>0.39047619047619053</v>
      </c>
      <c r="Q671" s="322">
        <v>0.39</v>
      </c>
      <c r="S671" s="7">
        <v>24.6</v>
      </c>
      <c r="T671" s="7">
        <f t="shared" si="16"/>
        <v>34440</v>
      </c>
      <c r="U671" s="752"/>
      <c r="V671" s="257"/>
    </row>
    <row r="672" spans="2:22" s="7" customFormat="1" ht="15">
      <c r="B672" s="12"/>
      <c r="C672" s="6" t="s">
        <v>2347</v>
      </c>
      <c r="D672" s="14" t="s">
        <v>2348</v>
      </c>
      <c r="E672" s="22"/>
      <c r="F672" s="102"/>
      <c r="G672" s="22" t="s">
        <v>2353</v>
      </c>
      <c r="H672" s="8"/>
      <c r="I672" s="35"/>
      <c r="J672" s="38">
        <v>1</v>
      </c>
      <c r="K672" s="154">
        <v>270</v>
      </c>
      <c r="L672" s="139">
        <v>44385</v>
      </c>
      <c r="M672" s="33"/>
      <c r="N672" s="33">
        <v>44385</v>
      </c>
      <c r="O672" s="32">
        <v>3263</v>
      </c>
      <c r="P672" s="39">
        <f>ROUNDUP(S672/0.88/90,2)</f>
        <v>239.89999999999998</v>
      </c>
      <c r="Q672" s="322">
        <v>239.9</v>
      </c>
      <c r="S672" s="7">
        <v>19000</v>
      </c>
      <c r="T672" s="7">
        <f t="shared" si="16"/>
        <v>19000</v>
      </c>
      <c r="U672" s="21"/>
      <c r="V672" s="257"/>
    </row>
    <row r="673" spans="2:22" s="7" customFormat="1" ht="15">
      <c r="B673" s="12"/>
      <c r="C673" s="6" t="s">
        <v>2347</v>
      </c>
      <c r="D673" s="14" t="s">
        <v>2348</v>
      </c>
      <c r="E673" s="22"/>
      <c r="F673" s="102"/>
      <c r="G673" s="22" t="s">
        <v>2355</v>
      </c>
      <c r="H673" s="8"/>
      <c r="I673" s="35"/>
      <c r="J673" s="38">
        <v>1</v>
      </c>
      <c r="K673" s="154">
        <v>50</v>
      </c>
      <c r="L673" s="139">
        <v>44385</v>
      </c>
      <c r="M673" s="33"/>
      <c r="N673" s="33">
        <v>44385</v>
      </c>
      <c r="O673" s="32">
        <v>3263</v>
      </c>
      <c r="P673" s="39">
        <f>ROUNDUP(S673/0.88/90,2)</f>
        <v>37.879999999999995</v>
      </c>
      <c r="Q673" s="322">
        <v>37.880000000000003</v>
      </c>
      <c r="S673" s="7">
        <v>3000</v>
      </c>
      <c r="T673" s="7">
        <f t="shared" si="16"/>
        <v>3000</v>
      </c>
      <c r="U673" s="21"/>
      <c r="V673" s="257"/>
    </row>
    <row r="674" spans="2:22" s="7" customFormat="1" ht="15">
      <c r="B674" s="12"/>
      <c r="C674" s="6" t="s">
        <v>2347</v>
      </c>
      <c r="D674" s="14" t="s">
        <v>2348</v>
      </c>
      <c r="E674" s="82"/>
      <c r="F674" s="102"/>
      <c r="G674" s="22" t="s">
        <v>14</v>
      </c>
      <c r="H674" s="8"/>
      <c r="I674" s="35"/>
      <c r="J674" s="38">
        <v>1</v>
      </c>
      <c r="K674" s="154">
        <v>15</v>
      </c>
      <c r="L674" s="139">
        <v>44385</v>
      </c>
      <c r="M674" s="33"/>
      <c r="N674" s="33">
        <v>44385</v>
      </c>
      <c r="O674" s="32">
        <v>3263</v>
      </c>
      <c r="P674" s="6" t="s">
        <v>3</v>
      </c>
      <c r="Q674" s="322">
        <v>15</v>
      </c>
      <c r="S674" s="7">
        <v>1100</v>
      </c>
      <c r="T674" s="7">
        <f t="shared" si="16"/>
        <v>1100</v>
      </c>
      <c r="U674" s="21"/>
      <c r="V674" s="257"/>
    </row>
    <row r="675" spans="2:22" s="7" customFormat="1" ht="15">
      <c r="B675" s="12"/>
      <c r="C675" s="6" t="s">
        <v>2347</v>
      </c>
      <c r="D675" s="14" t="s">
        <v>2348</v>
      </c>
      <c r="E675" s="82"/>
      <c r="F675" s="102"/>
      <c r="G675" s="22" t="s">
        <v>119</v>
      </c>
      <c r="H675" s="8"/>
      <c r="I675" s="35"/>
      <c r="J675" s="38">
        <v>1</v>
      </c>
      <c r="K675" s="154">
        <v>35</v>
      </c>
      <c r="L675" s="139">
        <v>44385</v>
      </c>
      <c r="M675" s="33"/>
      <c r="N675" s="33">
        <v>44385</v>
      </c>
      <c r="O675" s="32">
        <v>3263</v>
      </c>
      <c r="P675" s="6" t="s">
        <v>3</v>
      </c>
      <c r="Q675" s="322">
        <v>35</v>
      </c>
      <c r="S675" s="7">
        <v>3000</v>
      </c>
      <c r="T675" s="7">
        <f t="shared" si="16"/>
        <v>3000</v>
      </c>
      <c r="U675" s="21"/>
      <c r="V675" s="257"/>
    </row>
    <row r="676" spans="2:22" s="191" customFormat="1" ht="15">
      <c r="B676" s="190"/>
      <c r="C676" s="179" t="s">
        <v>2347</v>
      </c>
      <c r="D676" s="180" t="s">
        <v>2348</v>
      </c>
      <c r="E676" s="181"/>
      <c r="F676" s="622"/>
      <c r="G676" s="182" t="s">
        <v>250</v>
      </c>
      <c r="H676" s="184" t="s">
        <v>252</v>
      </c>
      <c r="I676" s="185"/>
      <c r="J676" s="183"/>
      <c r="K676" s="203" t="s">
        <v>338</v>
      </c>
      <c r="L676" s="188">
        <v>44385</v>
      </c>
      <c r="M676" s="187"/>
      <c r="N676" s="187">
        <v>44385</v>
      </c>
      <c r="O676" s="186">
        <v>3263</v>
      </c>
      <c r="P676" s="179"/>
      <c r="Q676" s="725">
        <v>250</v>
      </c>
      <c r="S676" s="197">
        <v>14331</v>
      </c>
      <c r="T676" s="197">
        <v>14331</v>
      </c>
      <c r="U676" s="335"/>
      <c r="V676" s="726"/>
    </row>
    <row r="677" spans="2:22" s="7" customFormat="1" ht="15">
      <c r="B677" s="12"/>
      <c r="C677" s="6" t="s">
        <v>2356</v>
      </c>
      <c r="D677" s="14" t="s">
        <v>2357</v>
      </c>
      <c r="E677" s="17" t="s">
        <v>2358</v>
      </c>
      <c r="F677" s="319"/>
      <c r="G677" s="299"/>
      <c r="H677" s="300"/>
      <c r="I677" s="320"/>
      <c r="J677" s="321"/>
      <c r="K677" s="110" t="s">
        <v>5</v>
      </c>
      <c r="L677" s="139">
        <v>44376</v>
      </c>
      <c r="M677" s="33"/>
      <c r="N677" s="33">
        <v>44376</v>
      </c>
      <c r="O677" s="32">
        <v>3261</v>
      </c>
      <c r="P677" s="6"/>
      <c r="Q677" s="322"/>
      <c r="U677" s="39"/>
      <c r="V677" s="257"/>
    </row>
    <row r="678" spans="2:22" s="7" customFormat="1" ht="15">
      <c r="B678" s="12"/>
      <c r="C678" s="6" t="s">
        <v>2356</v>
      </c>
      <c r="D678" s="14" t="s">
        <v>2357</v>
      </c>
      <c r="E678" s="22" t="s">
        <v>2359</v>
      </c>
      <c r="F678" s="24"/>
      <c r="G678" s="22" t="s">
        <v>120</v>
      </c>
      <c r="H678" s="108">
        <v>13.7</v>
      </c>
      <c r="I678" s="109">
        <v>1</v>
      </c>
      <c r="J678" s="131">
        <f>H678*I678</f>
        <v>13.7</v>
      </c>
      <c r="K678" s="39">
        <v>2.39</v>
      </c>
      <c r="L678" s="139">
        <v>44376</v>
      </c>
      <c r="M678" s="33"/>
      <c r="N678" s="33">
        <v>44376</v>
      </c>
      <c r="O678" s="32">
        <v>3261</v>
      </c>
      <c r="P678" s="39">
        <f>ROUNDUP(S678/0.7/90,2)</f>
        <v>1.89</v>
      </c>
      <c r="Q678" s="322">
        <v>1.89</v>
      </c>
      <c r="S678" s="7">
        <v>119</v>
      </c>
      <c r="T678" s="7">
        <f>S678*J678</f>
        <v>1630.3</v>
      </c>
      <c r="U678" s="120"/>
      <c r="V678" s="257"/>
    </row>
    <row r="679" spans="2:22" s="7" customFormat="1" ht="15">
      <c r="B679" s="12"/>
      <c r="C679" s="6" t="s">
        <v>2356</v>
      </c>
      <c r="D679" s="14" t="s">
        <v>2357</v>
      </c>
      <c r="E679" s="22" t="s">
        <v>2360</v>
      </c>
      <c r="F679" s="24"/>
      <c r="G679" s="22" t="s">
        <v>100</v>
      </c>
      <c r="H679" s="108">
        <v>13.7</v>
      </c>
      <c r="I679" s="109">
        <v>1</v>
      </c>
      <c r="J679" s="131">
        <f>H679*I679</f>
        <v>13.7</v>
      </c>
      <c r="K679" s="39">
        <v>2.39</v>
      </c>
      <c r="L679" s="139">
        <v>44376</v>
      </c>
      <c r="M679" s="33"/>
      <c r="N679" s="33">
        <v>44376</v>
      </c>
      <c r="O679" s="32">
        <v>3261</v>
      </c>
      <c r="P679" s="39">
        <f>ROUNDUP(S679/0.7/90,2)</f>
        <v>1.58</v>
      </c>
      <c r="Q679" s="322">
        <v>1.58</v>
      </c>
      <c r="S679" s="7">
        <v>99</v>
      </c>
      <c r="T679" s="7">
        <f>S679*J679</f>
        <v>1356.3</v>
      </c>
      <c r="U679" s="120"/>
      <c r="V679" s="257"/>
    </row>
    <row r="680" spans="2:22" s="7" customFormat="1" ht="15">
      <c r="B680" s="12"/>
      <c r="C680" s="6" t="s">
        <v>2356</v>
      </c>
      <c r="D680" s="14" t="s">
        <v>2357</v>
      </c>
      <c r="E680" s="49"/>
      <c r="F680" s="102"/>
      <c r="G680" s="22" t="s">
        <v>14</v>
      </c>
      <c r="H680" s="8"/>
      <c r="I680" s="35"/>
      <c r="J680" s="38">
        <v>1</v>
      </c>
      <c r="K680" s="39">
        <v>15</v>
      </c>
      <c r="L680" s="139">
        <v>44376</v>
      </c>
      <c r="M680" s="33"/>
      <c r="N680" s="33">
        <v>44376</v>
      </c>
      <c r="O680" s="32">
        <v>3261</v>
      </c>
      <c r="P680" s="6"/>
      <c r="Q680" s="322">
        <v>15</v>
      </c>
      <c r="S680" s="7">
        <v>900</v>
      </c>
      <c r="T680" s="7">
        <f>S680*J680</f>
        <v>900</v>
      </c>
      <c r="U680" s="21"/>
      <c r="V680" s="257"/>
    </row>
    <row r="681" spans="2:22" s="191" customFormat="1" ht="15">
      <c r="B681" s="190"/>
      <c r="C681" s="179" t="s">
        <v>2356</v>
      </c>
      <c r="D681" s="180" t="s">
        <v>2357</v>
      </c>
      <c r="E681" s="181"/>
      <c r="F681" s="182"/>
      <c r="G681" s="182" t="s">
        <v>250</v>
      </c>
      <c r="H681" s="184" t="s">
        <v>251</v>
      </c>
      <c r="I681" s="185"/>
      <c r="J681" s="183"/>
      <c r="K681" s="192">
        <v>0</v>
      </c>
      <c r="L681" s="188">
        <v>44376</v>
      </c>
      <c r="M681" s="187"/>
      <c r="N681" s="187">
        <v>44376</v>
      </c>
      <c r="O681" s="186">
        <v>3261</v>
      </c>
      <c r="P681" s="179"/>
      <c r="Q681" s="725">
        <v>0</v>
      </c>
      <c r="S681" s="197">
        <v>0</v>
      </c>
      <c r="T681" s="198">
        <v>0</v>
      </c>
      <c r="U681" s="335"/>
      <c r="V681" s="726"/>
    </row>
    <row r="682" spans="2:22" s="7" customFormat="1" ht="15">
      <c r="B682" s="12"/>
      <c r="C682" s="6" t="s">
        <v>2361</v>
      </c>
      <c r="D682" s="14" t="s">
        <v>2329</v>
      </c>
      <c r="E682" s="19" t="s">
        <v>59</v>
      </c>
      <c r="F682" s="107"/>
      <c r="G682" s="22"/>
      <c r="H682" s="108"/>
      <c r="I682" s="109"/>
      <c r="J682" s="108"/>
      <c r="K682" s="110" t="s">
        <v>5</v>
      </c>
      <c r="L682" s="139">
        <v>44392</v>
      </c>
      <c r="M682" s="33"/>
      <c r="N682" s="33">
        <v>44392</v>
      </c>
      <c r="O682" s="32">
        <v>3275</v>
      </c>
      <c r="P682" s="14"/>
      <c r="Q682" s="322"/>
      <c r="S682" s="72"/>
      <c r="U682" s="14"/>
      <c r="V682" s="257"/>
    </row>
    <row r="683" spans="2:22" s="7" customFormat="1" ht="15">
      <c r="B683" s="12"/>
      <c r="C683" s="6" t="s">
        <v>2361</v>
      </c>
      <c r="D683" s="14" t="s">
        <v>2329</v>
      </c>
      <c r="E683" s="22">
        <v>2440</v>
      </c>
      <c r="F683" s="107">
        <v>140</v>
      </c>
      <c r="G683" s="22" t="s">
        <v>2362</v>
      </c>
      <c r="H683" s="8">
        <v>58</v>
      </c>
      <c r="I683" s="35">
        <v>1</v>
      </c>
      <c r="J683" s="8">
        <f t="shared" ref="J683:J692" si="17">H683*I683</f>
        <v>58</v>
      </c>
      <c r="K683" s="39">
        <v>3.34</v>
      </c>
      <c r="L683" s="139">
        <v>44392</v>
      </c>
      <c r="M683" s="33"/>
      <c r="N683" s="33">
        <v>44392</v>
      </c>
      <c r="O683" s="32">
        <v>3275</v>
      </c>
      <c r="P683" s="39">
        <f t="shared" ref="P683:P691" si="18">S683/0.88/90</f>
        <v>3.0303030303030307</v>
      </c>
      <c r="Q683" s="322">
        <v>3.03</v>
      </c>
      <c r="S683" s="92">
        <v>240</v>
      </c>
      <c r="T683" s="210">
        <f t="shared" ref="T683:T694" si="19">S683*J683</f>
        <v>13920</v>
      </c>
      <c r="U683" s="21"/>
      <c r="V683" s="257"/>
    </row>
    <row r="684" spans="2:22" s="7" customFormat="1" ht="15">
      <c r="B684" s="12"/>
      <c r="C684" s="6" t="s">
        <v>2361</v>
      </c>
      <c r="D684" s="14" t="s">
        <v>2329</v>
      </c>
      <c r="E684" s="22">
        <v>2440</v>
      </c>
      <c r="F684" s="107">
        <v>140</v>
      </c>
      <c r="G684" s="22" t="s">
        <v>2363</v>
      </c>
      <c r="H684" s="8">
        <v>58</v>
      </c>
      <c r="I684" s="35">
        <v>1</v>
      </c>
      <c r="J684" s="8">
        <f t="shared" si="17"/>
        <v>58</v>
      </c>
      <c r="K684" s="39">
        <v>3.34</v>
      </c>
      <c r="L684" s="139">
        <v>44392</v>
      </c>
      <c r="M684" s="33"/>
      <c r="N684" s="33">
        <v>44392</v>
      </c>
      <c r="O684" s="32">
        <v>3275</v>
      </c>
      <c r="P684" s="39">
        <f t="shared" si="18"/>
        <v>3.0303030303030307</v>
      </c>
      <c r="Q684" s="322">
        <v>3.03</v>
      </c>
      <c r="S684" s="92">
        <v>240</v>
      </c>
      <c r="T684" s="210">
        <f t="shared" si="19"/>
        <v>13920</v>
      </c>
      <c r="U684" s="21"/>
      <c r="V684" s="257"/>
    </row>
    <row r="685" spans="2:22" s="7" customFormat="1" ht="15">
      <c r="B685" s="12"/>
      <c r="C685" s="6" t="s">
        <v>2361</v>
      </c>
      <c r="D685" s="14" t="s">
        <v>2329</v>
      </c>
      <c r="E685" s="22">
        <v>2440</v>
      </c>
      <c r="F685" s="107">
        <v>140</v>
      </c>
      <c r="G685" s="22" t="s">
        <v>2364</v>
      </c>
      <c r="H685" s="8">
        <v>58</v>
      </c>
      <c r="I685" s="35">
        <v>1</v>
      </c>
      <c r="J685" s="8">
        <f t="shared" si="17"/>
        <v>58</v>
      </c>
      <c r="K685" s="39">
        <v>3.34</v>
      </c>
      <c r="L685" s="139">
        <v>44392</v>
      </c>
      <c r="M685" s="33"/>
      <c r="N685" s="33">
        <v>44392</v>
      </c>
      <c r="O685" s="32">
        <v>3275</v>
      </c>
      <c r="P685" s="39">
        <f t="shared" si="18"/>
        <v>3.0303030303030307</v>
      </c>
      <c r="Q685" s="322">
        <v>3.03</v>
      </c>
      <c r="S685" s="92">
        <v>240</v>
      </c>
      <c r="T685" s="210">
        <f t="shared" si="19"/>
        <v>13920</v>
      </c>
      <c r="U685" s="21"/>
      <c r="V685" s="257"/>
    </row>
    <row r="686" spans="2:22" s="7" customFormat="1" ht="15">
      <c r="B686" s="12"/>
      <c r="C686" s="6" t="s">
        <v>2361</v>
      </c>
      <c r="D686" s="14" t="s">
        <v>2329</v>
      </c>
      <c r="E686" s="22">
        <v>2440</v>
      </c>
      <c r="F686" s="107">
        <v>140</v>
      </c>
      <c r="G686" s="22" t="s">
        <v>256</v>
      </c>
      <c r="H686" s="8">
        <v>25</v>
      </c>
      <c r="I686" s="35">
        <v>1</v>
      </c>
      <c r="J686" s="8">
        <f t="shared" si="17"/>
        <v>25</v>
      </c>
      <c r="K686" s="39">
        <v>3.34</v>
      </c>
      <c r="L686" s="139">
        <v>44392</v>
      </c>
      <c r="M686" s="33"/>
      <c r="N686" s="33">
        <v>44392</v>
      </c>
      <c r="O686" s="32">
        <v>3275</v>
      </c>
      <c r="P686" s="39">
        <f t="shared" si="18"/>
        <v>3.0303030303030307</v>
      </c>
      <c r="Q686" s="322">
        <v>3.03</v>
      </c>
      <c r="S686" s="92">
        <v>240</v>
      </c>
      <c r="T686" s="210">
        <f t="shared" si="19"/>
        <v>6000</v>
      </c>
      <c r="U686" s="21"/>
      <c r="V686" s="257"/>
    </row>
    <row r="687" spans="2:22" s="7" customFormat="1" ht="15">
      <c r="B687" s="12"/>
      <c r="C687" s="6" t="s">
        <v>2361</v>
      </c>
      <c r="D687" s="14" t="s">
        <v>2329</v>
      </c>
      <c r="E687" s="22">
        <v>2440</v>
      </c>
      <c r="F687" s="107">
        <v>140</v>
      </c>
      <c r="G687" s="22" t="s">
        <v>318</v>
      </c>
      <c r="H687" s="8">
        <v>5</v>
      </c>
      <c r="I687" s="35">
        <v>1</v>
      </c>
      <c r="J687" s="8">
        <f t="shared" si="17"/>
        <v>5</v>
      </c>
      <c r="K687" s="39">
        <v>3.34</v>
      </c>
      <c r="L687" s="139">
        <v>44392</v>
      </c>
      <c r="M687" s="33"/>
      <c r="N687" s="33">
        <v>44392</v>
      </c>
      <c r="O687" s="32">
        <v>3275</v>
      </c>
      <c r="P687" s="39">
        <f t="shared" si="18"/>
        <v>3.0303030303030307</v>
      </c>
      <c r="Q687" s="322">
        <v>3.03</v>
      </c>
      <c r="S687" s="92">
        <v>240</v>
      </c>
      <c r="T687" s="210">
        <f t="shared" si="19"/>
        <v>1200</v>
      </c>
      <c r="U687" s="21"/>
      <c r="V687" s="257"/>
    </row>
    <row r="688" spans="2:22" s="7" customFormat="1" ht="15">
      <c r="B688" s="12"/>
      <c r="C688" s="6" t="s">
        <v>2361</v>
      </c>
      <c r="D688" s="14" t="s">
        <v>2329</v>
      </c>
      <c r="E688" s="22">
        <v>2440</v>
      </c>
      <c r="F688" s="107">
        <v>140</v>
      </c>
      <c r="G688" s="22" t="s">
        <v>318</v>
      </c>
      <c r="H688" s="8">
        <v>4</v>
      </c>
      <c r="I688" s="35">
        <v>1</v>
      </c>
      <c r="J688" s="8">
        <f t="shared" si="17"/>
        <v>4</v>
      </c>
      <c r="K688" s="39">
        <v>3.34</v>
      </c>
      <c r="L688" s="139">
        <v>44392</v>
      </c>
      <c r="M688" s="33"/>
      <c r="N688" s="33">
        <v>44392</v>
      </c>
      <c r="O688" s="32">
        <v>3275</v>
      </c>
      <c r="P688" s="39">
        <f>S688/0.88/90</f>
        <v>3.0303030303030307</v>
      </c>
      <c r="Q688" s="322">
        <v>3.03</v>
      </c>
      <c r="S688" s="92">
        <v>240</v>
      </c>
      <c r="T688" s="210">
        <f t="shared" si="19"/>
        <v>960</v>
      </c>
      <c r="U688" s="21"/>
      <c r="V688" s="257"/>
    </row>
    <row r="689" spans="2:22" s="7" customFormat="1" ht="15">
      <c r="B689" s="12"/>
      <c r="C689" s="6" t="s">
        <v>2361</v>
      </c>
      <c r="D689" s="14" t="s">
        <v>2329</v>
      </c>
      <c r="E689" s="22">
        <v>2440</v>
      </c>
      <c r="F689" s="107">
        <v>140</v>
      </c>
      <c r="G689" s="22" t="s">
        <v>318</v>
      </c>
      <c r="H689" s="8">
        <v>3</v>
      </c>
      <c r="I689" s="35">
        <v>1</v>
      </c>
      <c r="J689" s="8">
        <f t="shared" si="17"/>
        <v>3</v>
      </c>
      <c r="K689" s="39">
        <v>3.34</v>
      </c>
      <c r="L689" s="139">
        <v>44392</v>
      </c>
      <c r="M689" s="33"/>
      <c r="N689" s="33">
        <v>44392</v>
      </c>
      <c r="O689" s="32">
        <v>3275</v>
      </c>
      <c r="P689" s="39">
        <f>S689/0.88/90</f>
        <v>3.0303030303030307</v>
      </c>
      <c r="Q689" s="322">
        <v>3.03</v>
      </c>
      <c r="S689" s="92">
        <v>240</v>
      </c>
      <c r="T689" s="210">
        <f t="shared" si="19"/>
        <v>720</v>
      </c>
      <c r="U689" s="21"/>
      <c r="V689" s="257"/>
    </row>
    <row r="690" spans="2:22" s="7" customFormat="1" ht="15">
      <c r="B690" s="12"/>
      <c r="C690" s="6" t="s">
        <v>2361</v>
      </c>
      <c r="D690" s="14" t="s">
        <v>2329</v>
      </c>
      <c r="E690" s="22">
        <v>2440</v>
      </c>
      <c r="F690" s="107">
        <v>140</v>
      </c>
      <c r="G690" s="22" t="s">
        <v>2365</v>
      </c>
      <c r="H690" s="8">
        <v>25</v>
      </c>
      <c r="I690" s="35">
        <v>1</v>
      </c>
      <c r="J690" s="8">
        <f t="shared" si="17"/>
        <v>25</v>
      </c>
      <c r="K690" s="39">
        <v>3.34</v>
      </c>
      <c r="L690" s="139">
        <v>44392</v>
      </c>
      <c r="M690" s="33"/>
      <c r="N690" s="33">
        <v>44392</v>
      </c>
      <c r="O690" s="32">
        <v>3275</v>
      </c>
      <c r="P690" s="39">
        <f t="shared" si="18"/>
        <v>3.0303030303030307</v>
      </c>
      <c r="Q690" s="322">
        <v>3.03</v>
      </c>
      <c r="S690" s="92">
        <v>240</v>
      </c>
      <c r="T690" s="210">
        <f t="shared" si="19"/>
        <v>6000</v>
      </c>
      <c r="U690" s="21"/>
      <c r="V690" s="257"/>
    </row>
    <row r="691" spans="2:22" s="7" customFormat="1" ht="15">
      <c r="B691" s="12"/>
      <c r="C691" s="6" t="s">
        <v>2361</v>
      </c>
      <c r="D691" s="14" t="s">
        <v>2329</v>
      </c>
      <c r="E691" s="22">
        <v>2440</v>
      </c>
      <c r="F691" s="107">
        <v>140</v>
      </c>
      <c r="G691" s="22" t="s">
        <v>2366</v>
      </c>
      <c r="H691" s="8">
        <v>25</v>
      </c>
      <c r="I691" s="35">
        <v>1</v>
      </c>
      <c r="J691" s="8">
        <f t="shared" si="17"/>
        <v>25</v>
      </c>
      <c r="K691" s="39">
        <v>3.34</v>
      </c>
      <c r="L691" s="139">
        <v>44392</v>
      </c>
      <c r="M691" s="33"/>
      <c r="N691" s="33">
        <v>44392</v>
      </c>
      <c r="O691" s="32">
        <v>3275</v>
      </c>
      <c r="P691" s="39">
        <f t="shared" si="18"/>
        <v>3.0303030303030307</v>
      </c>
      <c r="Q691" s="322">
        <v>3.03</v>
      </c>
      <c r="S691" s="92">
        <v>240</v>
      </c>
      <c r="T691" s="210">
        <f t="shared" si="19"/>
        <v>6000</v>
      </c>
      <c r="U691" s="21"/>
      <c r="V691" s="257"/>
    </row>
    <row r="692" spans="2:22" s="7" customFormat="1" ht="15">
      <c r="B692" s="12"/>
      <c r="C692" s="6" t="s">
        <v>2361</v>
      </c>
      <c r="D692" s="14" t="s">
        <v>2329</v>
      </c>
      <c r="E692" s="22">
        <v>2440</v>
      </c>
      <c r="F692" s="107">
        <v>140</v>
      </c>
      <c r="G692" s="22" t="s">
        <v>2367</v>
      </c>
      <c r="H692" s="8">
        <v>58</v>
      </c>
      <c r="I692" s="35">
        <v>4</v>
      </c>
      <c r="J692" s="8">
        <f t="shared" si="17"/>
        <v>232</v>
      </c>
      <c r="K692" s="39">
        <v>3.34</v>
      </c>
      <c r="L692" s="139">
        <v>44392</v>
      </c>
      <c r="M692" s="33"/>
      <c r="N692" s="33">
        <v>44392</v>
      </c>
      <c r="O692" s="32">
        <v>3275</v>
      </c>
      <c r="P692" s="39">
        <f>S692/0.88/90</f>
        <v>3.0303030303030307</v>
      </c>
      <c r="Q692" s="322">
        <v>3.03</v>
      </c>
      <c r="S692" s="92">
        <v>240</v>
      </c>
      <c r="T692" s="210">
        <f t="shared" si="19"/>
        <v>55680</v>
      </c>
      <c r="U692" s="21"/>
      <c r="V692" s="257"/>
    </row>
    <row r="693" spans="2:22" s="7" customFormat="1" ht="15">
      <c r="B693" s="12"/>
      <c r="C693" s="6" t="s">
        <v>2361</v>
      </c>
      <c r="D693" s="14" t="s">
        <v>2329</v>
      </c>
      <c r="E693" s="22"/>
      <c r="F693" s="102"/>
      <c r="G693" s="22" t="s">
        <v>57</v>
      </c>
      <c r="H693" s="8"/>
      <c r="I693" s="35"/>
      <c r="J693" s="38">
        <v>3</v>
      </c>
      <c r="K693" s="39">
        <v>15</v>
      </c>
      <c r="L693" s="139">
        <v>44392</v>
      </c>
      <c r="M693" s="33"/>
      <c r="N693" s="33">
        <v>44392</v>
      </c>
      <c r="O693" s="32">
        <v>3275</v>
      </c>
      <c r="P693" s="6"/>
      <c r="Q693" s="322">
        <v>45</v>
      </c>
      <c r="S693" s="92">
        <v>1000</v>
      </c>
      <c r="T693" s="210">
        <f t="shared" si="19"/>
        <v>3000</v>
      </c>
      <c r="U693" s="21"/>
      <c r="V693" s="257"/>
    </row>
    <row r="694" spans="2:22" s="7" customFormat="1" ht="15">
      <c r="B694" s="12"/>
      <c r="C694" s="6" t="s">
        <v>2361</v>
      </c>
      <c r="D694" s="14" t="s">
        <v>2329</v>
      </c>
      <c r="E694" s="22"/>
      <c r="F694" s="102"/>
      <c r="G694" s="22" t="s">
        <v>180</v>
      </c>
      <c r="H694" s="8"/>
      <c r="I694" s="35"/>
      <c r="J694" s="38">
        <v>1</v>
      </c>
      <c r="K694" s="39">
        <v>20</v>
      </c>
      <c r="L694" s="139">
        <v>44392</v>
      </c>
      <c r="M694" s="33"/>
      <c r="N694" s="33">
        <v>44392</v>
      </c>
      <c r="O694" s="32">
        <v>3275</v>
      </c>
      <c r="P694" s="6"/>
      <c r="Q694" s="322">
        <v>20</v>
      </c>
      <c r="S694" s="92">
        <v>1800</v>
      </c>
      <c r="T694" s="210">
        <f t="shared" si="19"/>
        <v>1800</v>
      </c>
      <c r="U694" s="21"/>
      <c r="V694" s="257"/>
    </row>
    <row r="695" spans="2:22" s="191" customFormat="1" ht="15">
      <c r="B695" s="190"/>
      <c r="C695" s="179" t="s">
        <v>2361</v>
      </c>
      <c r="D695" s="180" t="s">
        <v>2329</v>
      </c>
      <c r="E695" s="181"/>
      <c r="F695" s="182"/>
      <c r="G695" s="182" t="s">
        <v>250</v>
      </c>
      <c r="H695" s="184" t="s">
        <v>252</v>
      </c>
      <c r="I695" s="185"/>
      <c r="J695" s="183"/>
      <c r="K695" s="192">
        <v>390</v>
      </c>
      <c r="L695" s="188">
        <v>44392</v>
      </c>
      <c r="M695" s="187"/>
      <c r="N695" s="187">
        <v>44392</v>
      </c>
      <c r="O695" s="186">
        <v>3275</v>
      </c>
      <c r="P695" s="179"/>
      <c r="Q695" s="725">
        <v>370</v>
      </c>
      <c r="S695" s="212">
        <v>24102</v>
      </c>
      <c r="T695" s="212">
        <v>24102</v>
      </c>
      <c r="U695" s="335"/>
      <c r="V695" s="726"/>
    </row>
    <row r="696" spans="2:22" s="7" customFormat="1" ht="18" customHeight="1">
      <c r="B696" s="12"/>
      <c r="C696" s="6" t="s">
        <v>2368</v>
      </c>
      <c r="D696" s="14" t="s">
        <v>2259</v>
      </c>
      <c r="E696" s="19" t="s">
        <v>2369</v>
      </c>
      <c r="F696" s="37"/>
      <c r="G696" s="37"/>
      <c r="H696" s="108"/>
      <c r="I696" s="108"/>
      <c r="J696" s="108"/>
      <c r="K696" s="110" t="s">
        <v>5</v>
      </c>
      <c r="L696" s="139"/>
      <c r="M696" s="33"/>
      <c r="N696" s="33">
        <v>44431</v>
      </c>
      <c r="O696" s="32">
        <v>3435</v>
      </c>
      <c r="P696" s="6"/>
      <c r="Q696" s="339"/>
      <c r="U696" s="21"/>
      <c r="V696" s="257"/>
    </row>
    <row r="697" spans="2:22" s="7" customFormat="1" ht="18" customHeight="1">
      <c r="B697" s="12"/>
      <c r="C697" s="6" t="s">
        <v>2368</v>
      </c>
      <c r="D697" s="14" t="s">
        <v>2259</v>
      </c>
      <c r="E697" s="22" t="s">
        <v>2261</v>
      </c>
      <c r="F697" s="37"/>
      <c r="G697" s="37" t="s">
        <v>2262</v>
      </c>
      <c r="H697" s="108">
        <v>13.7</v>
      </c>
      <c r="I697" s="109">
        <v>1</v>
      </c>
      <c r="J697" s="131">
        <f t="shared" ref="J697:J707" si="20">H697*I697</f>
        <v>13.7</v>
      </c>
      <c r="K697" s="39">
        <v>48.34</v>
      </c>
      <c r="L697" s="39">
        <f t="shared" ref="L697:L707" si="21">K697*J697</f>
        <v>662.25800000000004</v>
      </c>
      <c r="M697" s="91"/>
      <c r="N697" s="33">
        <v>44431</v>
      </c>
      <c r="O697" s="32">
        <v>3435</v>
      </c>
      <c r="P697" s="39">
        <f t="shared" ref="P697:P707" si="22">S697/0.88/90</f>
        <v>43.939393939393938</v>
      </c>
      <c r="Q697" s="322">
        <v>43.94</v>
      </c>
      <c r="S697" s="7">
        <f>2800+680</f>
        <v>3480</v>
      </c>
      <c r="T697" s="210">
        <f t="shared" ref="T697:T707" si="23">S697*J697</f>
        <v>47676</v>
      </c>
      <c r="U697" s="21"/>
      <c r="V697" s="257"/>
    </row>
    <row r="698" spans="2:22" s="7" customFormat="1" ht="18" customHeight="1">
      <c r="B698" s="12"/>
      <c r="C698" s="6" t="s">
        <v>2368</v>
      </c>
      <c r="D698" s="14" t="s">
        <v>2259</v>
      </c>
      <c r="E698" s="22" t="s">
        <v>2261</v>
      </c>
      <c r="F698" s="37"/>
      <c r="G698" s="37" t="s">
        <v>2262</v>
      </c>
      <c r="H698" s="108">
        <v>13.4</v>
      </c>
      <c r="I698" s="109">
        <v>1</v>
      </c>
      <c r="J698" s="131">
        <f t="shared" si="20"/>
        <v>13.4</v>
      </c>
      <c r="K698" s="39">
        <v>48.34</v>
      </c>
      <c r="L698" s="39">
        <f t="shared" si="21"/>
        <v>647.75600000000009</v>
      </c>
      <c r="M698" s="91"/>
      <c r="N698" s="33">
        <v>44431</v>
      </c>
      <c r="O698" s="32">
        <v>3435</v>
      </c>
      <c r="P698" s="39">
        <f t="shared" si="22"/>
        <v>43.939393939393938</v>
      </c>
      <c r="Q698" s="322">
        <v>43.94</v>
      </c>
      <c r="S698" s="7">
        <f>2800+680</f>
        <v>3480</v>
      </c>
      <c r="T698" s="210">
        <f t="shared" si="23"/>
        <v>46632</v>
      </c>
      <c r="U698" s="21"/>
      <c r="V698" s="257"/>
    </row>
    <row r="699" spans="2:22" s="7" customFormat="1" ht="18" customHeight="1">
      <c r="B699" s="12"/>
      <c r="C699" s="6" t="s">
        <v>2368</v>
      </c>
      <c r="D699" s="14" t="s">
        <v>2259</v>
      </c>
      <c r="E699" s="22" t="s">
        <v>2261</v>
      </c>
      <c r="F699" s="37"/>
      <c r="G699" s="37" t="s">
        <v>2262</v>
      </c>
      <c r="H699" s="108">
        <v>12.9</v>
      </c>
      <c r="I699" s="109">
        <v>1</v>
      </c>
      <c r="J699" s="131">
        <f t="shared" si="20"/>
        <v>12.9</v>
      </c>
      <c r="K699" s="39">
        <v>48.34</v>
      </c>
      <c r="L699" s="39">
        <f t="shared" si="21"/>
        <v>623.58600000000001</v>
      </c>
      <c r="M699" s="91"/>
      <c r="N699" s="33">
        <v>44431</v>
      </c>
      <c r="O699" s="32">
        <v>3435</v>
      </c>
      <c r="P699" s="39">
        <f t="shared" si="22"/>
        <v>43.939393939393938</v>
      </c>
      <c r="Q699" s="322">
        <v>43.94</v>
      </c>
      <c r="S699" s="7">
        <f>2800+680</f>
        <v>3480</v>
      </c>
      <c r="T699" s="210">
        <f t="shared" si="23"/>
        <v>44892</v>
      </c>
      <c r="U699" s="21"/>
      <c r="V699" s="257"/>
    </row>
    <row r="700" spans="2:22" s="7" customFormat="1" ht="18" customHeight="1">
      <c r="B700" s="12"/>
      <c r="C700" s="6" t="s">
        <v>2368</v>
      </c>
      <c r="D700" s="14" t="s">
        <v>2259</v>
      </c>
      <c r="E700" s="374" t="s">
        <v>2261</v>
      </c>
      <c r="F700" s="37"/>
      <c r="G700" s="37" t="s">
        <v>2370</v>
      </c>
      <c r="H700" s="108">
        <v>13.7</v>
      </c>
      <c r="I700" s="109">
        <v>26</v>
      </c>
      <c r="J700" s="131">
        <f t="shared" si="20"/>
        <v>356.2</v>
      </c>
      <c r="K700" s="39">
        <v>41.12</v>
      </c>
      <c r="L700" s="39">
        <f t="shared" si="21"/>
        <v>14646.944</v>
      </c>
      <c r="M700" s="91"/>
      <c r="N700" s="33">
        <v>44449</v>
      </c>
      <c r="O700" s="32">
        <v>3477</v>
      </c>
      <c r="P700" s="39">
        <f t="shared" si="22"/>
        <v>37.37373737373737</v>
      </c>
      <c r="Q700" s="322">
        <v>37.369999999999997</v>
      </c>
      <c r="S700" s="7">
        <f t="shared" ref="S700:S707" si="24">2800+160</f>
        <v>2960</v>
      </c>
      <c r="T700" s="210">
        <f t="shared" si="23"/>
        <v>1054352</v>
      </c>
      <c r="U700" s="21"/>
      <c r="V700" s="257"/>
    </row>
    <row r="701" spans="2:22" s="7" customFormat="1" ht="18" customHeight="1">
      <c r="B701" s="12"/>
      <c r="C701" s="6" t="s">
        <v>2368</v>
      </c>
      <c r="D701" s="14" t="s">
        <v>2259</v>
      </c>
      <c r="E701" s="374" t="s">
        <v>2261</v>
      </c>
      <c r="F701" s="37"/>
      <c r="G701" s="37" t="s">
        <v>2371</v>
      </c>
      <c r="H701" s="108">
        <v>13.7</v>
      </c>
      <c r="I701" s="109">
        <v>23</v>
      </c>
      <c r="J701" s="131">
        <f t="shared" si="20"/>
        <v>315.09999999999997</v>
      </c>
      <c r="K701" s="39">
        <v>41.12</v>
      </c>
      <c r="L701" s="39">
        <f t="shared" si="21"/>
        <v>12956.911999999998</v>
      </c>
      <c r="M701" s="91"/>
      <c r="N701" s="33">
        <v>44449</v>
      </c>
      <c r="O701" s="32">
        <v>3477</v>
      </c>
      <c r="P701" s="39">
        <f t="shared" si="22"/>
        <v>37.37373737373737</v>
      </c>
      <c r="Q701" s="322">
        <v>37.369999999999997</v>
      </c>
      <c r="S701" s="7">
        <f t="shared" si="24"/>
        <v>2960</v>
      </c>
      <c r="T701" s="210">
        <f t="shared" si="23"/>
        <v>932695.99999999988</v>
      </c>
      <c r="U701" s="21"/>
      <c r="V701" s="257"/>
    </row>
    <row r="702" spans="2:22" s="7" customFormat="1" ht="18" customHeight="1">
      <c r="B702" s="12"/>
      <c r="C702" s="6" t="s">
        <v>2368</v>
      </c>
      <c r="D702" s="14" t="s">
        <v>2259</v>
      </c>
      <c r="E702" s="374" t="s">
        <v>2261</v>
      </c>
      <c r="F702" s="37"/>
      <c r="G702" s="37" t="s">
        <v>2371</v>
      </c>
      <c r="H702" s="108">
        <v>12.7</v>
      </c>
      <c r="I702" s="109">
        <v>1</v>
      </c>
      <c r="J702" s="131">
        <f t="shared" si="20"/>
        <v>12.7</v>
      </c>
      <c r="K702" s="39">
        <v>41.12</v>
      </c>
      <c r="L702" s="39">
        <f t="shared" si="21"/>
        <v>522.22399999999993</v>
      </c>
      <c r="M702" s="91"/>
      <c r="N702" s="33">
        <v>44449</v>
      </c>
      <c r="O702" s="32">
        <v>3477</v>
      </c>
      <c r="P702" s="39">
        <f t="shared" si="22"/>
        <v>37.37373737373737</v>
      </c>
      <c r="Q702" s="322">
        <v>37.369999999999997</v>
      </c>
      <c r="S702" s="7">
        <f t="shared" si="24"/>
        <v>2960</v>
      </c>
      <c r="T702" s="210">
        <f t="shared" si="23"/>
        <v>37592</v>
      </c>
      <c r="U702" s="21"/>
      <c r="V702" s="257"/>
    </row>
    <row r="703" spans="2:22" s="7" customFormat="1" ht="18" customHeight="1">
      <c r="B703" s="12"/>
      <c r="C703" s="6" t="s">
        <v>2368</v>
      </c>
      <c r="D703" s="14" t="s">
        <v>2259</v>
      </c>
      <c r="E703" s="374" t="s">
        <v>2261</v>
      </c>
      <c r="F703" s="37"/>
      <c r="G703" s="37" t="s">
        <v>2371</v>
      </c>
      <c r="H703" s="108">
        <v>13</v>
      </c>
      <c r="I703" s="109">
        <v>1</v>
      </c>
      <c r="J703" s="131">
        <f t="shared" si="20"/>
        <v>13</v>
      </c>
      <c r="K703" s="39">
        <v>41.12</v>
      </c>
      <c r="L703" s="39">
        <f t="shared" si="21"/>
        <v>534.55999999999995</v>
      </c>
      <c r="M703" s="91"/>
      <c r="N703" s="33">
        <v>44449</v>
      </c>
      <c r="O703" s="32">
        <v>3477</v>
      </c>
      <c r="P703" s="39">
        <f t="shared" si="22"/>
        <v>37.37373737373737</v>
      </c>
      <c r="Q703" s="322">
        <v>37.369999999999997</v>
      </c>
      <c r="S703" s="7">
        <f t="shared" si="24"/>
        <v>2960</v>
      </c>
      <c r="T703" s="210">
        <f t="shared" si="23"/>
        <v>38480</v>
      </c>
      <c r="U703" s="21"/>
      <c r="V703" s="257"/>
    </row>
    <row r="704" spans="2:22" s="7" customFormat="1" ht="18" customHeight="1">
      <c r="B704" s="12"/>
      <c r="C704" s="6" t="s">
        <v>2368</v>
      </c>
      <c r="D704" s="14" t="s">
        <v>2259</v>
      </c>
      <c r="E704" s="374" t="s">
        <v>2261</v>
      </c>
      <c r="F704" s="37"/>
      <c r="G704" s="37" t="s">
        <v>2371</v>
      </c>
      <c r="H704" s="108">
        <v>6.7</v>
      </c>
      <c r="I704" s="109">
        <v>2</v>
      </c>
      <c r="J704" s="131">
        <f t="shared" si="20"/>
        <v>13.4</v>
      </c>
      <c r="K704" s="39">
        <v>41.12</v>
      </c>
      <c r="L704" s="39">
        <f t="shared" si="21"/>
        <v>551.00799999999992</v>
      </c>
      <c r="M704" s="91"/>
      <c r="N704" s="33">
        <v>44449</v>
      </c>
      <c r="O704" s="32">
        <v>3477</v>
      </c>
      <c r="P704" s="39">
        <f t="shared" si="22"/>
        <v>37.37373737373737</v>
      </c>
      <c r="Q704" s="322">
        <v>37.369999999999997</v>
      </c>
      <c r="S704" s="7">
        <f t="shared" si="24"/>
        <v>2960</v>
      </c>
      <c r="T704" s="210">
        <f t="shared" si="23"/>
        <v>39664</v>
      </c>
      <c r="U704" s="21"/>
      <c r="V704" s="257"/>
    </row>
    <row r="705" spans="2:22" s="7" customFormat="1" ht="18" customHeight="1">
      <c r="B705" s="12"/>
      <c r="C705" s="6" t="s">
        <v>2368</v>
      </c>
      <c r="D705" s="14" t="s">
        <v>2259</v>
      </c>
      <c r="E705" s="374" t="s">
        <v>2261</v>
      </c>
      <c r="F705" s="37"/>
      <c r="G705" s="37" t="s">
        <v>2371</v>
      </c>
      <c r="H705" s="108">
        <v>12.7</v>
      </c>
      <c r="I705" s="109">
        <v>1</v>
      </c>
      <c r="J705" s="131">
        <f t="shared" si="20"/>
        <v>12.7</v>
      </c>
      <c r="K705" s="39">
        <v>41.12</v>
      </c>
      <c r="L705" s="39">
        <f t="shared" si="21"/>
        <v>522.22399999999993</v>
      </c>
      <c r="M705" s="91"/>
      <c r="N705" s="33">
        <v>44449</v>
      </c>
      <c r="O705" s="32">
        <v>3477</v>
      </c>
      <c r="P705" s="39">
        <f t="shared" si="22"/>
        <v>37.37373737373737</v>
      </c>
      <c r="Q705" s="322">
        <v>37.369999999999997</v>
      </c>
      <c r="S705" s="7">
        <f t="shared" si="24"/>
        <v>2960</v>
      </c>
      <c r="T705" s="210">
        <f t="shared" si="23"/>
        <v>37592</v>
      </c>
      <c r="U705" s="21"/>
      <c r="V705" s="257"/>
    </row>
    <row r="706" spans="2:22" s="7" customFormat="1" ht="18" customHeight="1">
      <c r="B706" s="12"/>
      <c r="C706" s="6" t="s">
        <v>2368</v>
      </c>
      <c r="D706" s="14" t="s">
        <v>2259</v>
      </c>
      <c r="E706" s="374" t="s">
        <v>2261</v>
      </c>
      <c r="F706" s="37"/>
      <c r="G706" s="37" t="s">
        <v>2371</v>
      </c>
      <c r="H706" s="108">
        <v>13.6</v>
      </c>
      <c r="I706" s="109">
        <v>1</v>
      </c>
      <c r="J706" s="131">
        <f t="shared" si="20"/>
        <v>13.6</v>
      </c>
      <c r="K706" s="39">
        <v>41.12</v>
      </c>
      <c r="L706" s="39">
        <f t="shared" si="21"/>
        <v>559.23199999999997</v>
      </c>
      <c r="M706" s="91"/>
      <c r="N706" s="33">
        <v>44449</v>
      </c>
      <c r="O706" s="32">
        <v>3477</v>
      </c>
      <c r="P706" s="39">
        <f t="shared" si="22"/>
        <v>37.37373737373737</v>
      </c>
      <c r="Q706" s="322">
        <v>37.369999999999997</v>
      </c>
      <c r="S706" s="7">
        <f t="shared" si="24"/>
        <v>2960</v>
      </c>
      <c r="T706" s="210">
        <f t="shared" si="23"/>
        <v>40256</v>
      </c>
      <c r="U706" s="21"/>
      <c r="V706" s="257"/>
    </row>
    <row r="707" spans="2:22" s="7" customFormat="1" ht="18" customHeight="1">
      <c r="B707" s="12"/>
      <c r="C707" s="6" t="s">
        <v>2368</v>
      </c>
      <c r="D707" s="14" t="s">
        <v>2259</v>
      </c>
      <c r="E707" s="374" t="s">
        <v>2261</v>
      </c>
      <c r="F707" s="37"/>
      <c r="G707" s="37" t="s">
        <v>2371</v>
      </c>
      <c r="H707" s="108">
        <v>12.4</v>
      </c>
      <c r="I707" s="109">
        <v>1</v>
      </c>
      <c r="J707" s="131">
        <f t="shared" si="20"/>
        <v>12.4</v>
      </c>
      <c r="K707" s="39">
        <v>41.12</v>
      </c>
      <c r="L707" s="39">
        <f t="shared" si="21"/>
        <v>509.88799999999998</v>
      </c>
      <c r="M707" s="91"/>
      <c r="N707" s="33">
        <v>44449</v>
      </c>
      <c r="O707" s="32">
        <v>3477</v>
      </c>
      <c r="P707" s="39">
        <f t="shared" si="22"/>
        <v>37.37373737373737</v>
      </c>
      <c r="Q707" s="322">
        <v>37.369999999999997</v>
      </c>
      <c r="S707" s="7">
        <f t="shared" si="24"/>
        <v>2960</v>
      </c>
      <c r="T707" s="210">
        <f t="shared" si="23"/>
        <v>36704</v>
      </c>
      <c r="U707" s="21"/>
      <c r="V707" s="257"/>
    </row>
    <row r="708" spans="2:22" s="191" customFormat="1" ht="15">
      <c r="B708" s="190"/>
      <c r="C708" s="179" t="s">
        <v>2368</v>
      </c>
      <c r="D708" s="180" t="s">
        <v>2259</v>
      </c>
      <c r="E708" s="181"/>
      <c r="F708" s="622"/>
      <c r="G708" s="182" t="s">
        <v>250</v>
      </c>
      <c r="H708" s="184" t="s">
        <v>251</v>
      </c>
      <c r="I708" s="185"/>
      <c r="J708" s="183"/>
      <c r="K708" s="192">
        <v>0</v>
      </c>
      <c r="L708" s="188"/>
      <c r="M708" s="187"/>
      <c r="N708" s="187">
        <v>44449</v>
      </c>
      <c r="O708" s="186">
        <v>3477</v>
      </c>
      <c r="P708" s="179"/>
      <c r="Q708" s="725">
        <v>0</v>
      </c>
      <c r="S708" s="212">
        <v>0</v>
      </c>
      <c r="T708" s="212">
        <v>0</v>
      </c>
      <c r="U708" s="335"/>
      <c r="V708" s="726"/>
    </row>
    <row r="709" spans="2:22" s="147" customFormat="1" ht="18" customHeight="1">
      <c r="B709" s="157"/>
      <c r="C709" s="145" t="s">
        <v>2372</v>
      </c>
      <c r="D709" s="149" t="s">
        <v>2373</v>
      </c>
      <c r="E709" s="367" t="s">
        <v>10</v>
      </c>
      <c r="F709" s="368"/>
      <c r="G709" s="122"/>
      <c r="H709" s="148"/>
      <c r="I709" s="156"/>
      <c r="J709" s="148"/>
      <c r="K709" s="369" t="s">
        <v>5</v>
      </c>
      <c r="L709" s="135"/>
      <c r="M709" s="370"/>
      <c r="N709" s="332" t="s">
        <v>72</v>
      </c>
      <c r="O709" s="134"/>
      <c r="P709" s="149"/>
      <c r="Q709" s="379"/>
      <c r="U709" s="149"/>
      <c r="V709" s="259"/>
    </row>
    <row r="710" spans="2:22" s="147" customFormat="1" ht="18" customHeight="1">
      <c r="B710" s="157"/>
      <c r="C710" s="145" t="s">
        <v>2372</v>
      </c>
      <c r="D710" s="149" t="s">
        <v>2373</v>
      </c>
      <c r="E710" s="758" t="s">
        <v>6</v>
      </c>
      <c r="F710" s="368">
        <v>160</v>
      </c>
      <c r="G710" s="122" t="s">
        <v>2374</v>
      </c>
      <c r="H710" s="148">
        <v>50</v>
      </c>
      <c r="I710" s="156">
        <v>1</v>
      </c>
      <c r="J710" s="151">
        <f>H710*I710</f>
        <v>50</v>
      </c>
      <c r="K710" s="132">
        <v>4.74</v>
      </c>
      <c r="L710" s="135"/>
      <c r="M710" s="370"/>
      <c r="N710" s="332" t="s">
        <v>72</v>
      </c>
      <c r="O710" s="134"/>
      <c r="P710" s="132"/>
      <c r="Q710" s="379"/>
      <c r="U710" s="761"/>
      <c r="V710" s="259"/>
    </row>
    <row r="711" spans="2:22" s="147" customFormat="1" ht="15">
      <c r="B711" s="157"/>
      <c r="C711" s="145" t="s">
        <v>2372</v>
      </c>
      <c r="D711" s="149" t="s">
        <v>2373</v>
      </c>
      <c r="E711" s="122"/>
      <c r="F711" s="787"/>
      <c r="G711" s="122" t="s">
        <v>14</v>
      </c>
      <c r="H711" s="151"/>
      <c r="I711" s="152"/>
      <c r="J711" s="381">
        <v>1</v>
      </c>
      <c r="K711" s="132">
        <v>20</v>
      </c>
      <c r="L711" s="135"/>
      <c r="M711" s="370"/>
      <c r="N711" s="332" t="s">
        <v>72</v>
      </c>
      <c r="O711" s="134"/>
      <c r="P711" s="145"/>
      <c r="Q711" s="379"/>
      <c r="S711" s="788"/>
      <c r="U711" s="761"/>
      <c r="V711" s="259"/>
    </row>
    <row r="712" spans="2:22" s="383" customFormat="1" ht="15">
      <c r="B712" s="380"/>
      <c r="C712" s="145" t="s">
        <v>2372</v>
      </c>
      <c r="D712" s="149" t="s">
        <v>2373</v>
      </c>
      <c r="E712" s="150"/>
      <c r="F712" s="789"/>
      <c r="G712" s="129" t="s">
        <v>250</v>
      </c>
      <c r="H712" s="381" t="s">
        <v>251</v>
      </c>
      <c r="I712" s="156"/>
      <c r="J712" s="148"/>
      <c r="K712" s="132">
        <v>0</v>
      </c>
      <c r="L712" s="135"/>
      <c r="M712" s="370"/>
      <c r="N712" s="370"/>
      <c r="O712" s="134"/>
      <c r="P712" s="145"/>
      <c r="Q712" s="756">
        <v>0</v>
      </c>
      <c r="S712" s="286">
        <v>0</v>
      </c>
      <c r="T712" s="382">
        <v>0</v>
      </c>
      <c r="U712" s="372"/>
      <c r="V712" s="790"/>
    </row>
    <row r="713" spans="2:22" s="7" customFormat="1" ht="18" customHeight="1">
      <c r="B713" s="12"/>
      <c r="C713" s="6" t="s">
        <v>2375</v>
      </c>
      <c r="D713" s="14" t="s">
        <v>2156</v>
      </c>
      <c r="E713" s="19" t="s">
        <v>238</v>
      </c>
      <c r="F713" s="107"/>
      <c r="G713" s="22"/>
      <c r="H713" s="108"/>
      <c r="I713" s="109"/>
      <c r="J713" s="108"/>
      <c r="K713" s="110" t="s">
        <v>5</v>
      </c>
      <c r="L713" s="139">
        <v>44403</v>
      </c>
      <c r="M713" s="33"/>
      <c r="N713" s="33">
        <v>44403</v>
      </c>
      <c r="O713" s="32">
        <v>3283</v>
      </c>
      <c r="P713" s="14"/>
      <c r="Q713" s="322"/>
      <c r="U713" s="14"/>
      <c r="V713" s="257"/>
    </row>
    <row r="714" spans="2:22" s="7" customFormat="1" ht="18" customHeight="1">
      <c r="B714" s="12"/>
      <c r="C714" s="6" t="s">
        <v>2375</v>
      </c>
      <c r="D714" s="14" t="s">
        <v>2156</v>
      </c>
      <c r="E714" s="22" t="s">
        <v>239</v>
      </c>
      <c r="F714" s="107">
        <v>150</v>
      </c>
      <c r="G714" s="22" t="s">
        <v>1965</v>
      </c>
      <c r="H714" s="108">
        <v>11</v>
      </c>
      <c r="I714" s="109">
        <v>1</v>
      </c>
      <c r="J714" s="131">
        <f>H714*I714</f>
        <v>11</v>
      </c>
      <c r="K714" s="39">
        <v>8.39</v>
      </c>
      <c r="L714" s="139">
        <v>44403</v>
      </c>
      <c r="M714" s="33"/>
      <c r="N714" s="33">
        <v>44403</v>
      </c>
      <c r="O714" s="32">
        <v>3283</v>
      </c>
      <c r="P714" s="39">
        <f>ROUNDUP(S714/0.88/90,2)</f>
        <v>5.9399999999999995</v>
      </c>
      <c r="Q714" s="322">
        <v>5.94</v>
      </c>
      <c r="S714" s="7">
        <v>470</v>
      </c>
      <c r="T714" s="210">
        <f t="shared" ref="T714:T720" si="25">S714*J714</f>
        <v>5170</v>
      </c>
      <c r="U714" s="21"/>
      <c r="V714" s="257"/>
    </row>
    <row r="715" spans="2:22" s="7" customFormat="1" ht="18" customHeight="1">
      <c r="B715" s="12"/>
      <c r="C715" s="6" t="s">
        <v>2375</v>
      </c>
      <c r="D715" s="14" t="s">
        <v>2156</v>
      </c>
      <c r="E715" s="22" t="s">
        <v>239</v>
      </c>
      <c r="F715" s="107">
        <v>150</v>
      </c>
      <c r="G715" s="22" t="s">
        <v>1965</v>
      </c>
      <c r="H715" s="108">
        <v>24</v>
      </c>
      <c r="I715" s="109">
        <v>1</v>
      </c>
      <c r="J715" s="131">
        <f>H715*I715</f>
        <v>24</v>
      </c>
      <c r="K715" s="39">
        <v>8.39</v>
      </c>
      <c r="L715" s="139">
        <v>44403</v>
      </c>
      <c r="M715" s="33"/>
      <c r="N715" s="33">
        <v>44403</v>
      </c>
      <c r="O715" s="32">
        <v>3283</v>
      </c>
      <c r="P715" s="39">
        <f>ROUNDUP(S715/0.88/90,2)</f>
        <v>5.9399999999999995</v>
      </c>
      <c r="Q715" s="322">
        <v>5.94</v>
      </c>
      <c r="S715" s="7">
        <v>470</v>
      </c>
      <c r="T715" s="210">
        <f t="shared" si="25"/>
        <v>11280</v>
      </c>
      <c r="U715" s="21"/>
      <c r="V715" s="257"/>
    </row>
    <row r="716" spans="2:22" s="7" customFormat="1" ht="18" customHeight="1">
      <c r="B716" s="12"/>
      <c r="C716" s="6" t="s">
        <v>2375</v>
      </c>
      <c r="D716" s="14" t="s">
        <v>2156</v>
      </c>
      <c r="E716" s="22" t="s">
        <v>239</v>
      </c>
      <c r="F716" s="107">
        <v>150</v>
      </c>
      <c r="G716" s="22" t="s">
        <v>1965</v>
      </c>
      <c r="H716" s="108">
        <v>52</v>
      </c>
      <c r="I716" s="109">
        <v>1</v>
      </c>
      <c r="J716" s="131">
        <f>H716*I716</f>
        <v>52</v>
      </c>
      <c r="K716" s="39">
        <v>8.39</v>
      </c>
      <c r="L716" s="139">
        <v>44403</v>
      </c>
      <c r="M716" s="33"/>
      <c r="N716" s="33">
        <v>44403</v>
      </c>
      <c r="O716" s="32">
        <v>3283</v>
      </c>
      <c r="P716" s="39">
        <f>ROUNDUP(S716/0.88/90,2)</f>
        <v>5.9399999999999995</v>
      </c>
      <c r="Q716" s="322">
        <v>5.94</v>
      </c>
      <c r="S716" s="7">
        <v>470</v>
      </c>
      <c r="T716" s="210">
        <f t="shared" si="25"/>
        <v>24440</v>
      </c>
      <c r="U716" s="21"/>
      <c r="V716" s="257"/>
    </row>
    <row r="717" spans="2:22" s="7" customFormat="1" ht="18" customHeight="1">
      <c r="B717" s="12"/>
      <c r="C717" s="6" t="s">
        <v>2375</v>
      </c>
      <c r="D717" s="14" t="s">
        <v>2156</v>
      </c>
      <c r="E717" s="22" t="s">
        <v>239</v>
      </c>
      <c r="F717" s="107">
        <v>150</v>
      </c>
      <c r="G717" s="22" t="s">
        <v>1965</v>
      </c>
      <c r="H717" s="108">
        <v>52.5</v>
      </c>
      <c r="I717" s="109">
        <v>1</v>
      </c>
      <c r="J717" s="131">
        <f>H717*I717</f>
        <v>52.5</v>
      </c>
      <c r="K717" s="39">
        <v>8.39</v>
      </c>
      <c r="L717" s="139">
        <v>44403</v>
      </c>
      <c r="M717" s="33"/>
      <c r="N717" s="33">
        <v>44403</v>
      </c>
      <c r="O717" s="32">
        <v>3283</v>
      </c>
      <c r="P717" s="39">
        <f>ROUNDUP(S717/0.88/90,2)</f>
        <v>5.9399999999999995</v>
      </c>
      <c r="Q717" s="322">
        <v>5.94</v>
      </c>
      <c r="S717" s="7">
        <v>470</v>
      </c>
      <c r="T717" s="210">
        <f t="shared" si="25"/>
        <v>24675</v>
      </c>
      <c r="U717" s="21"/>
      <c r="V717" s="257"/>
    </row>
    <row r="718" spans="2:22" s="7" customFormat="1" ht="18" customHeight="1">
      <c r="B718" s="12"/>
      <c r="C718" s="6" t="s">
        <v>2375</v>
      </c>
      <c r="D718" s="14" t="s">
        <v>2156</v>
      </c>
      <c r="E718" s="22" t="s">
        <v>239</v>
      </c>
      <c r="F718" s="107">
        <v>150</v>
      </c>
      <c r="G718" s="22" t="s">
        <v>1965</v>
      </c>
      <c r="H718" s="108">
        <v>57</v>
      </c>
      <c r="I718" s="109">
        <v>1</v>
      </c>
      <c r="J718" s="131">
        <f>H718*I718</f>
        <v>57</v>
      </c>
      <c r="K718" s="39">
        <v>8.39</v>
      </c>
      <c r="L718" s="139">
        <v>44403</v>
      </c>
      <c r="M718" s="33"/>
      <c r="N718" s="33">
        <v>44403</v>
      </c>
      <c r="O718" s="32">
        <v>3283</v>
      </c>
      <c r="P718" s="39">
        <f>ROUNDUP(S718/0.88/90,2)</f>
        <v>5.9399999999999995</v>
      </c>
      <c r="Q718" s="322">
        <v>5.94</v>
      </c>
      <c r="S718" s="7">
        <v>470</v>
      </c>
      <c r="T718" s="210">
        <f t="shared" si="25"/>
        <v>26790</v>
      </c>
      <c r="U718" s="21"/>
      <c r="V718" s="257"/>
    </row>
    <row r="719" spans="2:22" s="7" customFormat="1" ht="15">
      <c r="B719" s="12"/>
      <c r="C719" s="6" t="s">
        <v>2375</v>
      </c>
      <c r="D719" s="14" t="s">
        <v>2156</v>
      </c>
      <c r="E719" s="49"/>
      <c r="F719" s="102"/>
      <c r="G719" s="22" t="s">
        <v>57</v>
      </c>
      <c r="H719" s="38"/>
      <c r="I719" s="35"/>
      <c r="J719" s="38">
        <v>1</v>
      </c>
      <c r="K719" s="39">
        <v>12</v>
      </c>
      <c r="L719" s="139">
        <v>44403</v>
      </c>
      <c r="M719" s="33"/>
      <c r="N719" s="33">
        <v>44403</v>
      </c>
      <c r="O719" s="32">
        <v>3283</v>
      </c>
      <c r="P719" s="6"/>
      <c r="Q719" s="322">
        <v>0</v>
      </c>
      <c r="S719" s="7">
        <v>0</v>
      </c>
      <c r="T719" s="7">
        <f t="shared" si="25"/>
        <v>0</v>
      </c>
      <c r="U719" s="21"/>
      <c r="V719" s="257"/>
    </row>
    <row r="720" spans="2:22" s="7" customFormat="1" ht="15">
      <c r="B720" s="12"/>
      <c r="C720" s="6" t="s">
        <v>2375</v>
      </c>
      <c r="D720" s="14" t="s">
        <v>2156</v>
      </c>
      <c r="E720" s="49"/>
      <c r="F720" s="102"/>
      <c r="G720" s="22" t="s">
        <v>14</v>
      </c>
      <c r="H720" s="38"/>
      <c r="I720" s="35"/>
      <c r="J720" s="38">
        <v>1</v>
      </c>
      <c r="K720" s="39">
        <v>20</v>
      </c>
      <c r="L720" s="139">
        <v>44403</v>
      </c>
      <c r="M720" s="33"/>
      <c r="N720" s="33">
        <v>44403</v>
      </c>
      <c r="O720" s="32">
        <v>3283</v>
      </c>
      <c r="P720" s="6"/>
      <c r="Q720" s="322">
        <v>20</v>
      </c>
      <c r="S720" s="7">
        <v>1800</v>
      </c>
      <c r="T720" s="7">
        <f t="shared" si="25"/>
        <v>1800</v>
      </c>
      <c r="U720" s="21"/>
      <c r="V720" s="257"/>
    </row>
    <row r="721" spans="2:22" customFormat="1" ht="18" customHeight="1">
      <c r="B721" s="26"/>
      <c r="C721" s="6" t="s">
        <v>2375</v>
      </c>
      <c r="D721" s="14" t="s">
        <v>2156</v>
      </c>
      <c r="E721" s="723"/>
      <c r="F721" s="64"/>
      <c r="G721" s="37" t="s">
        <v>1955</v>
      </c>
      <c r="H721" s="131"/>
      <c r="I721" s="8"/>
      <c r="J721" s="38">
        <v>1</v>
      </c>
      <c r="K721" s="39">
        <v>130</v>
      </c>
      <c r="L721" s="139">
        <v>44403</v>
      </c>
      <c r="M721" s="33"/>
      <c r="N721" s="33">
        <v>44403</v>
      </c>
      <c r="O721" s="32">
        <v>3283</v>
      </c>
      <c r="P721" s="4"/>
      <c r="Q721" s="322">
        <v>130</v>
      </c>
      <c r="R721" s="1"/>
      <c r="S721" s="197">
        <v>9120</v>
      </c>
      <c r="T721" s="197">
        <v>9120</v>
      </c>
      <c r="U721" s="34"/>
      <c r="V721" s="256"/>
    </row>
    <row r="722" spans="2:22" customFormat="1" ht="18" customHeight="1">
      <c r="B722" s="26"/>
      <c r="C722" s="6" t="s">
        <v>2375</v>
      </c>
      <c r="D722" s="14" t="s">
        <v>2156</v>
      </c>
      <c r="E722" s="723"/>
      <c r="F722" s="64"/>
      <c r="G722" s="37" t="s">
        <v>119</v>
      </c>
      <c r="H722" s="131"/>
      <c r="I722" s="8"/>
      <c r="J722" s="38">
        <v>1</v>
      </c>
      <c r="K722" s="39">
        <v>35</v>
      </c>
      <c r="L722" s="139">
        <v>44403</v>
      </c>
      <c r="M722" s="33"/>
      <c r="N722" s="33">
        <v>44403</v>
      </c>
      <c r="O722" s="32">
        <v>3283</v>
      </c>
      <c r="P722" s="39"/>
      <c r="Q722" s="322">
        <v>35</v>
      </c>
      <c r="R722" s="1"/>
      <c r="S722" s="197">
        <v>3000</v>
      </c>
      <c r="T722" s="197">
        <v>3000</v>
      </c>
      <c r="U722" s="34"/>
      <c r="V722" s="256"/>
    </row>
    <row r="723" spans="2:22" s="7" customFormat="1" ht="15">
      <c r="B723" s="12"/>
      <c r="C723" s="6" t="s">
        <v>2375</v>
      </c>
      <c r="D723" s="14" t="s">
        <v>2156</v>
      </c>
      <c r="E723" s="49"/>
      <c r="F723" s="102"/>
      <c r="G723" s="22" t="s">
        <v>2157</v>
      </c>
      <c r="H723" s="38"/>
      <c r="I723" s="35"/>
      <c r="J723" s="38">
        <v>1</v>
      </c>
      <c r="K723" s="39">
        <v>150</v>
      </c>
      <c r="L723" s="139">
        <v>44403</v>
      </c>
      <c r="M723" s="33"/>
      <c r="N723" s="33">
        <v>44403</v>
      </c>
      <c r="O723" s="32">
        <v>3283</v>
      </c>
      <c r="P723" s="6"/>
      <c r="Q723" s="322">
        <v>0</v>
      </c>
      <c r="S723" s="7">
        <v>0</v>
      </c>
      <c r="T723" s="7">
        <f>S723*J723</f>
        <v>0</v>
      </c>
      <c r="U723" s="21"/>
      <c r="V723" s="257"/>
    </row>
    <row r="724" spans="2:22" s="191" customFormat="1" ht="15">
      <c r="B724" s="190"/>
      <c r="C724" s="179" t="s">
        <v>2375</v>
      </c>
      <c r="D724" s="180" t="s">
        <v>2156</v>
      </c>
      <c r="E724" s="181"/>
      <c r="F724" s="182"/>
      <c r="G724" s="182" t="s">
        <v>250</v>
      </c>
      <c r="H724" s="184" t="s">
        <v>338</v>
      </c>
      <c r="I724" s="185"/>
      <c r="J724" s="183"/>
      <c r="K724" s="203" t="s">
        <v>338</v>
      </c>
      <c r="L724" s="188">
        <v>44403</v>
      </c>
      <c r="M724" s="187"/>
      <c r="N724" s="187">
        <v>44403</v>
      </c>
      <c r="O724" s="186">
        <v>3283</v>
      </c>
      <c r="P724" s="179"/>
      <c r="Q724" s="747" t="s">
        <v>338</v>
      </c>
      <c r="S724" s="197" t="s">
        <v>338</v>
      </c>
      <c r="T724" s="197" t="s">
        <v>338</v>
      </c>
      <c r="U724" s="335"/>
      <c r="V724" s="726"/>
    </row>
    <row r="725" spans="2:22" s="7" customFormat="1" ht="18" customHeight="1">
      <c r="B725" s="12"/>
      <c r="C725" s="6" t="s">
        <v>2376</v>
      </c>
      <c r="D725" s="14" t="s">
        <v>2194</v>
      </c>
      <c r="E725" s="19" t="s">
        <v>10</v>
      </c>
      <c r="F725" s="107"/>
      <c r="G725" s="22"/>
      <c r="H725" s="108"/>
      <c r="I725" s="109"/>
      <c r="J725" s="108"/>
      <c r="K725" s="110" t="s">
        <v>5</v>
      </c>
      <c r="L725" s="139">
        <v>44382</v>
      </c>
      <c r="M725" s="33"/>
      <c r="N725" s="33">
        <v>44382</v>
      </c>
      <c r="O725" s="32">
        <v>3301</v>
      </c>
      <c r="P725" s="14"/>
      <c r="Q725" s="322"/>
      <c r="U725" s="14"/>
      <c r="V725" s="257"/>
    </row>
    <row r="726" spans="2:22" s="7" customFormat="1" ht="18" customHeight="1">
      <c r="B726" s="12"/>
      <c r="C726" s="6" t="s">
        <v>2376</v>
      </c>
      <c r="D726" s="14" t="s">
        <v>2194</v>
      </c>
      <c r="E726" s="22" t="s">
        <v>206</v>
      </c>
      <c r="F726" s="107">
        <v>162</v>
      </c>
      <c r="G726" s="22" t="s">
        <v>2195</v>
      </c>
      <c r="H726" s="8">
        <v>155</v>
      </c>
      <c r="I726" s="8">
        <v>155</v>
      </c>
      <c r="J726" s="8">
        <v>155</v>
      </c>
      <c r="K726" s="39">
        <v>4.17</v>
      </c>
      <c r="L726" s="139">
        <v>44382</v>
      </c>
      <c r="M726" s="33"/>
      <c r="N726" s="33">
        <v>44382</v>
      </c>
      <c r="O726" s="32">
        <v>3301</v>
      </c>
      <c r="P726" s="39">
        <f>S726/0.88/90</f>
        <v>3.7878787878787881</v>
      </c>
      <c r="Q726" s="322">
        <v>3.79</v>
      </c>
      <c r="S726" s="7">
        <v>300</v>
      </c>
      <c r="T726" s="7">
        <f>S726*J726</f>
        <v>46500</v>
      </c>
      <c r="U726" s="21"/>
      <c r="V726" s="257"/>
    </row>
    <row r="727" spans="2:22" s="7" customFormat="1" ht="17.45" customHeight="1">
      <c r="B727" s="12"/>
      <c r="C727" s="6" t="s">
        <v>2376</v>
      </c>
      <c r="D727" s="14" t="s">
        <v>2194</v>
      </c>
      <c r="E727" s="159"/>
      <c r="F727" s="37"/>
      <c r="G727" s="37" t="s">
        <v>14</v>
      </c>
      <c r="H727" s="8"/>
      <c r="I727" s="109" ph="1"/>
      <c r="J727" s="38">
        <v>1</v>
      </c>
      <c r="K727" s="39">
        <v>20</v>
      </c>
      <c r="L727" s="139">
        <v>44382</v>
      </c>
      <c r="M727" s="33"/>
      <c r="N727" s="33">
        <v>44382</v>
      </c>
      <c r="O727" s="32">
        <v>3301</v>
      </c>
      <c r="P727" s="6"/>
      <c r="Q727" s="322">
        <v>20</v>
      </c>
      <c r="S727" s="7">
        <v>1800</v>
      </c>
      <c r="T727" s="7">
        <v>1800</v>
      </c>
      <c r="U727" s="21"/>
      <c r="V727" s="257"/>
    </row>
    <row r="728" spans="2:22" s="191" customFormat="1" ht="15">
      <c r="B728" s="190"/>
      <c r="C728" s="179" t="s">
        <v>2376</v>
      </c>
      <c r="D728" s="180" t="s">
        <v>2194</v>
      </c>
      <c r="E728" s="217"/>
      <c r="F728" s="182"/>
      <c r="G728" s="182" t="s">
        <v>250</v>
      </c>
      <c r="H728" s="184" t="s">
        <v>252</v>
      </c>
      <c r="I728" s="185"/>
      <c r="J728" s="183"/>
      <c r="K728" s="333">
        <v>175</v>
      </c>
      <c r="L728" s="188">
        <v>44382</v>
      </c>
      <c r="M728" s="187"/>
      <c r="N728" s="187">
        <v>44382</v>
      </c>
      <c r="O728" s="186">
        <v>3301</v>
      </c>
      <c r="P728" s="179"/>
      <c r="Q728" s="322">
        <v>155</v>
      </c>
      <c r="S728" s="791">
        <v>18316</v>
      </c>
      <c r="T728" s="791">
        <v>18316</v>
      </c>
      <c r="U728" s="335"/>
      <c r="V728" s="726"/>
    </row>
    <row r="729" spans="2:22" s="7" customFormat="1" ht="15.95" customHeight="1">
      <c r="B729" s="12"/>
      <c r="C729" s="6" t="s">
        <v>2377</v>
      </c>
      <c r="D729" s="14" t="s">
        <v>2378</v>
      </c>
      <c r="E729" s="19" t="s">
        <v>2379</v>
      </c>
      <c r="F729" s="107"/>
      <c r="G729" s="22"/>
      <c r="H729" s="108"/>
      <c r="I729" s="109"/>
      <c r="J729" s="108"/>
      <c r="K729" s="110" t="s">
        <v>5</v>
      </c>
      <c r="L729" s="139">
        <v>44382</v>
      </c>
      <c r="M729" s="33"/>
      <c r="N729" s="33">
        <v>44382</v>
      </c>
      <c r="O729" s="32">
        <v>3302</v>
      </c>
      <c r="P729" s="14"/>
      <c r="Q729" s="322"/>
      <c r="U729" s="14"/>
      <c r="V729" s="257"/>
    </row>
    <row r="730" spans="2:22" s="7" customFormat="1" ht="15.95" customHeight="1">
      <c r="B730" s="12"/>
      <c r="C730" s="6" t="s">
        <v>2377</v>
      </c>
      <c r="D730" s="14" t="s">
        <v>2378</v>
      </c>
      <c r="E730" s="22" t="s">
        <v>2380</v>
      </c>
      <c r="F730" s="37"/>
      <c r="G730" s="37" t="s">
        <v>58</v>
      </c>
      <c r="H730" s="108">
        <v>13.7</v>
      </c>
      <c r="I730" s="109">
        <v>2</v>
      </c>
      <c r="J730" s="131">
        <f>H730*I730</f>
        <v>27.4</v>
      </c>
      <c r="K730" s="39">
        <v>1.97</v>
      </c>
      <c r="L730" s="139">
        <v>44382</v>
      </c>
      <c r="M730" s="33"/>
      <c r="N730" s="33">
        <v>44382</v>
      </c>
      <c r="O730" s="32">
        <v>3302</v>
      </c>
      <c r="P730" s="39">
        <f>ROUNDUP(S730/0.7/90,2)</f>
        <v>1.1000000000000001</v>
      </c>
      <c r="Q730" s="322">
        <v>1.1000000000000001</v>
      </c>
      <c r="S730" s="7">
        <v>69</v>
      </c>
      <c r="T730" s="7">
        <f>S730*J730</f>
        <v>1890.6</v>
      </c>
      <c r="U730" s="81"/>
      <c r="V730" s="257"/>
    </row>
    <row r="731" spans="2:22" customFormat="1" ht="18" customHeight="1">
      <c r="B731" s="26"/>
      <c r="C731" s="6" t="s">
        <v>2377</v>
      </c>
      <c r="D731" s="14" t="s">
        <v>2378</v>
      </c>
      <c r="E731" s="22" t="s">
        <v>2381</v>
      </c>
      <c r="F731" s="37"/>
      <c r="G731" s="37" t="s">
        <v>2382</v>
      </c>
      <c r="H731" s="108">
        <v>13.7</v>
      </c>
      <c r="I731" s="109">
        <v>2</v>
      </c>
      <c r="J731" s="108">
        <f>H731*I731</f>
        <v>27.4</v>
      </c>
      <c r="K731" s="39">
        <v>2.84</v>
      </c>
      <c r="L731" s="139">
        <v>44382</v>
      </c>
      <c r="M731" s="33"/>
      <c r="N731" s="33">
        <v>44382</v>
      </c>
      <c r="O731" s="32">
        <v>3302</v>
      </c>
      <c r="P731" s="39">
        <f>ROUNDUP(S731/0.7/90,2)</f>
        <v>1.96</v>
      </c>
      <c r="Q731" s="322">
        <v>1.96</v>
      </c>
      <c r="R731" s="1"/>
      <c r="S731" s="7">
        <v>123</v>
      </c>
      <c r="T731" s="7">
        <f>S731*J731</f>
        <v>3370.2</v>
      </c>
      <c r="U731" s="7"/>
      <c r="V731" s="257"/>
    </row>
    <row r="732" spans="2:22" s="7" customFormat="1" ht="18" customHeight="1">
      <c r="B732" s="12"/>
      <c r="C732" s="6" t="s">
        <v>2377</v>
      </c>
      <c r="D732" s="14" t="s">
        <v>2378</v>
      </c>
      <c r="E732" s="22"/>
      <c r="F732" s="102"/>
      <c r="G732" s="22" t="s">
        <v>14</v>
      </c>
      <c r="H732" s="8"/>
      <c r="I732" s="109" ph="1"/>
      <c r="J732" s="38">
        <v>1</v>
      </c>
      <c r="K732" s="39">
        <v>12</v>
      </c>
      <c r="L732" s="139">
        <v>44382</v>
      </c>
      <c r="M732" s="33"/>
      <c r="N732" s="33">
        <v>44382</v>
      </c>
      <c r="O732" s="32">
        <v>3302</v>
      </c>
      <c r="P732" s="6"/>
      <c r="Q732" s="322">
        <v>12</v>
      </c>
      <c r="S732" s="745">
        <v>900</v>
      </c>
      <c r="T732" s="7">
        <f>S732*J732</f>
        <v>900</v>
      </c>
      <c r="U732" s="21"/>
      <c r="V732" s="257"/>
    </row>
    <row r="733" spans="2:22" s="191" customFormat="1" ht="15">
      <c r="B733" s="190"/>
      <c r="C733" s="179" t="s">
        <v>2377</v>
      </c>
      <c r="D733" s="180" t="s">
        <v>2378</v>
      </c>
      <c r="E733" s="217"/>
      <c r="F733" s="182"/>
      <c r="G733" s="182" t="s">
        <v>250</v>
      </c>
      <c r="H733" s="184" t="s">
        <v>252</v>
      </c>
      <c r="I733" s="185"/>
      <c r="J733" s="183"/>
      <c r="K733" s="333">
        <v>37</v>
      </c>
      <c r="L733" s="188">
        <v>44382</v>
      </c>
      <c r="M733" s="187"/>
      <c r="N733" s="187">
        <v>44382</v>
      </c>
      <c r="O733" s="186">
        <v>3302</v>
      </c>
      <c r="P733" s="179"/>
      <c r="Q733" s="322">
        <v>25</v>
      </c>
      <c r="S733" s="197">
        <v>2126</v>
      </c>
      <c r="T733" s="197">
        <v>2126</v>
      </c>
      <c r="U733" s="335"/>
      <c r="V733" s="726"/>
    </row>
    <row r="734" spans="2:22" s="7" customFormat="1" ht="18" customHeight="1">
      <c r="B734" s="12"/>
      <c r="C734" s="6" t="s">
        <v>2383</v>
      </c>
      <c r="D734" s="14" t="s">
        <v>2384</v>
      </c>
      <c r="E734" s="19" t="s">
        <v>2270</v>
      </c>
      <c r="F734" s="37"/>
      <c r="G734" s="37"/>
      <c r="H734" s="108"/>
      <c r="I734" s="108"/>
      <c r="J734" s="108"/>
      <c r="K734" s="29" t="s">
        <v>5</v>
      </c>
      <c r="L734" s="139">
        <v>44396</v>
      </c>
      <c r="M734" s="33"/>
      <c r="N734" s="33">
        <v>44396</v>
      </c>
      <c r="O734" s="32">
        <v>3296</v>
      </c>
      <c r="P734" s="6"/>
      <c r="Q734" s="339"/>
      <c r="U734" s="21"/>
      <c r="V734" s="257"/>
    </row>
    <row r="735" spans="2:22" s="7" customFormat="1" ht="17.25" customHeight="1">
      <c r="B735" s="12"/>
      <c r="C735" s="6" t="s">
        <v>2385</v>
      </c>
      <c r="D735" s="14" t="s">
        <v>2384</v>
      </c>
      <c r="E735" s="22">
        <v>5636</v>
      </c>
      <c r="F735" s="37" t="s">
        <v>230</v>
      </c>
      <c r="G735" s="37" t="s">
        <v>2232</v>
      </c>
      <c r="H735" s="108">
        <v>50</v>
      </c>
      <c r="I735" s="109">
        <v>107</v>
      </c>
      <c r="J735" s="8">
        <f>H735*I735</f>
        <v>5350</v>
      </c>
      <c r="K735" s="39">
        <v>0.26</v>
      </c>
      <c r="L735" s="139">
        <v>44396</v>
      </c>
      <c r="M735" s="33"/>
      <c r="N735" s="33">
        <v>44396</v>
      </c>
      <c r="O735" s="32">
        <v>3296</v>
      </c>
      <c r="P735" s="39">
        <f t="shared" ref="P735:P746" si="26">ROUNDUP(S735/0.7/90,2)</f>
        <v>0.13</v>
      </c>
      <c r="Q735" s="322">
        <v>0.17</v>
      </c>
      <c r="S735" s="752">
        <v>8</v>
      </c>
      <c r="T735" s="7">
        <f>S735*J735</f>
        <v>42800</v>
      </c>
      <c r="U735" s="778" t="s">
        <v>2255</v>
      </c>
      <c r="V735" s="257" t="s">
        <v>2386</v>
      </c>
    </row>
    <row r="736" spans="2:22" s="7" customFormat="1" ht="15">
      <c r="B736" s="12"/>
      <c r="C736" s="6" t="s">
        <v>2385</v>
      </c>
      <c r="D736" s="14" t="s">
        <v>2384</v>
      </c>
      <c r="E736" s="82"/>
      <c r="F736" s="102"/>
      <c r="G736" s="22" t="s">
        <v>14</v>
      </c>
      <c r="H736" s="8"/>
      <c r="I736" s="35"/>
      <c r="J736" s="38">
        <v>1</v>
      </c>
      <c r="K736" s="39">
        <v>15</v>
      </c>
      <c r="L736" s="139">
        <v>44396</v>
      </c>
      <c r="M736" s="33"/>
      <c r="N736" s="33">
        <v>44396</v>
      </c>
      <c r="O736" s="32">
        <v>3296</v>
      </c>
      <c r="P736" s="6" t="s">
        <v>3</v>
      </c>
      <c r="Q736" s="322">
        <v>0</v>
      </c>
      <c r="S736" s="7">
        <v>0</v>
      </c>
      <c r="T736" s="7">
        <v>0</v>
      </c>
      <c r="U736" s="21"/>
      <c r="V736" s="257"/>
    </row>
    <row r="737" spans="2:22" s="7" customFormat="1" ht="18" customHeight="1">
      <c r="B737" s="12"/>
      <c r="C737" s="6" t="s">
        <v>2387</v>
      </c>
      <c r="D737" s="14" t="s">
        <v>2384</v>
      </c>
      <c r="E737" s="19" t="s">
        <v>2270</v>
      </c>
      <c r="F737" s="37"/>
      <c r="G737" s="37"/>
      <c r="H737" s="108"/>
      <c r="I737" s="108"/>
      <c r="J737" s="108"/>
      <c r="K737" s="29" t="s">
        <v>5</v>
      </c>
      <c r="L737" s="139">
        <v>44396</v>
      </c>
      <c r="M737" s="33"/>
      <c r="N737" s="33">
        <v>44396</v>
      </c>
      <c r="O737" s="32">
        <v>3297</v>
      </c>
      <c r="P737" s="6"/>
      <c r="Q737" s="339"/>
      <c r="U737" s="21"/>
      <c r="V737" s="257"/>
    </row>
    <row r="738" spans="2:22" s="7" customFormat="1" ht="17.25" customHeight="1">
      <c r="B738" s="12"/>
      <c r="C738" s="6" t="s">
        <v>2387</v>
      </c>
      <c r="D738" s="14" t="s">
        <v>2384</v>
      </c>
      <c r="E738" s="22">
        <v>5636</v>
      </c>
      <c r="F738" s="37" t="s">
        <v>230</v>
      </c>
      <c r="G738" s="37" t="s">
        <v>2232</v>
      </c>
      <c r="H738" s="108">
        <v>50</v>
      </c>
      <c r="I738" s="109">
        <v>80</v>
      </c>
      <c r="J738" s="8">
        <f>H738*I738</f>
        <v>4000</v>
      </c>
      <c r="K738" s="39">
        <v>0.26</v>
      </c>
      <c r="L738" s="139">
        <v>44396</v>
      </c>
      <c r="M738" s="33"/>
      <c r="N738" s="33">
        <v>44396</v>
      </c>
      <c r="O738" s="32">
        <v>3297</v>
      </c>
      <c r="P738" s="39">
        <f t="shared" si="26"/>
        <v>0.13</v>
      </c>
      <c r="Q738" s="322">
        <v>0.17</v>
      </c>
      <c r="S738" s="752">
        <v>8</v>
      </c>
      <c r="T738" s="7">
        <f>S738*J738</f>
        <v>32000</v>
      </c>
      <c r="U738" s="778" t="s">
        <v>2255</v>
      </c>
      <c r="V738" s="257" t="s">
        <v>2386</v>
      </c>
    </row>
    <row r="739" spans="2:22" s="7" customFormat="1" ht="15">
      <c r="B739" s="12"/>
      <c r="C739" s="6" t="s">
        <v>2387</v>
      </c>
      <c r="D739" s="14" t="s">
        <v>2384</v>
      </c>
      <c r="E739" s="82"/>
      <c r="F739" s="102"/>
      <c r="G739" s="22" t="s">
        <v>14</v>
      </c>
      <c r="H739" s="8"/>
      <c r="I739" s="35"/>
      <c r="J739" s="38">
        <v>1</v>
      </c>
      <c r="K739" s="39">
        <v>15</v>
      </c>
      <c r="L739" s="139">
        <v>44396</v>
      </c>
      <c r="M739" s="33"/>
      <c r="N739" s="33">
        <v>44396</v>
      </c>
      <c r="O739" s="32">
        <v>3297</v>
      </c>
      <c r="P739" s="6" t="s">
        <v>3</v>
      </c>
      <c r="Q739" s="322">
        <v>0</v>
      </c>
      <c r="S739" s="7">
        <v>0</v>
      </c>
      <c r="T739" s="7">
        <v>0</v>
      </c>
      <c r="U739" s="21"/>
      <c r="V739" s="257"/>
    </row>
    <row r="740" spans="2:22" s="7" customFormat="1" ht="18" customHeight="1">
      <c r="B740" s="12"/>
      <c r="C740" s="6" t="s">
        <v>2388</v>
      </c>
      <c r="D740" s="14" t="s">
        <v>2384</v>
      </c>
      <c r="E740" s="19" t="s">
        <v>2270</v>
      </c>
      <c r="F740" s="37"/>
      <c r="G740" s="37"/>
      <c r="H740" s="108"/>
      <c r="I740" s="108"/>
      <c r="J740" s="108"/>
      <c r="K740" s="29" t="s">
        <v>5</v>
      </c>
      <c r="L740" s="139">
        <v>44396</v>
      </c>
      <c r="M740" s="33"/>
      <c r="N740" s="33">
        <v>44396</v>
      </c>
      <c r="O740" s="32">
        <v>3298</v>
      </c>
      <c r="P740" s="6"/>
      <c r="Q740" s="339"/>
      <c r="U740" s="21"/>
      <c r="V740" s="257"/>
    </row>
    <row r="741" spans="2:22" s="7" customFormat="1" ht="16.899999999999999" customHeight="1">
      <c r="B741" s="12"/>
      <c r="C741" s="6" t="s">
        <v>2388</v>
      </c>
      <c r="D741" s="14" t="s">
        <v>2384</v>
      </c>
      <c r="E741" s="22">
        <v>5636</v>
      </c>
      <c r="F741" s="37" t="s">
        <v>230</v>
      </c>
      <c r="G741" s="37" t="s">
        <v>2389</v>
      </c>
      <c r="H741" s="108">
        <v>50</v>
      </c>
      <c r="I741" s="109">
        <v>125</v>
      </c>
      <c r="J741" s="8">
        <f>H741*I741</f>
        <v>6250</v>
      </c>
      <c r="K741" s="39">
        <v>0.26</v>
      </c>
      <c r="L741" s="139">
        <v>44396</v>
      </c>
      <c r="M741" s="33"/>
      <c r="N741" s="33">
        <v>44396</v>
      </c>
      <c r="O741" s="32">
        <v>3298</v>
      </c>
      <c r="P741" s="39">
        <f t="shared" si="26"/>
        <v>0.18000000000000002</v>
      </c>
      <c r="Q741" s="322">
        <v>0.22</v>
      </c>
      <c r="S741" s="752">
        <v>11.3</v>
      </c>
      <c r="T741" s="7">
        <f>S741*J741</f>
        <v>70625</v>
      </c>
      <c r="U741" s="778"/>
      <c r="V741" s="792" t="s">
        <v>2390</v>
      </c>
    </row>
    <row r="742" spans="2:22" s="7" customFormat="1" ht="15">
      <c r="B742" s="12"/>
      <c r="C742" s="6" t="s">
        <v>2388</v>
      </c>
      <c r="D742" s="14" t="s">
        <v>2384</v>
      </c>
      <c r="E742" s="82"/>
      <c r="F742" s="102"/>
      <c r="G742" s="22" t="s">
        <v>14</v>
      </c>
      <c r="H742" s="8"/>
      <c r="I742" s="35"/>
      <c r="J742" s="38">
        <v>1</v>
      </c>
      <c r="K742" s="39">
        <v>15</v>
      </c>
      <c r="L742" s="139">
        <v>44396</v>
      </c>
      <c r="M742" s="33"/>
      <c r="N742" s="33">
        <v>44396</v>
      </c>
      <c r="O742" s="32">
        <v>3298</v>
      </c>
      <c r="P742" s="6" t="s">
        <v>3</v>
      </c>
      <c r="Q742" s="322">
        <v>0</v>
      </c>
      <c r="S742" s="7">
        <v>0</v>
      </c>
      <c r="T742" s="7">
        <v>0</v>
      </c>
      <c r="U742" s="21"/>
      <c r="V742" s="257"/>
    </row>
    <row r="743" spans="2:22" s="7" customFormat="1" ht="18" customHeight="1">
      <c r="B743" s="12"/>
      <c r="C743" s="6" t="s">
        <v>2391</v>
      </c>
      <c r="D743" s="14" t="s">
        <v>2384</v>
      </c>
      <c r="E743" s="19" t="s">
        <v>2270</v>
      </c>
      <c r="F743" s="37"/>
      <c r="G743" s="37"/>
      <c r="H743" s="108"/>
      <c r="I743" s="108"/>
      <c r="J743" s="108"/>
      <c r="K743" s="29" t="s">
        <v>5</v>
      </c>
      <c r="L743" s="139">
        <v>44396</v>
      </c>
      <c r="M743" s="33"/>
      <c r="N743" s="33">
        <v>44396</v>
      </c>
      <c r="O743" s="32">
        <v>3299</v>
      </c>
      <c r="P743" s="6"/>
      <c r="Q743" s="339"/>
      <c r="U743" s="21"/>
      <c r="V743" s="257"/>
    </row>
    <row r="744" spans="2:22" s="7" customFormat="1" ht="16.899999999999999" customHeight="1">
      <c r="B744" s="12"/>
      <c r="C744" s="6" t="s">
        <v>2391</v>
      </c>
      <c r="D744" s="14" t="s">
        <v>2384</v>
      </c>
      <c r="E744" s="22">
        <v>5636</v>
      </c>
      <c r="F744" s="37" t="s">
        <v>230</v>
      </c>
      <c r="G744" s="37" t="s">
        <v>2306</v>
      </c>
      <c r="H744" s="108">
        <v>50</v>
      </c>
      <c r="I744" s="109">
        <v>18</v>
      </c>
      <c r="J744" s="8">
        <f>H744*I744</f>
        <v>900</v>
      </c>
      <c r="K744" s="39">
        <v>0.26</v>
      </c>
      <c r="L744" s="139">
        <v>44396</v>
      </c>
      <c r="M744" s="33"/>
      <c r="N744" s="33">
        <v>44396</v>
      </c>
      <c r="O744" s="32">
        <v>3299</v>
      </c>
      <c r="P744" s="39">
        <f t="shared" si="26"/>
        <v>0.22</v>
      </c>
      <c r="Q744" s="322">
        <v>0.22</v>
      </c>
      <c r="S744" s="7">
        <v>13.8</v>
      </c>
      <c r="T744" s="7">
        <f>S744*J744</f>
        <v>12420</v>
      </c>
      <c r="U744" s="778"/>
      <c r="V744" s="257"/>
    </row>
    <row r="745" spans="2:22" s="7" customFormat="1" ht="16.899999999999999" customHeight="1">
      <c r="B745" s="12"/>
      <c r="C745" s="6" t="s">
        <v>2391</v>
      </c>
      <c r="D745" s="14" t="s">
        <v>2384</v>
      </c>
      <c r="E745" s="22">
        <v>5636</v>
      </c>
      <c r="F745" s="37" t="s">
        <v>230</v>
      </c>
      <c r="G745" s="37" t="s">
        <v>2392</v>
      </c>
      <c r="H745" s="108">
        <v>50</v>
      </c>
      <c r="I745" s="109">
        <v>7</v>
      </c>
      <c r="J745" s="8">
        <f>H745*I745</f>
        <v>350</v>
      </c>
      <c r="K745" s="39">
        <v>0.26</v>
      </c>
      <c r="L745" s="139">
        <v>44396</v>
      </c>
      <c r="M745" s="33"/>
      <c r="N745" s="33">
        <v>44396</v>
      </c>
      <c r="O745" s="32">
        <v>3299</v>
      </c>
      <c r="P745" s="39">
        <f t="shared" si="26"/>
        <v>0.22</v>
      </c>
      <c r="Q745" s="322">
        <v>0.22</v>
      </c>
      <c r="S745" s="7">
        <v>13.8</v>
      </c>
      <c r="T745" s="7">
        <f>S745*J745</f>
        <v>4830</v>
      </c>
      <c r="U745" s="778"/>
      <c r="V745" s="257"/>
    </row>
    <row r="746" spans="2:22" s="7" customFormat="1" ht="16.899999999999999" customHeight="1">
      <c r="B746" s="12"/>
      <c r="C746" s="6" t="s">
        <v>2391</v>
      </c>
      <c r="D746" s="14" t="s">
        <v>2384</v>
      </c>
      <c r="E746" s="22">
        <v>5636</v>
      </c>
      <c r="F746" s="37" t="s">
        <v>230</v>
      </c>
      <c r="G746" s="37" t="s">
        <v>2393</v>
      </c>
      <c r="H746" s="108">
        <v>50</v>
      </c>
      <c r="I746" s="109">
        <v>61</v>
      </c>
      <c r="J746" s="8">
        <f>H746*I746</f>
        <v>3050</v>
      </c>
      <c r="K746" s="39">
        <v>0.26</v>
      </c>
      <c r="L746" s="139">
        <v>44396</v>
      </c>
      <c r="M746" s="33"/>
      <c r="N746" s="33">
        <v>44396</v>
      </c>
      <c r="O746" s="32">
        <v>3299</v>
      </c>
      <c r="P746" s="39">
        <f t="shared" si="26"/>
        <v>0.22</v>
      </c>
      <c r="Q746" s="322">
        <v>0.22</v>
      </c>
      <c r="S746" s="7">
        <v>13.8</v>
      </c>
      <c r="T746" s="7">
        <f>S746*J746</f>
        <v>42090</v>
      </c>
      <c r="U746" s="778"/>
      <c r="V746" s="257"/>
    </row>
    <row r="747" spans="2:22" s="7" customFormat="1" ht="15">
      <c r="B747" s="12"/>
      <c r="C747" s="6" t="s">
        <v>2391</v>
      </c>
      <c r="D747" s="14" t="s">
        <v>2384</v>
      </c>
      <c r="E747" s="82"/>
      <c r="F747" s="102"/>
      <c r="G747" s="22" t="s">
        <v>14</v>
      </c>
      <c r="H747" s="8"/>
      <c r="I747" s="35"/>
      <c r="J747" s="38">
        <v>1</v>
      </c>
      <c r="K747" s="39">
        <v>15</v>
      </c>
      <c r="L747" s="139">
        <v>44396</v>
      </c>
      <c r="M747" s="33"/>
      <c r="N747" s="33">
        <v>44396</v>
      </c>
      <c r="O747" s="32">
        <v>3299</v>
      </c>
      <c r="P747" s="6" t="s">
        <v>3</v>
      </c>
      <c r="Q747" s="322">
        <v>15</v>
      </c>
      <c r="S747" s="7">
        <v>1100</v>
      </c>
      <c r="T747" s="7">
        <v>1100</v>
      </c>
      <c r="U747" s="21"/>
      <c r="V747" s="257"/>
    </row>
    <row r="748" spans="2:22" s="191" customFormat="1" ht="15">
      <c r="B748" s="190"/>
      <c r="C748" s="179" t="s">
        <v>2391</v>
      </c>
      <c r="D748" s="180" t="s">
        <v>2384</v>
      </c>
      <c r="E748" s="181"/>
      <c r="F748" s="622"/>
      <c r="G748" s="182" t="s">
        <v>250</v>
      </c>
      <c r="H748" s="184" t="s">
        <v>251</v>
      </c>
      <c r="I748" s="185"/>
      <c r="J748" s="183"/>
      <c r="K748" s="192">
        <v>0</v>
      </c>
      <c r="L748" s="188">
        <v>44396</v>
      </c>
      <c r="M748" s="187"/>
      <c r="N748" s="187">
        <v>44396</v>
      </c>
      <c r="O748" s="186">
        <v>3299</v>
      </c>
      <c r="P748" s="179"/>
      <c r="Q748" s="725">
        <v>0</v>
      </c>
      <c r="S748" s="197">
        <v>0</v>
      </c>
      <c r="T748" s="198">
        <v>0</v>
      </c>
      <c r="U748" s="335"/>
      <c r="V748" s="726"/>
    </row>
    <row r="749" spans="2:22" s="7" customFormat="1" ht="18" customHeight="1">
      <c r="B749" s="12"/>
      <c r="C749" s="6" t="s">
        <v>2394</v>
      </c>
      <c r="D749" s="14" t="s">
        <v>2384</v>
      </c>
      <c r="E749" s="19" t="s">
        <v>2270</v>
      </c>
      <c r="F749" s="37"/>
      <c r="G749" s="37"/>
      <c r="H749" s="108"/>
      <c r="I749" s="108"/>
      <c r="J749" s="108"/>
      <c r="K749" s="29" t="s">
        <v>5</v>
      </c>
      <c r="L749" s="139">
        <v>44397</v>
      </c>
      <c r="M749" s="33"/>
      <c r="N749" s="33">
        <v>44397</v>
      </c>
      <c r="O749" s="32">
        <v>3315</v>
      </c>
      <c r="P749" s="6"/>
      <c r="Q749" s="339"/>
      <c r="U749" s="21"/>
      <c r="V749" s="257"/>
    </row>
    <row r="750" spans="2:22" s="7" customFormat="1" ht="17.25" customHeight="1">
      <c r="B750" s="12"/>
      <c r="C750" s="6" t="s">
        <v>2394</v>
      </c>
      <c r="D750" s="14" t="s">
        <v>2384</v>
      </c>
      <c r="E750" s="22">
        <v>5636</v>
      </c>
      <c r="F750" s="37" t="s">
        <v>230</v>
      </c>
      <c r="G750" s="37" t="s">
        <v>2232</v>
      </c>
      <c r="H750" s="108">
        <v>50</v>
      </c>
      <c r="I750" s="109">
        <v>46</v>
      </c>
      <c r="J750" s="8">
        <f>H750*I750</f>
        <v>2300</v>
      </c>
      <c r="K750" s="39">
        <v>0.26</v>
      </c>
      <c r="L750" s="139">
        <v>44397</v>
      </c>
      <c r="M750" s="33"/>
      <c r="N750" s="33">
        <v>44397</v>
      </c>
      <c r="O750" s="32">
        <v>3315</v>
      </c>
      <c r="P750" s="39">
        <f>ROUNDUP(S750/0.7/90,2)</f>
        <v>0.17</v>
      </c>
      <c r="Q750" s="322">
        <v>0.17</v>
      </c>
      <c r="S750" s="752">
        <v>10.4</v>
      </c>
      <c r="T750" s="7">
        <f>S750*J750</f>
        <v>23920</v>
      </c>
      <c r="U750" s="778" t="s">
        <v>2255</v>
      </c>
      <c r="V750" s="257"/>
    </row>
    <row r="751" spans="2:22" s="7" customFormat="1" ht="16.899999999999999" customHeight="1">
      <c r="B751" s="12"/>
      <c r="C751" s="6" t="s">
        <v>2394</v>
      </c>
      <c r="D751" s="14" t="s">
        <v>2384</v>
      </c>
      <c r="E751" s="22">
        <v>5636</v>
      </c>
      <c r="F751" s="37" t="s">
        <v>230</v>
      </c>
      <c r="G751" s="37" t="s">
        <v>2389</v>
      </c>
      <c r="H751" s="108">
        <v>50</v>
      </c>
      <c r="I751" s="109">
        <v>8</v>
      </c>
      <c r="J751" s="8">
        <f>H751*I751</f>
        <v>400</v>
      </c>
      <c r="K751" s="39">
        <v>0.26</v>
      </c>
      <c r="L751" s="139">
        <v>44397</v>
      </c>
      <c r="M751" s="33"/>
      <c r="N751" s="33">
        <v>44397</v>
      </c>
      <c r="O751" s="32">
        <v>3315</v>
      </c>
      <c r="P751" s="39">
        <f>ROUNDUP(S751/0.7/90,2)</f>
        <v>0.22</v>
      </c>
      <c r="Q751" s="322">
        <v>0.22</v>
      </c>
      <c r="S751" s="7">
        <v>13.8</v>
      </c>
      <c r="T751" s="7">
        <f>S751*J751</f>
        <v>5520</v>
      </c>
      <c r="U751" s="778"/>
      <c r="V751" s="257"/>
    </row>
    <row r="752" spans="2:22" s="7" customFormat="1" ht="16.899999999999999" customHeight="1">
      <c r="B752" s="12"/>
      <c r="C752" s="6" t="s">
        <v>2394</v>
      </c>
      <c r="D752" s="14" t="s">
        <v>2384</v>
      </c>
      <c r="E752" s="22">
        <v>5636</v>
      </c>
      <c r="F752" s="37" t="s">
        <v>230</v>
      </c>
      <c r="G752" s="37" t="s">
        <v>2393</v>
      </c>
      <c r="H752" s="108">
        <v>50</v>
      </c>
      <c r="I752" s="109">
        <v>20</v>
      </c>
      <c r="J752" s="8">
        <f>H752*I752</f>
        <v>1000</v>
      </c>
      <c r="K752" s="39">
        <v>0.26</v>
      </c>
      <c r="L752" s="139">
        <v>44397</v>
      </c>
      <c r="M752" s="33"/>
      <c r="N752" s="33">
        <v>44397</v>
      </c>
      <c r="O752" s="32">
        <v>3315</v>
      </c>
      <c r="P752" s="39">
        <f>ROUNDUP(S752/0.7/90,2)</f>
        <v>0.22</v>
      </c>
      <c r="Q752" s="322">
        <v>0.22</v>
      </c>
      <c r="S752" s="7">
        <v>13.8</v>
      </c>
      <c r="T752" s="7">
        <f>S752*J752</f>
        <v>13800</v>
      </c>
      <c r="U752" s="778"/>
      <c r="V752" s="257"/>
    </row>
    <row r="753" spans="2:22" s="7" customFormat="1" ht="15">
      <c r="B753" s="12"/>
      <c r="C753" s="6" t="s">
        <v>2394</v>
      </c>
      <c r="D753" s="14" t="s">
        <v>2384</v>
      </c>
      <c r="E753" s="22"/>
      <c r="F753" s="102"/>
      <c r="G753" s="22" t="s">
        <v>14</v>
      </c>
      <c r="H753" s="8"/>
      <c r="I753" s="35"/>
      <c r="J753" s="38">
        <v>1</v>
      </c>
      <c r="K753" s="39">
        <v>15</v>
      </c>
      <c r="L753" s="139">
        <v>44397</v>
      </c>
      <c r="M753" s="33"/>
      <c r="N753" s="33">
        <v>44397</v>
      </c>
      <c r="O753" s="32">
        <v>3315</v>
      </c>
      <c r="P753" s="6" t="s">
        <v>3</v>
      </c>
      <c r="Q753" s="322">
        <v>15</v>
      </c>
      <c r="S753" s="7">
        <v>1100</v>
      </c>
      <c r="T753" s="7">
        <v>1100</v>
      </c>
      <c r="U753" s="21"/>
      <c r="V753" s="257"/>
    </row>
    <row r="754" spans="2:22" s="191" customFormat="1" ht="15">
      <c r="B754" s="190"/>
      <c r="C754" s="179" t="s">
        <v>2394</v>
      </c>
      <c r="D754" s="180" t="s">
        <v>2384</v>
      </c>
      <c r="E754" s="181"/>
      <c r="F754" s="622"/>
      <c r="G754" s="182" t="s">
        <v>250</v>
      </c>
      <c r="H754" s="184" t="s">
        <v>251</v>
      </c>
      <c r="I754" s="185"/>
      <c r="J754" s="183"/>
      <c r="K754" s="192">
        <v>0</v>
      </c>
      <c r="L754" s="188">
        <v>44397</v>
      </c>
      <c r="M754" s="187"/>
      <c r="N754" s="187">
        <v>44397</v>
      </c>
      <c r="O754" s="186">
        <v>3315</v>
      </c>
      <c r="P754" s="179"/>
      <c r="Q754" s="725">
        <v>0</v>
      </c>
      <c r="S754" s="197">
        <v>0</v>
      </c>
      <c r="T754" s="198">
        <v>0</v>
      </c>
      <c r="U754" s="335"/>
      <c r="V754" s="726"/>
    </row>
    <row r="755" spans="2:22" s="7" customFormat="1" ht="18" customHeight="1">
      <c r="B755" s="12"/>
      <c r="C755" s="6" t="s">
        <v>2395</v>
      </c>
      <c r="D755" s="14" t="s">
        <v>2034</v>
      </c>
      <c r="E755" s="19" t="s">
        <v>352</v>
      </c>
      <c r="F755" s="107"/>
      <c r="G755" s="22"/>
      <c r="H755" s="108"/>
      <c r="I755" s="109"/>
      <c r="J755" s="108"/>
      <c r="K755" s="110" t="s">
        <v>5</v>
      </c>
      <c r="L755" s="139">
        <v>44413</v>
      </c>
      <c r="M755" s="33"/>
      <c r="N755" s="33">
        <v>44413</v>
      </c>
      <c r="O755" s="32">
        <v>3386</v>
      </c>
      <c r="P755" s="14"/>
      <c r="Q755" s="322"/>
      <c r="U755" s="14"/>
      <c r="V755" s="257"/>
    </row>
    <row r="756" spans="2:22" s="7" customFormat="1" ht="18" customHeight="1">
      <c r="B756" s="12"/>
      <c r="C756" s="6" t="s">
        <v>2395</v>
      </c>
      <c r="D756" s="14" t="s">
        <v>2034</v>
      </c>
      <c r="E756" s="22">
        <v>5600</v>
      </c>
      <c r="F756" s="107">
        <v>148</v>
      </c>
      <c r="G756" s="22" t="s">
        <v>2396</v>
      </c>
      <c r="H756" s="108">
        <v>54</v>
      </c>
      <c r="I756" s="109">
        <v>1</v>
      </c>
      <c r="J756" s="8">
        <f>H756*I756</f>
        <v>54</v>
      </c>
      <c r="K756" s="39">
        <v>7.23</v>
      </c>
      <c r="L756" s="139">
        <v>44413</v>
      </c>
      <c r="M756" s="33"/>
      <c r="N756" s="33">
        <v>44413</v>
      </c>
      <c r="O756" s="32">
        <v>3386</v>
      </c>
      <c r="P756" s="39">
        <f>S756/0.88/90</f>
        <v>6.5656565656565657</v>
      </c>
      <c r="Q756" s="322">
        <v>6.57</v>
      </c>
      <c r="S756" s="7">
        <v>520</v>
      </c>
      <c r="T756" s="7">
        <f>S756*J756</f>
        <v>28080</v>
      </c>
      <c r="U756" s="21"/>
      <c r="V756" s="257"/>
    </row>
    <row r="757" spans="2:22" s="7" customFormat="1" ht="18" customHeight="1">
      <c r="B757" s="12"/>
      <c r="C757" s="6" t="s">
        <v>2395</v>
      </c>
      <c r="D757" s="14" t="s">
        <v>2034</v>
      </c>
      <c r="E757" s="22" t="s">
        <v>2397</v>
      </c>
      <c r="F757" s="107">
        <v>150</v>
      </c>
      <c r="G757" s="22" t="s">
        <v>2398</v>
      </c>
      <c r="H757" s="108">
        <v>52</v>
      </c>
      <c r="I757" s="109">
        <v>1</v>
      </c>
      <c r="J757" s="8">
        <f>H757*I757</f>
        <v>52</v>
      </c>
      <c r="K757" s="39">
        <v>13.48</v>
      </c>
      <c r="L757" s="139">
        <v>44413</v>
      </c>
      <c r="M757" s="33"/>
      <c r="N757" s="33">
        <v>44413</v>
      </c>
      <c r="O757" s="32">
        <v>3386</v>
      </c>
      <c r="P757" s="39">
        <f>S757/0.88/90</f>
        <v>12.247474747474747</v>
      </c>
      <c r="Q757" s="322">
        <v>12.25</v>
      </c>
      <c r="S757" s="7">
        <v>970</v>
      </c>
      <c r="T757" s="7">
        <f>S757*J757</f>
        <v>50440</v>
      </c>
      <c r="U757" s="21"/>
      <c r="V757" s="257"/>
    </row>
    <row r="758" spans="2:22" s="7" customFormat="1" ht="18" customHeight="1">
      <c r="B758" s="12"/>
      <c r="C758" s="6" t="s">
        <v>2395</v>
      </c>
      <c r="D758" s="14" t="s">
        <v>2034</v>
      </c>
      <c r="E758" s="22" t="s">
        <v>2399</v>
      </c>
      <c r="F758" s="107">
        <v>140</v>
      </c>
      <c r="G758" s="22" t="s">
        <v>2400</v>
      </c>
      <c r="H758" s="108">
        <v>44</v>
      </c>
      <c r="I758" s="109">
        <v>1</v>
      </c>
      <c r="J758" s="8">
        <f>H758*I758</f>
        <v>44</v>
      </c>
      <c r="K758" s="39">
        <v>13.48</v>
      </c>
      <c r="L758" s="139">
        <v>44413</v>
      </c>
      <c r="M758" s="33"/>
      <c r="N758" s="33">
        <v>44413</v>
      </c>
      <c r="O758" s="32">
        <v>3386</v>
      </c>
      <c r="P758" s="39">
        <f>S758/0.88/90</f>
        <v>12.247474747474747</v>
      </c>
      <c r="Q758" s="322">
        <v>12.25</v>
      </c>
      <c r="S758" s="7">
        <v>970</v>
      </c>
      <c r="T758" s="7">
        <f>S758*J758</f>
        <v>42680</v>
      </c>
      <c r="U758" s="21"/>
      <c r="V758" s="257"/>
    </row>
    <row r="759" spans="2:22" s="7" customFormat="1" ht="18" customHeight="1">
      <c r="B759" s="12"/>
      <c r="C759" s="6" t="s">
        <v>2395</v>
      </c>
      <c r="D759" s="14" t="s">
        <v>2034</v>
      </c>
      <c r="E759" s="19" t="s">
        <v>10</v>
      </c>
      <c r="F759" s="107"/>
      <c r="G759" s="22"/>
      <c r="H759" s="108"/>
      <c r="I759" s="109"/>
      <c r="J759" s="108"/>
      <c r="K759" s="29" t="s">
        <v>5</v>
      </c>
      <c r="L759" s="139">
        <v>44413</v>
      </c>
      <c r="M759" s="33"/>
      <c r="N759" s="33">
        <v>44413</v>
      </c>
      <c r="O759" s="32">
        <v>3386</v>
      </c>
      <c r="P759" s="14"/>
      <c r="Q759" s="322"/>
      <c r="U759" s="14"/>
      <c r="V759" s="257"/>
    </row>
    <row r="760" spans="2:22" s="7" customFormat="1" ht="18" customHeight="1">
      <c r="B760" s="12"/>
      <c r="C760" s="6" t="s">
        <v>2395</v>
      </c>
      <c r="D760" s="14" t="s">
        <v>2034</v>
      </c>
      <c r="E760" s="22" t="s">
        <v>2401</v>
      </c>
      <c r="F760" s="107">
        <v>160</v>
      </c>
      <c r="G760" s="22" t="s">
        <v>90</v>
      </c>
      <c r="H760" s="108">
        <v>40</v>
      </c>
      <c r="I760" s="109">
        <v>1</v>
      </c>
      <c r="J760" s="8">
        <f>H760*I760</f>
        <v>40</v>
      </c>
      <c r="K760" s="39">
        <v>4.45</v>
      </c>
      <c r="L760" s="139">
        <v>44413</v>
      </c>
      <c r="M760" s="33"/>
      <c r="N760" s="33">
        <v>44413</v>
      </c>
      <c r="O760" s="32">
        <v>3386</v>
      </c>
      <c r="P760" s="39">
        <f>S760/0.88/90</f>
        <v>4.0404040404040407</v>
      </c>
      <c r="Q760" s="322">
        <v>4.04</v>
      </c>
      <c r="S760" s="7">
        <v>320</v>
      </c>
      <c r="T760" s="7">
        <f>S760*J760</f>
        <v>12800</v>
      </c>
      <c r="U760" s="21"/>
      <c r="V760" s="257"/>
    </row>
    <row r="761" spans="2:22" s="7" customFormat="1" ht="17.45" customHeight="1">
      <c r="B761" s="12"/>
      <c r="C761" s="6" t="s">
        <v>2395</v>
      </c>
      <c r="D761" s="14" t="s">
        <v>2034</v>
      </c>
      <c r="E761" s="159"/>
      <c r="F761" s="37"/>
      <c r="G761" s="37" t="s">
        <v>14</v>
      </c>
      <c r="H761" s="8"/>
      <c r="I761" s="109" ph="1"/>
      <c r="J761" s="38">
        <v>1</v>
      </c>
      <c r="K761" s="39">
        <v>20</v>
      </c>
      <c r="L761" s="139">
        <v>44413</v>
      </c>
      <c r="M761" s="33"/>
      <c r="N761" s="33">
        <v>44413</v>
      </c>
      <c r="O761" s="32">
        <v>3386</v>
      </c>
      <c r="P761" s="6"/>
      <c r="Q761" s="322">
        <v>20</v>
      </c>
      <c r="S761" s="7">
        <v>1800</v>
      </c>
      <c r="T761" s="7">
        <f>S761*J761</f>
        <v>1800</v>
      </c>
      <c r="U761" s="21"/>
      <c r="V761" s="257"/>
    </row>
    <row r="762" spans="2:22" s="7" customFormat="1" ht="18" customHeight="1">
      <c r="B762" s="12"/>
      <c r="C762" s="6" t="s">
        <v>2395</v>
      </c>
      <c r="D762" s="14" t="s">
        <v>2034</v>
      </c>
      <c r="E762" s="19" t="s">
        <v>2117</v>
      </c>
      <c r="F762" s="107"/>
      <c r="G762" s="22"/>
      <c r="H762" s="108"/>
      <c r="I762" s="109"/>
      <c r="J762" s="108"/>
      <c r="K762" s="29" t="s">
        <v>5</v>
      </c>
      <c r="L762" s="139">
        <v>44413</v>
      </c>
      <c r="M762" s="33"/>
      <c r="N762" s="33">
        <v>44413</v>
      </c>
      <c r="O762" s="32">
        <v>3386</v>
      </c>
      <c r="P762" s="14"/>
      <c r="Q762" s="322"/>
      <c r="U762" s="14"/>
      <c r="V762" s="257"/>
    </row>
    <row r="763" spans="2:22" s="7" customFormat="1" ht="18" customHeight="1">
      <c r="B763" s="12"/>
      <c r="C763" s="6" t="s">
        <v>2395</v>
      </c>
      <c r="D763" s="14" t="s">
        <v>2034</v>
      </c>
      <c r="E763" s="22" t="s">
        <v>2402</v>
      </c>
      <c r="F763" s="107"/>
      <c r="G763" s="22" t="s">
        <v>100</v>
      </c>
      <c r="H763" s="108">
        <v>13.7</v>
      </c>
      <c r="I763" s="109">
        <v>2</v>
      </c>
      <c r="J763" s="131">
        <f>H763*I763</f>
        <v>27.4</v>
      </c>
      <c r="K763" s="39">
        <v>7.45</v>
      </c>
      <c r="L763" s="139">
        <v>44413</v>
      </c>
      <c r="M763" s="33"/>
      <c r="N763" s="33">
        <v>44413</v>
      </c>
      <c r="O763" s="32">
        <v>3386</v>
      </c>
      <c r="P763" s="39">
        <f>ROUNDUP(S763/0.7/90,2)</f>
        <v>6.39</v>
      </c>
      <c r="Q763" s="322">
        <v>6.39</v>
      </c>
      <c r="S763" s="7">
        <v>402</v>
      </c>
      <c r="T763" s="7">
        <f>S763*J763</f>
        <v>11014.8</v>
      </c>
      <c r="U763" s="21"/>
      <c r="V763" s="257"/>
    </row>
    <row r="764" spans="2:22" s="7" customFormat="1" ht="17.45" customHeight="1">
      <c r="B764" s="12"/>
      <c r="C764" s="6" t="s">
        <v>2395</v>
      </c>
      <c r="D764" s="14" t="s">
        <v>2034</v>
      </c>
      <c r="E764" s="159"/>
      <c r="F764" s="37"/>
      <c r="G764" s="37" t="s">
        <v>14</v>
      </c>
      <c r="H764" s="8"/>
      <c r="I764" s="109" ph="1"/>
      <c r="J764" s="38">
        <v>1</v>
      </c>
      <c r="K764" s="39">
        <v>12</v>
      </c>
      <c r="L764" s="139">
        <v>44413</v>
      </c>
      <c r="M764" s="33"/>
      <c r="N764" s="33">
        <v>44413</v>
      </c>
      <c r="O764" s="32">
        <v>3386</v>
      </c>
      <c r="P764" s="6"/>
      <c r="Q764" s="322">
        <v>12</v>
      </c>
      <c r="S764" s="7">
        <v>900</v>
      </c>
      <c r="T764" s="7">
        <f>S764*J764</f>
        <v>900</v>
      </c>
      <c r="U764" s="21"/>
      <c r="V764" s="257"/>
    </row>
    <row r="765" spans="2:22" s="191" customFormat="1" ht="15">
      <c r="B765" s="190"/>
      <c r="C765" s="179" t="s">
        <v>2395</v>
      </c>
      <c r="D765" s="180" t="s">
        <v>2034</v>
      </c>
      <c r="E765" s="217"/>
      <c r="F765" s="182"/>
      <c r="G765" s="182" t="s">
        <v>250</v>
      </c>
      <c r="H765" s="184" t="s">
        <v>252</v>
      </c>
      <c r="I765" s="185"/>
      <c r="J765" s="183"/>
      <c r="K765" s="333">
        <v>377</v>
      </c>
      <c r="L765" s="188">
        <v>44413</v>
      </c>
      <c r="M765" s="187"/>
      <c r="N765" s="187">
        <v>44413</v>
      </c>
      <c r="O765" s="186">
        <v>3386</v>
      </c>
      <c r="P765" s="179"/>
      <c r="Q765" s="322">
        <v>345</v>
      </c>
      <c r="S765" s="197">
        <v>30551</v>
      </c>
      <c r="T765" s="197">
        <v>30551</v>
      </c>
      <c r="U765" s="335"/>
      <c r="V765" s="726"/>
    </row>
    <row r="766" spans="2:22" s="7" customFormat="1" ht="18" customHeight="1">
      <c r="B766" s="12"/>
      <c r="C766" s="6" t="s">
        <v>2395</v>
      </c>
      <c r="D766" s="14" t="s">
        <v>2034</v>
      </c>
      <c r="E766" s="19" t="s">
        <v>2117</v>
      </c>
      <c r="F766" s="107"/>
      <c r="G766" s="22"/>
      <c r="H766" s="108"/>
      <c r="I766" s="109"/>
      <c r="J766" s="108"/>
      <c r="K766" s="29" t="s">
        <v>5</v>
      </c>
      <c r="L766" s="139"/>
      <c r="M766" s="33"/>
      <c r="N766" s="33">
        <v>44426</v>
      </c>
      <c r="O766" s="32">
        <v>3422</v>
      </c>
      <c r="P766" s="14"/>
      <c r="Q766" s="322"/>
      <c r="U766" s="14"/>
      <c r="V766" s="257"/>
    </row>
    <row r="767" spans="2:22" s="7" customFormat="1" ht="18" customHeight="1">
      <c r="B767" s="12"/>
      <c r="C767" s="6" t="s">
        <v>2395</v>
      </c>
      <c r="D767" s="14" t="s">
        <v>2034</v>
      </c>
      <c r="E767" s="22" t="s">
        <v>2403</v>
      </c>
      <c r="F767" s="107"/>
      <c r="G767" s="22" t="s">
        <v>100</v>
      </c>
      <c r="H767" s="108">
        <v>13.7</v>
      </c>
      <c r="I767" s="109">
        <v>2</v>
      </c>
      <c r="J767" s="131">
        <f>H767*I767</f>
        <v>27.4</v>
      </c>
      <c r="K767" s="39">
        <v>7.45</v>
      </c>
      <c r="L767" s="39">
        <f>K767*J767</f>
        <v>204.13</v>
      </c>
      <c r="M767" s="91"/>
      <c r="N767" s="33">
        <v>44426</v>
      </c>
      <c r="O767" s="32">
        <v>3422</v>
      </c>
      <c r="P767" s="39">
        <f>ROUNDUP(S767/0.7/90,2)</f>
        <v>6.39</v>
      </c>
      <c r="Q767" s="322">
        <v>6.39</v>
      </c>
      <c r="S767" s="7">
        <v>402</v>
      </c>
      <c r="T767" s="7">
        <f>S767*J767</f>
        <v>11014.8</v>
      </c>
      <c r="U767" s="21"/>
      <c r="V767" s="257"/>
    </row>
    <row r="768" spans="2:22" s="7" customFormat="1" ht="17.45" customHeight="1">
      <c r="B768" s="12"/>
      <c r="C768" s="6" t="s">
        <v>2395</v>
      </c>
      <c r="D768" s="14" t="s">
        <v>2034</v>
      </c>
      <c r="E768" s="159"/>
      <c r="F768" s="37"/>
      <c r="G768" s="37" t="s">
        <v>14</v>
      </c>
      <c r="H768" s="8"/>
      <c r="I768" s="109" ph="1"/>
      <c r="J768" s="38">
        <v>1</v>
      </c>
      <c r="K768" s="39">
        <v>12</v>
      </c>
      <c r="L768" s="39">
        <f>K768*J768</f>
        <v>12</v>
      </c>
      <c r="M768" s="91"/>
      <c r="N768" s="33">
        <v>44426</v>
      </c>
      <c r="O768" s="32">
        <v>3422</v>
      </c>
      <c r="P768" s="6"/>
      <c r="Q768" s="322">
        <v>12</v>
      </c>
      <c r="S768" s="7">
        <v>0</v>
      </c>
      <c r="T768" s="7">
        <f>S768*J768</f>
        <v>0</v>
      </c>
      <c r="U768" s="21"/>
      <c r="V768" s="257"/>
    </row>
    <row r="769" spans="2:22" s="191" customFormat="1" ht="15">
      <c r="B769" s="190"/>
      <c r="C769" s="179" t="s">
        <v>2395</v>
      </c>
      <c r="D769" s="180" t="s">
        <v>2034</v>
      </c>
      <c r="E769" s="217"/>
      <c r="F769" s="182"/>
      <c r="G769" s="182" t="s">
        <v>250</v>
      </c>
      <c r="H769" s="184" t="s">
        <v>252</v>
      </c>
      <c r="I769" s="185"/>
      <c r="J769" s="183"/>
      <c r="K769" s="333">
        <v>137</v>
      </c>
      <c r="L769" s="188"/>
      <c r="M769" s="187"/>
      <c r="N769" s="187">
        <v>44426</v>
      </c>
      <c r="O769" s="186">
        <v>3422</v>
      </c>
      <c r="P769" s="179"/>
      <c r="Q769" s="322">
        <v>105</v>
      </c>
      <c r="S769" s="197">
        <v>9284</v>
      </c>
      <c r="T769" s="197">
        <v>9284</v>
      </c>
      <c r="U769" s="335"/>
      <c r="V769" s="726"/>
    </row>
    <row r="770" spans="2:22" s="7" customFormat="1" ht="18" customHeight="1">
      <c r="B770" s="12"/>
      <c r="C770" s="6" t="s">
        <v>2404</v>
      </c>
      <c r="D770" s="14" t="s">
        <v>2171</v>
      </c>
      <c r="E770" s="19" t="s">
        <v>10</v>
      </c>
      <c r="F770" s="107"/>
      <c r="G770" s="22"/>
      <c r="H770" s="108"/>
      <c r="I770" s="109"/>
      <c r="J770" s="108"/>
      <c r="K770" s="29" t="s">
        <v>5</v>
      </c>
      <c r="L770" s="139">
        <v>44407</v>
      </c>
      <c r="M770" s="33"/>
      <c r="N770" s="33">
        <v>44407</v>
      </c>
      <c r="O770" s="32">
        <v>3316</v>
      </c>
      <c r="P770" s="14"/>
      <c r="Q770" s="322"/>
      <c r="U770" s="14"/>
      <c r="V770" s="257"/>
    </row>
    <row r="771" spans="2:22" s="7" customFormat="1" ht="18" customHeight="1">
      <c r="B771" s="12"/>
      <c r="C771" s="6" t="s">
        <v>2404</v>
      </c>
      <c r="D771" s="14" t="s">
        <v>2171</v>
      </c>
      <c r="E771" s="22" t="s">
        <v>207</v>
      </c>
      <c r="F771" s="107">
        <v>152</v>
      </c>
      <c r="G771" s="22" t="s">
        <v>2405</v>
      </c>
      <c r="H771" s="108">
        <v>50</v>
      </c>
      <c r="I771" s="109">
        <v>1</v>
      </c>
      <c r="J771" s="8">
        <f>I771*H771</f>
        <v>50</v>
      </c>
      <c r="K771" s="39">
        <v>4.17</v>
      </c>
      <c r="L771" s="139">
        <v>44407</v>
      </c>
      <c r="M771" s="33"/>
      <c r="N771" s="33">
        <v>44407</v>
      </c>
      <c r="O771" s="32">
        <v>3316</v>
      </c>
      <c r="P771" s="39">
        <f>S771/0.88/90</f>
        <v>3.7878787878787881</v>
      </c>
      <c r="Q771" s="322">
        <v>3.79</v>
      </c>
      <c r="S771" s="7">
        <v>300</v>
      </c>
      <c r="T771" s="7">
        <f>S771*J771</f>
        <v>15000</v>
      </c>
      <c r="U771" s="21"/>
      <c r="V771" s="257"/>
    </row>
    <row r="772" spans="2:22" s="7" customFormat="1" ht="18" customHeight="1">
      <c r="B772" s="12"/>
      <c r="C772" s="6" t="s">
        <v>2404</v>
      </c>
      <c r="D772" s="14" t="s">
        <v>2171</v>
      </c>
      <c r="E772" s="22" t="s">
        <v>207</v>
      </c>
      <c r="F772" s="107">
        <v>152</v>
      </c>
      <c r="G772" s="22" t="s">
        <v>2174</v>
      </c>
      <c r="H772" s="108">
        <v>50</v>
      </c>
      <c r="I772" s="109">
        <v>2</v>
      </c>
      <c r="J772" s="8">
        <f>I772*H772</f>
        <v>100</v>
      </c>
      <c r="K772" s="39">
        <v>4.17</v>
      </c>
      <c r="L772" s="139">
        <v>44407</v>
      </c>
      <c r="M772" s="33"/>
      <c r="N772" s="33">
        <v>44407</v>
      </c>
      <c r="O772" s="32">
        <v>3316</v>
      </c>
      <c r="P772" s="39">
        <f>S772/0.88/90</f>
        <v>3.7878787878787881</v>
      </c>
      <c r="Q772" s="322">
        <v>3.79</v>
      </c>
      <c r="S772" s="7">
        <v>300</v>
      </c>
      <c r="T772" s="7">
        <f>S772*J772</f>
        <v>30000</v>
      </c>
      <c r="U772" s="21"/>
      <c r="V772" s="257"/>
    </row>
    <row r="773" spans="2:22" s="7" customFormat="1" ht="18" customHeight="1">
      <c r="B773" s="12"/>
      <c r="C773" s="6" t="s">
        <v>2404</v>
      </c>
      <c r="D773" s="14" t="s">
        <v>2171</v>
      </c>
      <c r="E773" s="22" t="s">
        <v>207</v>
      </c>
      <c r="F773" s="107">
        <v>152</v>
      </c>
      <c r="G773" s="22" t="s">
        <v>2173</v>
      </c>
      <c r="H773" s="108">
        <v>50</v>
      </c>
      <c r="I773" s="109">
        <v>3</v>
      </c>
      <c r="J773" s="8">
        <f>I773*H773</f>
        <v>150</v>
      </c>
      <c r="K773" s="39">
        <v>4.17</v>
      </c>
      <c r="L773" s="139">
        <v>44407</v>
      </c>
      <c r="M773" s="33"/>
      <c r="N773" s="33">
        <v>44407</v>
      </c>
      <c r="O773" s="32">
        <v>3316</v>
      </c>
      <c r="P773" s="39">
        <f>S773/0.88/90</f>
        <v>3.7878787878787881</v>
      </c>
      <c r="Q773" s="322">
        <v>3.79</v>
      </c>
      <c r="S773" s="7">
        <v>300</v>
      </c>
      <c r="T773" s="7">
        <f>S773*J773</f>
        <v>45000</v>
      </c>
      <c r="U773" s="21"/>
      <c r="V773" s="257"/>
    </row>
    <row r="774" spans="2:22" s="7" customFormat="1" ht="18" customHeight="1">
      <c r="B774" s="12"/>
      <c r="C774" s="6" t="s">
        <v>2404</v>
      </c>
      <c r="D774" s="14" t="s">
        <v>2171</v>
      </c>
      <c r="E774" s="22" t="s">
        <v>207</v>
      </c>
      <c r="F774" s="107">
        <v>152</v>
      </c>
      <c r="G774" s="22" t="s">
        <v>2406</v>
      </c>
      <c r="H774" s="108">
        <v>50</v>
      </c>
      <c r="I774" s="109">
        <v>1</v>
      </c>
      <c r="J774" s="8">
        <f>I774*H774</f>
        <v>50</v>
      </c>
      <c r="K774" s="39">
        <v>4.17</v>
      </c>
      <c r="L774" s="139">
        <v>44407</v>
      </c>
      <c r="M774" s="33"/>
      <c r="N774" s="33">
        <v>44407</v>
      </c>
      <c r="O774" s="32">
        <v>3316</v>
      </c>
      <c r="P774" s="39">
        <f>S774/0.88/90</f>
        <v>3.7878787878787881</v>
      </c>
      <c r="Q774" s="322">
        <v>3.79</v>
      </c>
      <c r="S774" s="7">
        <v>300</v>
      </c>
      <c r="T774" s="7">
        <f>S774*J774</f>
        <v>15000</v>
      </c>
      <c r="U774" s="21"/>
      <c r="V774" s="257"/>
    </row>
    <row r="775" spans="2:22" s="7" customFormat="1" ht="18" customHeight="1">
      <c r="B775" s="12"/>
      <c r="C775" s="6" t="s">
        <v>2404</v>
      </c>
      <c r="D775" s="14" t="s">
        <v>2171</v>
      </c>
      <c r="E775" s="19" t="s">
        <v>10</v>
      </c>
      <c r="F775" s="107"/>
      <c r="G775" s="22"/>
      <c r="H775" s="108"/>
      <c r="I775" s="109"/>
      <c r="J775" s="108"/>
      <c r="K775" s="29" t="s">
        <v>5</v>
      </c>
      <c r="L775" s="139">
        <v>44407</v>
      </c>
      <c r="M775" s="33"/>
      <c r="N775" s="33">
        <v>44407</v>
      </c>
      <c r="O775" s="32">
        <v>3316</v>
      </c>
      <c r="P775" s="14"/>
      <c r="Q775" s="322"/>
      <c r="U775" s="14"/>
      <c r="V775" s="257"/>
    </row>
    <row r="776" spans="2:22" s="7" customFormat="1" ht="18" customHeight="1">
      <c r="B776" s="12"/>
      <c r="C776" s="6" t="s">
        <v>2404</v>
      </c>
      <c r="D776" s="14" t="s">
        <v>2171</v>
      </c>
      <c r="E776" s="22" t="s">
        <v>6</v>
      </c>
      <c r="F776" s="107">
        <v>160</v>
      </c>
      <c r="G776" s="22" t="s">
        <v>2407</v>
      </c>
      <c r="H776" s="108">
        <v>50</v>
      </c>
      <c r="I776" s="109">
        <v>1</v>
      </c>
      <c r="J776" s="8">
        <f>H776*I776</f>
        <v>50</v>
      </c>
      <c r="K776" s="39">
        <v>4.45</v>
      </c>
      <c r="L776" s="139">
        <v>44407</v>
      </c>
      <c r="M776" s="33"/>
      <c r="N776" s="33">
        <v>44407</v>
      </c>
      <c r="O776" s="32">
        <v>3316</v>
      </c>
      <c r="P776" s="39">
        <f>S776/0.88/90</f>
        <v>4.0404040404040407</v>
      </c>
      <c r="Q776" s="322">
        <v>4.04</v>
      </c>
      <c r="S776" s="7">
        <v>320</v>
      </c>
      <c r="T776" s="7">
        <f>S776*J776</f>
        <v>16000</v>
      </c>
      <c r="U776" s="21"/>
      <c r="V776" s="257"/>
    </row>
    <row r="777" spans="2:22" s="7" customFormat="1" ht="15">
      <c r="B777" s="12"/>
      <c r="C777" s="6" t="s">
        <v>2404</v>
      </c>
      <c r="D777" s="14" t="s">
        <v>2171</v>
      </c>
      <c r="E777" s="22"/>
      <c r="F777" s="102"/>
      <c r="G777" s="22" t="s">
        <v>14</v>
      </c>
      <c r="H777" s="8"/>
      <c r="I777" s="35"/>
      <c r="J777" s="38">
        <v>1</v>
      </c>
      <c r="K777" s="39">
        <v>20</v>
      </c>
      <c r="L777" s="139">
        <v>44407</v>
      </c>
      <c r="M777" s="33"/>
      <c r="N777" s="33">
        <v>44407</v>
      </c>
      <c r="O777" s="32">
        <v>3316</v>
      </c>
      <c r="P777" s="6" t="s">
        <v>3</v>
      </c>
      <c r="Q777" s="322">
        <v>20</v>
      </c>
      <c r="S777" s="7">
        <v>1800</v>
      </c>
      <c r="T777" s="7">
        <f>S777*J777</f>
        <v>1800</v>
      </c>
      <c r="U777" s="21"/>
      <c r="V777" s="257"/>
    </row>
    <row r="778" spans="2:22" s="191" customFormat="1" ht="15">
      <c r="B778" s="190"/>
      <c r="C778" s="179" t="s">
        <v>2404</v>
      </c>
      <c r="D778" s="180" t="s">
        <v>2171</v>
      </c>
      <c r="E778" s="217"/>
      <c r="F778" s="182"/>
      <c r="G778" s="182" t="s">
        <v>250</v>
      </c>
      <c r="H778" s="184" t="s">
        <v>252</v>
      </c>
      <c r="I778" s="185"/>
      <c r="J778" s="183"/>
      <c r="K778" s="333">
        <v>545</v>
      </c>
      <c r="L778" s="188">
        <v>44407</v>
      </c>
      <c r="M778" s="187"/>
      <c r="N778" s="187">
        <v>44407</v>
      </c>
      <c r="O778" s="186">
        <v>3316</v>
      </c>
      <c r="P778" s="179"/>
      <c r="Q778" s="747">
        <v>500</v>
      </c>
      <c r="S778" s="197">
        <v>44878</v>
      </c>
      <c r="T778" s="197">
        <v>44878</v>
      </c>
      <c r="U778" s="335"/>
      <c r="V778" s="726"/>
    </row>
    <row r="779" spans="2:22" s="7" customFormat="1" ht="18" customHeight="1">
      <c r="B779" s="12"/>
      <c r="C779" s="6" t="s">
        <v>2408</v>
      </c>
      <c r="D779" s="14" t="s">
        <v>2409</v>
      </c>
      <c r="E779" s="19" t="s">
        <v>2410</v>
      </c>
      <c r="F779" s="107"/>
      <c r="G779" s="22"/>
      <c r="H779" s="108"/>
      <c r="I779" s="109"/>
      <c r="J779" s="108"/>
      <c r="K779" s="29" t="s">
        <v>5</v>
      </c>
      <c r="L779" s="139">
        <v>44392</v>
      </c>
      <c r="M779" s="33"/>
      <c r="N779" s="33">
        <v>44392</v>
      </c>
      <c r="O779" s="32">
        <v>3324</v>
      </c>
      <c r="P779" s="14"/>
      <c r="Q779" s="322"/>
      <c r="U779" s="14"/>
      <c r="V779" s="257"/>
    </row>
    <row r="780" spans="2:22" s="7" customFormat="1" ht="18" customHeight="1">
      <c r="B780" s="12"/>
      <c r="C780" s="6" t="s">
        <v>2408</v>
      </c>
      <c r="D780" s="14" t="s">
        <v>2409</v>
      </c>
      <c r="E780" s="22">
        <v>5305</v>
      </c>
      <c r="F780" s="107"/>
      <c r="G780" s="22" t="s">
        <v>2411</v>
      </c>
      <c r="H780" s="108">
        <v>30</v>
      </c>
      <c r="I780" s="109">
        <v>2</v>
      </c>
      <c r="J780" s="8">
        <f>H780*I780</f>
        <v>60</v>
      </c>
      <c r="K780" s="39">
        <v>0.84</v>
      </c>
      <c r="L780" s="139">
        <v>44392</v>
      </c>
      <c r="M780" s="33"/>
      <c r="N780" s="33">
        <v>44392</v>
      </c>
      <c r="O780" s="32">
        <v>3324</v>
      </c>
      <c r="P780" s="39">
        <f>ROUNDUP(S780/0.7/90,2)</f>
        <v>0.72</v>
      </c>
      <c r="Q780" s="322">
        <v>0.72</v>
      </c>
      <c r="S780" s="7">
        <v>45</v>
      </c>
      <c r="T780" s="7">
        <f>S780*J780</f>
        <v>2700</v>
      </c>
      <c r="U780" s="21"/>
      <c r="V780" s="257"/>
    </row>
    <row r="781" spans="2:22" s="7" customFormat="1" ht="18" customHeight="1">
      <c r="B781" s="12"/>
      <c r="C781" s="6" t="s">
        <v>2408</v>
      </c>
      <c r="D781" s="14" t="s">
        <v>2409</v>
      </c>
      <c r="E781" s="22">
        <v>5305</v>
      </c>
      <c r="F781" s="107"/>
      <c r="G781" s="22" t="s">
        <v>2412</v>
      </c>
      <c r="H781" s="108">
        <v>30</v>
      </c>
      <c r="I781" s="109">
        <v>1</v>
      </c>
      <c r="J781" s="8">
        <f>H781*I781</f>
        <v>30</v>
      </c>
      <c r="K781" s="39">
        <v>0.84</v>
      </c>
      <c r="L781" s="139">
        <v>44392</v>
      </c>
      <c r="M781" s="33"/>
      <c r="N781" s="33">
        <v>44392</v>
      </c>
      <c r="O781" s="32">
        <v>3324</v>
      </c>
      <c r="P781" s="39">
        <f>ROUNDUP(S781/0.7/90,2)</f>
        <v>0.72</v>
      </c>
      <c r="Q781" s="322">
        <v>0.72</v>
      </c>
      <c r="S781" s="7">
        <v>45</v>
      </c>
      <c r="T781" s="7">
        <f>S781*J781</f>
        <v>1350</v>
      </c>
      <c r="U781" s="21"/>
      <c r="V781" s="257"/>
    </row>
    <row r="782" spans="2:22" s="7" customFormat="1" ht="18" customHeight="1">
      <c r="B782" s="12"/>
      <c r="C782" s="6" t="s">
        <v>2408</v>
      </c>
      <c r="D782" s="14" t="s">
        <v>2409</v>
      </c>
      <c r="E782" s="22">
        <v>5305</v>
      </c>
      <c r="F782" s="107"/>
      <c r="G782" s="22" t="s">
        <v>29</v>
      </c>
      <c r="H782" s="108">
        <v>30</v>
      </c>
      <c r="I782" s="109">
        <v>1</v>
      </c>
      <c r="J782" s="8">
        <f>H782*I782</f>
        <v>30</v>
      </c>
      <c r="K782" s="39">
        <v>0.84</v>
      </c>
      <c r="L782" s="139">
        <v>44392</v>
      </c>
      <c r="M782" s="33"/>
      <c r="N782" s="33">
        <v>44392</v>
      </c>
      <c r="O782" s="32">
        <v>3324</v>
      </c>
      <c r="P782" s="39">
        <f>ROUNDUP(S782/0.7/90,2)</f>
        <v>0.72</v>
      </c>
      <c r="Q782" s="322">
        <v>0.72</v>
      </c>
      <c r="S782" s="7">
        <v>45</v>
      </c>
      <c r="T782" s="7">
        <f>S782*J782</f>
        <v>1350</v>
      </c>
      <c r="U782" s="21"/>
      <c r="V782" s="257"/>
    </row>
    <row r="783" spans="2:22" s="7" customFormat="1" ht="17.45" customHeight="1">
      <c r="B783" s="12"/>
      <c r="C783" s="6" t="s">
        <v>2408</v>
      </c>
      <c r="D783" s="14" t="s">
        <v>2409</v>
      </c>
      <c r="E783" s="159"/>
      <c r="F783" s="37"/>
      <c r="G783" s="37" t="s">
        <v>14</v>
      </c>
      <c r="H783" s="8"/>
      <c r="I783" s="109" ph="1"/>
      <c r="J783" s="38">
        <v>1</v>
      </c>
      <c r="K783" s="39">
        <v>12</v>
      </c>
      <c r="L783" s="139">
        <v>44392</v>
      </c>
      <c r="M783" s="33"/>
      <c r="N783" s="33">
        <v>44392</v>
      </c>
      <c r="O783" s="32">
        <v>3324</v>
      </c>
      <c r="P783" s="6"/>
      <c r="Q783" s="322">
        <v>12</v>
      </c>
      <c r="S783" s="7">
        <v>1000</v>
      </c>
      <c r="T783" s="7">
        <f>S783*J783</f>
        <v>1000</v>
      </c>
      <c r="U783" s="21"/>
      <c r="V783" s="257"/>
    </row>
    <row r="784" spans="2:22" s="191" customFormat="1" ht="15">
      <c r="B784" s="190"/>
      <c r="C784" s="179" t="s">
        <v>2408</v>
      </c>
      <c r="D784" s="180" t="s">
        <v>2409</v>
      </c>
      <c r="E784" s="217"/>
      <c r="F784" s="182"/>
      <c r="G784" s="182" t="s">
        <v>250</v>
      </c>
      <c r="H784" s="184" t="s">
        <v>251</v>
      </c>
      <c r="I784" s="185"/>
      <c r="J784" s="183"/>
      <c r="K784" s="192">
        <v>0</v>
      </c>
      <c r="L784" s="188">
        <v>44392</v>
      </c>
      <c r="M784" s="187"/>
      <c r="N784" s="187">
        <v>44392</v>
      </c>
      <c r="O784" s="186">
        <v>3324</v>
      </c>
      <c r="P784" s="179"/>
      <c r="Q784" s="725">
        <v>0</v>
      </c>
      <c r="S784" s="197">
        <v>0</v>
      </c>
      <c r="T784" s="198">
        <v>0</v>
      </c>
      <c r="U784" s="335"/>
      <c r="V784" s="726"/>
    </row>
    <row r="785" spans="2:22" s="7" customFormat="1" ht="18" customHeight="1">
      <c r="B785" s="12"/>
      <c r="C785" s="6" t="s">
        <v>2413</v>
      </c>
      <c r="D785" s="14" t="s">
        <v>2211</v>
      </c>
      <c r="E785" s="19" t="s">
        <v>1950</v>
      </c>
      <c r="F785" s="37"/>
      <c r="G785" s="37"/>
      <c r="H785" s="108"/>
      <c r="I785" s="108"/>
      <c r="J785" s="108"/>
      <c r="K785" s="29" t="s">
        <v>5</v>
      </c>
      <c r="L785" s="139">
        <v>44411</v>
      </c>
      <c r="M785" s="33"/>
      <c r="N785" s="33">
        <v>44411</v>
      </c>
      <c r="O785" s="32">
        <v>3340</v>
      </c>
      <c r="P785" s="6"/>
      <c r="Q785" s="339"/>
      <c r="U785" s="21"/>
      <c r="V785" s="257"/>
    </row>
    <row r="786" spans="2:22" s="7" customFormat="1" ht="17.25" customHeight="1">
      <c r="B786" s="12"/>
      <c r="C786" s="6" t="s">
        <v>2413</v>
      </c>
      <c r="D786" s="14" t="s">
        <v>2211</v>
      </c>
      <c r="E786" s="22">
        <v>3808</v>
      </c>
      <c r="F786" s="37">
        <v>9</v>
      </c>
      <c r="G786" s="37" t="s">
        <v>1954</v>
      </c>
      <c r="H786" s="108">
        <v>50</v>
      </c>
      <c r="I786" s="109">
        <v>3</v>
      </c>
      <c r="J786" s="8">
        <f>H786*I786</f>
        <v>150</v>
      </c>
      <c r="K786" s="39">
        <v>0.56999999999999995</v>
      </c>
      <c r="L786" s="139">
        <v>44411</v>
      </c>
      <c r="M786" s="33"/>
      <c r="N786" s="33">
        <v>44411</v>
      </c>
      <c r="O786" s="32">
        <v>3340</v>
      </c>
      <c r="P786" s="39">
        <f>(S786/0.7/90)</f>
        <v>0.2857142857142857</v>
      </c>
      <c r="Q786" s="725">
        <v>0.28999999999999998</v>
      </c>
      <c r="S786" s="7">
        <v>18</v>
      </c>
      <c r="T786" s="7">
        <f>S786*J786</f>
        <v>2700</v>
      </c>
      <c r="U786" s="21"/>
      <c r="V786" s="257"/>
    </row>
    <row r="787" spans="2:22" s="7" customFormat="1" ht="17.25" customHeight="1">
      <c r="B787" s="12"/>
      <c r="C787" s="6" t="s">
        <v>2413</v>
      </c>
      <c r="D787" s="14" t="s">
        <v>2211</v>
      </c>
      <c r="E787" s="22">
        <v>3808</v>
      </c>
      <c r="F787" s="37">
        <v>9</v>
      </c>
      <c r="G787" s="37" t="s">
        <v>1952</v>
      </c>
      <c r="H787" s="108">
        <v>50</v>
      </c>
      <c r="I787" s="109">
        <v>1</v>
      </c>
      <c r="J787" s="8">
        <f>H787*I787</f>
        <v>50</v>
      </c>
      <c r="K787" s="39">
        <v>0.56999999999999995</v>
      </c>
      <c r="L787" s="139">
        <v>44411</v>
      </c>
      <c r="M787" s="33"/>
      <c r="N787" s="33">
        <v>44411</v>
      </c>
      <c r="O787" s="32">
        <v>3340</v>
      </c>
      <c r="P787" s="39">
        <f>(S787/0.7/90)</f>
        <v>0.2857142857142857</v>
      </c>
      <c r="Q787" s="725">
        <v>0.28999999999999998</v>
      </c>
      <c r="S787" s="7">
        <v>18</v>
      </c>
      <c r="T787" s="7">
        <f>S787*J787</f>
        <v>900</v>
      </c>
      <c r="U787" s="21"/>
      <c r="V787" s="257"/>
    </row>
    <row r="788" spans="2:22" s="7" customFormat="1" ht="17.25" customHeight="1">
      <c r="B788" s="12"/>
      <c r="C788" s="6" t="s">
        <v>2413</v>
      </c>
      <c r="D788" s="14" t="s">
        <v>2211</v>
      </c>
      <c r="E788" s="22">
        <v>3808</v>
      </c>
      <c r="F788" s="37">
        <v>9</v>
      </c>
      <c r="G788" s="37" t="s">
        <v>2414</v>
      </c>
      <c r="H788" s="108">
        <v>50</v>
      </c>
      <c r="I788" s="109">
        <v>2</v>
      </c>
      <c r="J788" s="8">
        <f>H788*I788</f>
        <v>100</v>
      </c>
      <c r="K788" s="39">
        <v>0.56999999999999995</v>
      </c>
      <c r="L788" s="139">
        <v>44411</v>
      </c>
      <c r="M788" s="33"/>
      <c r="N788" s="33">
        <v>44411</v>
      </c>
      <c r="O788" s="32">
        <v>3340</v>
      </c>
      <c r="P788" s="39">
        <f>(S788/0.7/90)</f>
        <v>0.2857142857142857</v>
      </c>
      <c r="Q788" s="725">
        <v>0.28999999999999998</v>
      </c>
      <c r="S788" s="7">
        <v>18</v>
      </c>
      <c r="T788" s="7">
        <f>S788*J788</f>
        <v>1800</v>
      </c>
      <c r="U788" s="21"/>
      <c r="V788" s="257"/>
    </row>
    <row r="789" spans="2:22" s="7" customFormat="1" ht="17.25" customHeight="1">
      <c r="B789" s="12"/>
      <c r="C789" s="6" t="s">
        <v>2413</v>
      </c>
      <c r="D789" s="14" t="s">
        <v>2211</v>
      </c>
      <c r="E789" s="22">
        <v>3808</v>
      </c>
      <c r="F789" s="37">
        <v>9</v>
      </c>
      <c r="G789" s="37" t="s">
        <v>1953</v>
      </c>
      <c r="H789" s="108">
        <v>50</v>
      </c>
      <c r="I789" s="109">
        <v>1</v>
      </c>
      <c r="J789" s="8">
        <f>H789*I789</f>
        <v>50</v>
      </c>
      <c r="K789" s="39">
        <v>0.56999999999999995</v>
      </c>
      <c r="L789" s="139">
        <v>44411</v>
      </c>
      <c r="M789" s="33"/>
      <c r="N789" s="33">
        <v>44411</v>
      </c>
      <c r="O789" s="32">
        <v>3340</v>
      </c>
      <c r="P789" s="39">
        <f>(S789/0.7/90)</f>
        <v>0.2857142857142857</v>
      </c>
      <c r="Q789" s="725">
        <v>0.28999999999999998</v>
      </c>
      <c r="S789" s="7">
        <v>18</v>
      </c>
      <c r="T789" s="7">
        <f>S789*J789</f>
        <v>900</v>
      </c>
      <c r="U789" s="21"/>
      <c r="V789" s="257"/>
    </row>
    <row r="790" spans="2:22" s="7" customFormat="1" ht="18" customHeight="1">
      <c r="B790" s="12"/>
      <c r="C790" s="6" t="s">
        <v>2413</v>
      </c>
      <c r="D790" s="14" t="s">
        <v>2211</v>
      </c>
      <c r="E790" s="19" t="s">
        <v>2284</v>
      </c>
      <c r="F790" s="37"/>
      <c r="G790" s="37"/>
      <c r="H790" s="108"/>
      <c r="I790" s="108"/>
      <c r="J790" s="108"/>
      <c r="K790" s="29" t="s">
        <v>5</v>
      </c>
      <c r="L790" s="139">
        <v>44411</v>
      </c>
      <c r="M790" s="33"/>
      <c r="N790" s="33">
        <v>44411</v>
      </c>
      <c r="O790" s="32">
        <v>3340</v>
      </c>
      <c r="P790" s="6"/>
      <c r="Q790" s="339"/>
      <c r="U790" s="21"/>
      <c r="V790" s="257"/>
    </row>
    <row r="791" spans="2:22" s="7" customFormat="1" ht="17.25" customHeight="1">
      <c r="B791" s="12"/>
      <c r="C791" s="6" t="s">
        <v>2413</v>
      </c>
      <c r="D791" s="14" t="s">
        <v>2211</v>
      </c>
      <c r="E791" s="22">
        <v>5634</v>
      </c>
      <c r="F791" s="37" t="s">
        <v>230</v>
      </c>
      <c r="G791" s="37" t="s">
        <v>283</v>
      </c>
      <c r="H791" s="108">
        <v>50</v>
      </c>
      <c r="I791" s="109">
        <v>5</v>
      </c>
      <c r="J791" s="8">
        <f>H791*I791</f>
        <v>250</v>
      </c>
      <c r="K791" s="39">
        <v>0.59</v>
      </c>
      <c r="L791" s="139">
        <v>44411</v>
      </c>
      <c r="M791" s="33"/>
      <c r="N791" s="33">
        <v>44411</v>
      </c>
      <c r="O791" s="32">
        <v>3340</v>
      </c>
      <c r="P791" s="39">
        <f>(S791/0.7/90)</f>
        <v>0.30317460317460321</v>
      </c>
      <c r="Q791" s="322">
        <v>0.3</v>
      </c>
      <c r="S791" s="7">
        <v>19.100000000000001</v>
      </c>
      <c r="T791" s="92">
        <f>S791*J791</f>
        <v>4775</v>
      </c>
      <c r="U791" s="778"/>
      <c r="V791" s="257"/>
    </row>
    <row r="792" spans="2:22" s="7" customFormat="1" ht="17.25" customHeight="1">
      <c r="B792" s="12"/>
      <c r="C792" s="6" t="s">
        <v>2413</v>
      </c>
      <c r="D792" s="14" t="s">
        <v>2211</v>
      </c>
      <c r="E792" s="22">
        <v>5634</v>
      </c>
      <c r="F792" s="37" t="s">
        <v>230</v>
      </c>
      <c r="G792" s="37" t="s">
        <v>2286</v>
      </c>
      <c r="H792" s="108">
        <v>50</v>
      </c>
      <c r="I792" s="109">
        <v>6</v>
      </c>
      <c r="J792" s="8">
        <f>H792*I792</f>
        <v>300</v>
      </c>
      <c r="K792" s="39">
        <v>0.59</v>
      </c>
      <c r="L792" s="139">
        <v>44411</v>
      </c>
      <c r="M792" s="33"/>
      <c r="N792" s="33">
        <v>44411</v>
      </c>
      <c r="O792" s="32">
        <v>3340</v>
      </c>
      <c r="P792" s="39">
        <f>(S792/0.7/90)</f>
        <v>0.30317460317460321</v>
      </c>
      <c r="Q792" s="322">
        <v>0.3</v>
      </c>
      <c r="S792" s="7">
        <v>19.100000000000001</v>
      </c>
      <c r="T792" s="92">
        <f>S792*J792</f>
        <v>5730</v>
      </c>
      <c r="U792" s="778"/>
      <c r="V792" s="257"/>
    </row>
    <row r="793" spans="2:22" customFormat="1" ht="18" customHeight="1">
      <c r="B793" s="26"/>
      <c r="C793" s="6" t="s">
        <v>2413</v>
      </c>
      <c r="D793" s="14" t="s">
        <v>2211</v>
      </c>
      <c r="E793" s="723"/>
      <c r="F793" s="64"/>
      <c r="G793" s="37" t="s">
        <v>14</v>
      </c>
      <c r="H793" s="8"/>
      <c r="I793" s="8"/>
      <c r="J793" s="38">
        <v>1</v>
      </c>
      <c r="K793" s="39">
        <v>12</v>
      </c>
      <c r="L793" s="139">
        <v>44411</v>
      </c>
      <c r="M793" s="33"/>
      <c r="N793" s="33">
        <v>44411</v>
      </c>
      <c r="O793" s="32">
        <v>3340</v>
      </c>
      <c r="P793" s="4"/>
      <c r="Q793" s="724">
        <v>12</v>
      </c>
      <c r="R793" s="1"/>
      <c r="S793" s="7">
        <v>1100</v>
      </c>
      <c r="T793" s="7">
        <f>S793*J793</f>
        <v>1100</v>
      </c>
      <c r="U793" s="34"/>
      <c r="V793" s="256"/>
    </row>
    <row r="794" spans="2:22" customFormat="1" ht="18" customHeight="1">
      <c r="B794" s="26"/>
      <c r="C794" s="6" t="s">
        <v>2413</v>
      </c>
      <c r="D794" s="14" t="s">
        <v>2211</v>
      </c>
      <c r="E794" s="723"/>
      <c r="F794" s="64"/>
      <c r="G794" s="37" t="s">
        <v>14</v>
      </c>
      <c r="H794" s="8"/>
      <c r="I794" s="8"/>
      <c r="J794" s="38">
        <v>1</v>
      </c>
      <c r="K794" s="154">
        <v>12</v>
      </c>
      <c r="L794" s="139">
        <v>44411</v>
      </c>
      <c r="M794" s="33"/>
      <c r="N794" s="33">
        <v>44411</v>
      </c>
      <c r="O794" s="32">
        <v>3340</v>
      </c>
      <c r="P794" s="4"/>
      <c r="Q794" s="724">
        <v>12</v>
      </c>
      <c r="R794" s="1"/>
      <c r="S794" s="7">
        <v>1000</v>
      </c>
      <c r="T794" s="7">
        <f>S794*J794</f>
        <v>1000</v>
      </c>
      <c r="U794" s="34"/>
      <c r="V794" s="256"/>
    </row>
    <row r="795" spans="2:22" s="191" customFormat="1" ht="18" customHeight="1">
      <c r="B795" s="190"/>
      <c r="C795" s="179" t="s">
        <v>2413</v>
      </c>
      <c r="D795" s="180" t="s">
        <v>2211</v>
      </c>
      <c r="E795" s="736"/>
      <c r="F795" s="737"/>
      <c r="G795" s="182" t="s">
        <v>1955</v>
      </c>
      <c r="H795" s="222">
        <v>900</v>
      </c>
      <c r="I795" s="222"/>
      <c r="J795" s="222"/>
      <c r="K795" s="192">
        <v>0.23</v>
      </c>
      <c r="L795" s="188">
        <v>44411</v>
      </c>
      <c r="M795" s="187"/>
      <c r="N795" s="187">
        <v>44411</v>
      </c>
      <c r="O795" s="186">
        <v>3340</v>
      </c>
      <c r="P795" s="327"/>
      <c r="Q795" s="762">
        <v>207</v>
      </c>
      <c r="S795" s="198">
        <v>4395</v>
      </c>
      <c r="T795" s="198">
        <v>4395</v>
      </c>
      <c r="U795" s="738"/>
      <c r="V795" s="726"/>
    </row>
    <row r="796" spans="2:22" s="7" customFormat="1" ht="18" customHeight="1">
      <c r="B796" s="12"/>
      <c r="C796" s="6" t="s">
        <v>2415</v>
      </c>
      <c r="D796" s="14" t="s">
        <v>2416</v>
      </c>
      <c r="E796" s="19" t="s">
        <v>2417</v>
      </c>
      <c r="F796" s="107"/>
      <c r="G796" s="22"/>
      <c r="H796" s="108"/>
      <c r="I796" s="109"/>
      <c r="J796" s="108"/>
      <c r="K796" s="110" t="s">
        <v>5</v>
      </c>
      <c r="L796" s="139">
        <v>44412</v>
      </c>
      <c r="M796" s="33"/>
      <c r="N796" s="33">
        <v>44412</v>
      </c>
      <c r="O796" s="32">
        <v>3371</v>
      </c>
      <c r="P796" s="14"/>
      <c r="Q796" s="322"/>
      <c r="S796" s="308"/>
      <c r="U796" s="14"/>
      <c r="V796" s="257"/>
    </row>
    <row r="797" spans="2:22" customFormat="1" ht="18" customHeight="1">
      <c r="B797" s="26"/>
      <c r="C797" s="6" t="s">
        <v>2415</v>
      </c>
      <c r="D797" s="14" t="s">
        <v>2416</v>
      </c>
      <c r="E797" s="19" t="s">
        <v>2418</v>
      </c>
      <c r="F797" s="37">
        <v>25</v>
      </c>
      <c r="G797" s="37" t="s">
        <v>2419</v>
      </c>
      <c r="H797" s="108">
        <v>30</v>
      </c>
      <c r="I797" s="109">
        <v>1</v>
      </c>
      <c r="J797" s="8">
        <f>H797*I797</f>
        <v>30</v>
      </c>
      <c r="K797" s="39">
        <v>2.2999999999999998</v>
      </c>
      <c r="L797" s="139">
        <v>44412</v>
      </c>
      <c r="M797" s="33"/>
      <c r="N797" s="33">
        <v>44412</v>
      </c>
      <c r="O797" s="32">
        <v>3371</v>
      </c>
      <c r="P797" s="39">
        <f>(S797/0.7/90)</f>
        <v>1.9682539682539686</v>
      </c>
      <c r="Q797" s="322">
        <v>1.97</v>
      </c>
      <c r="R797" s="1"/>
      <c r="S797" s="7">
        <v>124</v>
      </c>
      <c r="T797" s="92">
        <f>S797*J797</f>
        <v>3720</v>
      </c>
      <c r="U797" s="39"/>
      <c r="V797" s="260"/>
    </row>
    <row r="798" spans="2:22" customFormat="1" ht="18" customHeight="1">
      <c r="B798" s="26"/>
      <c r="C798" s="6" t="s">
        <v>2415</v>
      </c>
      <c r="D798" s="14" t="s">
        <v>2416</v>
      </c>
      <c r="E798" s="19" t="s">
        <v>2418</v>
      </c>
      <c r="F798" s="37">
        <v>25</v>
      </c>
      <c r="G798" s="37" t="s">
        <v>2420</v>
      </c>
      <c r="H798" s="108">
        <v>30</v>
      </c>
      <c r="I798" s="109">
        <v>1</v>
      </c>
      <c r="J798" s="8">
        <f>H798*I798</f>
        <v>30</v>
      </c>
      <c r="K798" s="39">
        <v>2.2999999999999998</v>
      </c>
      <c r="L798" s="139">
        <v>44412</v>
      </c>
      <c r="M798" s="33"/>
      <c r="N798" s="33">
        <v>44412</v>
      </c>
      <c r="O798" s="32">
        <v>3371</v>
      </c>
      <c r="P798" s="39">
        <f>(S798/0.7/90)</f>
        <v>1.8730158730158732</v>
      </c>
      <c r="Q798" s="322">
        <v>1.87</v>
      </c>
      <c r="R798" s="1"/>
      <c r="S798" s="7">
        <v>118</v>
      </c>
      <c r="T798" s="92">
        <f>S798*J798</f>
        <v>3540</v>
      </c>
      <c r="U798" s="39"/>
      <c r="V798" s="260"/>
    </row>
    <row r="799" spans="2:22" s="7" customFormat="1" ht="18" customHeight="1">
      <c r="B799" s="12"/>
      <c r="C799" s="6" t="s">
        <v>2415</v>
      </c>
      <c r="D799" s="14" t="s">
        <v>2416</v>
      </c>
      <c r="E799" s="22"/>
      <c r="F799" s="102"/>
      <c r="G799" s="22" t="s">
        <v>2421</v>
      </c>
      <c r="H799" s="8"/>
      <c r="I799" s="35"/>
      <c r="J799" s="38">
        <v>1</v>
      </c>
      <c r="K799" s="39">
        <v>210</v>
      </c>
      <c r="L799" s="139">
        <v>44412</v>
      </c>
      <c r="M799" s="33"/>
      <c r="N799" s="33">
        <v>44412</v>
      </c>
      <c r="O799" s="32">
        <v>3371</v>
      </c>
      <c r="P799" s="39">
        <f>S799/0.88/90</f>
        <v>189.39393939393938</v>
      </c>
      <c r="Q799" s="322">
        <v>189.39</v>
      </c>
      <c r="S799" s="7">
        <v>15000</v>
      </c>
      <c r="T799" s="92">
        <f>S799*J799</f>
        <v>15000</v>
      </c>
      <c r="U799" s="21"/>
      <c r="V799" s="257"/>
    </row>
    <row r="800" spans="2:22" s="7" customFormat="1" ht="18" customHeight="1">
      <c r="B800" s="12"/>
      <c r="C800" s="6" t="s">
        <v>2415</v>
      </c>
      <c r="D800" s="14" t="s">
        <v>2416</v>
      </c>
      <c r="E800" s="22"/>
      <c r="F800" s="102"/>
      <c r="G800" s="22" t="s">
        <v>2422</v>
      </c>
      <c r="H800" s="8"/>
      <c r="I800" s="35"/>
      <c r="J800" s="38">
        <v>2</v>
      </c>
      <c r="K800" s="39">
        <v>210</v>
      </c>
      <c r="L800" s="139">
        <v>44412</v>
      </c>
      <c r="M800" s="33"/>
      <c r="N800" s="33">
        <v>44412</v>
      </c>
      <c r="O800" s="32">
        <v>3371</v>
      </c>
      <c r="P800" s="39">
        <f>S800/0.88/90</f>
        <v>189.39393939393938</v>
      </c>
      <c r="Q800" s="322">
        <v>189.39</v>
      </c>
      <c r="S800" s="7">
        <v>15000</v>
      </c>
      <c r="T800" s="92">
        <f>S800*J800</f>
        <v>30000</v>
      </c>
      <c r="U800" s="21"/>
      <c r="V800" s="257"/>
    </row>
    <row r="801" spans="2:22" s="191" customFormat="1" ht="15">
      <c r="B801" s="190"/>
      <c r="C801" s="179" t="s">
        <v>2415</v>
      </c>
      <c r="D801" s="180" t="s">
        <v>2416</v>
      </c>
      <c r="E801" s="217"/>
      <c r="F801" s="182"/>
      <c r="G801" s="182" t="s">
        <v>250</v>
      </c>
      <c r="H801" s="184" t="s">
        <v>251</v>
      </c>
      <c r="I801" s="185"/>
      <c r="J801" s="183"/>
      <c r="K801" s="192">
        <v>0</v>
      </c>
      <c r="L801" s="188">
        <v>44412</v>
      </c>
      <c r="M801" s="187"/>
      <c r="N801" s="187">
        <v>44412</v>
      </c>
      <c r="O801" s="186">
        <v>3371</v>
      </c>
      <c r="P801" s="179"/>
      <c r="Q801" s="725">
        <v>0</v>
      </c>
      <c r="S801" s="197">
        <v>0</v>
      </c>
      <c r="T801" s="198">
        <v>0</v>
      </c>
      <c r="U801" s="335"/>
      <c r="V801" s="726"/>
    </row>
    <row r="802" spans="2:22" s="7" customFormat="1" ht="18" customHeight="1">
      <c r="B802" s="12"/>
      <c r="C802" s="6" t="s">
        <v>2423</v>
      </c>
      <c r="D802" s="14" t="s">
        <v>2416</v>
      </c>
      <c r="E802" s="19" t="s">
        <v>2424</v>
      </c>
      <c r="F802" s="37"/>
      <c r="G802" s="37"/>
      <c r="H802" s="108"/>
      <c r="I802" s="108"/>
      <c r="J802" s="108"/>
      <c r="K802" s="29" t="s">
        <v>5</v>
      </c>
      <c r="L802" s="139">
        <v>44398</v>
      </c>
      <c r="M802" s="33"/>
      <c r="N802" s="33">
        <v>44398</v>
      </c>
      <c r="O802" s="32">
        <v>3346</v>
      </c>
      <c r="P802" s="6"/>
      <c r="Q802" s="339"/>
      <c r="U802" s="21"/>
      <c r="V802" s="257"/>
    </row>
    <row r="803" spans="2:22" s="7" customFormat="1" ht="17.25" customHeight="1">
      <c r="B803" s="12"/>
      <c r="C803" s="6" t="s">
        <v>2423</v>
      </c>
      <c r="D803" s="14" t="s">
        <v>2416</v>
      </c>
      <c r="E803" s="22" t="s">
        <v>2425</v>
      </c>
      <c r="F803" s="37" t="s">
        <v>351</v>
      </c>
      <c r="G803" s="37" t="s">
        <v>2426</v>
      </c>
      <c r="H803" s="108">
        <v>50</v>
      </c>
      <c r="I803" s="109">
        <v>2</v>
      </c>
      <c r="J803" s="8">
        <f>H803*I803</f>
        <v>100</v>
      </c>
      <c r="K803" s="39">
        <v>0.45</v>
      </c>
      <c r="L803" s="139">
        <v>44398</v>
      </c>
      <c r="M803" s="33"/>
      <c r="N803" s="33">
        <v>44398</v>
      </c>
      <c r="O803" s="32">
        <v>3346</v>
      </c>
      <c r="P803" s="39">
        <f>(S803/0.7/90)</f>
        <v>0.35714285714285715</v>
      </c>
      <c r="Q803" s="725">
        <v>0.36</v>
      </c>
      <c r="S803" s="7">
        <v>22.5</v>
      </c>
      <c r="T803" s="7">
        <f t="shared" ref="T803:T808" si="27">S803*J803</f>
        <v>2250</v>
      </c>
      <c r="U803" s="21"/>
      <c r="V803" s="257"/>
    </row>
    <row r="804" spans="2:22" s="7" customFormat="1" ht="17.25" customHeight="1">
      <c r="B804" s="12"/>
      <c r="C804" s="6" t="s">
        <v>2423</v>
      </c>
      <c r="D804" s="14" t="s">
        <v>2416</v>
      </c>
      <c r="E804" s="22" t="s">
        <v>2425</v>
      </c>
      <c r="F804" s="37" t="s">
        <v>351</v>
      </c>
      <c r="G804" s="37" t="s">
        <v>2427</v>
      </c>
      <c r="H804" s="108">
        <v>50</v>
      </c>
      <c r="I804" s="109">
        <v>1</v>
      </c>
      <c r="J804" s="8">
        <f>H804*I804</f>
        <v>50</v>
      </c>
      <c r="K804" s="39">
        <v>0.45</v>
      </c>
      <c r="L804" s="139">
        <v>44398</v>
      </c>
      <c r="M804" s="33"/>
      <c r="N804" s="33">
        <v>44398</v>
      </c>
      <c r="O804" s="32">
        <v>3346</v>
      </c>
      <c r="P804" s="39">
        <f>(S804/0.7/90)</f>
        <v>0.35714285714285715</v>
      </c>
      <c r="Q804" s="725">
        <v>0.36</v>
      </c>
      <c r="S804" s="7">
        <v>22.5</v>
      </c>
      <c r="T804" s="7">
        <f t="shared" si="27"/>
        <v>1125</v>
      </c>
      <c r="U804" s="21"/>
      <c r="V804" s="257"/>
    </row>
    <row r="805" spans="2:22" s="7" customFormat="1" ht="17.25" customHeight="1">
      <c r="B805" s="12"/>
      <c r="C805" s="6" t="s">
        <v>2423</v>
      </c>
      <c r="D805" s="14" t="s">
        <v>2416</v>
      </c>
      <c r="E805" s="22" t="s">
        <v>2425</v>
      </c>
      <c r="F805" s="37" t="s">
        <v>351</v>
      </c>
      <c r="G805" s="37" t="s">
        <v>2428</v>
      </c>
      <c r="H805" s="108">
        <v>50</v>
      </c>
      <c r="I805" s="109">
        <v>1</v>
      </c>
      <c r="J805" s="8">
        <f>H805*I805</f>
        <v>50</v>
      </c>
      <c r="K805" s="39">
        <v>0.45</v>
      </c>
      <c r="L805" s="139">
        <v>44398</v>
      </c>
      <c r="M805" s="33"/>
      <c r="N805" s="33">
        <v>44398</v>
      </c>
      <c r="O805" s="32">
        <v>3346</v>
      </c>
      <c r="P805" s="39">
        <f>(S805/0.7/90)</f>
        <v>0.35714285714285715</v>
      </c>
      <c r="Q805" s="725">
        <v>0.36</v>
      </c>
      <c r="S805" s="7">
        <v>22.5</v>
      </c>
      <c r="T805" s="7">
        <f t="shared" si="27"/>
        <v>1125</v>
      </c>
      <c r="U805" s="21"/>
      <c r="V805" s="257"/>
    </row>
    <row r="806" spans="2:22" s="7" customFormat="1" ht="17.25" customHeight="1">
      <c r="B806" s="12"/>
      <c r="C806" s="6" t="s">
        <v>2423</v>
      </c>
      <c r="D806" s="14" t="s">
        <v>2416</v>
      </c>
      <c r="E806" s="22" t="s">
        <v>2425</v>
      </c>
      <c r="F806" s="37" t="s">
        <v>351</v>
      </c>
      <c r="G806" s="37" t="s">
        <v>2429</v>
      </c>
      <c r="H806" s="108">
        <v>50</v>
      </c>
      <c r="I806" s="109">
        <v>1</v>
      </c>
      <c r="J806" s="8">
        <f>H806*I806</f>
        <v>50</v>
      </c>
      <c r="K806" s="39">
        <v>0.45</v>
      </c>
      <c r="L806" s="139">
        <v>44398</v>
      </c>
      <c r="M806" s="33"/>
      <c r="N806" s="33">
        <v>44398</v>
      </c>
      <c r="O806" s="32">
        <v>3346</v>
      </c>
      <c r="P806" s="39">
        <f>(S806/0.7/90)</f>
        <v>0.35714285714285715</v>
      </c>
      <c r="Q806" s="725">
        <v>0.36</v>
      </c>
      <c r="S806" s="7">
        <v>22.5</v>
      </c>
      <c r="T806" s="7">
        <f t="shared" si="27"/>
        <v>1125</v>
      </c>
      <c r="U806" s="21"/>
      <c r="V806" s="257"/>
    </row>
    <row r="807" spans="2:22" s="7" customFormat="1" ht="17.25" customHeight="1">
      <c r="B807" s="12"/>
      <c r="C807" s="6" t="s">
        <v>2423</v>
      </c>
      <c r="D807" s="14" t="s">
        <v>2416</v>
      </c>
      <c r="E807" s="22" t="s">
        <v>2425</v>
      </c>
      <c r="F807" s="37" t="s">
        <v>351</v>
      </c>
      <c r="G807" s="37" t="s">
        <v>2430</v>
      </c>
      <c r="H807" s="108">
        <v>50</v>
      </c>
      <c r="I807" s="109">
        <v>2</v>
      </c>
      <c r="J807" s="8">
        <f>H807*I807</f>
        <v>100</v>
      </c>
      <c r="K807" s="39">
        <v>0.45</v>
      </c>
      <c r="L807" s="139">
        <v>44398</v>
      </c>
      <c r="M807" s="33"/>
      <c r="N807" s="33">
        <v>44398</v>
      </c>
      <c r="O807" s="32">
        <v>3346</v>
      </c>
      <c r="P807" s="39">
        <f>(S807/0.7/90)</f>
        <v>0.35714285714285715</v>
      </c>
      <c r="Q807" s="725">
        <v>0.36</v>
      </c>
      <c r="S807" s="7">
        <v>22.5</v>
      </c>
      <c r="T807" s="7">
        <f t="shared" si="27"/>
        <v>2250</v>
      </c>
      <c r="U807" s="21"/>
      <c r="V807" s="257"/>
    </row>
    <row r="808" spans="2:22" customFormat="1" ht="18" customHeight="1">
      <c r="B808" s="26"/>
      <c r="C808" s="6" t="s">
        <v>2423</v>
      </c>
      <c r="D808" s="14" t="s">
        <v>2416</v>
      </c>
      <c r="E808" s="723"/>
      <c r="F808" s="64"/>
      <c r="G808" s="37" t="s">
        <v>14</v>
      </c>
      <c r="H808" s="8"/>
      <c r="I808" s="8"/>
      <c r="J808" s="38">
        <v>1</v>
      </c>
      <c r="K808" s="39">
        <v>12</v>
      </c>
      <c r="L808" s="139">
        <v>44398</v>
      </c>
      <c r="M808" s="33"/>
      <c r="N808" s="33">
        <v>44398</v>
      </c>
      <c r="O808" s="32">
        <v>3346</v>
      </c>
      <c r="P808" s="4"/>
      <c r="Q808" s="724">
        <v>12</v>
      </c>
      <c r="R808" s="1"/>
      <c r="S808" s="7">
        <v>1100</v>
      </c>
      <c r="T808" s="7">
        <f t="shared" si="27"/>
        <v>1100</v>
      </c>
      <c r="U808" s="34"/>
      <c r="V808" s="256"/>
    </row>
    <row r="809" spans="2:22" s="191" customFormat="1" ht="15">
      <c r="B809" s="190"/>
      <c r="C809" s="179" t="s">
        <v>2423</v>
      </c>
      <c r="D809" s="180" t="s">
        <v>2416</v>
      </c>
      <c r="E809" s="217"/>
      <c r="F809" s="182"/>
      <c r="G809" s="182" t="s">
        <v>250</v>
      </c>
      <c r="H809" s="184" t="s">
        <v>251</v>
      </c>
      <c r="I809" s="185"/>
      <c r="J809" s="183"/>
      <c r="K809" s="192">
        <v>0</v>
      </c>
      <c r="L809" s="188">
        <v>44398</v>
      </c>
      <c r="M809" s="187"/>
      <c r="N809" s="187">
        <v>44398</v>
      </c>
      <c r="O809" s="186">
        <v>3346</v>
      </c>
      <c r="P809" s="179"/>
      <c r="Q809" s="725">
        <v>0</v>
      </c>
      <c r="S809" s="197">
        <v>0</v>
      </c>
      <c r="T809" s="198">
        <v>0</v>
      </c>
      <c r="U809" s="335"/>
      <c r="V809" s="726"/>
    </row>
    <row r="810" spans="2:22" s="7" customFormat="1" ht="18" customHeight="1">
      <c r="B810" s="12"/>
      <c r="C810" s="6" t="s">
        <v>2431</v>
      </c>
      <c r="D810" s="14" t="s">
        <v>2162</v>
      </c>
      <c r="E810" s="19" t="s">
        <v>2163</v>
      </c>
      <c r="F810" s="37"/>
      <c r="G810" s="37"/>
      <c r="H810" s="108"/>
      <c r="I810" s="108"/>
      <c r="J810" s="108"/>
      <c r="K810" s="110" t="s">
        <v>5</v>
      </c>
      <c r="L810" s="139">
        <v>44404</v>
      </c>
      <c r="M810" s="33"/>
      <c r="N810" s="33">
        <v>44404</v>
      </c>
      <c r="O810" s="32">
        <v>3360</v>
      </c>
      <c r="P810" s="6"/>
      <c r="Q810" s="339"/>
      <c r="U810" s="21"/>
      <c r="V810" s="257"/>
    </row>
    <row r="811" spans="2:22" s="7" customFormat="1" ht="18" customHeight="1">
      <c r="B811" s="12"/>
      <c r="C811" s="6" t="s">
        <v>2431</v>
      </c>
      <c r="D811" s="14" t="s">
        <v>2162</v>
      </c>
      <c r="E811" s="22">
        <v>5603</v>
      </c>
      <c r="F811" s="37"/>
      <c r="G811" s="37" t="s">
        <v>2164</v>
      </c>
      <c r="H811" s="108">
        <v>50</v>
      </c>
      <c r="I811" s="109">
        <v>40</v>
      </c>
      <c r="J811" s="8">
        <f>I811*H811</f>
        <v>2000</v>
      </c>
      <c r="K811" s="39">
        <v>0.3</v>
      </c>
      <c r="L811" s="139">
        <v>44404</v>
      </c>
      <c r="M811" s="33"/>
      <c r="N811" s="33">
        <v>44404</v>
      </c>
      <c r="O811" s="32">
        <v>3360</v>
      </c>
      <c r="P811" s="39">
        <f>(S811/0.7/90)</f>
        <v>0.25396825396825395</v>
      </c>
      <c r="Q811" s="322">
        <v>0.25</v>
      </c>
      <c r="S811" s="7">
        <v>16</v>
      </c>
      <c r="T811" s="7">
        <f>S811*J811</f>
        <v>32000</v>
      </c>
      <c r="U811" s="21"/>
      <c r="V811" s="257"/>
    </row>
    <row r="812" spans="2:22" s="7" customFormat="1" ht="18" customHeight="1">
      <c r="B812" s="12"/>
      <c r="C812" s="6" t="s">
        <v>2431</v>
      </c>
      <c r="D812" s="14" t="s">
        <v>2162</v>
      </c>
      <c r="E812" s="22"/>
      <c r="F812" s="102"/>
      <c r="G812" s="22" t="s">
        <v>14</v>
      </c>
      <c r="H812" s="8"/>
      <c r="I812" s="35"/>
      <c r="J812" s="38">
        <v>1</v>
      </c>
      <c r="K812" s="39">
        <v>12</v>
      </c>
      <c r="L812" s="139">
        <v>44404</v>
      </c>
      <c r="M812" s="33"/>
      <c r="N812" s="33">
        <v>44404</v>
      </c>
      <c r="O812" s="32">
        <v>3360</v>
      </c>
      <c r="P812" s="6" t="s">
        <v>3</v>
      </c>
      <c r="Q812" s="322">
        <v>12</v>
      </c>
      <c r="S812" s="7">
        <v>1100</v>
      </c>
      <c r="T812" s="7">
        <f>S812*J812</f>
        <v>1100</v>
      </c>
      <c r="U812" s="21"/>
      <c r="V812" s="257"/>
    </row>
    <row r="813" spans="2:22" s="191" customFormat="1" ht="15">
      <c r="B813" s="190"/>
      <c r="C813" s="179" t="s">
        <v>2431</v>
      </c>
      <c r="D813" s="180" t="s">
        <v>2162</v>
      </c>
      <c r="E813" s="181"/>
      <c r="F813" s="182"/>
      <c r="G813" s="182" t="s">
        <v>250</v>
      </c>
      <c r="H813" s="184" t="s">
        <v>251</v>
      </c>
      <c r="I813" s="185"/>
      <c r="J813" s="183"/>
      <c r="K813" s="192">
        <v>0</v>
      </c>
      <c r="L813" s="188">
        <v>44404</v>
      </c>
      <c r="M813" s="187"/>
      <c r="N813" s="187">
        <v>44404</v>
      </c>
      <c r="O813" s="186">
        <v>3360</v>
      </c>
      <c r="P813" s="179"/>
      <c r="Q813" s="725">
        <v>0</v>
      </c>
      <c r="S813" s="197">
        <v>0</v>
      </c>
      <c r="T813" s="7">
        <f>S813*J813</f>
        <v>0</v>
      </c>
      <c r="U813" s="335"/>
      <c r="V813" s="726"/>
    </row>
    <row r="814" spans="2:22" s="7" customFormat="1" ht="18" customHeight="1">
      <c r="B814" s="12"/>
      <c r="C814" s="6" t="s">
        <v>2432</v>
      </c>
      <c r="D814" s="14" t="s">
        <v>2378</v>
      </c>
      <c r="E814" s="19" t="s">
        <v>2433</v>
      </c>
      <c r="F814" s="37"/>
      <c r="G814" s="37"/>
      <c r="H814" s="108"/>
      <c r="I814" s="108"/>
      <c r="J814" s="108"/>
      <c r="K814" s="110" t="s">
        <v>5</v>
      </c>
      <c r="L814" s="139">
        <v>44403</v>
      </c>
      <c r="M814" s="33"/>
      <c r="N814" s="33">
        <v>44403</v>
      </c>
      <c r="O814" s="32">
        <v>3353</v>
      </c>
      <c r="P814" s="6"/>
      <c r="Q814" s="339"/>
      <c r="U814" s="21"/>
      <c r="V814" s="257"/>
    </row>
    <row r="815" spans="2:22" s="7" customFormat="1" ht="18" customHeight="1">
      <c r="B815" s="12"/>
      <c r="C815" s="6" t="s">
        <v>2432</v>
      </c>
      <c r="D815" s="14" t="s">
        <v>2378</v>
      </c>
      <c r="E815" s="22">
        <v>7583</v>
      </c>
      <c r="F815" s="37"/>
      <c r="G815" s="37" t="s">
        <v>2434</v>
      </c>
      <c r="H815" s="108">
        <v>30</v>
      </c>
      <c r="I815" s="109">
        <v>1</v>
      </c>
      <c r="J815" s="8">
        <f>I815*H815</f>
        <v>30</v>
      </c>
      <c r="K815" s="39">
        <v>0.45</v>
      </c>
      <c r="L815" s="139">
        <v>44403</v>
      </c>
      <c r="M815" s="33"/>
      <c r="N815" s="33">
        <v>44403</v>
      </c>
      <c r="O815" s="32">
        <v>3353</v>
      </c>
      <c r="P815" s="39">
        <f>(S815/0.7/90)</f>
        <v>0.36507936507936511</v>
      </c>
      <c r="Q815" s="322">
        <v>0.37</v>
      </c>
      <c r="S815" s="7">
        <v>23</v>
      </c>
      <c r="T815" s="7">
        <f>S815*J815</f>
        <v>690</v>
      </c>
      <c r="U815" s="21"/>
      <c r="V815" s="257"/>
    </row>
    <row r="816" spans="2:22" s="7" customFormat="1" ht="18" customHeight="1">
      <c r="B816" s="12"/>
      <c r="C816" s="6" t="s">
        <v>2432</v>
      </c>
      <c r="D816" s="14" t="s">
        <v>2378</v>
      </c>
      <c r="E816" s="22">
        <v>7583</v>
      </c>
      <c r="F816" s="37"/>
      <c r="G816" s="37" t="s">
        <v>2435</v>
      </c>
      <c r="H816" s="108">
        <v>30</v>
      </c>
      <c r="I816" s="109">
        <v>1</v>
      </c>
      <c r="J816" s="8">
        <f>I816*H816</f>
        <v>30</v>
      </c>
      <c r="K816" s="39">
        <v>0.7</v>
      </c>
      <c r="L816" s="139">
        <v>44403</v>
      </c>
      <c r="M816" s="33"/>
      <c r="N816" s="33">
        <v>44403</v>
      </c>
      <c r="O816" s="32">
        <v>3353</v>
      </c>
      <c r="P816" s="39">
        <f>(S816/0.7/90)</f>
        <v>0.56079365079365084</v>
      </c>
      <c r="Q816" s="322">
        <v>0.56000000000000005</v>
      </c>
      <c r="S816" s="7">
        <v>35.33</v>
      </c>
      <c r="T816" s="7">
        <f>S816*J816</f>
        <v>1059.8999999999999</v>
      </c>
      <c r="U816" s="21"/>
      <c r="V816" s="257"/>
    </row>
    <row r="817" spans="2:22" s="7" customFormat="1" ht="18" customHeight="1">
      <c r="B817" s="12"/>
      <c r="C817" s="6" t="s">
        <v>2432</v>
      </c>
      <c r="D817" s="14" t="s">
        <v>2378</v>
      </c>
      <c r="E817" s="22">
        <v>7583</v>
      </c>
      <c r="F817" s="37"/>
      <c r="G817" s="37" t="s">
        <v>2436</v>
      </c>
      <c r="H817" s="108">
        <v>30</v>
      </c>
      <c r="I817" s="109">
        <v>1</v>
      </c>
      <c r="J817" s="8">
        <f>I817*H817</f>
        <v>30</v>
      </c>
      <c r="K817" s="39">
        <v>0.7</v>
      </c>
      <c r="L817" s="139">
        <v>44403</v>
      </c>
      <c r="M817" s="33"/>
      <c r="N817" s="33">
        <v>44403</v>
      </c>
      <c r="O817" s="32">
        <v>3353</v>
      </c>
      <c r="P817" s="39">
        <f>(S817/0.7/90)</f>
        <v>0.56079365079365084</v>
      </c>
      <c r="Q817" s="322">
        <v>0.56000000000000005</v>
      </c>
      <c r="S817" s="7">
        <v>35.33</v>
      </c>
      <c r="T817" s="7">
        <f>S817*J817</f>
        <v>1059.8999999999999</v>
      </c>
      <c r="U817" s="21"/>
      <c r="V817" s="257"/>
    </row>
    <row r="818" spans="2:22" s="7" customFormat="1" ht="18" customHeight="1">
      <c r="B818" s="12"/>
      <c r="C818" s="6" t="s">
        <v>2432</v>
      </c>
      <c r="D818" s="14" t="s">
        <v>2378</v>
      </c>
      <c r="E818" s="22">
        <v>7583</v>
      </c>
      <c r="F818" s="37"/>
      <c r="G818" s="37" t="s">
        <v>2437</v>
      </c>
      <c r="H818" s="108">
        <v>30</v>
      </c>
      <c r="I818" s="109">
        <v>1</v>
      </c>
      <c r="J818" s="8">
        <f>I818*H818</f>
        <v>30</v>
      </c>
      <c r="K818" s="39">
        <v>0.45</v>
      </c>
      <c r="L818" s="139">
        <v>44403</v>
      </c>
      <c r="M818" s="33"/>
      <c r="N818" s="33">
        <v>44403</v>
      </c>
      <c r="O818" s="32">
        <v>3353</v>
      </c>
      <c r="P818" s="39">
        <f>(S818/0.7/90)</f>
        <v>0.36507936507936511</v>
      </c>
      <c r="Q818" s="322">
        <v>0.37</v>
      </c>
      <c r="S818" s="7">
        <v>23</v>
      </c>
      <c r="T818" s="7">
        <f>S818*J818</f>
        <v>690</v>
      </c>
      <c r="U818" s="21"/>
      <c r="V818" s="257"/>
    </row>
    <row r="819" spans="2:22" s="7" customFormat="1" ht="18" customHeight="1">
      <c r="B819" s="12"/>
      <c r="C819" s="6" t="s">
        <v>2432</v>
      </c>
      <c r="D819" s="14" t="s">
        <v>2378</v>
      </c>
      <c r="E819" s="19" t="s">
        <v>2117</v>
      </c>
      <c r="F819" s="107"/>
      <c r="G819" s="22"/>
      <c r="H819" s="108"/>
      <c r="I819" s="109"/>
      <c r="J819" s="108"/>
      <c r="K819" s="29" t="s">
        <v>5</v>
      </c>
      <c r="L819" s="139">
        <v>44403</v>
      </c>
      <c r="M819" s="33"/>
      <c r="N819" s="33">
        <v>44403</v>
      </c>
      <c r="O819" s="32">
        <v>3353</v>
      </c>
      <c r="P819" s="14"/>
      <c r="Q819" s="322"/>
      <c r="U819" s="14"/>
      <c r="V819" s="257"/>
    </row>
    <row r="820" spans="2:22" s="7" customFormat="1" ht="18" customHeight="1">
      <c r="B820" s="12"/>
      <c r="C820" s="6" t="s">
        <v>2432</v>
      </c>
      <c r="D820" s="14" t="s">
        <v>2378</v>
      </c>
      <c r="E820" s="22" t="s">
        <v>175</v>
      </c>
      <c r="F820" s="107"/>
      <c r="G820" s="22" t="s">
        <v>100</v>
      </c>
      <c r="H820" s="108">
        <v>13.7</v>
      </c>
      <c r="I820" s="109">
        <v>1</v>
      </c>
      <c r="J820" s="131">
        <f>H820*I820</f>
        <v>13.7</v>
      </c>
      <c r="K820" s="39">
        <v>3</v>
      </c>
      <c r="L820" s="139">
        <v>44403</v>
      </c>
      <c r="M820" s="33"/>
      <c r="N820" s="33">
        <v>44403</v>
      </c>
      <c r="O820" s="32">
        <v>3353</v>
      </c>
      <c r="P820" s="39">
        <f>ROUNDUP(S820/0.7/90,2)</f>
        <v>2.0999999999999996</v>
      </c>
      <c r="Q820" s="322">
        <v>2.1</v>
      </c>
      <c r="S820" s="7">
        <v>132</v>
      </c>
      <c r="T820" s="7">
        <f>S820*J820</f>
        <v>1808.3999999999999</v>
      </c>
      <c r="U820" s="21"/>
      <c r="V820" s="257"/>
    </row>
    <row r="821" spans="2:22" s="7" customFormat="1" ht="18" customHeight="1">
      <c r="B821" s="12"/>
      <c r="C821" s="6" t="s">
        <v>2432</v>
      </c>
      <c r="D821" s="14" t="s">
        <v>2378</v>
      </c>
      <c r="E821" s="22"/>
      <c r="F821" s="102"/>
      <c r="G821" s="22" t="s">
        <v>14</v>
      </c>
      <c r="H821" s="8"/>
      <c r="I821" s="35"/>
      <c r="J821" s="38">
        <v>1</v>
      </c>
      <c r="K821" s="39">
        <v>12</v>
      </c>
      <c r="L821" s="139">
        <v>44403</v>
      </c>
      <c r="M821" s="33"/>
      <c r="N821" s="33">
        <v>44403</v>
      </c>
      <c r="O821" s="32">
        <v>3353</v>
      </c>
      <c r="P821" s="6" t="s">
        <v>3</v>
      </c>
      <c r="Q821" s="322">
        <v>12</v>
      </c>
      <c r="S821" s="7">
        <v>0</v>
      </c>
      <c r="T821" s="7">
        <f>S821*J821</f>
        <v>0</v>
      </c>
      <c r="U821" s="21"/>
      <c r="V821" s="257"/>
    </row>
    <row r="822" spans="2:22" s="191" customFormat="1" ht="15">
      <c r="B822" s="190"/>
      <c r="C822" s="179" t="s">
        <v>2432</v>
      </c>
      <c r="D822" s="180" t="s">
        <v>2378</v>
      </c>
      <c r="E822" s="217"/>
      <c r="F822" s="182"/>
      <c r="G822" s="182" t="s">
        <v>250</v>
      </c>
      <c r="H822" s="184" t="s">
        <v>252</v>
      </c>
      <c r="I822" s="185"/>
      <c r="J822" s="183"/>
      <c r="K822" s="333">
        <v>40</v>
      </c>
      <c r="L822" s="188">
        <v>44403</v>
      </c>
      <c r="M822" s="187"/>
      <c r="N822" s="187">
        <v>44403</v>
      </c>
      <c r="O822" s="186">
        <v>3353</v>
      </c>
      <c r="P822" s="179"/>
      <c r="Q822" s="322">
        <v>28</v>
      </c>
      <c r="S822" s="197">
        <v>2516</v>
      </c>
      <c r="T822" s="197">
        <v>2516</v>
      </c>
      <c r="U822" s="335"/>
      <c r="V822" s="726"/>
    </row>
    <row r="823" spans="2:22" s="7" customFormat="1" ht="18" customHeight="1">
      <c r="B823" s="12"/>
      <c r="C823" s="6" t="s">
        <v>2438</v>
      </c>
      <c r="D823" s="14" t="s">
        <v>2416</v>
      </c>
      <c r="E823" s="19" t="s">
        <v>2439</v>
      </c>
      <c r="F823" s="107"/>
      <c r="G823" s="22"/>
      <c r="H823" s="108"/>
      <c r="I823" s="109"/>
      <c r="J823" s="108"/>
      <c r="K823" s="110" t="s">
        <v>5</v>
      </c>
      <c r="L823" s="144"/>
      <c r="M823" s="11"/>
      <c r="N823" s="33">
        <v>44468</v>
      </c>
      <c r="O823" s="32">
        <v>3368</v>
      </c>
      <c r="P823" s="14"/>
      <c r="Q823" s="322"/>
      <c r="S823" s="308"/>
      <c r="U823" s="14"/>
      <c r="V823" s="257"/>
    </row>
    <row r="824" spans="2:22" customFormat="1" ht="18" customHeight="1">
      <c r="B824" s="26"/>
      <c r="C824" s="6" t="s">
        <v>2438</v>
      </c>
      <c r="D824" s="14" t="s">
        <v>2416</v>
      </c>
      <c r="E824" s="22">
        <v>1100</v>
      </c>
      <c r="F824" s="37">
        <v>40</v>
      </c>
      <c r="G824" s="37" t="s">
        <v>2440</v>
      </c>
      <c r="H824" s="108">
        <v>30</v>
      </c>
      <c r="I824" s="109">
        <v>7</v>
      </c>
      <c r="J824" s="8">
        <f>H824*I824</f>
        <v>210</v>
      </c>
      <c r="K824" s="39">
        <v>2.15</v>
      </c>
      <c r="L824" s="39">
        <f>K824*J824</f>
        <v>451.5</v>
      </c>
      <c r="M824" s="91"/>
      <c r="N824" s="33">
        <v>44468</v>
      </c>
      <c r="O824" s="32">
        <v>3368</v>
      </c>
      <c r="P824" s="39">
        <f>(S824/0.7/90)</f>
        <v>1.8412698412698414</v>
      </c>
      <c r="Q824" s="322">
        <v>1.84</v>
      </c>
      <c r="R824" s="1"/>
      <c r="S824" s="7">
        <v>116</v>
      </c>
      <c r="T824" s="92">
        <f>S824*J824</f>
        <v>24360</v>
      </c>
      <c r="U824" s="39"/>
      <c r="V824" s="260"/>
    </row>
    <row r="825" spans="2:22" s="7" customFormat="1" ht="18" customHeight="1">
      <c r="B825" s="12"/>
      <c r="C825" s="6" t="s">
        <v>2438</v>
      </c>
      <c r="D825" s="14" t="s">
        <v>2416</v>
      </c>
      <c r="E825" s="22"/>
      <c r="F825" s="102"/>
      <c r="G825" s="22" t="s">
        <v>204</v>
      </c>
      <c r="H825" s="8"/>
      <c r="I825" s="35"/>
      <c r="J825" s="38">
        <v>1</v>
      </c>
      <c r="K825" s="39">
        <v>310</v>
      </c>
      <c r="L825" s="39">
        <f>K825*J825</f>
        <v>310</v>
      </c>
      <c r="M825" s="91"/>
      <c r="N825" s="33">
        <v>44468</v>
      </c>
      <c r="O825" s="32">
        <v>3368</v>
      </c>
      <c r="P825" s="39">
        <f>S825/0.88/90</f>
        <v>277.77777777777777</v>
      </c>
      <c r="Q825" s="322">
        <v>277.77999999999997</v>
      </c>
      <c r="S825" s="7">
        <v>22000</v>
      </c>
      <c r="T825" s="92">
        <f>S825*J825</f>
        <v>22000</v>
      </c>
      <c r="U825" s="21"/>
      <c r="V825" s="257"/>
    </row>
    <row r="826" spans="2:22" s="7" customFormat="1" ht="18" customHeight="1">
      <c r="B826" s="12"/>
      <c r="C826" s="6" t="s">
        <v>2438</v>
      </c>
      <c r="D826" s="14" t="s">
        <v>2416</v>
      </c>
      <c r="E826" s="22"/>
      <c r="F826" s="102"/>
      <c r="G826" s="22" t="s">
        <v>316</v>
      </c>
      <c r="H826" s="8"/>
      <c r="I826" s="35"/>
      <c r="J826" s="38">
        <v>1</v>
      </c>
      <c r="K826" s="39">
        <v>12</v>
      </c>
      <c r="L826" s="39">
        <f>K826*J826</f>
        <v>12</v>
      </c>
      <c r="M826" s="91"/>
      <c r="N826" s="33">
        <v>44468</v>
      </c>
      <c r="O826" s="32">
        <v>3368</v>
      </c>
      <c r="P826" s="39"/>
      <c r="Q826" s="322">
        <v>12</v>
      </c>
      <c r="S826" s="745">
        <v>0</v>
      </c>
      <c r="T826" s="92">
        <f>S826*J826</f>
        <v>0</v>
      </c>
      <c r="U826" s="21"/>
      <c r="V826" s="257"/>
    </row>
    <row r="827" spans="2:22" s="191" customFormat="1" ht="15">
      <c r="B827" s="190"/>
      <c r="C827" s="179" t="s">
        <v>2438</v>
      </c>
      <c r="D827" s="180" t="s">
        <v>2416</v>
      </c>
      <c r="E827" s="217"/>
      <c r="F827" s="182"/>
      <c r="G827" s="182" t="s">
        <v>250</v>
      </c>
      <c r="H827" s="184" t="s">
        <v>251</v>
      </c>
      <c r="I827" s="185"/>
      <c r="J827" s="183"/>
      <c r="K827" s="192">
        <v>0</v>
      </c>
      <c r="L827" s="188"/>
      <c r="M827" s="187"/>
      <c r="N827" s="187">
        <v>44468</v>
      </c>
      <c r="O827" s="186">
        <v>3368</v>
      </c>
      <c r="P827" s="179"/>
      <c r="Q827" s="725">
        <v>0</v>
      </c>
      <c r="S827" s="197">
        <v>0</v>
      </c>
      <c r="T827" s="198">
        <v>0</v>
      </c>
      <c r="U827" s="335"/>
      <c r="V827" s="726"/>
    </row>
    <row r="828" spans="2:22" s="7" customFormat="1" ht="15">
      <c r="B828" s="12"/>
      <c r="C828" s="6" t="s">
        <v>2441</v>
      </c>
      <c r="D828" s="14" t="s">
        <v>2416</v>
      </c>
      <c r="E828" s="19" t="s">
        <v>2442</v>
      </c>
      <c r="F828" s="37"/>
      <c r="G828" s="770" t="s">
        <v>2443</v>
      </c>
      <c r="H828" s="108"/>
      <c r="I828" s="108"/>
      <c r="J828" s="108"/>
      <c r="K828" s="29" t="s">
        <v>232</v>
      </c>
      <c r="L828" s="139"/>
      <c r="M828" s="33"/>
      <c r="N828" s="33">
        <v>44439</v>
      </c>
      <c r="O828" s="32">
        <v>3369</v>
      </c>
      <c r="P828" s="6"/>
      <c r="Q828" s="339"/>
      <c r="U828" s="21"/>
      <c r="V828" s="257"/>
    </row>
    <row r="829" spans="2:22" s="7" customFormat="1" ht="15">
      <c r="B829" s="12"/>
      <c r="C829" s="6" t="s">
        <v>2441</v>
      </c>
      <c r="D829" s="14" t="s">
        <v>2416</v>
      </c>
      <c r="E829" s="19" t="s">
        <v>2444</v>
      </c>
      <c r="F829" s="112">
        <v>140</v>
      </c>
      <c r="G829" s="165" t="s">
        <v>2445</v>
      </c>
      <c r="H829" s="166">
        <v>345</v>
      </c>
      <c r="I829" s="166">
        <v>345</v>
      </c>
      <c r="J829" s="166">
        <v>345</v>
      </c>
      <c r="K829" s="39">
        <v>2.58</v>
      </c>
      <c r="L829" s="39">
        <f t="shared" ref="L829:L836" si="28">K829*J829</f>
        <v>890.1</v>
      </c>
      <c r="M829" s="91"/>
      <c r="N829" s="33">
        <v>44439</v>
      </c>
      <c r="O829" s="32">
        <v>3369</v>
      </c>
      <c r="P829" s="39">
        <f>ROUNDUP(S829/0.7/90,2)</f>
        <v>2.09</v>
      </c>
      <c r="Q829" s="322">
        <v>2.09</v>
      </c>
      <c r="S829" s="7">
        <v>131.6</v>
      </c>
      <c r="T829" s="7">
        <f t="shared" ref="T829:T836" si="29">S829*J829</f>
        <v>45402</v>
      </c>
      <c r="U829" s="137"/>
      <c r="V829" s="257"/>
    </row>
    <row r="830" spans="2:22" s="7" customFormat="1" ht="15">
      <c r="B830" s="12"/>
      <c r="C830" s="6" t="s">
        <v>2441</v>
      </c>
      <c r="D830" s="14" t="s">
        <v>2416</v>
      </c>
      <c r="E830" s="19" t="s">
        <v>2444</v>
      </c>
      <c r="F830" s="112">
        <v>140</v>
      </c>
      <c r="G830" s="165" t="s">
        <v>2446</v>
      </c>
      <c r="H830" s="166">
        <v>109</v>
      </c>
      <c r="I830" s="166">
        <v>109</v>
      </c>
      <c r="J830" s="166">
        <v>109</v>
      </c>
      <c r="K830" s="39">
        <v>2.5499999999999998</v>
      </c>
      <c r="L830" s="39">
        <f t="shared" si="28"/>
        <v>277.95</v>
      </c>
      <c r="M830" s="91"/>
      <c r="N830" s="33">
        <v>44439</v>
      </c>
      <c r="O830" s="32">
        <v>3369</v>
      </c>
      <c r="P830" s="39">
        <f>ROUNDUP(S830/0.7/90,2)</f>
        <v>2.0699999999999998</v>
      </c>
      <c r="Q830" s="322">
        <v>2.0699999999999998</v>
      </c>
      <c r="S830" s="7">
        <v>129.80000000000001</v>
      </c>
      <c r="T830" s="7">
        <f t="shared" si="29"/>
        <v>14148.2</v>
      </c>
      <c r="U830" s="137"/>
      <c r="V830" s="257"/>
    </row>
    <row r="831" spans="2:22" s="7" customFormat="1" ht="15">
      <c r="B831" s="12"/>
      <c r="C831" s="6" t="s">
        <v>2441</v>
      </c>
      <c r="D831" s="14" t="s">
        <v>2416</v>
      </c>
      <c r="E831" s="19" t="s">
        <v>2444</v>
      </c>
      <c r="F831" s="112">
        <v>140</v>
      </c>
      <c r="G831" s="165" t="s">
        <v>2447</v>
      </c>
      <c r="H831" s="166">
        <v>610</v>
      </c>
      <c r="I831" s="166">
        <v>610</v>
      </c>
      <c r="J831" s="166">
        <v>610</v>
      </c>
      <c r="K831" s="39">
        <v>2.37</v>
      </c>
      <c r="L831" s="39">
        <f t="shared" si="28"/>
        <v>1445.7</v>
      </c>
      <c r="M831" s="91"/>
      <c r="N831" s="33">
        <v>44439</v>
      </c>
      <c r="O831" s="32">
        <v>3369</v>
      </c>
      <c r="P831" s="39">
        <f>ROUNDUP(S831/0.7/90,2)</f>
        <v>1.92</v>
      </c>
      <c r="Q831" s="322">
        <v>1.92</v>
      </c>
      <c r="S831" s="7">
        <v>120.8</v>
      </c>
      <c r="T831" s="7">
        <f t="shared" si="29"/>
        <v>73688</v>
      </c>
      <c r="U831" s="137"/>
      <c r="V831" s="257"/>
    </row>
    <row r="832" spans="2:22" s="7" customFormat="1" ht="15">
      <c r="B832" s="12"/>
      <c r="C832" s="6" t="s">
        <v>2441</v>
      </c>
      <c r="D832" s="14" t="s">
        <v>2416</v>
      </c>
      <c r="E832" s="19" t="s">
        <v>2444</v>
      </c>
      <c r="F832" s="112">
        <v>140</v>
      </c>
      <c r="G832" s="165" t="s">
        <v>2448</v>
      </c>
      <c r="H832" s="166">
        <v>170</v>
      </c>
      <c r="I832" s="166">
        <v>170</v>
      </c>
      <c r="J832" s="166">
        <v>170</v>
      </c>
      <c r="K832" s="39">
        <v>2.76</v>
      </c>
      <c r="L832" s="39">
        <f t="shared" si="28"/>
        <v>469.2</v>
      </c>
      <c r="M832" s="91"/>
      <c r="N832" s="33">
        <v>44439</v>
      </c>
      <c r="O832" s="32">
        <v>3369</v>
      </c>
      <c r="P832" s="39">
        <f>S832/0.7/90</f>
        <v>2.2317460317460318</v>
      </c>
      <c r="Q832" s="322">
        <v>2.23</v>
      </c>
      <c r="S832" s="7">
        <v>140.6</v>
      </c>
      <c r="T832" s="7">
        <f t="shared" si="29"/>
        <v>23902</v>
      </c>
      <c r="U832" s="137"/>
      <c r="V832" s="257"/>
    </row>
    <row r="833" spans="2:22" s="7" customFormat="1" ht="15">
      <c r="B833" s="12"/>
      <c r="C833" s="6" t="s">
        <v>2441</v>
      </c>
      <c r="D833" s="14" t="s">
        <v>2416</v>
      </c>
      <c r="E833" s="49"/>
      <c r="F833" s="102"/>
      <c r="G833" s="22" t="s">
        <v>2449</v>
      </c>
      <c r="H833" s="8"/>
      <c r="I833" s="35"/>
      <c r="J833" s="38">
        <v>2</v>
      </c>
      <c r="K833" s="39">
        <v>180</v>
      </c>
      <c r="L833" s="39">
        <f t="shared" si="28"/>
        <v>360</v>
      </c>
      <c r="M833" s="91"/>
      <c r="N833" s="33">
        <v>44439</v>
      </c>
      <c r="O833" s="32">
        <v>3369</v>
      </c>
      <c r="P833" s="39">
        <f>S833/0.88/90</f>
        <v>101.010101010101</v>
      </c>
      <c r="Q833" s="322">
        <v>101.01</v>
      </c>
      <c r="S833" s="7">
        <v>8000</v>
      </c>
      <c r="T833" s="7">
        <f t="shared" si="29"/>
        <v>16000</v>
      </c>
      <c r="U833" s="21"/>
      <c r="V833" s="257"/>
    </row>
    <row r="834" spans="2:22" s="7" customFormat="1" ht="15">
      <c r="B834" s="12"/>
      <c r="C834" s="6" t="s">
        <v>2441</v>
      </c>
      <c r="D834" s="14" t="s">
        <v>2416</v>
      </c>
      <c r="E834" s="22"/>
      <c r="F834" s="102"/>
      <c r="G834" s="22" t="s">
        <v>2450</v>
      </c>
      <c r="H834" s="8"/>
      <c r="I834" s="35"/>
      <c r="J834" s="38">
        <v>2</v>
      </c>
      <c r="K834" s="39">
        <v>0</v>
      </c>
      <c r="L834" s="39">
        <f t="shared" si="28"/>
        <v>0</v>
      </c>
      <c r="M834" s="91"/>
      <c r="N834" s="33">
        <v>44439</v>
      </c>
      <c r="O834" s="32">
        <v>3369</v>
      </c>
      <c r="P834" s="39">
        <f>ROUNDUP(S834/0.88/90,2)</f>
        <v>50.51</v>
      </c>
      <c r="Q834" s="322">
        <v>50.51</v>
      </c>
      <c r="S834" s="7">
        <v>4000</v>
      </c>
      <c r="T834" s="7">
        <f t="shared" si="29"/>
        <v>8000</v>
      </c>
      <c r="U834" s="21"/>
      <c r="V834" s="257"/>
    </row>
    <row r="835" spans="2:22" s="7" customFormat="1" ht="15">
      <c r="B835" s="12"/>
      <c r="C835" s="6" t="s">
        <v>2441</v>
      </c>
      <c r="D835" s="14" t="s">
        <v>2416</v>
      </c>
      <c r="E835" s="22"/>
      <c r="F835" s="102"/>
      <c r="G835" s="22" t="s">
        <v>2451</v>
      </c>
      <c r="H835" s="8"/>
      <c r="I835" s="35"/>
      <c r="J835" s="38">
        <v>1</v>
      </c>
      <c r="K835" s="39">
        <v>10</v>
      </c>
      <c r="L835" s="39">
        <f>K835*J835</f>
        <v>10</v>
      </c>
      <c r="M835" s="91"/>
      <c r="N835" s="33">
        <v>44439</v>
      </c>
      <c r="O835" s="32">
        <v>3369</v>
      </c>
      <c r="P835" s="39">
        <f>ROUNDUP(S835/0.88/90,2)</f>
        <v>6.3199999999999994</v>
      </c>
      <c r="Q835" s="322">
        <v>6.32</v>
      </c>
      <c r="S835" s="7">
        <v>500</v>
      </c>
      <c r="T835" s="7">
        <f>S835*J835</f>
        <v>500</v>
      </c>
      <c r="U835" s="21"/>
      <c r="V835" s="257"/>
    </row>
    <row r="836" spans="2:22" s="7" customFormat="1" ht="18" customHeight="1">
      <c r="B836" s="12"/>
      <c r="C836" s="6" t="s">
        <v>2441</v>
      </c>
      <c r="D836" s="14" t="s">
        <v>2416</v>
      </c>
      <c r="E836" s="49"/>
      <c r="F836" s="37"/>
      <c r="G836" s="37" t="s">
        <v>14</v>
      </c>
      <c r="H836" s="8"/>
      <c r="I836" s="109" ph="1"/>
      <c r="J836" s="38">
        <v>1</v>
      </c>
      <c r="K836" s="39">
        <v>12</v>
      </c>
      <c r="L836" s="39">
        <f t="shared" si="28"/>
        <v>12</v>
      </c>
      <c r="M836" s="91"/>
      <c r="N836" s="33">
        <v>44439</v>
      </c>
      <c r="O836" s="32">
        <v>3369</v>
      </c>
      <c r="P836" s="6"/>
      <c r="Q836" s="322">
        <v>12</v>
      </c>
      <c r="S836" s="7">
        <v>0</v>
      </c>
      <c r="T836" s="7">
        <f t="shared" si="29"/>
        <v>0</v>
      </c>
      <c r="U836" s="21"/>
      <c r="V836" s="257"/>
    </row>
    <row r="837" spans="2:22" s="191" customFormat="1" ht="15">
      <c r="B837" s="190"/>
      <c r="C837" s="179" t="s">
        <v>2441</v>
      </c>
      <c r="D837" s="180" t="s">
        <v>2416</v>
      </c>
      <c r="E837" s="181"/>
      <c r="F837" s="622"/>
      <c r="G837" s="182" t="s">
        <v>250</v>
      </c>
      <c r="H837" s="184" t="s">
        <v>251</v>
      </c>
      <c r="I837" s="185"/>
      <c r="J837" s="183"/>
      <c r="K837" s="192">
        <v>0</v>
      </c>
      <c r="L837" s="188"/>
      <c r="M837" s="187"/>
      <c r="N837" s="187">
        <v>44439</v>
      </c>
      <c r="O837" s="186">
        <v>3369</v>
      </c>
      <c r="P837" s="179"/>
      <c r="Q837" s="725">
        <v>0</v>
      </c>
      <c r="S837" s="197">
        <v>0</v>
      </c>
      <c r="T837" s="198">
        <v>0</v>
      </c>
      <c r="U837" s="335"/>
      <c r="V837" s="726"/>
    </row>
    <row r="838" spans="2:22" s="7" customFormat="1" ht="15">
      <c r="B838" s="12"/>
      <c r="C838" s="6" t="s">
        <v>2452</v>
      </c>
      <c r="D838" s="14" t="s">
        <v>2416</v>
      </c>
      <c r="E838" s="19" t="s">
        <v>2442</v>
      </c>
      <c r="F838" s="37"/>
      <c r="G838" s="770" t="s">
        <v>2453</v>
      </c>
      <c r="H838" s="108"/>
      <c r="I838" s="108"/>
      <c r="J838" s="108"/>
      <c r="K838" s="29" t="s">
        <v>232</v>
      </c>
      <c r="L838" s="139"/>
      <c r="M838" s="33"/>
      <c r="N838" s="33">
        <v>44439</v>
      </c>
      <c r="O838" s="32">
        <v>3370</v>
      </c>
      <c r="P838" s="6"/>
      <c r="Q838" s="339"/>
      <c r="U838" s="21"/>
      <c r="V838" s="257"/>
    </row>
    <row r="839" spans="2:22" s="7" customFormat="1" ht="15">
      <c r="B839" s="12"/>
      <c r="C839" s="6" t="s">
        <v>2452</v>
      </c>
      <c r="D839" s="14" t="s">
        <v>2416</v>
      </c>
      <c r="E839" s="19" t="s">
        <v>2444</v>
      </c>
      <c r="F839" s="112">
        <v>120</v>
      </c>
      <c r="G839" s="780" t="s">
        <v>2454</v>
      </c>
      <c r="H839" s="166">
        <v>140</v>
      </c>
      <c r="I839" s="166">
        <v>140</v>
      </c>
      <c r="J839" s="166">
        <v>140</v>
      </c>
      <c r="K839" s="39">
        <v>2.48</v>
      </c>
      <c r="L839" s="39">
        <f t="shared" ref="L839:L845" si="30">K839*J839</f>
        <v>347.2</v>
      </c>
      <c r="M839" s="91"/>
      <c r="N839" s="33">
        <v>44439</v>
      </c>
      <c r="O839" s="32">
        <v>3370</v>
      </c>
      <c r="P839" s="39">
        <f t="shared" ref="P839:P844" si="31">S839/0.7/90</f>
        <v>2.0031746031746036</v>
      </c>
      <c r="Q839" s="322">
        <v>2</v>
      </c>
      <c r="S839" s="7">
        <v>126.2</v>
      </c>
      <c r="T839" s="7">
        <f t="shared" ref="T839:T848" si="32">S839*J839</f>
        <v>17668</v>
      </c>
      <c r="U839" s="166"/>
      <c r="V839" s="257"/>
    </row>
    <row r="840" spans="2:22" s="7" customFormat="1" ht="15">
      <c r="B840" s="12"/>
      <c r="C840" s="6" t="s">
        <v>2452</v>
      </c>
      <c r="D840" s="14" t="s">
        <v>2416</v>
      </c>
      <c r="E840" s="19" t="s">
        <v>2444</v>
      </c>
      <c r="F840" s="112">
        <v>120</v>
      </c>
      <c r="G840" s="165" t="s">
        <v>2447</v>
      </c>
      <c r="H840" s="166">
        <v>290</v>
      </c>
      <c r="I840" s="166">
        <v>290</v>
      </c>
      <c r="J840" s="166">
        <v>290</v>
      </c>
      <c r="K840" s="39">
        <v>2.2999999999999998</v>
      </c>
      <c r="L840" s="39">
        <f t="shared" si="30"/>
        <v>667</v>
      </c>
      <c r="M840" s="91"/>
      <c r="N840" s="33">
        <v>44439</v>
      </c>
      <c r="O840" s="32">
        <v>3370</v>
      </c>
      <c r="P840" s="39">
        <f t="shared" si="31"/>
        <v>1.8571428571428574</v>
      </c>
      <c r="Q840" s="322">
        <v>1.86</v>
      </c>
      <c r="S840" s="7">
        <v>117</v>
      </c>
      <c r="T840" s="7">
        <f t="shared" si="32"/>
        <v>33930</v>
      </c>
      <c r="U840" s="166"/>
      <c r="V840" s="257"/>
    </row>
    <row r="841" spans="2:22" s="7" customFormat="1" ht="15">
      <c r="B841" s="12"/>
      <c r="C841" s="6" t="s">
        <v>2452</v>
      </c>
      <c r="D841" s="14" t="s">
        <v>2416</v>
      </c>
      <c r="E841" s="19" t="s">
        <v>2444</v>
      </c>
      <c r="F841" s="112">
        <v>170</v>
      </c>
      <c r="G841" s="780" t="s">
        <v>2454</v>
      </c>
      <c r="H841" s="166">
        <v>110</v>
      </c>
      <c r="I841" s="166">
        <v>110</v>
      </c>
      <c r="J841" s="166">
        <v>110</v>
      </c>
      <c r="K841" s="39">
        <v>2.74</v>
      </c>
      <c r="L841" s="39">
        <f t="shared" si="30"/>
        <v>301.40000000000003</v>
      </c>
      <c r="M841" s="91"/>
      <c r="N841" s="33">
        <v>44439</v>
      </c>
      <c r="O841" s="32">
        <v>3370</v>
      </c>
      <c r="P841" s="39">
        <f t="shared" si="31"/>
        <v>2.215873015873016</v>
      </c>
      <c r="Q841" s="322">
        <v>2.2200000000000002</v>
      </c>
      <c r="S841" s="7">
        <v>139.6</v>
      </c>
      <c r="T841" s="7">
        <f t="shared" si="32"/>
        <v>15356</v>
      </c>
      <c r="U841" s="166"/>
      <c r="V841" s="257"/>
    </row>
    <row r="842" spans="2:22" s="7" customFormat="1" ht="15">
      <c r="B842" s="12"/>
      <c r="C842" s="6" t="s">
        <v>2452</v>
      </c>
      <c r="D842" s="14" t="s">
        <v>2416</v>
      </c>
      <c r="E842" s="19" t="s">
        <v>2444</v>
      </c>
      <c r="F842" s="112">
        <v>170</v>
      </c>
      <c r="G842" s="165" t="s">
        <v>2447</v>
      </c>
      <c r="H842" s="166">
        <v>120</v>
      </c>
      <c r="I842" s="166">
        <v>120</v>
      </c>
      <c r="J842" s="166">
        <v>120</v>
      </c>
      <c r="K842" s="39">
        <v>2.48</v>
      </c>
      <c r="L842" s="39">
        <f t="shared" si="30"/>
        <v>297.60000000000002</v>
      </c>
      <c r="M842" s="91"/>
      <c r="N842" s="33">
        <v>44439</v>
      </c>
      <c r="O842" s="32">
        <v>3370</v>
      </c>
      <c r="P842" s="39">
        <f t="shared" si="31"/>
        <v>2.0079365079365079</v>
      </c>
      <c r="Q842" s="322">
        <v>2.0099999999999998</v>
      </c>
      <c r="S842" s="7">
        <v>126.5</v>
      </c>
      <c r="T842" s="7">
        <f t="shared" si="32"/>
        <v>15180</v>
      </c>
      <c r="U842" s="166"/>
      <c r="V842" s="257"/>
    </row>
    <row r="843" spans="2:22" s="7" customFormat="1" ht="15">
      <c r="B843" s="12"/>
      <c r="C843" s="6" t="s">
        <v>2452</v>
      </c>
      <c r="D843" s="14" t="s">
        <v>2416</v>
      </c>
      <c r="E843" s="19" t="s">
        <v>2444</v>
      </c>
      <c r="F843" s="112">
        <v>200</v>
      </c>
      <c r="G843" s="780" t="s">
        <v>2454</v>
      </c>
      <c r="H843" s="166">
        <v>190</v>
      </c>
      <c r="I843" s="166">
        <v>190</v>
      </c>
      <c r="J843" s="166">
        <v>190</v>
      </c>
      <c r="K843" s="39">
        <v>2.9</v>
      </c>
      <c r="L843" s="39">
        <f t="shared" si="30"/>
        <v>551</v>
      </c>
      <c r="M843" s="91"/>
      <c r="N843" s="33">
        <v>44439</v>
      </c>
      <c r="O843" s="32">
        <v>3370</v>
      </c>
      <c r="P843" s="39">
        <f t="shared" si="31"/>
        <v>2.342857142857143</v>
      </c>
      <c r="Q843" s="322">
        <v>2.34</v>
      </c>
      <c r="S843" s="7">
        <v>147.6</v>
      </c>
      <c r="T843" s="7">
        <f t="shared" si="32"/>
        <v>28044</v>
      </c>
      <c r="U843" s="166"/>
      <c r="V843" s="257"/>
    </row>
    <row r="844" spans="2:22" s="7" customFormat="1" ht="15">
      <c r="B844" s="12"/>
      <c r="C844" s="6" t="s">
        <v>2452</v>
      </c>
      <c r="D844" s="14" t="s">
        <v>2416</v>
      </c>
      <c r="E844" s="19" t="s">
        <v>2444</v>
      </c>
      <c r="F844" s="112">
        <v>200</v>
      </c>
      <c r="G844" s="165" t="s">
        <v>2447</v>
      </c>
      <c r="H844" s="166">
        <v>240</v>
      </c>
      <c r="I844" s="166">
        <v>240</v>
      </c>
      <c r="J844" s="166">
        <v>240</v>
      </c>
      <c r="K844" s="39">
        <v>2.6</v>
      </c>
      <c r="L844" s="39">
        <f t="shared" si="30"/>
        <v>624</v>
      </c>
      <c r="M844" s="91"/>
      <c r="N844" s="33">
        <v>44439</v>
      </c>
      <c r="O844" s="32">
        <v>3370</v>
      </c>
      <c r="P844" s="39">
        <f t="shared" si="31"/>
        <v>2.0984126984126985</v>
      </c>
      <c r="Q844" s="322">
        <v>2.1</v>
      </c>
      <c r="S844" s="7">
        <v>132.19999999999999</v>
      </c>
      <c r="T844" s="7">
        <f t="shared" si="32"/>
        <v>31727.999999999996</v>
      </c>
      <c r="U844" s="137"/>
      <c r="V844" s="257"/>
    </row>
    <row r="845" spans="2:22" s="7" customFormat="1" ht="15">
      <c r="B845" s="12"/>
      <c r="C845" s="6" t="s">
        <v>2452</v>
      </c>
      <c r="D845" s="14" t="s">
        <v>2416</v>
      </c>
      <c r="E845" s="22"/>
      <c r="F845" s="102"/>
      <c r="G845" s="22" t="s">
        <v>2455</v>
      </c>
      <c r="H845" s="8"/>
      <c r="I845" s="35"/>
      <c r="J845" s="38">
        <v>1</v>
      </c>
      <c r="K845" s="39">
        <v>180</v>
      </c>
      <c r="L845" s="39">
        <f t="shared" si="30"/>
        <v>180</v>
      </c>
      <c r="M845" s="91"/>
      <c r="N845" s="33">
        <v>44439</v>
      </c>
      <c r="O845" s="32">
        <v>3370</v>
      </c>
      <c r="P845" s="39">
        <f>S845/0.88/90</f>
        <v>101.010101010101</v>
      </c>
      <c r="Q845" s="322">
        <v>101.01</v>
      </c>
      <c r="S845" s="7">
        <v>8000</v>
      </c>
      <c r="T845" s="7">
        <f t="shared" si="32"/>
        <v>8000</v>
      </c>
      <c r="U845" s="21"/>
      <c r="V845" s="257"/>
    </row>
    <row r="846" spans="2:22" s="7" customFormat="1" ht="15">
      <c r="B846" s="12"/>
      <c r="C846" s="6" t="s">
        <v>2452</v>
      </c>
      <c r="D846" s="14" t="s">
        <v>2416</v>
      </c>
      <c r="E846" s="22"/>
      <c r="F846" s="102"/>
      <c r="G846" s="22" t="s">
        <v>2456</v>
      </c>
      <c r="H846" s="8"/>
      <c r="I846" s="35"/>
      <c r="J846" s="38">
        <v>1</v>
      </c>
      <c r="K846" s="39">
        <v>0</v>
      </c>
      <c r="L846" s="139"/>
      <c r="M846" s="33"/>
      <c r="N846" s="33">
        <v>44439</v>
      </c>
      <c r="O846" s="32">
        <v>3370</v>
      </c>
      <c r="P846" s="39">
        <f>ROUNDUP(S846/0.88/90,2)</f>
        <v>50.51</v>
      </c>
      <c r="Q846" s="322">
        <v>50.51</v>
      </c>
      <c r="S846" s="7">
        <v>4000</v>
      </c>
      <c r="T846" s="7">
        <f t="shared" si="32"/>
        <v>4000</v>
      </c>
      <c r="U846" s="21"/>
      <c r="V846" s="257"/>
    </row>
    <row r="847" spans="2:22" s="7" customFormat="1" ht="15">
      <c r="B847" s="12"/>
      <c r="C847" s="6" t="s">
        <v>2452</v>
      </c>
      <c r="D847" s="14" t="s">
        <v>2416</v>
      </c>
      <c r="E847" s="22"/>
      <c r="F847" s="102"/>
      <c r="G847" s="22" t="s">
        <v>2456</v>
      </c>
      <c r="H847" s="8"/>
      <c r="I847" s="35"/>
      <c r="J847" s="38">
        <v>2</v>
      </c>
      <c r="K847" s="39">
        <v>80</v>
      </c>
      <c r="L847" s="39">
        <f>K847*J847</f>
        <v>160</v>
      </c>
      <c r="M847" s="91"/>
      <c r="N847" s="33">
        <v>44439</v>
      </c>
      <c r="O847" s="32">
        <v>3370</v>
      </c>
      <c r="P847" s="39">
        <f>ROUNDUP(S847/0.88/90,2)</f>
        <v>0</v>
      </c>
      <c r="Q847" s="322">
        <v>0</v>
      </c>
      <c r="S847" s="7">
        <v>0</v>
      </c>
      <c r="T847" s="7">
        <f t="shared" si="32"/>
        <v>0</v>
      </c>
      <c r="U847" s="21"/>
      <c r="V847" s="257"/>
    </row>
    <row r="848" spans="2:22" s="7" customFormat="1" ht="18" customHeight="1">
      <c r="B848" s="12"/>
      <c r="C848" s="6" t="s">
        <v>2452</v>
      </c>
      <c r="D848" s="14" t="s">
        <v>2416</v>
      </c>
      <c r="E848" s="49"/>
      <c r="F848" s="37"/>
      <c r="G848" s="37" t="s">
        <v>14</v>
      </c>
      <c r="H848" s="8"/>
      <c r="I848" s="109" ph="1"/>
      <c r="J848" s="38">
        <v>1</v>
      </c>
      <c r="K848" s="39">
        <v>12</v>
      </c>
      <c r="L848" s="39">
        <f>K848*J848</f>
        <v>12</v>
      </c>
      <c r="M848" s="91"/>
      <c r="N848" s="33">
        <v>44439</v>
      </c>
      <c r="O848" s="32">
        <v>3370</v>
      </c>
      <c r="P848" s="6"/>
      <c r="Q848" s="322">
        <v>12</v>
      </c>
      <c r="S848" s="7">
        <v>1100</v>
      </c>
      <c r="T848" s="7">
        <f t="shared" si="32"/>
        <v>1100</v>
      </c>
      <c r="U848" s="21"/>
      <c r="V848" s="257"/>
    </row>
    <row r="849" spans="2:22" s="191" customFormat="1" ht="15">
      <c r="B849" s="190"/>
      <c r="C849" s="179" t="s">
        <v>2452</v>
      </c>
      <c r="D849" s="180" t="s">
        <v>2416</v>
      </c>
      <c r="E849" s="181"/>
      <c r="F849" s="622"/>
      <c r="G849" s="182" t="s">
        <v>250</v>
      </c>
      <c r="H849" s="184" t="s">
        <v>251</v>
      </c>
      <c r="I849" s="185"/>
      <c r="J849" s="183"/>
      <c r="K849" s="192">
        <v>0</v>
      </c>
      <c r="L849" s="188"/>
      <c r="M849" s="187"/>
      <c r="N849" s="187">
        <v>44439</v>
      </c>
      <c r="O849" s="186">
        <v>3370</v>
      </c>
      <c r="P849" s="179"/>
      <c r="Q849" s="725">
        <v>0</v>
      </c>
      <c r="S849" s="197">
        <v>0</v>
      </c>
      <c r="T849" s="198">
        <v>0</v>
      </c>
      <c r="U849" s="335"/>
      <c r="V849" s="726"/>
    </row>
    <row r="850" spans="2:22" s="7" customFormat="1" ht="15">
      <c r="B850" s="12"/>
      <c r="C850" s="6" t="s">
        <v>2457</v>
      </c>
      <c r="D850" s="14" t="s">
        <v>2227</v>
      </c>
      <c r="E850" s="19" t="s">
        <v>200</v>
      </c>
      <c r="F850" s="24"/>
      <c r="G850" s="22"/>
      <c r="H850" s="60"/>
      <c r="I850" s="61"/>
      <c r="J850" s="60"/>
      <c r="K850" s="16" t="s">
        <v>101</v>
      </c>
      <c r="L850" s="139">
        <v>44419</v>
      </c>
      <c r="M850" s="33"/>
      <c r="N850" s="33">
        <v>44419</v>
      </c>
      <c r="O850" s="32">
        <v>3404</v>
      </c>
      <c r="P850" s="123" t="s">
        <v>8</v>
      </c>
      <c r="Q850" s="775"/>
      <c r="U850" s="229"/>
      <c r="V850" s="257"/>
    </row>
    <row r="851" spans="2:22" s="7" customFormat="1" ht="18" customHeight="1">
      <c r="B851" s="12"/>
      <c r="C851" s="6" t="s">
        <v>2457</v>
      </c>
      <c r="D851" s="14" t="s">
        <v>2227</v>
      </c>
      <c r="E851" s="22">
        <v>5291</v>
      </c>
      <c r="F851" s="24">
        <v>10</v>
      </c>
      <c r="G851" s="22" t="s">
        <v>185</v>
      </c>
      <c r="H851" s="60">
        <v>20</v>
      </c>
      <c r="I851" s="61">
        <v>3</v>
      </c>
      <c r="J851" s="60">
        <f>H851*I851</f>
        <v>60</v>
      </c>
      <c r="K851" s="39">
        <v>0.65</v>
      </c>
      <c r="L851" s="139">
        <v>44419</v>
      </c>
      <c r="M851" s="33"/>
      <c r="N851" s="33">
        <v>44419</v>
      </c>
      <c r="O851" s="32">
        <v>3404</v>
      </c>
      <c r="P851" s="39">
        <f>S851/0.7/90</f>
        <v>0.55555555555555558</v>
      </c>
      <c r="Q851" s="701">
        <v>0.56000000000000005</v>
      </c>
      <c r="S851" s="7">
        <v>35</v>
      </c>
      <c r="T851" s="7">
        <f>S851*J851</f>
        <v>2100</v>
      </c>
      <c r="U851" s="776"/>
      <c r="V851" s="257"/>
    </row>
    <row r="852" spans="2:22" s="7" customFormat="1" ht="18" customHeight="1">
      <c r="B852" s="12"/>
      <c r="C852" s="6" t="s">
        <v>2457</v>
      </c>
      <c r="D852" s="14" t="s">
        <v>2227</v>
      </c>
      <c r="E852" s="22"/>
      <c r="F852" s="102"/>
      <c r="G852" s="22" t="s">
        <v>14</v>
      </c>
      <c r="H852" s="8"/>
      <c r="I852" s="35"/>
      <c r="J852" s="38">
        <v>1</v>
      </c>
      <c r="K852" s="39">
        <v>12</v>
      </c>
      <c r="L852" s="139">
        <v>44419</v>
      </c>
      <c r="M852" s="33"/>
      <c r="N852" s="33">
        <v>44419</v>
      </c>
      <c r="O852" s="32">
        <v>3404</v>
      </c>
      <c r="P852" s="6"/>
      <c r="Q852" s="322">
        <v>12</v>
      </c>
      <c r="S852" s="7">
        <v>0</v>
      </c>
      <c r="T852" s="92">
        <f>J852*S852</f>
        <v>0</v>
      </c>
      <c r="U852" s="21"/>
      <c r="V852" s="257"/>
    </row>
    <row r="853" spans="2:22" s="7" customFormat="1" ht="15">
      <c r="B853" s="12"/>
      <c r="C853" s="6" t="s">
        <v>2458</v>
      </c>
      <c r="D853" s="14" t="s">
        <v>2227</v>
      </c>
      <c r="E853" s="19" t="s">
        <v>200</v>
      </c>
      <c r="F853" s="24"/>
      <c r="G853" s="22"/>
      <c r="H853" s="60"/>
      <c r="I853" s="61"/>
      <c r="J853" s="60"/>
      <c r="K853" s="16" t="s">
        <v>101</v>
      </c>
      <c r="L853" s="139"/>
      <c r="M853" s="33"/>
      <c r="N853" s="33">
        <v>44431</v>
      </c>
      <c r="O853" s="32">
        <v>3430</v>
      </c>
      <c r="P853" s="123"/>
      <c r="Q853" s="775"/>
      <c r="U853" s="229"/>
      <c r="V853" s="257"/>
    </row>
    <row r="854" spans="2:22" s="7" customFormat="1" ht="18" customHeight="1">
      <c r="B854" s="12"/>
      <c r="C854" s="6" t="s">
        <v>2458</v>
      </c>
      <c r="D854" s="14" t="s">
        <v>2227</v>
      </c>
      <c r="E854" s="22">
        <v>5291</v>
      </c>
      <c r="F854" s="24">
        <v>10</v>
      </c>
      <c r="G854" s="22" t="s">
        <v>2459</v>
      </c>
      <c r="H854" s="60">
        <v>20</v>
      </c>
      <c r="I854" s="61">
        <v>28</v>
      </c>
      <c r="J854" s="60">
        <f>H854*I854</f>
        <v>560</v>
      </c>
      <c r="K854" s="39">
        <v>0.65</v>
      </c>
      <c r="L854" s="39">
        <f>K854*J854</f>
        <v>364</v>
      </c>
      <c r="M854" s="91"/>
      <c r="N854" s="33">
        <v>44431</v>
      </c>
      <c r="O854" s="32">
        <v>3430</v>
      </c>
      <c r="P854" s="39">
        <f>S854/0.7/90</f>
        <v>0.5</v>
      </c>
      <c r="Q854" s="701">
        <v>0.5</v>
      </c>
      <c r="S854" s="7">
        <v>31.5</v>
      </c>
      <c r="T854" s="7">
        <f>S854*J854</f>
        <v>17640</v>
      </c>
      <c r="U854" s="776" t="s">
        <v>2228</v>
      </c>
      <c r="V854" s="257"/>
    </row>
    <row r="855" spans="2:22" s="7" customFormat="1" ht="18" customHeight="1">
      <c r="B855" s="12"/>
      <c r="C855" s="6" t="s">
        <v>2458</v>
      </c>
      <c r="D855" s="14" t="s">
        <v>2227</v>
      </c>
      <c r="E855" s="22">
        <v>5291</v>
      </c>
      <c r="F855" s="24">
        <v>10</v>
      </c>
      <c r="G855" s="22" t="s">
        <v>185</v>
      </c>
      <c r="H855" s="60">
        <v>20</v>
      </c>
      <c r="I855" s="61">
        <v>17</v>
      </c>
      <c r="J855" s="60">
        <f>H855*I855</f>
        <v>340</v>
      </c>
      <c r="K855" s="39">
        <v>0.65</v>
      </c>
      <c r="L855" s="39">
        <f>K855*J855</f>
        <v>221</v>
      </c>
      <c r="M855" s="91"/>
      <c r="N855" s="33">
        <v>44431</v>
      </c>
      <c r="O855" s="32">
        <v>3430</v>
      </c>
      <c r="P855" s="39">
        <f>S855/0.7/90</f>
        <v>0.55555555555555558</v>
      </c>
      <c r="Q855" s="701">
        <v>0.56000000000000005</v>
      </c>
      <c r="S855" s="7">
        <v>35</v>
      </c>
      <c r="T855" s="7">
        <f>S855*J855</f>
        <v>11900</v>
      </c>
      <c r="U855" s="776"/>
      <c r="V855" s="257"/>
    </row>
    <row r="856" spans="2:22" s="7" customFormat="1" ht="15">
      <c r="B856" s="12"/>
      <c r="C856" s="6" t="s">
        <v>2458</v>
      </c>
      <c r="D856" s="14" t="s">
        <v>2227</v>
      </c>
      <c r="E856" s="19" t="s">
        <v>231</v>
      </c>
      <c r="F856" s="37"/>
      <c r="G856" s="37"/>
      <c r="H856" s="108"/>
      <c r="I856" s="108"/>
      <c r="J856" s="108"/>
      <c r="K856" s="29" t="s">
        <v>232</v>
      </c>
      <c r="L856" s="139"/>
      <c r="M856" s="33"/>
      <c r="N856" s="33">
        <v>44431</v>
      </c>
      <c r="O856" s="32">
        <v>3430</v>
      </c>
      <c r="P856" s="6"/>
      <c r="Q856" s="339"/>
      <c r="U856" s="21"/>
      <c r="V856" s="257"/>
    </row>
    <row r="857" spans="2:22" s="7" customFormat="1" ht="15">
      <c r="B857" s="12"/>
      <c r="C857" s="6" t="s">
        <v>2458</v>
      </c>
      <c r="D857" s="14" t="s">
        <v>2227</v>
      </c>
      <c r="E857" s="22" t="s">
        <v>257</v>
      </c>
      <c r="F857" s="112">
        <v>155</v>
      </c>
      <c r="G857" s="165" t="s">
        <v>2061</v>
      </c>
      <c r="H857" s="166">
        <v>120</v>
      </c>
      <c r="I857" s="166">
        <v>120</v>
      </c>
      <c r="J857" s="166">
        <v>120</v>
      </c>
      <c r="K857" s="39">
        <v>0.91</v>
      </c>
      <c r="L857" s="39">
        <f>K857*J857</f>
        <v>109.2</v>
      </c>
      <c r="M857" s="91"/>
      <c r="N857" s="33">
        <v>44431</v>
      </c>
      <c r="O857" s="32">
        <v>3430</v>
      </c>
      <c r="P857" s="39">
        <f>S857/0.7/90</f>
        <v>0.58412698412698405</v>
      </c>
      <c r="Q857" s="322">
        <v>0.57999999999999996</v>
      </c>
      <c r="S857" s="7">
        <v>36.799999999999997</v>
      </c>
      <c r="T857" s="7">
        <f>S857*J857</f>
        <v>4416</v>
      </c>
      <c r="U857" s="137"/>
      <c r="V857" s="257"/>
    </row>
    <row r="858" spans="2:22" s="7" customFormat="1" ht="18" customHeight="1">
      <c r="B858" s="12"/>
      <c r="C858" s="6" t="s">
        <v>2458</v>
      </c>
      <c r="D858" s="14" t="s">
        <v>2227</v>
      </c>
      <c r="E858" s="22"/>
      <c r="F858" s="102"/>
      <c r="G858" s="22" t="s">
        <v>14</v>
      </c>
      <c r="H858" s="8"/>
      <c r="I858" s="35"/>
      <c r="J858" s="38">
        <v>1</v>
      </c>
      <c r="K858" s="39">
        <v>12</v>
      </c>
      <c r="L858" s="39">
        <f>K858*J858</f>
        <v>12</v>
      </c>
      <c r="M858" s="91"/>
      <c r="N858" s="33">
        <v>44431</v>
      </c>
      <c r="O858" s="32">
        <v>3430</v>
      </c>
      <c r="P858" s="6"/>
      <c r="Q858" s="322">
        <v>12</v>
      </c>
      <c r="S858" s="7">
        <v>1100</v>
      </c>
      <c r="T858" s="92">
        <f>J858*S858</f>
        <v>1100</v>
      </c>
      <c r="U858" s="21"/>
      <c r="V858" s="257"/>
    </row>
    <row r="859" spans="2:22" s="7" customFormat="1" ht="15">
      <c r="B859" s="12"/>
      <c r="C859" s="6" t="s">
        <v>2460</v>
      </c>
      <c r="D859" s="14" t="s">
        <v>2227</v>
      </c>
      <c r="E859" s="19" t="s">
        <v>200</v>
      </c>
      <c r="F859" s="24"/>
      <c r="G859" s="22"/>
      <c r="H859" s="60"/>
      <c r="I859" s="61"/>
      <c r="J859" s="60"/>
      <c r="K859" s="16" t="s">
        <v>101</v>
      </c>
      <c r="L859" s="139">
        <v>44419</v>
      </c>
      <c r="M859" s="33"/>
      <c r="N859" s="33">
        <v>44419</v>
      </c>
      <c r="O859" s="32">
        <v>3405</v>
      </c>
      <c r="P859" s="123"/>
      <c r="Q859" s="775"/>
      <c r="U859" s="229"/>
      <c r="V859" s="257"/>
    </row>
    <row r="860" spans="2:22" s="7" customFormat="1" ht="18" customHeight="1">
      <c r="B860" s="12"/>
      <c r="C860" s="6" t="s">
        <v>2460</v>
      </c>
      <c r="D860" s="14" t="s">
        <v>2227</v>
      </c>
      <c r="E860" s="22">
        <v>5291</v>
      </c>
      <c r="F860" s="24">
        <v>10</v>
      </c>
      <c r="G860" s="22" t="s">
        <v>241</v>
      </c>
      <c r="H860" s="60">
        <v>20</v>
      </c>
      <c r="I860" s="61">
        <v>2</v>
      </c>
      <c r="J860" s="60">
        <f>H860*I860</f>
        <v>40</v>
      </c>
      <c r="K860" s="39">
        <v>0.65</v>
      </c>
      <c r="L860" s="139">
        <v>44419</v>
      </c>
      <c r="M860" s="33"/>
      <c r="N860" s="33">
        <v>44419</v>
      </c>
      <c r="O860" s="32">
        <v>3405</v>
      </c>
      <c r="P860" s="39">
        <v>0.55555555555555558</v>
      </c>
      <c r="Q860" s="701">
        <v>0.56000000000000005</v>
      </c>
      <c r="S860" s="7">
        <v>35</v>
      </c>
      <c r="T860" s="92">
        <f>J860*S860</f>
        <v>1400</v>
      </c>
      <c r="U860" s="776"/>
      <c r="V860" s="257"/>
    </row>
    <row r="861" spans="2:22" s="7" customFormat="1" ht="18" customHeight="1">
      <c r="B861" s="12"/>
      <c r="C861" s="6" t="s">
        <v>2461</v>
      </c>
      <c r="D861" s="14" t="s">
        <v>2227</v>
      </c>
      <c r="E861" s="22">
        <v>5291</v>
      </c>
      <c r="F861" s="24">
        <v>10</v>
      </c>
      <c r="G861" s="22" t="s">
        <v>2459</v>
      </c>
      <c r="H861" s="60">
        <v>20</v>
      </c>
      <c r="I861" s="61">
        <v>2</v>
      </c>
      <c r="J861" s="60">
        <f>H861*I861</f>
        <v>40</v>
      </c>
      <c r="K861" s="39">
        <v>0.65</v>
      </c>
      <c r="L861" s="139">
        <v>44419</v>
      </c>
      <c r="M861" s="33"/>
      <c r="N861" s="33">
        <v>44419</v>
      </c>
      <c r="O861" s="32">
        <v>3405</v>
      </c>
      <c r="P861" s="39">
        <f>S861/0.7/90</f>
        <v>0.5</v>
      </c>
      <c r="Q861" s="701">
        <v>0.5</v>
      </c>
      <c r="S861" s="7">
        <v>31.5</v>
      </c>
      <c r="T861" s="7">
        <f>S861*J861</f>
        <v>1260</v>
      </c>
      <c r="U861" s="776" t="s">
        <v>2228</v>
      </c>
      <c r="V861" s="257"/>
    </row>
    <row r="862" spans="2:22" s="7" customFormat="1" ht="18" customHeight="1">
      <c r="B862" s="12"/>
      <c r="C862" s="6" t="s">
        <v>2460</v>
      </c>
      <c r="D862" s="14" t="s">
        <v>2227</v>
      </c>
      <c r="E862" s="22"/>
      <c r="F862" s="102"/>
      <c r="G862" s="22" t="s">
        <v>14</v>
      </c>
      <c r="H862" s="8"/>
      <c r="I862" s="35"/>
      <c r="J862" s="38">
        <v>1</v>
      </c>
      <c r="K862" s="39">
        <v>12</v>
      </c>
      <c r="L862" s="139">
        <v>44419</v>
      </c>
      <c r="M862" s="33"/>
      <c r="N862" s="33">
        <v>44419</v>
      </c>
      <c r="O862" s="32">
        <v>3405</v>
      </c>
      <c r="P862" s="6"/>
      <c r="Q862" s="322">
        <v>12</v>
      </c>
      <c r="S862" s="7">
        <v>850</v>
      </c>
      <c r="T862" s="92">
        <f>J862*S862</f>
        <v>850</v>
      </c>
      <c r="U862" s="21"/>
      <c r="V862" s="257"/>
    </row>
    <row r="863" spans="2:22" s="191" customFormat="1" ht="15">
      <c r="B863" s="190"/>
      <c r="C863" s="179" t="s">
        <v>2282</v>
      </c>
      <c r="D863" s="180" t="s">
        <v>2227</v>
      </c>
      <c r="E863" s="217"/>
      <c r="F863" s="182"/>
      <c r="G863" s="182" t="s">
        <v>250</v>
      </c>
      <c r="H863" s="184" t="s">
        <v>251</v>
      </c>
      <c r="I863" s="185"/>
      <c r="J863" s="183"/>
      <c r="K863" s="192">
        <v>0</v>
      </c>
      <c r="L863" s="188">
        <v>44419</v>
      </c>
      <c r="M863" s="187"/>
      <c r="N863" s="187">
        <v>44419</v>
      </c>
      <c r="O863" s="186">
        <v>3405</v>
      </c>
      <c r="P863" s="179"/>
      <c r="Q863" s="725">
        <v>0</v>
      </c>
      <c r="S863" s="197">
        <v>0</v>
      </c>
      <c r="T863" s="198">
        <v>0</v>
      </c>
      <c r="U863" s="335"/>
      <c r="V863" s="726"/>
    </row>
    <row r="864" spans="2:22" s="7" customFormat="1" ht="18" customHeight="1">
      <c r="B864" s="12"/>
      <c r="C864" s="6" t="s">
        <v>2462</v>
      </c>
      <c r="D864" s="14" t="s">
        <v>2022</v>
      </c>
      <c r="E864" s="20" t="s">
        <v>59</v>
      </c>
      <c r="F864" s="15"/>
      <c r="G864" s="22"/>
      <c r="H864" s="8"/>
      <c r="I864" s="35"/>
      <c r="J864" s="108"/>
      <c r="K864" s="29" t="s">
        <v>5</v>
      </c>
      <c r="L864" s="139"/>
      <c r="M864" s="33"/>
      <c r="N864" s="33"/>
      <c r="O864" s="32"/>
      <c r="P864" s="6"/>
      <c r="Q864" s="322"/>
      <c r="U864" s="39"/>
      <c r="V864" s="257"/>
    </row>
    <row r="865" spans="1:22" s="7" customFormat="1" ht="18" customHeight="1">
      <c r="B865" s="12"/>
      <c r="C865" s="6" t="s">
        <v>2462</v>
      </c>
      <c r="D865" s="14" t="s">
        <v>2022</v>
      </c>
      <c r="E865" s="82" t="s">
        <v>7</v>
      </c>
      <c r="F865" s="102">
        <v>132</v>
      </c>
      <c r="G865" s="22" t="s">
        <v>2024</v>
      </c>
      <c r="H865" s="108">
        <v>15</v>
      </c>
      <c r="I865" s="109">
        <v>1</v>
      </c>
      <c r="J865" s="8">
        <f>H865*I865</f>
        <v>15</v>
      </c>
      <c r="K865" s="39">
        <v>4.45</v>
      </c>
      <c r="L865" s="39">
        <f>K865*J865</f>
        <v>66.75</v>
      </c>
      <c r="M865" s="91"/>
      <c r="N865" s="33"/>
      <c r="O865" s="32"/>
      <c r="P865" s="39">
        <f>S865/0.88/90</f>
        <v>4.0404040404040407</v>
      </c>
      <c r="Q865" s="322">
        <v>4.04</v>
      </c>
      <c r="S865" s="7">
        <v>320</v>
      </c>
      <c r="T865" s="7">
        <f>S865*J865</f>
        <v>4800</v>
      </c>
      <c r="U865" s="21"/>
      <c r="V865" s="257"/>
    </row>
    <row r="866" spans="1:22" s="7" customFormat="1" ht="15">
      <c r="B866" s="12"/>
      <c r="C866" s="6" t="s">
        <v>2462</v>
      </c>
      <c r="D866" s="14" t="s">
        <v>2022</v>
      </c>
      <c r="E866" s="22"/>
      <c r="F866" s="102"/>
      <c r="G866" s="22" t="s">
        <v>57</v>
      </c>
      <c r="H866" s="8"/>
      <c r="I866" s="35"/>
      <c r="J866" s="38">
        <v>1</v>
      </c>
      <c r="K866" s="39">
        <v>15</v>
      </c>
      <c r="L866" s="39">
        <f>K866*J866</f>
        <v>15</v>
      </c>
      <c r="M866" s="91"/>
      <c r="N866" s="33"/>
      <c r="O866" s="32"/>
      <c r="P866" s="6" t="s">
        <v>3</v>
      </c>
      <c r="Q866" s="322">
        <v>15</v>
      </c>
      <c r="S866" s="7">
        <v>1000</v>
      </c>
      <c r="T866" s="7">
        <f>S866*J866</f>
        <v>1000</v>
      </c>
      <c r="U866" s="21"/>
      <c r="V866" s="257"/>
    </row>
    <row r="867" spans="1:22" s="7" customFormat="1" ht="15">
      <c r="B867" s="12"/>
      <c r="C867" s="6" t="s">
        <v>2462</v>
      </c>
      <c r="D867" s="14" t="s">
        <v>2022</v>
      </c>
      <c r="E867" s="22"/>
      <c r="F867" s="102"/>
      <c r="G867" s="22" t="s">
        <v>14</v>
      </c>
      <c r="H867" s="8"/>
      <c r="I867" s="35"/>
      <c r="J867" s="38">
        <v>1</v>
      </c>
      <c r="K867" s="39">
        <v>20</v>
      </c>
      <c r="L867" s="39">
        <f>K867*J867</f>
        <v>20</v>
      </c>
      <c r="M867" s="91"/>
      <c r="N867" s="33"/>
      <c r="O867" s="32"/>
      <c r="P867" s="6" t="s">
        <v>3</v>
      </c>
      <c r="Q867" s="322">
        <v>20</v>
      </c>
      <c r="S867" s="745">
        <v>1800</v>
      </c>
      <c r="T867" s="7">
        <f>S867*J867</f>
        <v>1800</v>
      </c>
      <c r="U867" s="21"/>
      <c r="V867" s="257"/>
    </row>
    <row r="868" spans="1:22" s="191" customFormat="1" ht="15">
      <c r="B868" s="190"/>
      <c r="C868" s="179" t="s">
        <v>2462</v>
      </c>
      <c r="D868" s="180" t="s">
        <v>2022</v>
      </c>
      <c r="E868" s="181"/>
      <c r="F868" s="182"/>
      <c r="G868" s="182" t="s">
        <v>250</v>
      </c>
      <c r="H868" s="184" t="s">
        <v>251</v>
      </c>
      <c r="I868" s="185"/>
      <c r="J868" s="183"/>
      <c r="K868" s="192">
        <v>0</v>
      </c>
      <c r="L868" s="188"/>
      <c r="M868" s="187"/>
      <c r="N868" s="187"/>
      <c r="O868" s="186"/>
      <c r="P868" s="179"/>
      <c r="Q868" s="725">
        <v>0</v>
      </c>
      <c r="S868" s="197">
        <v>0</v>
      </c>
      <c r="T868" s="198">
        <v>0</v>
      </c>
      <c r="U868" s="335"/>
      <c r="V868" s="726"/>
    </row>
    <row r="869" spans="1:22" s="7" customFormat="1" ht="18" customHeight="1">
      <c r="B869" s="12"/>
      <c r="C869" s="6" t="s">
        <v>2463</v>
      </c>
      <c r="D869" s="14" t="s">
        <v>2464</v>
      </c>
      <c r="E869" s="19" t="s">
        <v>10</v>
      </c>
      <c r="F869" s="107"/>
      <c r="G869" s="22"/>
      <c r="H869" s="108"/>
      <c r="I869" s="109"/>
      <c r="J869" s="108"/>
      <c r="K869" s="29" t="s">
        <v>5</v>
      </c>
      <c r="L869" s="139">
        <v>44414</v>
      </c>
      <c r="M869" s="33"/>
      <c r="N869" s="33">
        <v>44414</v>
      </c>
      <c r="O869" s="32">
        <v>3381</v>
      </c>
      <c r="P869" s="14"/>
      <c r="Q869" s="322"/>
      <c r="U869" s="14"/>
      <c r="V869" s="257"/>
    </row>
    <row r="870" spans="1:22" s="7" customFormat="1" ht="18" customHeight="1">
      <c r="B870" s="12"/>
      <c r="C870" s="6" t="s">
        <v>2463</v>
      </c>
      <c r="D870" s="14" t="s">
        <v>2464</v>
      </c>
      <c r="E870" s="22" t="s">
        <v>207</v>
      </c>
      <c r="F870" s="107">
        <v>152</v>
      </c>
      <c r="G870" s="22" t="s">
        <v>2465</v>
      </c>
      <c r="H870" s="108">
        <v>50</v>
      </c>
      <c r="I870" s="109">
        <v>1</v>
      </c>
      <c r="J870" s="8">
        <f>H870*I870</f>
        <v>50</v>
      </c>
      <c r="K870" s="39">
        <v>4.17</v>
      </c>
      <c r="L870" s="139">
        <v>44414</v>
      </c>
      <c r="M870" s="33"/>
      <c r="N870" s="33">
        <v>44414</v>
      </c>
      <c r="O870" s="32">
        <v>3381</v>
      </c>
      <c r="P870" s="39">
        <v>3.7878787878787881</v>
      </c>
      <c r="Q870" s="322">
        <v>3.79</v>
      </c>
      <c r="S870" s="7">
        <v>300</v>
      </c>
      <c r="T870" s="7">
        <f>S870*J870</f>
        <v>15000</v>
      </c>
      <c r="U870" s="21"/>
      <c r="V870" s="257"/>
    </row>
    <row r="871" spans="1:22" s="7" customFormat="1" ht="18" customHeight="1">
      <c r="B871" s="12"/>
      <c r="C871" s="6" t="s">
        <v>2463</v>
      </c>
      <c r="D871" s="14" t="s">
        <v>2464</v>
      </c>
      <c r="E871" s="22" t="s">
        <v>207</v>
      </c>
      <c r="F871" s="107">
        <v>152</v>
      </c>
      <c r="G871" s="22" t="s">
        <v>122</v>
      </c>
      <c r="H871" s="108">
        <v>50</v>
      </c>
      <c r="I871" s="109">
        <v>1</v>
      </c>
      <c r="J871" s="8">
        <f>H871*I871</f>
        <v>50</v>
      </c>
      <c r="K871" s="39">
        <v>4.17</v>
      </c>
      <c r="L871" s="139">
        <v>44414</v>
      </c>
      <c r="M871" s="33"/>
      <c r="N871" s="33">
        <v>44414</v>
      </c>
      <c r="O871" s="32">
        <v>3381</v>
      </c>
      <c r="P871" s="39">
        <v>3.7878787878787881</v>
      </c>
      <c r="Q871" s="322">
        <v>3.79</v>
      </c>
      <c r="S871" s="7">
        <v>300</v>
      </c>
      <c r="T871" s="7">
        <f>S871*J871</f>
        <v>15000</v>
      </c>
      <c r="U871" s="21"/>
      <c r="V871" s="257"/>
    </row>
    <row r="872" spans="1:22" s="7" customFormat="1" ht="15">
      <c r="B872" s="12"/>
      <c r="C872" s="6" t="s">
        <v>2463</v>
      </c>
      <c r="D872" s="14" t="s">
        <v>2464</v>
      </c>
      <c r="E872" s="22"/>
      <c r="F872" s="102"/>
      <c r="G872" s="22" t="s">
        <v>14</v>
      </c>
      <c r="H872" s="8"/>
      <c r="I872" s="35"/>
      <c r="J872" s="38">
        <v>1</v>
      </c>
      <c r="K872" s="39">
        <v>20</v>
      </c>
      <c r="L872" s="139">
        <v>44414</v>
      </c>
      <c r="M872" s="33"/>
      <c r="N872" s="33">
        <v>44414</v>
      </c>
      <c r="O872" s="32">
        <v>3381</v>
      </c>
      <c r="P872" s="6" t="s">
        <v>3</v>
      </c>
      <c r="Q872" s="322">
        <v>20</v>
      </c>
      <c r="S872" s="7">
        <v>1800</v>
      </c>
      <c r="T872" s="7">
        <v>1800</v>
      </c>
      <c r="U872" s="21"/>
      <c r="V872" s="257"/>
    </row>
    <row r="873" spans="1:22" s="191" customFormat="1" ht="15">
      <c r="A873" s="7"/>
      <c r="B873" s="190"/>
      <c r="C873" s="179" t="s">
        <v>2463</v>
      </c>
      <c r="D873" s="180" t="s">
        <v>2464</v>
      </c>
      <c r="E873" s="217"/>
      <c r="F873" s="182"/>
      <c r="G873" s="182" t="s">
        <v>250</v>
      </c>
      <c r="H873" s="184" t="s">
        <v>251</v>
      </c>
      <c r="I873" s="185"/>
      <c r="J873" s="183"/>
      <c r="K873" s="192">
        <v>0</v>
      </c>
      <c r="L873" s="188">
        <v>44414</v>
      </c>
      <c r="M873" s="187"/>
      <c r="N873" s="187">
        <v>44414</v>
      </c>
      <c r="O873" s="186">
        <v>3381</v>
      </c>
      <c r="P873" s="179"/>
      <c r="Q873" s="747">
        <v>0</v>
      </c>
      <c r="S873" s="197">
        <v>0</v>
      </c>
      <c r="T873" s="197"/>
      <c r="U873" s="335"/>
      <c r="V873" s="726"/>
    </row>
    <row r="874" spans="1:22" s="7" customFormat="1" ht="18" customHeight="1">
      <c r="B874" s="12"/>
      <c r="C874" s="6" t="s">
        <v>2466</v>
      </c>
      <c r="D874" s="14" t="s">
        <v>2378</v>
      </c>
      <c r="E874" s="19" t="s">
        <v>2117</v>
      </c>
      <c r="F874" s="107"/>
      <c r="G874" s="22"/>
      <c r="H874" s="108"/>
      <c r="I874" s="109"/>
      <c r="J874" s="108"/>
      <c r="K874" s="29" t="s">
        <v>5</v>
      </c>
      <c r="L874" s="139">
        <v>44412</v>
      </c>
      <c r="M874" s="33"/>
      <c r="N874" s="33">
        <v>44412</v>
      </c>
      <c r="O874" s="32">
        <v>3383</v>
      </c>
      <c r="P874" s="14"/>
      <c r="Q874" s="322"/>
      <c r="U874" s="14"/>
      <c r="V874" s="260">
        <v>90</v>
      </c>
    </row>
    <row r="875" spans="1:22" s="7" customFormat="1" ht="18" customHeight="1">
      <c r="B875" s="12" t="s">
        <v>300</v>
      </c>
      <c r="C875" s="6" t="s">
        <v>2466</v>
      </c>
      <c r="D875" s="14" t="s">
        <v>2378</v>
      </c>
      <c r="E875" s="22" t="s">
        <v>2467</v>
      </c>
      <c r="F875" s="107"/>
      <c r="G875" s="22" t="s">
        <v>100</v>
      </c>
      <c r="H875" s="108">
        <v>13.7</v>
      </c>
      <c r="I875" s="109">
        <v>2</v>
      </c>
      <c r="J875" s="131">
        <f>H875*I875</f>
        <v>27.4</v>
      </c>
      <c r="K875" s="39">
        <v>2.37</v>
      </c>
      <c r="L875" s="139">
        <v>44412</v>
      </c>
      <c r="M875" s="33"/>
      <c r="N875" s="33">
        <v>44412</v>
      </c>
      <c r="O875" s="32">
        <v>3383</v>
      </c>
      <c r="P875" s="793">
        <f>S875/V875/(VLOOKUP(B875,$C$2:$F$6,3,FALSE))</f>
        <v>1.5555555555555556</v>
      </c>
      <c r="Q875" s="611">
        <v>1.56</v>
      </c>
      <c r="S875" s="7">
        <v>98</v>
      </c>
      <c r="T875" s="7">
        <f>S875*J875</f>
        <v>2685.2</v>
      </c>
      <c r="U875" s="21"/>
      <c r="V875" s="260">
        <v>90</v>
      </c>
    </row>
    <row r="876" spans="1:22" s="7" customFormat="1" ht="18" customHeight="1">
      <c r="B876" s="12" t="s">
        <v>300</v>
      </c>
      <c r="C876" s="6" t="s">
        <v>2466</v>
      </c>
      <c r="D876" s="14" t="s">
        <v>2378</v>
      </c>
      <c r="E876" s="22" t="s">
        <v>2468</v>
      </c>
      <c r="F876" s="107"/>
      <c r="G876" s="22" t="s">
        <v>100</v>
      </c>
      <c r="H876" s="108">
        <v>13.7</v>
      </c>
      <c r="I876" s="109">
        <v>2</v>
      </c>
      <c r="J876" s="131">
        <f>H876*I876</f>
        <v>27.4</v>
      </c>
      <c r="K876" s="39">
        <v>1.74</v>
      </c>
      <c r="L876" s="139">
        <v>44412</v>
      </c>
      <c r="M876" s="33"/>
      <c r="N876" s="33">
        <v>44412</v>
      </c>
      <c r="O876" s="32">
        <v>3383</v>
      </c>
      <c r="P876" s="793">
        <f>S876/V876/(VLOOKUP(B876,$C$2:$F$6,3,FALSE))</f>
        <v>1.015873015873016</v>
      </c>
      <c r="Q876" s="611">
        <v>1.02</v>
      </c>
      <c r="S876" s="7">
        <v>64</v>
      </c>
      <c r="T876" s="7">
        <f>S876*J876</f>
        <v>1753.6</v>
      </c>
      <c r="U876" s="21"/>
      <c r="V876" s="260">
        <v>90</v>
      </c>
    </row>
    <row r="877" spans="1:22" s="7" customFormat="1" ht="18" customHeight="1">
      <c r="B877" s="12"/>
      <c r="C877" s="6" t="s">
        <v>2466</v>
      </c>
      <c r="D877" s="14" t="s">
        <v>2378</v>
      </c>
      <c r="E877" s="22"/>
      <c r="F877" s="102"/>
      <c r="G877" s="22" t="s">
        <v>14</v>
      </c>
      <c r="H877" s="8"/>
      <c r="I877" s="35"/>
      <c r="J877" s="38">
        <v>1</v>
      </c>
      <c r="K877" s="39">
        <v>12</v>
      </c>
      <c r="L877" s="139">
        <v>44412</v>
      </c>
      <c r="M877" s="33"/>
      <c r="N877" s="33">
        <v>44412</v>
      </c>
      <c r="O877" s="32">
        <v>3383</v>
      </c>
      <c r="P877" s="793"/>
      <c r="Q877" s="322">
        <v>12</v>
      </c>
      <c r="S877" s="7">
        <v>0</v>
      </c>
      <c r="T877" s="7">
        <f>S877*J877</f>
        <v>0</v>
      </c>
      <c r="U877" s="21"/>
      <c r="V877" s="260">
        <v>90</v>
      </c>
    </row>
    <row r="878" spans="1:22" s="191" customFormat="1" ht="15">
      <c r="A878" s="7"/>
      <c r="B878" s="12"/>
      <c r="C878" s="179" t="s">
        <v>2466</v>
      </c>
      <c r="D878" s="180" t="s">
        <v>2378</v>
      </c>
      <c r="E878" s="217"/>
      <c r="F878" s="182"/>
      <c r="G878" s="182" t="s">
        <v>250</v>
      </c>
      <c r="H878" s="184" t="s">
        <v>252</v>
      </c>
      <c r="I878" s="185"/>
      <c r="J878" s="183"/>
      <c r="K878" s="333">
        <v>37</v>
      </c>
      <c r="L878" s="188">
        <v>44412</v>
      </c>
      <c r="M878" s="187"/>
      <c r="N878" s="187">
        <v>44412</v>
      </c>
      <c r="O878" s="186">
        <v>3383</v>
      </c>
      <c r="P878" s="179"/>
      <c r="Q878" s="322">
        <v>25</v>
      </c>
      <c r="S878" s="197">
        <v>2113</v>
      </c>
      <c r="T878" s="197">
        <v>2113</v>
      </c>
      <c r="U878" s="335"/>
      <c r="V878" s="260">
        <v>90</v>
      </c>
    </row>
    <row r="879" spans="1:22" s="7" customFormat="1" ht="18" customHeight="1">
      <c r="B879" s="12"/>
      <c r="C879" s="6" t="s">
        <v>2466</v>
      </c>
      <c r="D879" s="14" t="s">
        <v>2378</v>
      </c>
      <c r="E879" s="19" t="s">
        <v>2469</v>
      </c>
      <c r="F879" s="107"/>
      <c r="G879" s="22"/>
      <c r="H879" s="108"/>
      <c r="I879" s="109"/>
      <c r="J879" s="108"/>
      <c r="K879" s="29" t="s">
        <v>5</v>
      </c>
      <c r="L879" s="139"/>
      <c r="M879" s="33"/>
      <c r="N879" s="33">
        <v>44439</v>
      </c>
      <c r="O879" s="32">
        <v>3458</v>
      </c>
      <c r="P879" s="14"/>
      <c r="Q879" s="322"/>
      <c r="U879" s="14"/>
      <c r="V879" s="260">
        <v>90</v>
      </c>
    </row>
    <row r="880" spans="1:22" s="7" customFormat="1" ht="18" customHeight="1">
      <c r="B880" s="12" t="s">
        <v>300</v>
      </c>
      <c r="C880" s="6" t="s">
        <v>2466</v>
      </c>
      <c r="D880" s="14" t="s">
        <v>2378</v>
      </c>
      <c r="E880" s="22">
        <v>1919</v>
      </c>
      <c r="F880" s="107"/>
      <c r="G880" s="22" t="s">
        <v>2470</v>
      </c>
      <c r="H880" s="108">
        <v>30</v>
      </c>
      <c r="I880" s="109">
        <v>1</v>
      </c>
      <c r="J880" s="8">
        <f>H880*I880</f>
        <v>30</v>
      </c>
      <c r="K880" s="39">
        <v>0.72</v>
      </c>
      <c r="L880" s="39">
        <f>K880*J880</f>
        <v>21.599999999999998</v>
      </c>
      <c r="M880" s="91"/>
      <c r="N880" s="33">
        <v>44439</v>
      </c>
      <c r="O880" s="32">
        <v>3458</v>
      </c>
      <c r="P880" s="793">
        <f>S880/V880/(VLOOKUP(B880,$C$2:$F$6,3,FALSE))</f>
        <v>0.51111111111111118</v>
      </c>
      <c r="Q880" s="322">
        <v>0.51</v>
      </c>
      <c r="S880" s="7">
        <v>32.200000000000003</v>
      </c>
      <c r="T880" s="7">
        <f>S880*J880</f>
        <v>966.00000000000011</v>
      </c>
      <c r="U880" s="21"/>
      <c r="V880" s="260">
        <v>90</v>
      </c>
    </row>
    <row r="881" spans="1:22" s="191" customFormat="1" ht="15">
      <c r="A881" s="7"/>
      <c r="B881" s="12"/>
      <c r="C881" s="179" t="s">
        <v>2466</v>
      </c>
      <c r="D881" s="180" t="s">
        <v>2378</v>
      </c>
      <c r="E881" s="217"/>
      <c r="F881" s="182"/>
      <c r="G881" s="182" t="s">
        <v>250</v>
      </c>
      <c r="H881" s="184" t="s">
        <v>252</v>
      </c>
      <c r="I881" s="185"/>
      <c r="J881" s="183"/>
      <c r="K881" s="333">
        <v>25</v>
      </c>
      <c r="L881" s="188"/>
      <c r="M881" s="187"/>
      <c r="N881" s="187">
        <v>44439</v>
      </c>
      <c r="O881" s="186">
        <v>3458</v>
      </c>
      <c r="P881" s="179"/>
      <c r="Q881" s="322"/>
      <c r="S881" s="197">
        <v>2092</v>
      </c>
      <c r="T881" s="197">
        <v>2092</v>
      </c>
      <c r="U881" s="335"/>
      <c r="V881" s="260">
        <v>90</v>
      </c>
    </row>
    <row r="882" spans="1:22" s="7" customFormat="1" ht="18" customHeight="1">
      <c r="B882" s="12"/>
      <c r="C882" s="6" t="s">
        <v>2471</v>
      </c>
      <c r="D882" s="14" t="s">
        <v>2472</v>
      </c>
      <c r="E882" s="19" t="s">
        <v>238</v>
      </c>
      <c r="F882" s="107"/>
      <c r="G882" s="22"/>
      <c r="H882" s="108"/>
      <c r="I882" s="109"/>
      <c r="J882" s="108"/>
      <c r="K882" s="110" t="s">
        <v>5</v>
      </c>
      <c r="L882" s="139">
        <v>44413</v>
      </c>
      <c r="M882" s="33"/>
      <c r="N882" s="33">
        <v>44413</v>
      </c>
      <c r="O882" s="32">
        <v>3388</v>
      </c>
      <c r="P882" s="14"/>
      <c r="Q882" s="322"/>
      <c r="U882" s="14"/>
      <c r="V882" s="260">
        <v>90</v>
      </c>
    </row>
    <row r="883" spans="1:22" s="7" customFormat="1" ht="18" customHeight="1">
      <c r="B883" s="12" t="s">
        <v>302</v>
      </c>
      <c r="C883" s="6" t="s">
        <v>2471</v>
      </c>
      <c r="D883" s="14" t="s">
        <v>2472</v>
      </c>
      <c r="E883" s="22" t="s">
        <v>239</v>
      </c>
      <c r="F883" s="107">
        <v>150</v>
      </c>
      <c r="G883" s="22" t="s">
        <v>2396</v>
      </c>
      <c r="H883" s="108">
        <v>3</v>
      </c>
      <c r="I883" s="109">
        <v>1</v>
      </c>
      <c r="J883" s="8">
        <f>H883*I883</f>
        <v>3</v>
      </c>
      <c r="K883" s="39">
        <v>6.53</v>
      </c>
      <c r="L883" s="139">
        <v>44413</v>
      </c>
      <c r="M883" s="33"/>
      <c r="N883" s="33">
        <v>44413</v>
      </c>
      <c r="O883" s="32">
        <v>3388</v>
      </c>
      <c r="P883" s="793">
        <f>S883/V883/(VLOOKUP(B883,$C$2:$F$6,3,FALSE))</f>
        <v>5.9343434343434343</v>
      </c>
      <c r="Q883" s="322">
        <v>5.93</v>
      </c>
      <c r="S883" s="7">
        <v>470</v>
      </c>
      <c r="T883" s="7">
        <f>S883*J883</f>
        <v>1410</v>
      </c>
      <c r="U883" s="21"/>
      <c r="V883" s="260">
        <v>90</v>
      </c>
    </row>
    <row r="884" spans="1:22" s="7" customFormat="1" ht="15">
      <c r="B884" s="12"/>
      <c r="C884" s="6" t="s">
        <v>2471</v>
      </c>
      <c r="D884" s="14" t="s">
        <v>2472</v>
      </c>
      <c r="E884" s="49"/>
      <c r="F884" s="102"/>
      <c r="G884" s="22" t="s">
        <v>57</v>
      </c>
      <c r="H884" s="38"/>
      <c r="I884" s="35"/>
      <c r="J884" s="38">
        <v>1</v>
      </c>
      <c r="K884" s="39">
        <v>12</v>
      </c>
      <c r="L884" s="139">
        <v>44413</v>
      </c>
      <c r="M884" s="33"/>
      <c r="N884" s="33">
        <v>44413</v>
      </c>
      <c r="O884" s="32">
        <v>3388</v>
      </c>
      <c r="P884" s="6"/>
      <c r="Q884" s="322">
        <v>12</v>
      </c>
      <c r="S884" s="7">
        <v>1000</v>
      </c>
      <c r="T884" s="7">
        <f>S884*J884</f>
        <v>1000</v>
      </c>
      <c r="U884" s="21"/>
      <c r="V884" s="260">
        <v>90</v>
      </c>
    </row>
    <row r="885" spans="1:22" s="7" customFormat="1" ht="15">
      <c r="B885" s="12"/>
      <c r="C885" s="6" t="s">
        <v>2471</v>
      </c>
      <c r="D885" s="14" t="s">
        <v>2472</v>
      </c>
      <c r="E885" s="49"/>
      <c r="F885" s="102"/>
      <c r="G885" s="22" t="s">
        <v>14</v>
      </c>
      <c r="H885" s="38"/>
      <c r="I885" s="35"/>
      <c r="J885" s="38">
        <v>1</v>
      </c>
      <c r="K885" s="39">
        <v>12</v>
      </c>
      <c r="L885" s="139">
        <v>44413</v>
      </c>
      <c r="M885" s="33"/>
      <c r="N885" s="33">
        <v>44413</v>
      </c>
      <c r="O885" s="32">
        <v>3388</v>
      </c>
      <c r="P885" s="722"/>
      <c r="Q885" s="322">
        <v>12</v>
      </c>
      <c r="S885" s="7">
        <v>1000</v>
      </c>
      <c r="T885" s="7">
        <f>S885*J885</f>
        <v>1000</v>
      </c>
      <c r="U885" s="21"/>
      <c r="V885" s="260">
        <v>90</v>
      </c>
    </row>
    <row r="886" spans="1:22" s="191" customFormat="1" ht="15">
      <c r="B886" s="190"/>
      <c r="C886" s="179" t="s">
        <v>2471</v>
      </c>
      <c r="D886" s="180" t="s">
        <v>2472</v>
      </c>
      <c r="E886" s="181"/>
      <c r="F886" s="182"/>
      <c r="G886" s="182" t="s">
        <v>250</v>
      </c>
      <c r="H886" s="184" t="s">
        <v>252</v>
      </c>
      <c r="I886" s="185"/>
      <c r="J886" s="183"/>
      <c r="K886" s="333">
        <v>35</v>
      </c>
      <c r="L886" s="188">
        <v>44413</v>
      </c>
      <c r="M886" s="187"/>
      <c r="N886" s="187">
        <v>44413</v>
      </c>
      <c r="O886" s="186">
        <v>3388</v>
      </c>
      <c r="P886" s="179"/>
      <c r="Q886" s="747">
        <v>23</v>
      </c>
      <c r="S886" s="197">
        <v>1922</v>
      </c>
      <c r="T886" s="197">
        <v>1922</v>
      </c>
      <c r="U886" s="335"/>
      <c r="V886" s="260">
        <v>90</v>
      </c>
    </row>
    <row r="887" spans="1:22" s="7" customFormat="1" ht="18" customHeight="1">
      <c r="B887" s="12"/>
      <c r="C887" s="6" t="s">
        <v>2473</v>
      </c>
      <c r="D887" s="14" t="s">
        <v>1994</v>
      </c>
      <c r="E887" s="14" t="s">
        <v>2474</v>
      </c>
      <c r="F887" s="15"/>
      <c r="G887" s="14"/>
      <c r="H887" s="60"/>
      <c r="I887" s="61"/>
      <c r="J887" s="60"/>
      <c r="K887" s="16" t="s">
        <v>5</v>
      </c>
      <c r="L887" s="14"/>
      <c r="M887" s="22"/>
      <c r="N887" s="33">
        <v>44456</v>
      </c>
      <c r="O887" s="32">
        <v>3385</v>
      </c>
      <c r="P887" s="794"/>
      <c r="Q887" s="732"/>
      <c r="U887" s="120"/>
      <c r="V887" s="260">
        <v>90</v>
      </c>
    </row>
    <row r="888" spans="1:22" s="7" customFormat="1" ht="18" customHeight="1">
      <c r="B888" s="12" t="s">
        <v>300</v>
      </c>
      <c r="C888" s="6" t="s">
        <v>2473</v>
      </c>
      <c r="D888" s="14" t="s">
        <v>1994</v>
      </c>
      <c r="E888" s="795" t="s">
        <v>2475</v>
      </c>
      <c r="F888" s="15">
        <v>10</v>
      </c>
      <c r="G888" s="22" t="s">
        <v>2476</v>
      </c>
      <c r="H888" s="108">
        <v>100</v>
      </c>
      <c r="I888" s="109">
        <v>4</v>
      </c>
      <c r="J888" s="8">
        <f>H888*I888</f>
        <v>400</v>
      </c>
      <c r="K888" s="39">
        <v>0.87</v>
      </c>
      <c r="L888" s="39">
        <f>K888*J888</f>
        <v>348</v>
      </c>
      <c r="M888" s="91"/>
      <c r="N888" s="33">
        <v>44456</v>
      </c>
      <c r="O888" s="32">
        <v>3385</v>
      </c>
      <c r="P888" s="793">
        <f>S888/V888/(VLOOKUP(B888,$C$2:$F$6,3,FALSE))</f>
        <v>0.74603174603174616</v>
      </c>
      <c r="Q888" s="322">
        <v>0.75</v>
      </c>
      <c r="S888" s="7">
        <v>47</v>
      </c>
      <c r="T888" s="7">
        <f>S888*J888</f>
        <v>18800</v>
      </c>
      <c r="U888" s="39"/>
      <c r="V888" s="260">
        <v>90</v>
      </c>
    </row>
    <row r="889" spans="1:22" s="7" customFormat="1" ht="18.600000000000001" customHeight="1">
      <c r="B889" s="12" t="s">
        <v>306</v>
      </c>
      <c r="C889" s="6" t="s">
        <v>2473</v>
      </c>
      <c r="D889" s="14" t="s">
        <v>1994</v>
      </c>
      <c r="E889" s="22"/>
      <c r="F889" s="163"/>
      <c r="G889" s="37" t="s">
        <v>2477</v>
      </c>
      <c r="H889" s="126"/>
      <c r="I889" s="109"/>
      <c r="J889" s="38">
        <v>1</v>
      </c>
      <c r="K889" s="39">
        <v>250</v>
      </c>
      <c r="L889" s="39">
        <f>K889*J889</f>
        <v>250</v>
      </c>
      <c r="M889" s="91"/>
      <c r="N889" s="33">
        <v>44456</v>
      </c>
      <c r="O889" s="32">
        <v>3385</v>
      </c>
      <c r="P889" s="793">
        <f>S889/V889/(VLOOKUP(B889,$C$2:$F$6,3,FALSE))</f>
        <v>227.27272727272728</v>
      </c>
      <c r="Q889" s="322">
        <v>227.27</v>
      </c>
      <c r="S889" s="92">
        <v>18000</v>
      </c>
      <c r="T889" s="7">
        <f>S889*J889</f>
        <v>18000</v>
      </c>
      <c r="U889" s="23"/>
      <c r="V889" s="260">
        <v>90</v>
      </c>
    </row>
    <row r="890" spans="1:22" s="7" customFormat="1" ht="15">
      <c r="B890" s="12"/>
      <c r="C890" s="6" t="s">
        <v>2473</v>
      </c>
      <c r="D890" s="14" t="s">
        <v>1994</v>
      </c>
      <c r="E890" s="49"/>
      <c r="F890" s="102"/>
      <c r="G890" s="22" t="s">
        <v>14</v>
      </c>
      <c r="H890" s="38"/>
      <c r="I890" s="35"/>
      <c r="J890" s="38">
        <v>1</v>
      </c>
      <c r="K890" s="39">
        <v>15</v>
      </c>
      <c r="L890" s="39">
        <f>K890*J890</f>
        <v>15</v>
      </c>
      <c r="M890" s="91"/>
      <c r="N890" s="33">
        <v>44456</v>
      </c>
      <c r="O890" s="32">
        <v>3385</v>
      </c>
      <c r="P890" s="722"/>
      <c r="Q890" s="322">
        <v>15</v>
      </c>
      <c r="S890" s="7">
        <v>0</v>
      </c>
      <c r="T890" s="7">
        <f>S890*J890</f>
        <v>0</v>
      </c>
      <c r="U890" s="21"/>
      <c r="V890" s="260">
        <v>90</v>
      </c>
    </row>
    <row r="891" spans="1:22" customFormat="1" ht="18" customHeight="1">
      <c r="A891" s="7"/>
      <c r="B891" s="26"/>
      <c r="C891" s="179" t="s">
        <v>2473</v>
      </c>
      <c r="D891" s="180" t="s">
        <v>1994</v>
      </c>
      <c r="E891" s="217"/>
      <c r="F891" s="182"/>
      <c r="G891" s="182" t="s">
        <v>250</v>
      </c>
      <c r="H891" s="184" t="s">
        <v>252</v>
      </c>
      <c r="I891" s="185"/>
      <c r="J891" s="183"/>
      <c r="K891" s="333">
        <v>60</v>
      </c>
      <c r="L891" s="188"/>
      <c r="M891" s="187"/>
      <c r="N891" s="187">
        <v>44456</v>
      </c>
      <c r="O891" s="186">
        <v>3385</v>
      </c>
      <c r="P891" s="179"/>
      <c r="Q891" s="322">
        <v>45</v>
      </c>
      <c r="R891" s="1"/>
      <c r="S891" s="212">
        <v>3993</v>
      </c>
      <c r="T891" s="197">
        <v>3993</v>
      </c>
      <c r="U891" s="335"/>
      <c r="V891" s="260">
        <v>90</v>
      </c>
    </row>
    <row r="892" spans="1:22" s="7" customFormat="1" ht="18" customHeight="1">
      <c r="B892" s="12"/>
      <c r="C892" s="6" t="s">
        <v>2478</v>
      </c>
      <c r="D892" s="14" t="s">
        <v>2479</v>
      </c>
      <c r="E892" s="14" t="s">
        <v>2474</v>
      </c>
      <c r="F892" s="163"/>
      <c r="G892" s="770"/>
      <c r="H892" s="126"/>
      <c r="I892" s="109"/>
      <c r="J892" s="108"/>
      <c r="K892" s="39"/>
      <c r="L892" s="139">
        <v>44413</v>
      </c>
      <c r="M892" s="33"/>
      <c r="N892" s="33">
        <v>44413</v>
      </c>
      <c r="O892" s="32">
        <v>3387</v>
      </c>
      <c r="P892" s="6"/>
      <c r="Q892" s="322"/>
      <c r="U892" s="23"/>
      <c r="V892" s="260">
        <v>90</v>
      </c>
    </row>
    <row r="893" spans="1:22" s="7" customFormat="1" ht="18" customHeight="1">
      <c r="B893" s="12" t="s">
        <v>300</v>
      </c>
      <c r="C893" s="6" t="s">
        <v>2478</v>
      </c>
      <c r="D893" s="14" t="s">
        <v>2479</v>
      </c>
      <c r="E893" s="22" t="s">
        <v>2185</v>
      </c>
      <c r="F893" s="163">
        <v>10</v>
      </c>
      <c r="G893" s="22" t="s">
        <v>273</v>
      </c>
      <c r="H893" s="108">
        <v>100</v>
      </c>
      <c r="I893" s="109">
        <v>1</v>
      </c>
      <c r="J893" s="8">
        <f>H893*I893</f>
        <v>100</v>
      </c>
      <c r="K893" s="39">
        <v>1.06</v>
      </c>
      <c r="L893" s="139">
        <v>44413</v>
      </c>
      <c r="M893" s="33"/>
      <c r="N893" s="33">
        <v>44413</v>
      </c>
      <c r="O893" s="32">
        <v>3387</v>
      </c>
      <c r="P893" s="793">
        <f>S893/V893/(VLOOKUP(B893,$C$2:$F$6,3,FALSE))</f>
        <v>0.90476190476190477</v>
      </c>
      <c r="Q893" s="322">
        <v>0.9</v>
      </c>
      <c r="S893" s="7">
        <v>57</v>
      </c>
      <c r="T893" s="7">
        <f>S893*J893</f>
        <v>5700</v>
      </c>
      <c r="U893" s="39"/>
      <c r="V893" s="260">
        <v>90</v>
      </c>
    </row>
    <row r="894" spans="1:22" s="7" customFormat="1" ht="15">
      <c r="B894" s="12"/>
      <c r="C894" s="6" t="s">
        <v>2478</v>
      </c>
      <c r="D894" s="14" t="s">
        <v>2479</v>
      </c>
      <c r="E894" s="22"/>
      <c r="F894" s="102"/>
      <c r="G894" s="22" t="s">
        <v>14</v>
      </c>
      <c r="H894" s="8"/>
      <c r="I894" s="35"/>
      <c r="J894" s="38">
        <v>1</v>
      </c>
      <c r="K894" s="39">
        <v>12</v>
      </c>
      <c r="L894" s="139">
        <v>44413</v>
      </c>
      <c r="M894" s="33"/>
      <c r="N894" s="33">
        <v>44413</v>
      </c>
      <c r="O894" s="32">
        <v>3387</v>
      </c>
      <c r="P894" s="6"/>
      <c r="Q894" s="322">
        <v>12</v>
      </c>
      <c r="S894" s="7">
        <v>1000</v>
      </c>
      <c r="T894" s="7">
        <f>S894*J894</f>
        <v>1000</v>
      </c>
      <c r="U894" s="21"/>
      <c r="V894" s="260">
        <v>90</v>
      </c>
    </row>
    <row r="895" spans="1:22" s="191" customFormat="1" ht="15">
      <c r="A895" s="7"/>
      <c r="B895" s="190"/>
      <c r="C895" s="179" t="s">
        <v>2478</v>
      </c>
      <c r="D895" s="180" t="s">
        <v>2479</v>
      </c>
      <c r="E895" s="217"/>
      <c r="F895" s="182"/>
      <c r="G895" s="182" t="s">
        <v>250</v>
      </c>
      <c r="H895" s="184" t="s">
        <v>251</v>
      </c>
      <c r="I895" s="185"/>
      <c r="J895" s="183"/>
      <c r="K895" s="192">
        <v>0</v>
      </c>
      <c r="L895" s="188">
        <v>44413</v>
      </c>
      <c r="M895" s="187"/>
      <c r="N895" s="187">
        <v>44413</v>
      </c>
      <c r="O895" s="186">
        <v>3387</v>
      </c>
      <c r="P895" s="179"/>
      <c r="Q895" s="725">
        <v>0</v>
      </c>
      <c r="S895" s="197">
        <v>0</v>
      </c>
      <c r="T895" s="198">
        <v>0</v>
      </c>
      <c r="U895" s="335"/>
      <c r="V895" s="260">
        <v>90</v>
      </c>
    </row>
    <row r="896" spans="1:22" s="7" customFormat="1" ht="18" customHeight="1">
      <c r="B896" s="12"/>
      <c r="C896" s="6" t="s">
        <v>2423</v>
      </c>
      <c r="D896" s="14" t="s">
        <v>2416</v>
      </c>
      <c r="E896" s="19" t="s">
        <v>2424</v>
      </c>
      <c r="F896" s="37"/>
      <c r="G896" s="37" t="s">
        <v>2480</v>
      </c>
      <c r="H896" s="108"/>
      <c r="I896" s="108"/>
      <c r="J896" s="108"/>
      <c r="K896" s="29" t="s">
        <v>5</v>
      </c>
      <c r="L896" s="139"/>
      <c r="M896" s="33"/>
      <c r="N896" s="33">
        <v>44427</v>
      </c>
      <c r="O896" s="32">
        <v>3428</v>
      </c>
      <c r="P896" s="6"/>
      <c r="Q896" s="339"/>
      <c r="U896" s="21"/>
      <c r="V896" s="260">
        <v>90</v>
      </c>
    </row>
    <row r="897" spans="2:22" s="7" customFormat="1" ht="17.25" customHeight="1">
      <c r="B897" s="12" t="s">
        <v>300</v>
      </c>
      <c r="C897" s="6" t="s">
        <v>2423</v>
      </c>
      <c r="D897" s="14" t="s">
        <v>2416</v>
      </c>
      <c r="E897" s="22" t="s">
        <v>2425</v>
      </c>
      <c r="F897" s="37" t="s">
        <v>351</v>
      </c>
      <c r="G897" s="37" t="s">
        <v>2481</v>
      </c>
      <c r="H897" s="108">
        <v>50</v>
      </c>
      <c r="I897" s="109">
        <v>1</v>
      </c>
      <c r="J897" s="8">
        <f>H897*I897</f>
        <v>50</v>
      </c>
      <c r="K897" s="39">
        <v>0.62</v>
      </c>
      <c r="L897" s="39">
        <f>K897*J897</f>
        <v>31</v>
      </c>
      <c r="M897" s="91"/>
      <c r="N897" s="33">
        <v>44427</v>
      </c>
      <c r="O897" s="32">
        <v>3428</v>
      </c>
      <c r="P897" s="793">
        <f>S897/V897/(VLOOKUP(B897,$C$2:$F$6,3,FALSE))</f>
        <v>0.50158730158730169</v>
      </c>
      <c r="Q897" s="725">
        <v>0.5</v>
      </c>
      <c r="S897" s="7">
        <v>31.6</v>
      </c>
      <c r="T897" s="7">
        <f>S897*J897</f>
        <v>1580</v>
      </c>
      <c r="U897" s="21"/>
      <c r="V897" s="260">
        <v>90</v>
      </c>
    </row>
    <row r="898" spans="2:22" s="7" customFormat="1" ht="15">
      <c r="B898" s="12" t="s">
        <v>306</v>
      </c>
      <c r="C898" s="6" t="s">
        <v>2423</v>
      </c>
      <c r="D898" s="14" t="s">
        <v>2416</v>
      </c>
      <c r="E898" s="49"/>
      <c r="F898" s="102"/>
      <c r="G898" s="22" t="s">
        <v>2482</v>
      </c>
      <c r="H898" s="8"/>
      <c r="I898" s="35"/>
      <c r="J898" s="38">
        <v>1</v>
      </c>
      <c r="K898" s="39">
        <v>180</v>
      </c>
      <c r="L898" s="39">
        <f>K898*J898</f>
        <v>180</v>
      </c>
      <c r="M898" s="91"/>
      <c r="N898" s="33">
        <v>44427</v>
      </c>
      <c r="O898" s="32">
        <v>3428</v>
      </c>
      <c r="P898" s="793">
        <f>S898/V898/(VLOOKUP(B898,$C$2:$F$6,3,FALSE))</f>
        <v>101.01010101010101</v>
      </c>
      <c r="Q898" s="322">
        <v>101.01</v>
      </c>
      <c r="S898" s="7">
        <v>8000</v>
      </c>
      <c r="T898" s="7">
        <f>S898*J898</f>
        <v>8000</v>
      </c>
      <c r="U898" s="21"/>
      <c r="V898" s="260">
        <v>90</v>
      </c>
    </row>
    <row r="899" spans="2:22" s="7" customFormat="1" ht="15">
      <c r="B899" s="12" t="s">
        <v>306</v>
      </c>
      <c r="C899" s="6" t="s">
        <v>2423</v>
      </c>
      <c r="D899" s="14" t="s">
        <v>2416</v>
      </c>
      <c r="E899" s="22"/>
      <c r="F899" s="102"/>
      <c r="G899" s="22" t="s">
        <v>2483</v>
      </c>
      <c r="H899" s="8"/>
      <c r="I899" s="35"/>
      <c r="J899" s="38">
        <v>1</v>
      </c>
      <c r="K899" s="39">
        <v>0</v>
      </c>
      <c r="L899" s="39">
        <f>K899*J899</f>
        <v>0</v>
      </c>
      <c r="M899" s="91"/>
      <c r="N899" s="33">
        <v>44427</v>
      </c>
      <c r="O899" s="32">
        <v>3428</v>
      </c>
      <c r="P899" s="793">
        <f>S899/V899/(VLOOKUP(B899,$C$2:$F$6,3,FALSE))</f>
        <v>50.505050505050505</v>
      </c>
      <c r="Q899" s="322">
        <v>50.51</v>
      </c>
      <c r="S899" s="7">
        <v>4000</v>
      </c>
      <c r="T899" s="7">
        <f>S899*J899</f>
        <v>4000</v>
      </c>
      <c r="U899" s="21"/>
      <c r="V899" s="260">
        <v>90</v>
      </c>
    </row>
    <row r="900" spans="2:22" customFormat="1" ht="18" customHeight="1">
      <c r="B900" s="26"/>
      <c r="C900" s="6" t="s">
        <v>2423</v>
      </c>
      <c r="D900" s="14" t="s">
        <v>2416</v>
      </c>
      <c r="E900" s="723"/>
      <c r="F900" s="64"/>
      <c r="G900" s="37" t="s">
        <v>14</v>
      </c>
      <c r="H900" s="8"/>
      <c r="I900" s="8"/>
      <c r="J900" s="38">
        <v>1</v>
      </c>
      <c r="K900" s="39">
        <v>12</v>
      </c>
      <c r="L900" s="39">
        <f>K900*J900</f>
        <v>12</v>
      </c>
      <c r="M900" s="91"/>
      <c r="N900" s="33">
        <v>44427</v>
      </c>
      <c r="O900" s="32">
        <v>3428</v>
      </c>
      <c r="P900" s="4"/>
      <c r="Q900" s="724">
        <v>12</v>
      </c>
      <c r="R900" s="1"/>
      <c r="S900" s="7">
        <v>1100</v>
      </c>
      <c r="T900" s="7">
        <v>1100</v>
      </c>
      <c r="U900" s="34"/>
      <c r="V900" s="260">
        <v>90</v>
      </c>
    </row>
    <row r="901" spans="2:22" s="191" customFormat="1" ht="15">
      <c r="B901" s="190"/>
      <c r="C901" s="179" t="s">
        <v>2423</v>
      </c>
      <c r="D901" s="180" t="s">
        <v>2416</v>
      </c>
      <c r="E901" s="217"/>
      <c r="F901" s="182"/>
      <c r="G901" s="182" t="s">
        <v>250</v>
      </c>
      <c r="H901" s="184" t="s">
        <v>251</v>
      </c>
      <c r="I901" s="185"/>
      <c r="J901" s="183"/>
      <c r="K901" s="192">
        <v>0</v>
      </c>
      <c r="L901" s="188"/>
      <c r="M901" s="187"/>
      <c r="N901" s="187">
        <v>44427</v>
      </c>
      <c r="O901" s="186">
        <v>3428</v>
      </c>
      <c r="P901" s="179"/>
      <c r="Q901" s="725">
        <v>0</v>
      </c>
      <c r="S901" s="197">
        <v>0</v>
      </c>
      <c r="T901" s="198">
        <v>0</v>
      </c>
      <c r="U901" s="335"/>
      <c r="V901" s="260">
        <v>90</v>
      </c>
    </row>
    <row r="902" spans="2:22" s="7" customFormat="1" ht="18" customHeight="1">
      <c r="B902" s="12"/>
      <c r="C902" s="6" t="s">
        <v>2484</v>
      </c>
      <c r="D902" s="14" t="s">
        <v>2485</v>
      </c>
      <c r="E902" s="19" t="s">
        <v>10</v>
      </c>
      <c r="F902" s="107"/>
      <c r="G902" s="22"/>
      <c r="H902" s="108"/>
      <c r="I902" s="109"/>
      <c r="J902" s="108"/>
      <c r="K902" s="29" t="s">
        <v>5</v>
      </c>
      <c r="L902" s="139">
        <v>44418</v>
      </c>
      <c r="M902" s="33"/>
      <c r="N902" s="33">
        <v>44418</v>
      </c>
      <c r="O902" s="32">
        <v>3396</v>
      </c>
      <c r="P902" s="14"/>
      <c r="Q902" s="322"/>
      <c r="U902" s="14"/>
      <c r="V902" s="260">
        <v>90</v>
      </c>
    </row>
    <row r="903" spans="2:22" s="7" customFormat="1" ht="18" customHeight="1">
      <c r="B903" s="12" t="s">
        <v>302</v>
      </c>
      <c r="C903" s="6" t="s">
        <v>2484</v>
      </c>
      <c r="D903" s="14" t="s">
        <v>2485</v>
      </c>
      <c r="E903" s="22" t="s">
        <v>6</v>
      </c>
      <c r="F903" s="107">
        <v>160</v>
      </c>
      <c r="G903" s="22" t="s">
        <v>2486</v>
      </c>
      <c r="H903" s="108">
        <v>50</v>
      </c>
      <c r="I903" s="109">
        <v>1</v>
      </c>
      <c r="J903" s="8">
        <f>H903*I903</f>
        <v>50</v>
      </c>
      <c r="K903" s="39">
        <v>4.45</v>
      </c>
      <c r="L903" s="139">
        <v>44418</v>
      </c>
      <c r="M903" s="33"/>
      <c r="N903" s="33">
        <v>44418</v>
      </c>
      <c r="O903" s="32">
        <v>3396</v>
      </c>
      <c r="P903" s="39">
        <f>S903/0.88/90</f>
        <v>4.0404040404040407</v>
      </c>
      <c r="Q903" s="322">
        <v>4.04</v>
      </c>
      <c r="S903" s="7">
        <v>320</v>
      </c>
      <c r="T903" s="7">
        <f>S903*J903</f>
        <v>16000</v>
      </c>
      <c r="U903" s="21"/>
      <c r="V903" s="260">
        <v>90</v>
      </c>
    </row>
    <row r="904" spans="2:22" s="7" customFormat="1" ht="18" customHeight="1">
      <c r="B904" s="12" t="s">
        <v>302</v>
      </c>
      <c r="C904" s="6" t="s">
        <v>2484</v>
      </c>
      <c r="D904" s="14" t="s">
        <v>2485</v>
      </c>
      <c r="E904" s="22" t="s">
        <v>6</v>
      </c>
      <c r="F904" s="107">
        <v>160</v>
      </c>
      <c r="G904" s="22" t="s">
        <v>2486</v>
      </c>
      <c r="H904" s="108">
        <v>16.5</v>
      </c>
      <c r="I904" s="109">
        <v>1</v>
      </c>
      <c r="J904" s="131">
        <f>H904*I904</f>
        <v>16.5</v>
      </c>
      <c r="K904" s="39">
        <v>4.45</v>
      </c>
      <c r="L904" s="139">
        <v>44418</v>
      </c>
      <c r="M904" s="33"/>
      <c r="N904" s="33">
        <v>44418</v>
      </c>
      <c r="O904" s="32">
        <v>3396</v>
      </c>
      <c r="P904" s="39">
        <f>S904/0.88/90</f>
        <v>4.0404040404040407</v>
      </c>
      <c r="Q904" s="322">
        <v>4.04</v>
      </c>
      <c r="S904" s="7">
        <v>320</v>
      </c>
      <c r="T904" s="7">
        <f>S904*J904</f>
        <v>5280</v>
      </c>
      <c r="U904" s="21"/>
      <c r="V904" s="260">
        <v>90</v>
      </c>
    </row>
    <row r="905" spans="2:22" s="7" customFormat="1" ht="15">
      <c r="B905" s="12"/>
      <c r="C905" s="6" t="s">
        <v>2484</v>
      </c>
      <c r="D905" s="14" t="s">
        <v>2485</v>
      </c>
      <c r="E905" s="22"/>
      <c r="F905" s="102"/>
      <c r="G905" s="22" t="s">
        <v>14</v>
      </c>
      <c r="H905" s="8"/>
      <c r="I905" s="35"/>
      <c r="J905" s="38">
        <v>1</v>
      </c>
      <c r="K905" s="39">
        <v>20</v>
      </c>
      <c r="L905" s="139">
        <v>44418</v>
      </c>
      <c r="M905" s="33"/>
      <c r="N905" s="33">
        <v>44418</v>
      </c>
      <c r="O905" s="32">
        <v>3396</v>
      </c>
      <c r="P905" s="6" t="s">
        <v>3</v>
      </c>
      <c r="Q905" s="322">
        <v>20</v>
      </c>
      <c r="S905" s="7">
        <v>1800</v>
      </c>
      <c r="T905" s="7">
        <f>S905*J905</f>
        <v>1800</v>
      </c>
      <c r="U905" s="21"/>
      <c r="V905" s="260">
        <v>90</v>
      </c>
    </row>
    <row r="906" spans="2:22" s="191" customFormat="1" ht="15">
      <c r="B906" s="190"/>
      <c r="C906" s="179" t="s">
        <v>2484</v>
      </c>
      <c r="D906" s="180" t="s">
        <v>2485</v>
      </c>
      <c r="E906" s="217"/>
      <c r="F906" s="182"/>
      <c r="G906" s="182" t="s">
        <v>250</v>
      </c>
      <c r="H906" s="184" t="s">
        <v>251</v>
      </c>
      <c r="I906" s="185"/>
      <c r="J906" s="183"/>
      <c r="K906" s="192">
        <v>0</v>
      </c>
      <c r="L906" s="188">
        <v>44418</v>
      </c>
      <c r="M906" s="187"/>
      <c r="N906" s="187">
        <v>44418</v>
      </c>
      <c r="O906" s="186">
        <v>3396</v>
      </c>
      <c r="P906" s="179"/>
      <c r="Q906" s="725">
        <v>0</v>
      </c>
      <c r="S906" s="197">
        <v>0</v>
      </c>
      <c r="T906" s="198">
        <v>0</v>
      </c>
      <c r="U906" s="335"/>
      <c r="V906" s="260">
        <v>90</v>
      </c>
    </row>
    <row r="907" spans="2:22" s="7" customFormat="1" ht="18" customHeight="1">
      <c r="B907" s="12"/>
      <c r="C907" s="6" t="s">
        <v>2487</v>
      </c>
      <c r="D907" s="14" t="s">
        <v>2357</v>
      </c>
      <c r="E907" s="19" t="s">
        <v>2117</v>
      </c>
      <c r="F907" s="37"/>
      <c r="G907" s="37"/>
      <c r="H907" s="108"/>
      <c r="I907" s="108"/>
      <c r="J907" s="108"/>
      <c r="K907" s="29" t="s">
        <v>5</v>
      </c>
      <c r="L907" s="139">
        <v>44418</v>
      </c>
      <c r="M907" s="33"/>
      <c r="N907" s="33">
        <v>44418</v>
      </c>
      <c r="O907" s="32">
        <v>3397</v>
      </c>
      <c r="P907" s="6"/>
      <c r="Q907" s="339"/>
      <c r="U907" s="21"/>
      <c r="V907" s="260">
        <v>90</v>
      </c>
    </row>
    <row r="908" spans="2:22" s="7" customFormat="1" ht="17.25" customHeight="1">
      <c r="B908" s="12" t="s">
        <v>300</v>
      </c>
      <c r="C908" s="6" t="s">
        <v>2487</v>
      </c>
      <c r="D908" s="14" t="s">
        <v>2357</v>
      </c>
      <c r="E908" s="22" t="s">
        <v>2488</v>
      </c>
      <c r="F908" s="37"/>
      <c r="G908" s="37" t="s">
        <v>120</v>
      </c>
      <c r="H908" s="108">
        <v>6</v>
      </c>
      <c r="I908" s="109">
        <v>1</v>
      </c>
      <c r="J908" s="8">
        <f>H908*I908</f>
        <v>6</v>
      </c>
      <c r="K908" s="39">
        <v>1.1000000000000001</v>
      </c>
      <c r="L908" s="139">
        <v>44418</v>
      </c>
      <c r="M908" s="33"/>
      <c r="N908" s="33">
        <v>44418</v>
      </c>
      <c r="O908" s="32">
        <v>3397</v>
      </c>
      <c r="P908" s="793">
        <f>S908/V908/(VLOOKUP(B908,$C$2:$F$6,3,FALSE))</f>
        <v>0.93650793650793662</v>
      </c>
      <c r="Q908" s="725">
        <v>0.94</v>
      </c>
      <c r="S908" s="7">
        <v>59</v>
      </c>
      <c r="T908" s="7">
        <f>S908*J908</f>
        <v>354</v>
      </c>
      <c r="U908" s="21"/>
      <c r="V908" s="260">
        <v>90</v>
      </c>
    </row>
    <row r="909" spans="2:22" s="7" customFormat="1" ht="17.25" customHeight="1">
      <c r="B909" s="12" t="s">
        <v>300</v>
      </c>
      <c r="C909" s="6" t="s">
        <v>2487</v>
      </c>
      <c r="D909" s="14" t="s">
        <v>2357</v>
      </c>
      <c r="E909" s="22" t="s">
        <v>2489</v>
      </c>
      <c r="F909" s="37"/>
      <c r="G909" s="37" t="s">
        <v>58</v>
      </c>
      <c r="H909" s="108">
        <v>15</v>
      </c>
      <c r="I909" s="109">
        <v>1</v>
      </c>
      <c r="J909" s="8">
        <f>H909*I909</f>
        <v>15</v>
      </c>
      <c r="K909" s="39">
        <v>1.1000000000000001</v>
      </c>
      <c r="L909" s="139">
        <v>44418</v>
      </c>
      <c r="M909" s="33"/>
      <c r="N909" s="33">
        <v>44418</v>
      </c>
      <c r="O909" s="32">
        <v>3397</v>
      </c>
      <c r="P909" s="793">
        <f>S909/V909/(VLOOKUP(B909,$C$2:$F$6,3,FALSE))</f>
        <v>0.73015873015873012</v>
      </c>
      <c r="Q909" s="725">
        <v>0.73</v>
      </c>
      <c r="S909" s="7">
        <v>46</v>
      </c>
      <c r="T909" s="7">
        <f>S909*J909</f>
        <v>690</v>
      </c>
      <c r="U909" s="21"/>
      <c r="V909" s="260">
        <v>90</v>
      </c>
    </row>
    <row r="910" spans="2:22" s="7" customFormat="1" ht="15">
      <c r="B910" s="12"/>
      <c r="C910" s="6" t="s">
        <v>2487</v>
      </c>
      <c r="D910" s="14" t="s">
        <v>2357</v>
      </c>
      <c r="E910" s="22"/>
      <c r="F910" s="102"/>
      <c r="G910" s="22" t="s">
        <v>14</v>
      </c>
      <c r="H910" s="8"/>
      <c r="I910" s="35"/>
      <c r="J910" s="38">
        <v>1</v>
      </c>
      <c r="K910" s="39">
        <v>15</v>
      </c>
      <c r="L910" s="139">
        <v>44418</v>
      </c>
      <c r="M910" s="33"/>
      <c r="N910" s="33">
        <v>44418</v>
      </c>
      <c r="O910" s="32">
        <v>3397</v>
      </c>
      <c r="P910" s="6" t="s">
        <v>3</v>
      </c>
      <c r="Q910" s="322">
        <v>15</v>
      </c>
      <c r="S910" s="7">
        <v>900</v>
      </c>
      <c r="T910" s="7">
        <f>S910*J910</f>
        <v>900</v>
      </c>
      <c r="U910" s="21"/>
      <c r="V910" s="260">
        <v>90</v>
      </c>
    </row>
    <row r="911" spans="2:22" s="191" customFormat="1" ht="15">
      <c r="B911" s="190"/>
      <c r="C911" s="796" t="s">
        <v>2487</v>
      </c>
      <c r="D911" s="797" t="s">
        <v>2357</v>
      </c>
      <c r="E911" s="798"/>
      <c r="F911" s="799"/>
      <c r="G911" s="799" t="s">
        <v>250</v>
      </c>
      <c r="H911" s="800" t="s">
        <v>251</v>
      </c>
      <c r="I911" s="801"/>
      <c r="J911" s="802"/>
      <c r="K911" s="803">
        <v>0</v>
      </c>
      <c r="L911" s="804">
        <v>44418</v>
      </c>
      <c r="M911" s="805"/>
      <c r="N911" s="805">
        <v>44418</v>
      </c>
      <c r="O911" s="806">
        <v>3397</v>
      </c>
      <c r="P911" s="796"/>
      <c r="Q911" s="807">
        <v>0</v>
      </c>
      <c r="S911" s="197">
        <v>0</v>
      </c>
      <c r="T911" s="198">
        <v>0</v>
      </c>
      <c r="U911" s="808"/>
      <c r="V911" s="260">
        <v>90</v>
      </c>
    </row>
    <row r="912" spans="2:22" s="7" customFormat="1" ht="18" customHeight="1">
      <c r="B912" s="12"/>
      <c r="C912" s="6" t="s">
        <v>2490</v>
      </c>
      <c r="D912" s="14" t="s">
        <v>2491</v>
      </c>
      <c r="E912" s="19" t="s">
        <v>2492</v>
      </c>
      <c r="F912" s="37"/>
      <c r="G912" s="37"/>
      <c r="H912" s="108"/>
      <c r="I912" s="108"/>
      <c r="J912" s="108"/>
      <c r="K912" s="29" t="s">
        <v>5</v>
      </c>
      <c r="L912" s="139"/>
      <c r="M912" s="33"/>
      <c r="N912" s="33">
        <v>44426</v>
      </c>
      <c r="O912" s="32">
        <v>3422</v>
      </c>
      <c r="P912" s="6"/>
      <c r="Q912" s="339"/>
      <c r="U912" s="21"/>
      <c r="V912" s="260">
        <v>90</v>
      </c>
    </row>
    <row r="913" spans="1:22" s="7" customFormat="1" ht="18" customHeight="1">
      <c r="B913" s="12" t="s">
        <v>302</v>
      </c>
      <c r="C913" s="6" t="s">
        <v>2490</v>
      </c>
      <c r="D913" s="14" t="s">
        <v>2491</v>
      </c>
      <c r="E913" s="22" t="s">
        <v>2493</v>
      </c>
      <c r="F913" s="107"/>
      <c r="G913" s="22" t="s">
        <v>2494</v>
      </c>
      <c r="H913" s="108">
        <v>14</v>
      </c>
      <c r="I913" s="109">
        <v>1</v>
      </c>
      <c r="J913" s="8">
        <f>H913*I913</f>
        <v>14</v>
      </c>
      <c r="K913" s="39">
        <v>10.84</v>
      </c>
      <c r="L913" s="39">
        <f>K913*J913</f>
        <v>151.76</v>
      </c>
      <c r="M913" s="91"/>
      <c r="N913" s="33">
        <v>44426</v>
      </c>
      <c r="O913" s="32">
        <v>3422</v>
      </c>
      <c r="P913" s="793">
        <f>S913/V913/(VLOOKUP(B913,$C$2:$F$6,3,FALSE))</f>
        <v>9.8484848484848477</v>
      </c>
      <c r="Q913" s="322">
        <v>9.85</v>
      </c>
      <c r="S913" s="7">
        <v>780</v>
      </c>
      <c r="T913" s="7">
        <f>S913*J913</f>
        <v>10920</v>
      </c>
      <c r="U913" s="21"/>
      <c r="V913" s="260">
        <v>90</v>
      </c>
    </row>
    <row r="914" spans="1:22" s="7" customFormat="1" ht="15">
      <c r="B914" s="12"/>
      <c r="C914" s="6" t="s">
        <v>2490</v>
      </c>
      <c r="D914" s="14" t="s">
        <v>2491</v>
      </c>
      <c r="E914" s="22"/>
      <c r="F914" s="102"/>
      <c r="G914" s="22" t="s">
        <v>57</v>
      </c>
      <c r="H914" s="8"/>
      <c r="I914" s="35"/>
      <c r="J914" s="38">
        <v>1</v>
      </c>
      <c r="K914" s="39">
        <v>12</v>
      </c>
      <c r="L914" s="39">
        <f>K914*J914</f>
        <v>12</v>
      </c>
      <c r="M914" s="91"/>
      <c r="N914" s="33">
        <v>44426</v>
      </c>
      <c r="O914" s="32">
        <v>3422</v>
      </c>
      <c r="P914" s="6" t="s">
        <v>3</v>
      </c>
      <c r="Q914" s="322">
        <v>12</v>
      </c>
      <c r="S914" s="14">
        <v>1000</v>
      </c>
      <c r="T914" s="14">
        <f>S914*J914</f>
        <v>1000</v>
      </c>
      <c r="U914" s="21"/>
      <c r="V914" s="260">
        <v>90</v>
      </c>
    </row>
    <row r="915" spans="1:22" s="7" customFormat="1" ht="15">
      <c r="B915" s="12"/>
      <c r="C915" s="6" t="s">
        <v>2490</v>
      </c>
      <c r="D915" s="14" t="s">
        <v>2491</v>
      </c>
      <c r="E915" s="22"/>
      <c r="F915" s="102"/>
      <c r="G915" s="22" t="s">
        <v>14</v>
      </c>
      <c r="H915" s="8"/>
      <c r="I915" s="35"/>
      <c r="J915" s="38">
        <v>1</v>
      </c>
      <c r="K915" s="39">
        <v>20</v>
      </c>
      <c r="L915" s="39">
        <f>K915*J915</f>
        <v>20</v>
      </c>
      <c r="M915" s="91"/>
      <c r="N915" s="33">
        <v>44426</v>
      </c>
      <c r="O915" s="32">
        <v>3422</v>
      </c>
      <c r="P915" s="6" t="s">
        <v>3</v>
      </c>
      <c r="Q915" s="322">
        <v>20</v>
      </c>
      <c r="S915" s="14">
        <v>1000</v>
      </c>
      <c r="T915" s="14">
        <f>S915*J915</f>
        <v>1000</v>
      </c>
      <c r="U915" s="21"/>
      <c r="V915" s="260">
        <v>90</v>
      </c>
    </row>
    <row r="916" spans="1:22" s="191" customFormat="1" ht="15">
      <c r="A916" s="7"/>
      <c r="B916" s="12"/>
      <c r="C916" s="179" t="s">
        <v>2466</v>
      </c>
      <c r="D916" s="180" t="s">
        <v>2378</v>
      </c>
      <c r="E916" s="217"/>
      <c r="F916" s="182"/>
      <c r="G916" s="182" t="s">
        <v>250</v>
      </c>
      <c r="H916" s="184" t="s">
        <v>252</v>
      </c>
      <c r="I916" s="185"/>
      <c r="J916" s="183"/>
      <c r="K916" s="333" t="s">
        <v>2495</v>
      </c>
      <c r="L916" s="188"/>
      <c r="M916" s="187"/>
      <c r="N916" s="187">
        <v>44426</v>
      </c>
      <c r="O916" s="186">
        <v>3422</v>
      </c>
      <c r="P916" s="179"/>
      <c r="Q916" s="334" t="s">
        <v>2495</v>
      </c>
      <c r="S916" s="809"/>
      <c r="T916" s="809" t="s">
        <v>2496</v>
      </c>
      <c r="U916" s="335"/>
      <c r="V916" s="260">
        <v>90</v>
      </c>
    </row>
    <row r="917" spans="1:22" s="7" customFormat="1" ht="18" customHeight="1">
      <c r="B917" s="12"/>
      <c r="C917" s="6" t="s">
        <v>2497</v>
      </c>
      <c r="D917" s="14" t="s">
        <v>2409</v>
      </c>
      <c r="E917" s="19" t="s">
        <v>2498</v>
      </c>
      <c r="F917" s="37"/>
      <c r="G917" s="37"/>
      <c r="H917" s="108"/>
      <c r="I917" s="108"/>
      <c r="J917" s="108"/>
      <c r="K917" s="29" t="s">
        <v>5</v>
      </c>
      <c r="L917" s="139"/>
      <c r="M917" s="33"/>
      <c r="N917" s="33">
        <v>44426</v>
      </c>
      <c r="O917" s="32">
        <v>3419</v>
      </c>
      <c r="P917" s="794"/>
      <c r="Q917" s="339"/>
      <c r="S917" s="14"/>
      <c r="T917" s="14"/>
      <c r="U917" s="21"/>
      <c r="V917" s="260">
        <v>90</v>
      </c>
    </row>
    <row r="918" spans="1:22" s="7" customFormat="1" ht="18" customHeight="1">
      <c r="B918" s="12" t="s">
        <v>300</v>
      </c>
      <c r="C918" s="6" t="s">
        <v>2497</v>
      </c>
      <c r="D918" s="14" t="s">
        <v>2409</v>
      </c>
      <c r="E918" s="22">
        <v>4143</v>
      </c>
      <c r="F918" s="112" t="s">
        <v>2499</v>
      </c>
      <c r="G918" s="22" t="s">
        <v>2500</v>
      </c>
      <c r="H918" s="108">
        <v>20</v>
      </c>
      <c r="I918" s="109">
        <v>1</v>
      </c>
      <c r="J918" s="8">
        <v>20</v>
      </c>
      <c r="K918" s="39">
        <v>1.58</v>
      </c>
      <c r="L918" s="39">
        <f>K918*J918</f>
        <v>31.6</v>
      </c>
      <c r="M918" s="91"/>
      <c r="N918" s="33">
        <v>44426</v>
      </c>
      <c r="O918" s="32">
        <v>3419</v>
      </c>
      <c r="P918" s="391">
        <f>ROUNDUP(S918/V918/VLOOKUP(B918,$C$2:$F$6,3,FALSE),2)</f>
        <v>1.35</v>
      </c>
      <c r="Q918" s="322">
        <v>1.35</v>
      </c>
      <c r="S918" s="14">
        <v>85</v>
      </c>
      <c r="T918" s="14">
        <f>S918*J918</f>
        <v>1700</v>
      </c>
      <c r="U918" s="21"/>
      <c r="V918" s="260">
        <v>90</v>
      </c>
    </row>
    <row r="919" spans="1:22" s="7" customFormat="1" ht="15">
      <c r="B919" s="12" t="s">
        <v>300</v>
      </c>
      <c r="C919" s="6" t="s">
        <v>2497</v>
      </c>
      <c r="D919" s="14" t="s">
        <v>2409</v>
      </c>
      <c r="E919" s="22">
        <v>4143</v>
      </c>
      <c r="F919" s="810" t="s">
        <v>2501</v>
      </c>
      <c r="G919" s="22" t="s">
        <v>2500</v>
      </c>
      <c r="H919" s="126">
        <v>20</v>
      </c>
      <c r="I919" s="811">
        <v>1</v>
      </c>
      <c r="J919" s="8">
        <v>20</v>
      </c>
      <c r="K919" s="39">
        <v>1.26</v>
      </c>
      <c r="L919" s="39">
        <f>K919*J919</f>
        <v>25.2</v>
      </c>
      <c r="M919" s="91"/>
      <c r="N919" s="33">
        <v>44426</v>
      </c>
      <c r="O919" s="32">
        <v>3419</v>
      </c>
      <c r="P919" s="391">
        <f>ROUNDUP(S919/V919/VLOOKUP(B919,$C$2:$F$6,3,FALSE),2)</f>
        <v>1.08</v>
      </c>
      <c r="Q919" s="322">
        <v>1.08</v>
      </c>
      <c r="S919" s="14">
        <v>68</v>
      </c>
      <c r="T919" s="14">
        <f>S919*J919</f>
        <v>1360</v>
      </c>
      <c r="U919" s="21"/>
      <c r="V919" s="260">
        <v>90</v>
      </c>
    </row>
    <row r="920" spans="1:22" s="7" customFormat="1" ht="15">
      <c r="B920" s="12" t="s">
        <v>300</v>
      </c>
      <c r="C920" s="6" t="s">
        <v>2497</v>
      </c>
      <c r="D920" s="14" t="s">
        <v>2409</v>
      </c>
      <c r="E920" s="22">
        <v>4143</v>
      </c>
      <c r="F920" s="810" t="s">
        <v>2502</v>
      </c>
      <c r="G920" s="22" t="s">
        <v>2500</v>
      </c>
      <c r="H920" s="126">
        <v>20</v>
      </c>
      <c r="I920" s="811">
        <v>1</v>
      </c>
      <c r="J920" s="8">
        <v>20</v>
      </c>
      <c r="K920" s="39">
        <v>1.41</v>
      </c>
      <c r="L920" s="39">
        <f>K920*J920</f>
        <v>28.2</v>
      </c>
      <c r="M920" s="91"/>
      <c r="N920" s="33">
        <v>44426</v>
      </c>
      <c r="O920" s="32">
        <v>3419</v>
      </c>
      <c r="P920" s="391">
        <f>ROUNDUP(S920/V920/VLOOKUP(B920,$C$2:$F$6,3,FALSE),2)</f>
        <v>1.21</v>
      </c>
      <c r="Q920" s="322">
        <v>1.21</v>
      </c>
      <c r="S920" s="14">
        <v>76</v>
      </c>
      <c r="T920" s="14">
        <f>S920*J920</f>
        <v>1520</v>
      </c>
      <c r="U920" s="21"/>
      <c r="V920" s="260">
        <v>90</v>
      </c>
    </row>
    <row r="921" spans="1:22" customFormat="1" ht="18" customHeight="1">
      <c r="A921" s="7"/>
      <c r="B921" s="26" t="s">
        <v>300</v>
      </c>
      <c r="C921" s="6" t="s">
        <v>2497</v>
      </c>
      <c r="D921" s="14" t="s">
        <v>2409</v>
      </c>
      <c r="E921" s="22">
        <v>4143</v>
      </c>
      <c r="F921" s="812" t="s">
        <v>2503</v>
      </c>
      <c r="G921" s="22" t="s">
        <v>2500</v>
      </c>
      <c r="H921" s="813">
        <v>20</v>
      </c>
      <c r="I921" s="814">
        <v>1</v>
      </c>
      <c r="J921" s="813">
        <v>20</v>
      </c>
      <c r="K921" s="39">
        <v>2.4899999999999998</v>
      </c>
      <c r="L921" s="39">
        <f>K921*J921</f>
        <v>49.8</v>
      </c>
      <c r="M921" s="91"/>
      <c r="N921" s="33">
        <v>44426</v>
      </c>
      <c r="O921" s="32">
        <v>3419</v>
      </c>
      <c r="P921" s="391">
        <f>ROUNDUP(S921/V921/VLOOKUP(B921,$C$2:$F$6,3,FALSE),2)</f>
        <v>2.13</v>
      </c>
      <c r="Q921" s="322">
        <v>2.13</v>
      </c>
      <c r="R921" s="1"/>
      <c r="S921" s="14">
        <v>134</v>
      </c>
      <c r="T921" s="14">
        <f>S921*J921</f>
        <v>2680</v>
      </c>
      <c r="U921" s="21"/>
      <c r="V921" s="260">
        <v>90</v>
      </c>
    </row>
    <row r="922" spans="1:22" s="7" customFormat="1" ht="15">
      <c r="B922" s="12"/>
      <c r="C922" s="6" t="s">
        <v>2497</v>
      </c>
      <c r="D922" s="14" t="s">
        <v>2409</v>
      </c>
      <c r="E922" s="22"/>
      <c r="F922" s="102"/>
      <c r="G922" s="22" t="s">
        <v>14</v>
      </c>
      <c r="H922" s="8"/>
      <c r="I922" s="35"/>
      <c r="J922" s="38">
        <v>1</v>
      </c>
      <c r="K922" s="39">
        <v>12</v>
      </c>
      <c r="L922" s="39">
        <f>K922*J922</f>
        <v>12</v>
      </c>
      <c r="M922" s="91"/>
      <c r="N922" s="33">
        <v>44426</v>
      </c>
      <c r="O922" s="32">
        <v>3419</v>
      </c>
      <c r="P922" s="6"/>
      <c r="Q922" s="322">
        <v>12</v>
      </c>
      <c r="S922" s="14">
        <v>0</v>
      </c>
      <c r="T922" s="14">
        <f>S922*J922</f>
        <v>0</v>
      </c>
      <c r="U922" s="21"/>
      <c r="V922" s="260">
        <v>90</v>
      </c>
    </row>
    <row r="923" spans="1:22" s="191" customFormat="1" ht="15">
      <c r="B923" s="190"/>
      <c r="C923" s="179" t="s">
        <v>2497</v>
      </c>
      <c r="D923" s="180" t="s">
        <v>2409</v>
      </c>
      <c r="E923" s="798"/>
      <c r="F923" s="799"/>
      <c r="G923" s="799" t="s">
        <v>250</v>
      </c>
      <c r="H923" s="800" t="s">
        <v>251</v>
      </c>
      <c r="I923" s="801"/>
      <c r="J923" s="802"/>
      <c r="K923" s="803">
        <v>0</v>
      </c>
      <c r="L923" s="804"/>
      <c r="M923" s="805"/>
      <c r="N923" s="187">
        <v>44426</v>
      </c>
      <c r="O923" s="186">
        <v>3419</v>
      </c>
      <c r="P923" s="796"/>
      <c r="Q923" s="807">
        <v>0</v>
      </c>
      <c r="S923" s="809">
        <v>0</v>
      </c>
      <c r="T923" s="815">
        <v>0</v>
      </c>
      <c r="U923" s="808"/>
      <c r="V923" s="260">
        <v>90</v>
      </c>
    </row>
    <row r="924" spans="1:22" s="7" customFormat="1" ht="18" customHeight="1">
      <c r="B924" s="12"/>
      <c r="C924" s="6" t="s">
        <v>2504</v>
      </c>
      <c r="D924" s="14" t="s">
        <v>2505</v>
      </c>
      <c r="E924" s="375" t="s">
        <v>2506</v>
      </c>
      <c r="F924" s="15"/>
      <c r="G924" s="165" t="s">
        <v>2507</v>
      </c>
      <c r="H924" s="8"/>
      <c r="I924" s="35"/>
      <c r="J924" s="108"/>
      <c r="K924" s="29" t="s">
        <v>5</v>
      </c>
      <c r="L924" s="33"/>
      <c r="M924" s="33"/>
      <c r="N924" s="33">
        <v>44431</v>
      </c>
      <c r="O924" s="32">
        <v>3445</v>
      </c>
      <c r="P924" s="6"/>
      <c r="Q924" s="322"/>
      <c r="U924" s="39"/>
      <c r="V924" s="260">
        <v>90</v>
      </c>
    </row>
    <row r="925" spans="1:22" s="7" customFormat="1" ht="18" customHeight="1">
      <c r="B925" s="12" t="s">
        <v>300</v>
      </c>
      <c r="C925" s="6" t="s">
        <v>2504</v>
      </c>
      <c r="D925" s="14" t="s">
        <v>2505</v>
      </c>
      <c r="E925" s="19" t="s">
        <v>2508</v>
      </c>
      <c r="F925" s="37">
        <v>39</v>
      </c>
      <c r="G925" s="816" t="s">
        <v>2509</v>
      </c>
      <c r="H925" s="108">
        <v>50</v>
      </c>
      <c r="I925" s="109">
        <v>1</v>
      </c>
      <c r="J925" s="8">
        <f>H925*I925</f>
        <v>50</v>
      </c>
      <c r="K925" s="782">
        <v>1.7</v>
      </c>
      <c r="L925" s="39">
        <f>K925*J925</f>
        <v>85</v>
      </c>
      <c r="M925" s="91"/>
      <c r="N925" s="33">
        <v>44431</v>
      </c>
      <c r="O925" s="32">
        <v>3445</v>
      </c>
      <c r="P925" s="793"/>
      <c r="Q925" s="334">
        <v>1.27</v>
      </c>
      <c r="S925" s="322">
        <v>0.84</v>
      </c>
      <c r="T925" s="322">
        <f>S925*J925</f>
        <v>42</v>
      </c>
      <c r="U925" s="772"/>
      <c r="V925" s="260">
        <v>90</v>
      </c>
    </row>
    <row r="926" spans="1:22" s="7" customFormat="1" ht="18" customHeight="1">
      <c r="B926" s="12" t="s">
        <v>300</v>
      </c>
      <c r="C926" s="6" t="s">
        <v>2504</v>
      </c>
      <c r="D926" s="14" t="s">
        <v>2505</v>
      </c>
      <c r="E926" s="19" t="s">
        <v>2508</v>
      </c>
      <c r="F926" s="37">
        <v>39</v>
      </c>
      <c r="G926" s="816" t="s">
        <v>2509</v>
      </c>
      <c r="H926" s="108">
        <v>50</v>
      </c>
      <c r="I926" s="109">
        <v>43</v>
      </c>
      <c r="J926" s="8">
        <f>H926*I926</f>
        <v>2150</v>
      </c>
      <c r="K926" s="782">
        <v>1.7</v>
      </c>
      <c r="L926" s="39">
        <f>K926*J926</f>
        <v>3655</v>
      </c>
      <c r="M926" s="91"/>
      <c r="N926" s="33">
        <v>44441</v>
      </c>
      <c r="O926" s="32">
        <v>3465</v>
      </c>
      <c r="P926" s="793"/>
      <c r="Q926" s="334">
        <v>1.27</v>
      </c>
      <c r="S926" s="322">
        <v>0.84</v>
      </c>
      <c r="T926" s="817">
        <v>180600</v>
      </c>
      <c r="U926" s="772"/>
      <c r="V926" s="260">
        <v>90</v>
      </c>
    </row>
    <row r="927" spans="1:22" s="191" customFormat="1" ht="15">
      <c r="A927" s="7"/>
      <c r="B927" s="190"/>
      <c r="C927" s="179" t="s">
        <v>2504</v>
      </c>
      <c r="D927" s="180" t="s">
        <v>2505</v>
      </c>
      <c r="E927" s="217"/>
      <c r="F927" s="182"/>
      <c r="G927" s="182" t="s">
        <v>250</v>
      </c>
      <c r="H927" s="184" t="s">
        <v>251</v>
      </c>
      <c r="I927" s="185"/>
      <c r="J927" s="183"/>
      <c r="K927" s="192">
        <v>0</v>
      </c>
      <c r="L927" s="188"/>
      <c r="M927" s="187"/>
      <c r="N927" s="187">
        <v>44441</v>
      </c>
      <c r="O927" s="186">
        <v>3465</v>
      </c>
      <c r="P927" s="179"/>
      <c r="Q927" s="725">
        <v>0</v>
      </c>
      <c r="S927" s="197">
        <v>0</v>
      </c>
      <c r="T927" s="198">
        <v>0</v>
      </c>
      <c r="U927" s="335"/>
      <c r="V927" s="260">
        <v>90</v>
      </c>
    </row>
    <row r="928" spans="1:22" s="7" customFormat="1" ht="18" customHeight="1">
      <c r="B928" s="12"/>
      <c r="C928" s="6" t="s">
        <v>2510</v>
      </c>
      <c r="D928" s="14" t="s">
        <v>2357</v>
      </c>
      <c r="E928" s="19" t="s">
        <v>2117</v>
      </c>
      <c r="F928" s="37"/>
      <c r="G928" s="37"/>
      <c r="H928" s="108"/>
      <c r="I928" s="108"/>
      <c r="J928" s="108"/>
      <c r="K928" s="29" t="s">
        <v>5</v>
      </c>
      <c r="L928" s="139"/>
      <c r="M928" s="33"/>
      <c r="N928" s="33">
        <v>44431</v>
      </c>
      <c r="O928" s="32">
        <v>3436</v>
      </c>
      <c r="P928" s="6"/>
      <c r="Q928" s="339"/>
      <c r="U928" s="21"/>
      <c r="V928" s="260">
        <v>90</v>
      </c>
    </row>
    <row r="929" spans="2:22" s="7" customFormat="1" ht="17.25" customHeight="1">
      <c r="B929" s="12" t="s">
        <v>300</v>
      </c>
      <c r="C929" s="6" t="s">
        <v>2510</v>
      </c>
      <c r="D929" s="14" t="s">
        <v>2357</v>
      </c>
      <c r="E929" s="22" t="s">
        <v>2359</v>
      </c>
      <c r="F929" s="37"/>
      <c r="G929" s="37" t="s">
        <v>120</v>
      </c>
      <c r="H929" s="108">
        <v>13.7</v>
      </c>
      <c r="I929" s="109">
        <v>2</v>
      </c>
      <c r="J929" s="131">
        <f>H929*I929</f>
        <v>27.4</v>
      </c>
      <c r="K929" s="39">
        <v>2.39</v>
      </c>
      <c r="L929" s="39">
        <f>K929*J929</f>
        <v>65.486000000000004</v>
      </c>
      <c r="M929" s="91"/>
      <c r="N929" s="33">
        <v>44431</v>
      </c>
      <c r="O929" s="32">
        <v>3436</v>
      </c>
      <c r="P929" s="391">
        <f>ROUNDUP(S929/V929/VLOOKUP(B929,$C$2:$F$6,3,FALSE),2)</f>
        <v>1.89</v>
      </c>
      <c r="Q929" s="725">
        <v>1.89</v>
      </c>
      <c r="S929" s="7">
        <v>119</v>
      </c>
      <c r="T929" s="7">
        <f>S929*J929</f>
        <v>3260.6</v>
      </c>
      <c r="U929" s="21"/>
      <c r="V929" s="260">
        <v>90</v>
      </c>
    </row>
    <row r="930" spans="2:22" s="7" customFormat="1" ht="15">
      <c r="B930" s="12"/>
      <c r="C930" s="6" t="s">
        <v>2510</v>
      </c>
      <c r="D930" s="14" t="s">
        <v>2357</v>
      </c>
      <c r="E930" s="22"/>
      <c r="F930" s="102"/>
      <c r="G930" s="22" t="s">
        <v>14</v>
      </c>
      <c r="H930" s="8"/>
      <c r="I930" s="35"/>
      <c r="J930" s="38">
        <v>1</v>
      </c>
      <c r="K930" s="39">
        <v>15</v>
      </c>
      <c r="L930" s="39">
        <f>K930*J930</f>
        <v>15</v>
      </c>
      <c r="M930" s="91"/>
      <c r="N930" s="33">
        <v>44431</v>
      </c>
      <c r="O930" s="32">
        <v>3436</v>
      </c>
      <c r="P930" s="6" t="s">
        <v>3</v>
      </c>
      <c r="Q930" s="322">
        <v>15</v>
      </c>
      <c r="S930" s="7">
        <v>0</v>
      </c>
      <c r="T930" s="7">
        <f>S930*J930</f>
        <v>0</v>
      </c>
      <c r="U930" s="21"/>
      <c r="V930" s="260">
        <v>90</v>
      </c>
    </row>
    <row r="931" spans="2:22" s="191" customFormat="1" ht="15">
      <c r="B931" s="190"/>
      <c r="C931" s="179" t="s">
        <v>2510</v>
      </c>
      <c r="D931" s="797" t="s">
        <v>2357</v>
      </c>
      <c r="E931" s="798"/>
      <c r="F931" s="799"/>
      <c r="G931" s="799" t="s">
        <v>250</v>
      </c>
      <c r="H931" s="800" t="s">
        <v>251</v>
      </c>
      <c r="I931" s="801"/>
      <c r="J931" s="802"/>
      <c r="K931" s="192">
        <v>0</v>
      </c>
      <c r="L931" s="188"/>
      <c r="M931" s="187"/>
      <c r="N931" s="187">
        <v>44431</v>
      </c>
      <c r="O931" s="186">
        <v>3436</v>
      </c>
      <c r="P931" s="796"/>
      <c r="Q931" s="807">
        <v>0</v>
      </c>
      <c r="S931" s="197">
        <v>0</v>
      </c>
      <c r="T931" s="198">
        <v>0</v>
      </c>
      <c r="U931" s="808"/>
      <c r="V931" s="260">
        <v>90</v>
      </c>
    </row>
    <row r="932" spans="2:22" s="7" customFormat="1" ht="18" customHeight="1">
      <c r="B932" s="12"/>
      <c r="C932" s="6" t="s">
        <v>2511</v>
      </c>
      <c r="D932" s="14" t="s">
        <v>1963</v>
      </c>
      <c r="E932" s="19" t="s">
        <v>238</v>
      </c>
      <c r="F932" s="107"/>
      <c r="G932" s="22"/>
      <c r="H932" s="108"/>
      <c r="I932" s="109"/>
      <c r="J932" s="108"/>
      <c r="K932" s="29" t="s">
        <v>5</v>
      </c>
      <c r="L932" s="139"/>
      <c r="M932" s="33"/>
      <c r="N932" s="33">
        <v>44434</v>
      </c>
      <c r="O932" s="32">
        <v>3447</v>
      </c>
      <c r="P932" s="14"/>
      <c r="Q932" s="322"/>
      <c r="U932" s="14"/>
      <c r="V932" s="260">
        <v>90</v>
      </c>
    </row>
    <row r="933" spans="2:22" s="7" customFormat="1" ht="18" customHeight="1">
      <c r="B933" s="12" t="s">
        <v>302</v>
      </c>
      <c r="C933" s="6" t="s">
        <v>2511</v>
      </c>
      <c r="D933" s="14" t="s">
        <v>1963</v>
      </c>
      <c r="E933" s="22" t="s">
        <v>239</v>
      </c>
      <c r="F933" s="107">
        <v>150</v>
      </c>
      <c r="G933" s="22" t="s">
        <v>2293</v>
      </c>
      <c r="H933" s="108">
        <v>20</v>
      </c>
      <c r="I933" s="109">
        <v>1</v>
      </c>
      <c r="J933" s="8">
        <f>H933*I933</f>
        <v>20</v>
      </c>
      <c r="K933" s="39">
        <v>6.53</v>
      </c>
      <c r="L933" s="39">
        <f>K933*J933</f>
        <v>130.6</v>
      </c>
      <c r="M933" s="91"/>
      <c r="N933" s="33">
        <v>44434</v>
      </c>
      <c r="O933" s="32">
        <v>3447</v>
      </c>
      <c r="P933" s="391">
        <f>ROUNDUP(S933/V933/VLOOKUP(B933,$C$2:$F$6,3,FALSE),2)</f>
        <v>5.9399999999999995</v>
      </c>
      <c r="Q933" s="322">
        <v>5.94</v>
      </c>
      <c r="S933" s="7">
        <v>470</v>
      </c>
      <c r="T933" s="7">
        <f>S933*J933</f>
        <v>9400</v>
      </c>
      <c r="U933" s="21"/>
      <c r="V933" s="260">
        <v>90</v>
      </c>
    </row>
    <row r="934" spans="2:22" s="7" customFormat="1" ht="15">
      <c r="B934" s="12"/>
      <c r="C934" s="6" t="s">
        <v>2511</v>
      </c>
      <c r="D934" s="14" t="s">
        <v>1963</v>
      </c>
      <c r="E934" s="49"/>
      <c r="F934" s="102"/>
      <c r="G934" s="22" t="s">
        <v>57</v>
      </c>
      <c r="H934" s="38"/>
      <c r="I934" s="35"/>
      <c r="J934" s="38">
        <v>1</v>
      </c>
      <c r="K934" s="39">
        <v>15</v>
      </c>
      <c r="L934" s="39">
        <f>K934*J934</f>
        <v>15</v>
      </c>
      <c r="M934" s="91"/>
      <c r="N934" s="33">
        <v>44434</v>
      </c>
      <c r="O934" s="32">
        <v>3447</v>
      </c>
      <c r="P934" s="6"/>
      <c r="Q934" s="322">
        <v>15</v>
      </c>
      <c r="S934" s="7">
        <v>1000</v>
      </c>
      <c r="T934" s="7">
        <f>S934*J934</f>
        <v>1000</v>
      </c>
      <c r="U934" s="21"/>
      <c r="V934" s="260">
        <v>90</v>
      </c>
    </row>
    <row r="935" spans="2:22" s="7" customFormat="1" ht="15">
      <c r="B935" s="12"/>
      <c r="C935" s="6" t="s">
        <v>2511</v>
      </c>
      <c r="D935" s="14" t="s">
        <v>1963</v>
      </c>
      <c r="E935" s="49"/>
      <c r="F935" s="102"/>
      <c r="G935" s="22" t="s">
        <v>14</v>
      </c>
      <c r="H935" s="38"/>
      <c r="I935" s="35"/>
      <c r="J935" s="38">
        <v>1</v>
      </c>
      <c r="K935" s="39">
        <v>20</v>
      </c>
      <c r="L935" s="39">
        <f>K935*J935</f>
        <v>20</v>
      </c>
      <c r="M935" s="91"/>
      <c r="N935" s="33">
        <v>44434</v>
      </c>
      <c r="O935" s="32">
        <v>3447</v>
      </c>
      <c r="P935" s="722"/>
      <c r="Q935" s="322">
        <v>20</v>
      </c>
      <c r="S935" s="7">
        <v>1000</v>
      </c>
      <c r="T935" s="7">
        <f>S935*J935</f>
        <v>1000</v>
      </c>
      <c r="U935" s="21"/>
      <c r="V935" s="260">
        <v>90</v>
      </c>
    </row>
    <row r="936" spans="2:22" s="191" customFormat="1" ht="15">
      <c r="B936" s="190"/>
      <c r="C936" s="179" t="s">
        <v>2511</v>
      </c>
      <c r="D936" s="180" t="s">
        <v>1963</v>
      </c>
      <c r="E936" s="181"/>
      <c r="F936" s="182"/>
      <c r="G936" s="182" t="s">
        <v>250</v>
      </c>
      <c r="H936" s="184" t="s">
        <v>251</v>
      </c>
      <c r="I936" s="185"/>
      <c r="J936" s="183"/>
      <c r="K936" s="192">
        <v>0</v>
      </c>
      <c r="L936" s="188"/>
      <c r="M936" s="187"/>
      <c r="N936" s="187">
        <v>44434</v>
      </c>
      <c r="O936" s="186">
        <v>3447</v>
      </c>
      <c r="P936" s="796"/>
      <c r="Q936" s="807">
        <v>0</v>
      </c>
      <c r="S936" s="197">
        <v>0</v>
      </c>
      <c r="T936" s="198">
        <v>0</v>
      </c>
      <c r="U936" s="808"/>
      <c r="V936" s="260">
        <v>90</v>
      </c>
    </row>
    <row r="937" spans="2:22" s="7" customFormat="1" ht="18" customHeight="1">
      <c r="B937" s="12"/>
      <c r="C937" s="6" t="s">
        <v>2512</v>
      </c>
      <c r="D937" s="14" t="s">
        <v>2357</v>
      </c>
      <c r="E937" s="19" t="s">
        <v>2117</v>
      </c>
      <c r="F937" s="37"/>
      <c r="G937" s="37"/>
      <c r="H937" s="108"/>
      <c r="I937" s="108"/>
      <c r="J937" s="108"/>
      <c r="K937" s="29" t="s">
        <v>5</v>
      </c>
      <c r="L937" s="139"/>
      <c r="M937" s="33"/>
      <c r="N937" s="33">
        <v>44435</v>
      </c>
      <c r="O937" s="32">
        <v>3450</v>
      </c>
      <c r="P937" s="6"/>
      <c r="Q937" s="339"/>
      <c r="U937" s="21"/>
      <c r="V937" s="260">
        <v>90</v>
      </c>
    </row>
    <row r="938" spans="2:22" s="7" customFormat="1" ht="17.25" customHeight="1">
      <c r="B938" s="12" t="s">
        <v>300</v>
      </c>
      <c r="C938" s="6" t="s">
        <v>2512</v>
      </c>
      <c r="D938" s="14" t="s">
        <v>2357</v>
      </c>
      <c r="E938" s="22" t="s">
        <v>2489</v>
      </c>
      <c r="F938" s="37"/>
      <c r="G938" s="37" t="s">
        <v>58</v>
      </c>
      <c r="H938" s="108">
        <v>15</v>
      </c>
      <c r="I938" s="109">
        <v>1</v>
      </c>
      <c r="J938" s="8">
        <f>H938*I938</f>
        <v>15</v>
      </c>
      <c r="K938" s="39">
        <v>1.1000000000000001</v>
      </c>
      <c r="L938" s="39">
        <f>K938*J938</f>
        <v>16.5</v>
      </c>
      <c r="M938" s="91"/>
      <c r="N938" s="33">
        <v>44435</v>
      </c>
      <c r="O938" s="32">
        <v>3450</v>
      </c>
      <c r="P938" s="793">
        <f>S938/V938/(VLOOKUP(B938,$C$2:$F$6,3,FALSE))</f>
        <v>0.73015873015873012</v>
      </c>
      <c r="Q938" s="725">
        <v>0.73</v>
      </c>
      <c r="S938" s="7">
        <v>46</v>
      </c>
      <c r="T938" s="7">
        <f>S938*J938</f>
        <v>690</v>
      </c>
      <c r="U938" s="21"/>
      <c r="V938" s="260">
        <v>90</v>
      </c>
    </row>
    <row r="939" spans="2:22" s="7" customFormat="1" ht="15">
      <c r="B939" s="12"/>
      <c r="C939" s="6" t="s">
        <v>2512</v>
      </c>
      <c r="D939" s="14" t="s">
        <v>2357</v>
      </c>
      <c r="E939" s="22"/>
      <c r="F939" s="102"/>
      <c r="G939" s="22" t="s">
        <v>14</v>
      </c>
      <c r="H939" s="8"/>
      <c r="I939" s="35"/>
      <c r="J939" s="38">
        <v>1</v>
      </c>
      <c r="K939" s="39">
        <v>15</v>
      </c>
      <c r="L939" s="39">
        <f>K939*J939</f>
        <v>15</v>
      </c>
      <c r="M939" s="91"/>
      <c r="N939" s="33">
        <v>44435</v>
      </c>
      <c r="O939" s="32">
        <v>3450</v>
      </c>
      <c r="P939" s="6" t="s">
        <v>3</v>
      </c>
      <c r="Q939" s="322">
        <v>15</v>
      </c>
      <c r="S939" s="7">
        <v>900</v>
      </c>
      <c r="T939" s="7">
        <f>S939*J939</f>
        <v>900</v>
      </c>
      <c r="U939" s="21"/>
      <c r="V939" s="260">
        <v>90</v>
      </c>
    </row>
    <row r="940" spans="2:22" s="191" customFormat="1" ht="15">
      <c r="B940" s="190"/>
      <c r="C940" s="179" t="s">
        <v>2512</v>
      </c>
      <c r="D940" s="797" t="s">
        <v>2357</v>
      </c>
      <c r="E940" s="798"/>
      <c r="F940" s="799"/>
      <c r="G940" s="799" t="s">
        <v>250</v>
      </c>
      <c r="H940" s="800" t="s">
        <v>251</v>
      </c>
      <c r="I940" s="801"/>
      <c r="J940" s="802"/>
      <c r="K940" s="803">
        <v>0</v>
      </c>
      <c r="L940" s="804"/>
      <c r="M940" s="805"/>
      <c r="N940" s="187">
        <v>44435</v>
      </c>
      <c r="O940" s="186">
        <v>3450</v>
      </c>
      <c r="P940" s="796"/>
      <c r="Q940" s="807">
        <v>0</v>
      </c>
      <c r="S940" s="197">
        <v>0</v>
      </c>
      <c r="T940" s="198">
        <v>0</v>
      </c>
      <c r="U940" s="808"/>
      <c r="V940" s="260">
        <v>90</v>
      </c>
    </row>
    <row r="941" spans="2:22" s="7" customFormat="1" ht="18" customHeight="1">
      <c r="B941" s="12"/>
      <c r="C941" s="6" t="s">
        <v>2513</v>
      </c>
      <c r="D941" s="14" t="s">
        <v>2384</v>
      </c>
      <c r="E941" s="19" t="s">
        <v>2270</v>
      </c>
      <c r="F941" s="37"/>
      <c r="G941" s="37"/>
      <c r="H941" s="108"/>
      <c r="I941" s="108"/>
      <c r="J941" s="108"/>
      <c r="K941" s="29" t="s">
        <v>5</v>
      </c>
      <c r="L941" s="139"/>
      <c r="M941" s="33"/>
      <c r="N941" s="33">
        <v>44445</v>
      </c>
      <c r="O941" s="32">
        <v>3448</v>
      </c>
      <c r="P941" s="6"/>
      <c r="Q941" s="339"/>
      <c r="U941" s="21"/>
      <c r="V941" s="260">
        <v>90</v>
      </c>
    </row>
    <row r="942" spans="2:22" s="7" customFormat="1" ht="17.25" customHeight="1">
      <c r="B942" s="12" t="s">
        <v>300</v>
      </c>
      <c r="C942" s="6" t="s">
        <v>2513</v>
      </c>
      <c r="D942" s="14" t="s">
        <v>2384</v>
      </c>
      <c r="E942" s="22">
        <v>5636</v>
      </c>
      <c r="F942" s="37" t="s">
        <v>230</v>
      </c>
      <c r="G942" s="22" t="s">
        <v>2514</v>
      </c>
      <c r="H942" s="108">
        <v>50</v>
      </c>
      <c r="I942" s="109">
        <v>3</v>
      </c>
      <c r="J942" s="8">
        <f>H942*I942</f>
        <v>150</v>
      </c>
      <c r="K942" s="39">
        <v>0.26</v>
      </c>
      <c r="L942" s="39">
        <f>K942*J942</f>
        <v>39</v>
      </c>
      <c r="M942" s="91"/>
      <c r="N942" s="33">
        <v>44445</v>
      </c>
      <c r="O942" s="32">
        <v>3448</v>
      </c>
      <c r="P942" s="391">
        <f>ROUNDUP(S942/V942/VLOOKUP(B942,$C$2:$F$6,3,FALSE),2)</f>
        <v>0.22</v>
      </c>
      <c r="Q942" s="322">
        <v>0.22</v>
      </c>
      <c r="S942" s="7">
        <v>13.8</v>
      </c>
      <c r="T942" s="7">
        <f>S942*J942</f>
        <v>2070</v>
      </c>
      <c r="U942" s="778"/>
      <c r="V942" s="260">
        <v>90</v>
      </c>
    </row>
    <row r="943" spans="2:22" s="7" customFormat="1" ht="16.899999999999999" customHeight="1">
      <c r="B943" s="12" t="s">
        <v>300</v>
      </c>
      <c r="C943" s="6" t="s">
        <v>2513</v>
      </c>
      <c r="D943" s="14" t="s">
        <v>2384</v>
      </c>
      <c r="E943" s="22">
        <v>5636</v>
      </c>
      <c r="F943" s="37" t="s">
        <v>230</v>
      </c>
      <c r="G943" s="22" t="s">
        <v>2515</v>
      </c>
      <c r="H943" s="813">
        <v>50</v>
      </c>
      <c r="I943" s="814">
        <v>4</v>
      </c>
      <c r="J943" s="8">
        <f>H943*I943</f>
        <v>200</v>
      </c>
      <c r="K943" s="39">
        <v>0.26</v>
      </c>
      <c r="L943" s="39">
        <f>K943*J943</f>
        <v>52</v>
      </c>
      <c r="M943" s="91"/>
      <c r="N943" s="33">
        <v>44445</v>
      </c>
      <c r="O943" s="32">
        <v>3448</v>
      </c>
      <c r="P943" s="391">
        <f>ROUNDUP(S943/V943/VLOOKUP(B943,$C$2:$F$6,3,FALSE),2)</f>
        <v>0.22</v>
      </c>
      <c r="Q943" s="322">
        <v>0.22</v>
      </c>
      <c r="S943" s="7">
        <v>13.8</v>
      </c>
      <c r="T943" s="7">
        <f>S943*J943</f>
        <v>2760</v>
      </c>
      <c r="U943" s="778"/>
      <c r="V943" s="260">
        <v>90</v>
      </c>
    </row>
    <row r="944" spans="2:22" s="7" customFormat="1" ht="15">
      <c r="B944" s="12"/>
      <c r="C944" s="6" t="s">
        <v>2513</v>
      </c>
      <c r="D944" s="14" t="s">
        <v>2384</v>
      </c>
      <c r="E944" s="22"/>
      <c r="F944" s="102"/>
      <c r="G944" s="22" t="s">
        <v>14</v>
      </c>
      <c r="H944" s="8"/>
      <c r="I944" s="35"/>
      <c r="J944" s="38">
        <v>1</v>
      </c>
      <c r="K944" s="39">
        <v>15</v>
      </c>
      <c r="L944" s="39">
        <f>K944*J944</f>
        <v>15</v>
      </c>
      <c r="M944" s="91"/>
      <c r="N944" s="33">
        <v>44445</v>
      </c>
      <c r="O944" s="32">
        <v>3448</v>
      </c>
      <c r="P944" s="6" t="s">
        <v>3</v>
      </c>
      <c r="Q944" s="322">
        <v>15</v>
      </c>
      <c r="S944" s="7">
        <v>0</v>
      </c>
      <c r="T944" s="7">
        <f>S944*J944</f>
        <v>0</v>
      </c>
      <c r="U944" s="21"/>
      <c r="V944" s="260">
        <v>90</v>
      </c>
    </row>
    <row r="945" spans="2:22" s="191" customFormat="1" ht="15">
      <c r="B945" s="190"/>
      <c r="C945" s="179" t="s">
        <v>2513</v>
      </c>
      <c r="D945" s="180" t="s">
        <v>2384</v>
      </c>
      <c r="E945" s="181"/>
      <c r="F945" s="622"/>
      <c r="G945" s="182" t="s">
        <v>250</v>
      </c>
      <c r="H945" s="184" t="s">
        <v>251</v>
      </c>
      <c r="I945" s="185"/>
      <c r="J945" s="183"/>
      <c r="K945" s="192">
        <v>0</v>
      </c>
      <c r="L945" s="188"/>
      <c r="M945" s="187"/>
      <c r="N945" s="187">
        <v>44445</v>
      </c>
      <c r="O945" s="186">
        <v>3448</v>
      </c>
      <c r="P945" s="179"/>
      <c r="Q945" s="725">
        <v>0</v>
      </c>
      <c r="S945" s="197">
        <v>0</v>
      </c>
      <c r="T945" s="198">
        <v>0</v>
      </c>
      <c r="U945" s="335"/>
      <c r="V945" s="260">
        <v>90</v>
      </c>
    </row>
    <row r="946" spans="2:22" customFormat="1" ht="18" customHeight="1">
      <c r="B946" s="26"/>
      <c r="C946" s="6" t="s">
        <v>2516</v>
      </c>
      <c r="D946" s="14" t="s">
        <v>2517</v>
      </c>
      <c r="E946" s="19" t="s">
        <v>227</v>
      </c>
      <c r="F946" s="37"/>
      <c r="G946" s="37"/>
      <c r="H946" s="108"/>
      <c r="I946" s="108"/>
      <c r="J946" s="108"/>
      <c r="K946" s="29" t="s">
        <v>101</v>
      </c>
      <c r="L946" s="139"/>
      <c r="M946" s="33"/>
      <c r="N946" s="33">
        <v>44442</v>
      </c>
      <c r="O946" s="32">
        <v>3466</v>
      </c>
      <c r="P946" s="6"/>
      <c r="Q946" s="339"/>
      <c r="R946" s="1"/>
      <c r="S946" s="7"/>
      <c r="T946" s="7"/>
      <c r="U946" s="21"/>
      <c r="V946" s="260">
        <v>90</v>
      </c>
    </row>
    <row r="947" spans="2:22" customFormat="1" ht="18" customHeight="1">
      <c r="B947" s="26" t="s">
        <v>300</v>
      </c>
      <c r="C947" s="6" t="s">
        <v>2516</v>
      </c>
      <c r="D947" s="14" t="s">
        <v>2517</v>
      </c>
      <c r="E947" s="22">
        <v>2250</v>
      </c>
      <c r="F947" s="37">
        <v>18</v>
      </c>
      <c r="G947" s="22" t="s">
        <v>118</v>
      </c>
      <c r="H947" s="108">
        <v>30</v>
      </c>
      <c r="I947" s="109">
        <v>3</v>
      </c>
      <c r="J947" s="8">
        <f>H947*I947</f>
        <v>90</v>
      </c>
      <c r="K947" s="39">
        <v>0.46</v>
      </c>
      <c r="L947" s="39">
        <f>K947*J947</f>
        <v>41.4</v>
      </c>
      <c r="M947" s="91"/>
      <c r="N947" s="33">
        <v>44442</v>
      </c>
      <c r="O947" s="32">
        <v>3466</v>
      </c>
      <c r="P947" s="391">
        <f>ROUNDUP(S947/V947/VLOOKUP(B947,$C$2:$F$6,3,FALSE),2)</f>
        <v>0.39</v>
      </c>
      <c r="Q947" s="322">
        <v>0.39</v>
      </c>
      <c r="R947" s="1"/>
      <c r="S947" s="7">
        <v>24.5</v>
      </c>
      <c r="T947" s="7">
        <f>S947*J947</f>
        <v>2205</v>
      </c>
      <c r="U947" s="39"/>
      <c r="V947" s="260">
        <v>90</v>
      </c>
    </row>
    <row r="948" spans="2:22" customFormat="1" ht="18" customHeight="1">
      <c r="B948" s="26" t="s">
        <v>300</v>
      </c>
      <c r="C948" s="6" t="s">
        <v>2516</v>
      </c>
      <c r="D948" s="14" t="s">
        <v>2517</v>
      </c>
      <c r="E948" s="22">
        <v>2250</v>
      </c>
      <c r="F948" s="37">
        <v>18</v>
      </c>
      <c r="G948" s="22" t="s">
        <v>2223</v>
      </c>
      <c r="H948" s="108">
        <v>30</v>
      </c>
      <c r="I948" s="109">
        <v>2</v>
      </c>
      <c r="J948" s="8">
        <f>H948*I948</f>
        <v>60</v>
      </c>
      <c r="K948" s="39">
        <v>0.46</v>
      </c>
      <c r="L948" s="39">
        <f>K948*J948</f>
        <v>27.6</v>
      </c>
      <c r="M948" s="91"/>
      <c r="N948" s="33">
        <v>44442</v>
      </c>
      <c r="O948" s="32">
        <v>3466</v>
      </c>
      <c r="P948" s="391">
        <f>ROUNDUP(S948/V948/VLOOKUP(B948,$C$2:$F$6,3,FALSE),2)</f>
        <v>0.39</v>
      </c>
      <c r="Q948" s="322">
        <v>0.39</v>
      </c>
      <c r="R948" s="1"/>
      <c r="S948" s="7">
        <v>24.5</v>
      </c>
      <c r="T948" s="7">
        <f>S948*J948</f>
        <v>1470</v>
      </c>
      <c r="U948" s="39"/>
      <c r="V948" s="260">
        <v>90</v>
      </c>
    </row>
    <row r="949" spans="2:22" s="7" customFormat="1" ht="16.899999999999999" customHeight="1">
      <c r="B949" s="12"/>
      <c r="C949" s="6" t="s">
        <v>2516</v>
      </c>
      <c r="D949" s="14" t="s">
        <v>2517</v>
      </c>
      <c r="E949" s="49"/>
      <c r="F949" s="340"/>
      <c r="G949" s="37" t="s">
        <v>14</v>
      </c>
      <c r="H949" s="8"/>
      <c r="I949" s="109" ph="1"/>
      <c r="J949" s="38">
        <v>1</v>
      </c>
      <c r="K949" s="39">
        <v>12</v>
      </c>
      <c r="L949" s="39">
        <f>K949*J949</f>
        <v>12</v>
      </c>
      <c r="M949" s="91"/>
      <c r="N949" s="33">
        <v>44442</v>
      </c>
      <c r="O949" s="32">
        <v>3466</v>
      </c>
      <c r="P949" s="6"/>
      <c r="Q949" s="322">
        <v>15</v>
      </c>
      <c r="S949" s="7">
        <v>0</v>
      </c>
      <c r="T949" s="7">
        <f>S949*J949</f>
        <v>0</v>
      </c>
      <c r="U949" s="21"/>
      <c r="V949" s="260">
        <v>90</v>
      </c>
    </row>
    <row r="950" spans="2:22" s="191" customFormat="1" ht="15">
      <c r="B950" s="190"/>
      <c r="C950" s="179" t="s">
        <v>2516</v>
      </c>
      <c r="D950" s="180" t="s">
        <v>2517</v>
      </c>
      <c r="E950" s="181"/>
      <c r="F950" s="182"/>
      <c r="G950" s="771" t="s">
        <v>2518</v>
      </c>
      <c r="H950" s="184" t="s">
        <v>251</v>
      </c>
      <c r="I950" s="185"/>
      <c r="J950" s="183"/>
      <c r="K950" s="192">
        <v>0</v>
      </c>
      <c r="L950" s="188"/>
      <c r="M950" s="187"/>
      <c r="N950" s="187">
        <v>44442</v>
      </c>
      <c r="O950" s="186">
        <v>3466</v>
      </c>
      <c r="P950" s="179"/>
      <c r="Q950" s="725">
        <v>0</v>
      </c>
      <c r="S950" s="197">
        <v>0</v>
      </c>
      <c r="T950" s="198">
        <v>0</v>
      </c>
      <c r="U950" s="335"/>
      <c r="V950" s="260">
        <v>90</v>
      </c>
    </row>
    <row r="951" spans="2:22" s="7" customFormat="1" ht="18" customHeight="1">
      <c r="B951" s="12"/>
      <c r="C951" s="145" t="s">
        <v>2519</v>
      </c>
      <c r="D951" s="149" t="s">
        <v>2409</v>
      </c>
      <c r="E951" s="367" t="s">
        <v>2410</v>
      </c>
      <c r="F951" s="368"/>
      <c r="G951" s="122"/>
      <c r="H951" s="148"/>
      <c r="I951" s="156"/>
      <c r="J951" s="148"/>
      <c r="K951" s="369" t="s">
        <v>5</v>
      </c>
      <c r="L951" s="378" t="s">
        <v>72</v>
      </c>
      <c r="M951" s="332"/>
      <c r="N951" s="370"/>
      <c r="O951" s="134"/>
      <c r="P951" s="14"/>
      <c r="Q951" s="322"/>
      <c r="U951" s="14"/>
      <c r="V951" s="260">
        <v>90</v>
      </c>
    </row>
    <row r="952" spans="2:22" s="7" customFormat="1" ht="18" customHeight="1">
      <c r="B952" s="12" t="s">
        <v>300</v>
      </c>
      <c r="C952" s="145" t="s">
        <v>2519</v>
      </c>
      <c r="D952" s="149" t="s">
        <v>2409</v>
      </c>
      <c r="E952" s="758">
        <v>5305</v>
      </c>
      <c r="F952" s="368"/>
      <c r="G952" s="122" t="s">
        <v>2411</v>
      </c>
      <c r="H952" s="148">
        <v>30</v>
      </c>
      <c r="I952" s="156">
        <v>1</v>
      </c>
      <c r="J952" s="151">
        <f>H952*I952</f>
        <v>30</v>
      </c>
      <c r="K952" s="132">
        <v>0.84</v>
      </c>
      <c r="L952" s="378" t="s">
        <v>72</v>
      </c>
      <c r="M952" s="332"/>
      <c r="N952" s="370"/>
      <c r="O952" s="134"/>
      <c r="P952" s="391">
        <f>ROUNDUP(S952/V952/VLOOKUP(B952,$C$2:$F$6,3,FALSE),2)</f>
        <v>0.72</v>
      </c>
      <c r="Q952" s="322">
        <v>0.72</v>
      </c>
      <c r="S952" s="7">
        <v>45</v>
      </c>
      <c r="T952" s="7">
        <f>S952*J952</f>
        <v>1350</v>
      </c>
      <c r="U952" s="21"/>
      <c r="V952" s="260">
        <v>90</v>
      </c>
    </row>
    <row r="953" spans="2:22" s="7" customFormat="1" ht="18" customHeight="1">
      <c r="B953" s="12" t="s">
        <v>300</v>
      </c>
      <c r="C953" s="145" t="s">
        <v>2519</v>
      </c>
      <c r="D953" s="149" t="s">
        <v>2409</v>
      </c>
      <c r="E953" s="758">
        <v>5305</v>
      </c>
      <c r="F953" s="368"/>
      <c r="G953" s="122" t="s">
        <v>2412</v>
      </c>
      <c r="H953" s="148">
        <v>30</v>
      </c>
      <c r="I953" s="156">
        <v>1</v>
      </c>
      <c r="J953" s="151">
        <f>H953*I953</f>
        <v>30</v>
      </c>
      <c r="K953" s="132">
        <v>0.84</v>
      </c>
      <c r="L953" s="378" t="s">
        <v>72</v>
      </c>
      <c r="M953" s="332"/>
      <c r="N953" s="370"/>
      <c r="O953" s="134"/>
      <c r="P953" s="391">
        <f>ROUNDUP(S953/V953/VLOOKUP(B953,$C$2:$F$6,3,FALSE),2)</f>
        <v>0.72</v>
      </c>
      <c r="Q953" s="322">
        <v>0.72</v>
      </c>
      <c r="S953" s="7">
        <v>45</v>
      </c>
      <c r="T953" s="7">
        <f>S953*J953</f>
        <v>1350</v>
      </c>
      <c r="U953" s="21"/>
      <c r="V953" s="260">
        <v>90</v>
      </c>
    </row>
    <row r="954" spans="2:22" s="7" customFormat="1" ht="18" customHeight="1">
      <c r="B954" s="12" t="s">
        <v>300</v>
      </c>
      <c r="C954" s="145" t="s">
        <v>2519</v>
      </c>
      <c r="D954" s="149" t="s">
        <v>2409</v>
      </c>
      <c r="E954" s="758">
        <v>5305</v>
      </c>
      <c r="F954" s="368"/>
      <c r="G954" s="122" t="s">
        <v>29</v>
      </c>
      <c r="H954" s="148">
        <v>30</v>
      </c>
      <c r="I954" s="156">
        <v>1</v>
      </c>
      <c r="J954" s="151">
        <f>H954*I954</f>
        <v>30</v>
      </c>
      <c r="K954" s="132">
        <v>0.84</v>
      </c>
      <c r="L954" s="378" t="s">
        <v>72</v>
      </c>
      <c r="M954" s="332"/>
      <c r="N954" s="370"/>
      <c r="O954" s="134"/>
      <c r="P954" s="391">
        <f>ROUNDUP(S954/V954/VLOOKUP(B954,$C$2:$F$6,3,FALSE),2)</f>
        <v>0.72</v>
      </c>
      <c r="Q954" s="322">
        <v>0.72</v>
      </c>
      <c r="S954" s="7">
        <v>45</v>
      </c>
      <c r="T954" s="7">
        <f>S954*J954</f>
        <v>1350</v>
      </c>
      <c r="U954" s="21"/>
      <c r="V954" s="260">
        <v>90</v>
      </c>
    </row>
    <row r="955" spans="2:22" s="7" customFormat="1" ht="17.45" customHeight="1">
      <c r="B955" s="12"/>
      <c r="C955" s="145" t="s">
        <v>2519</v>
      </c>
      <c r="D955" s="149" t="s">
        <v>2409</v>
      </c>
      <c r="E955" s="818"/>
      <c r="F955" s="129"/>
      <c r="G955" s="129" t="s">
        <v>14</v>
      </c>
      <c r="H955" s="151"/>
      <c r="I955" s="156" ph="1"/>
      <c r="J955" s="381">
        <v>1</v>
      </c>
      <c r="K955" s="132">
        <v>12</v>
      </c>
      <c r="L955" s="378" t="s">
        <v>72</v>
      </c>
      <c r="M955" s="332"/>
      <c r="N955" s="370"/>
      <c r="O955" s="134"/>
      <c r="P955" s="6"/>
      <c r="Q955" s="322">
        <v>12</v>
      </c>
      <c r="S955" s="745">
        <v>1000</v>
      </c>
      <c r="T955" s="7">
        <f>S955*J955</f>
        <v>1000</v>
      </c>
      <c r="U955" s="21"/>
      <c r="V955" s="260">
        <v>90</v>
      </c>
    </row>
    <row r="956" spans="2:22" s="191" customFormat="1" ht="15">
      <c r="B956" s="190"/>
      <c r="C956" s="145" t="s">
        <v>2519</v>
      </c>
      <c r="D956" s="149" t="s">
        <v>2409</v>
      </c>
      <c r="E956" s="122"/>
      <c r="F956" s="129"/>
      <c r="G956" s="129" t="s">
        <v>250</v>
      </c>
      <c r="H956" s="381" t="s">
        <v>251</v>
      </c>
      <c r="I956" s="156"/>
      <c r="J956" s="148"/>
      <c r="K956" s="132">
        <v>0</v>
      </c>
      <c r="L956" s="378" t="s">
        <v>72</v>
      </c>
      <c r="M956" s="332"/>
      <c r="N956" s="370"/>
      <c r="O956" s="134"/>
      <c r="P956" s="179"/>
      <c r="Q956" s="725">
        <v>0</v>
      </c>
      <c r="S956" s="197">
        <v>0</v>
      </c>
      <c r="T956" s="198">
        <v>0</v>
      </c>
      <c r="U956" s="335"/>
      <c r="V956" s="260">
        <v>90</v>
      </c>
    </row>
    <row r="957" spans="2:22" s="7" customFormat="1" ht="18" customHeight="1">
      <c r="B957" s="12"/>
      <c r="C957" s="6" t="s">
        <v>2520</v>
      </c>
      <c r="D957" s="14" t="s">
        <v>2521</v>
      </c>
      <c r="E957" s="19" t="s">
        <v>2117</v>
      </c>
      <c r="F957" s="37"/>
      <c r="G957" s="37"/>
      <c r="H957" s="108"/>
      <c r="I957" s="108"/>
      <c r="J957" s="108"/>
      <c r="K957" s="29" t="s">
        <v>5</v>
      </c>
      <c r="L957" s="139"/>
      <c r="M957" s="33"/>
      <c r="N957" s="33">
        <v>44446</v>
      </c>
      <c r="O957" s="32">
        <v>3473</v>
      </c>
      <c r="P957" s="6"/>
      <c r="Q957" s="339"/>
      <c r="U957" s="21"/>
      <c r="V957" s="260">
        <v>90</v>
      </c>
    </row>
    <row r="958" spans="2:22" s="7" customFormat="1" ht="17.25" customHeight="1">
      <c r="B958" s="12" t="s">
        <v>300</v>
      </c>
      <c r="C958" s="6" t="s">
        <v>2520</v>
      </c>
      <c r="D958" s="14" t="s">
        <v>2521</v>
      </c>
      <c r="E958" s="22" t="s">
        <v>2522</v>
      </c>
      <c r="F958" s="812"/>
      <c r="G958" s="22" t="s">
        <v>2523</v>
      </c>
      <c r="H958" s="405">
        <v>13.7</v>
      </c>
      <c r="I958" s="814">
        <v>2</v>
      </c>
      <c r="J958" s="131">
        <v>27.4</v>
      </c>
      <c r="K958" s="39">
        <v>4.08</v>
      </c>
      <c r="L958" s="39">
        <f>K958*J958</f>
        <v>111.792</v>
      </c>
      <c r="M958" s="91"/>
      <c r="N958" s="33">
        <v>44446</v>
      </c>
      <c r="O958" s="32">
        <v>3473</v>
      </c>
      <c r="P958" s="391">
        <f>ROUNDUP(S958/V958/VLOOKUP(B958,$C$2:$F$6,3,FALSE),2)</f>
        <v>3.5</v>
      </c>
      <c r="Q958" s="725">
        <v>3.5</v>
      </c>
      <c r="S958" s="819">
        <v>220</v>
      </c>
      <c r="T958" s="7">
        <f>S958*J958</f>
        <v>6028</v>
      </c>
      <c r="U958" s="21"/>
      <c r="V958" s="260">
        <v>90</v>
      </c>
    </row>
    <row r="959" spans="2:22" s="7" customFormat="1" ht="17.25" customHeight="1">
      <c r="B959" s="12" t="s">
        <v>300</v>
      </c>
      <c r="C959" s="6" t="s">
        <v>2520</v>
      </c>
      <c r="D959" s="14" t="s">
        <v>2521</v>
      </c>
      <c r="E959" s="22" t="s">
        <v>2524</v>
      </c>
      <c r="F959" s="812"/>
      <c r="G959" s="22" t="s">
        <v>2523</v>
      </c>
      <c r="H959" s="405">
        <v>13.7</v>
      </c>
      <c r="I959" s="814">
        <v>1</v>
      </c>
      <c r="J959" s="131">
        <v>13.7</v>
      </c>
      <c r="K959" s="39">
        <v>2.5799999999999996</v>
      </c>
      <c r="L959" s="39">
        <f>K959*J959</f>
        <v>35.345999999999997</v>
      </c>
      <c r="M959" s="91"/>
      <c r="N959" s="33">
        <v>44446</v>
      </c>
      <c r="O959" s="32">
        <v>3473</v>
      </c>
      <c r="P959" s="391">
        <f>ROUNDUP(S959/V959/VLOOKUP(B959,$C$2:$F$6,3,FALSE),2)</f>
        <v>2.21</v>
      </c>
      <c r="Q959" s="725">
        <v>2.21</v>
      </c>
      <c r="S959" s="819">
        <v>139</v>
      </c>
      <c r="T959" s="7">
        <f>S959*J959</f>
        <v>1904.3</v>
      </c>
      <c r="U959" s="21"/>
      <c r="V959" s="260">
        <v>90</v>
      </c>
    </row>
    <row r="960" spans="2:22" s="7" customFormat="1" ht="17.25" customHeight="1">
      <c r="B960" s="12" t="s">
        <v>300</v>
      </c>
      <c r="C960" s="6" t="s">
        <v>2520</v>
      </c>
      <c r="D960" s="14" t="s">
        <v>2521</v>
      </c>
      <c r="E960" s="22" t="s">
        <v>2525</v>
      </c>
      <c r="F960" s="812"/>
      <c r="G960" s="22" t="s">
        <v>2523</v>
      </c>
      <c r="H960" s="405">
        <v>13.7</v>
      </c>
      <c r="I960" s="814">
        <v>1</v>
      </c>
      <c r="J960" s="131">
        <v>13.7</v>
      </c>
      <c r="K960" s="39">
        <v>2.4899999999999998</v>
      </c>
      <c r="L960" s="39">
        <f>K960*J960</f>
        <v>34.112999999999992</v>
      </c>
      <c r="M960" s="91"/>
      <c r="N960" s="33">
        <v>44446</v>
      </c>
      <c r="O960" s="32">
        <v>3473</v>
      </c>
      <c r="P960" s="391">
        <f>ROUNDUP(S960/V960/VLOOKUP(B960,$C$2:$F$6,3,FALSE),2)</f>
        <v>1.56</v>
      </c>
      <c r="Q960" s="725">
        <v>1.56</v>
      </c>
      <c r="S960" s="7">
        <v>98</v>
      </c>
      <c r="T960" s="7">
        <f>S960*J960</f>
        <v>1342.6</v>
      </c>
      <c r="U960" s="21"/>
      <c r="V960" s="260">
        <v>90</v>
      </c>
    </row>
    <row r="961" spans="2:22" s="7" customFormat="1" ht="15">
      <c r="B961" s="12"/>
      <c r="C961" s="6" t="s">
        <v>2520</v>
      </c>
      <c r="D961" s="14" t="s">
        <v>2521</v>
      </c>
      <c r="E961" s="22"/>
      <c r="F961" s="102"/>
      <c r="G961" s="22" t="s">
        <v>14</v>
      </c>
      <c r="H961" s="8"/>
      <c r="I961" s="35"/>
      <c r="J961" s="38">
        <v>2</v>
      </c>
      <c r="K961" s="39">
        <v>12</v>
      </c>
      <c r="L961" s="39">
        <f>K961*J961</f>
        <v>24</v>
      </c>
      <c r="M961" s="91"/>
      <c r="N961" s="33">
        <v>44446</v>
      </c>
      <c r="O961" s="32">
        <v>3473</v>
      </c>
      <c r="P961" s="6" t="s">
        <v>3</v>
      </c>
      <c r="Q961" s="322">
        <v>24</v>
      </c>
      <c r="S961" s="7">
        <f>800+900</f>
        <v>1700</v>
      </c>
      <c r="T961" s="7">
        <v>1700</v>
      </c>
      <c r="U961" s="21"/>
      <c r="V961" s="260">
        <v>90</v>
      </c>
    </row>
    <row r="962" spans="2:22" s="191" customFormat="1" ht="15">
      <c r="B962" s="190"/>
      <c r="C962" s="179" t="s">
        <v>2520</v>
      </c>
      <c r="D962" s="180" t="s">
        <v>2521</v>
      </c>
      <c r="E962" s="798"/>
      <c r="F962" s="799"/>
      <c r="G962" s="799" t="s">
        <v>250</v>
      </c>
      <c r="H962" s="800" t="s">
        <v>252</v>
      </c>
      <c r="I962" s="801"/>
      <c r="J962" s="802"/>
      <c r="K962" s="333">
        <v>49</v>
      </c>
      <c r="L962" s="804"/>
      <c r="M962" s="805"/>
      <c r="N962" s="187">
        <v>44446</v>
      </c>
      <c r="O962" s="186">
        <v>3473</v>
      </c>
      <c r="P962" s="796"/>
      <c r="Q962" s="807">
        <v>25</v>
      </c>
      <c r="S962" s="197">
        <v>2113</v>
      </c>
      <c r="T962" s="198">
        <v>2113</v>
      </c>
      <c r="U962" s="808"/>
      <c r="V962" s="260">
        <v>90</v>
      </c>
    </row>
    <row r="963" spans="2:22" s="7" customFormat="1" ht="18" customHeight="1">
      <c r="B963" s="12"/>
      <c r="C963" s="6" t="s">
        <v>2526</v>
      </c>
      <c r="D963" s="14" t="s">
        <v>2409</v>
      </c>
      <c r="E963" s="19" t="s">
        <v>2527</v>
      </c>
      <c r="F963" s="37"/>
      <c r="G963" s="37"/>
      <c r="H963" s="108"/>
      <c r="I963" s="108"/>
      <c r="J963" s="108"/>
      <c r="K963" s="29" t="s">
        <v>5</v>
      </c>
      <c r="L963" s="139"/>
      <c r="M963" s="33"/>
      <c r="N963" s="33">
        <v>44455</v>
      </c>
      <c r="O963" s="32">
        <v>3487</v>
      </c>
      <c r="P963" s="6"/>
      <c r="Q963" s="339"/>
      <c r="U963" s="21"/>
      <c r="V963" s="260">
        <v>90</v>
      </c>
    </row>
    <row r="964" spans="2:22" s="7" customFormat="1" ht="17.25" customHeight="1">
      <c r="B964" s="12" t="s">
        <v>300</v>
      </c>
      <c r="C964" s="6" t="s">
        <v>2526</v>
      </c>
      <c r="D964" s="14" t="s">
        <v>2409</v>
      </c>
      <c r="E964" s="22" t="s">
        <v>2528</v>
      </c>
      <c r="F964" s="820"/>
      <c r="G964" s="22" t="s">
        <v>2529</v>
      </c>
      <c r="H964" s="8">
        <v>50</v>
      </c>
      <c r="I964" s="35">
        <v>1</v>
      </c>
      <c r="J964" s="8">
        <f>H964*I964</f>
        <v>50</v>
      </c>
      <c r="K964" s="39">
        <v>0.24</v>
      </c>
      <c r="L964" s="39">
        <f>K964*J964</f>
        <v>12</v>
      </c>
      <c r="M964" s="91"/>
      <c r="N964" s="33">
        <v>44455</v>
      </c>
      <c r="O964" s="32">
        <v>3487</v>
      </c>
      <c r="P964" s="391">
        <f>ROUNDUP(S964/V964/VLOOKUP(B964,$C$2:$F$6,3,FALSE),2)</f>
        <v>0.21000000000000002</v>
      </c>
      <c r="Q964" s="322">
        <v>0.21</v>
      </c>
      <c r="S964" s="7">
        <v>13</v>
      </c>
      <c r="T964" s="7">
        <f>S964*J964</f>
        <v>650</v>
      </c>
      <c r="U964" s="778"/>
      <c r="V964" s="260">
        <v>90</v>
      </c>
    </row>
    <row r="965" spans="2:22" s="7" customFormat="1" ht="17.25" customHeight="1">
      <c r="B965" s="12"/>
      <c r="C965" s="6" t="s">
        <v>2526</v>
      </c>
      <c r="D965" s="14" t="s">
        <v>2409</v>
      </c>
      <c r="E965" s="19" t="s">
        <v>2530</v>
      </c>
      <c r="F965" s="820"/>
      <c r="G965" s="22"/>
      <c r="H965" s="8"/>
      <c r="I965" s="35"/>
      <c r="J965" s="8"/>
      <c r="K965" s="29" t="s">
        <v>5</v>
      </c>
      <c r="L965" s="39"/>
      <c r="M965" s="91"/>
      <c r="N965" s="33">
        <v>44455</v>
      </c>
      <c r="O965" s="32">
        <v>3487</v>
      </c>
      <c r="P965" s="391"/>
      <c r="Q965" s="322"/>
      <c r="U965" s="778"/>
      <c r="V965" s="260">
        <v>90</v>
      </c>
    </row>
    <row r="966" spans="2:22" s="7" customFormat="1" ht="16.899999999999999" customHeight="1">
      <c r="B966" s="12" t="s">
        <v>300</v>
      </c>
      <c r="C966" s="6" t="s">
        <v>2526</v>
      </c>
      <c r="D966" s="14" t="s">
        <v>2409</v>
      </c>
      <c r="E966" s="22">
        <v>1901</v>
      </c>
      <c r="F966" s="820"/>
      <c r="G966" s="22" t="s">
        <v>2531</v>
      </c>
      <c r="H966" s="8">
        <v>30</v>
      </c>
      <c r="I966" s="35">
        <v>1</v>
      </c>
      <c r="J966" s="8">
        <f>H966*I966</f>
        <v>30</v>
      </c>
      <c r="K966" s="39">
        <v>0.59</v>
      </c>
      <c r="L966" s="39">
        <f>K966*J966</f>
        <v>17.7</v>
      </c>
      <c r="M966" s="91"/>
      <c r="N966" s="33">
        <v>44455</v>
      </c>
      <c r="O966" s="32">
        <v>3487</v>
      </c>
      <c r="P966" s="391">
        <f>ROUNDUP(S966/V966/VLOOKUP(B966,$C$2:$F$6,3,FALSE),2)</f>
        <v>0.51</v>
      </c>
      <c r="Q966" s="322">
        <v>0.51</v>
      </c>
      <c r="S966" s="7">
        <v>31.67</v>
      </c>
      <c r="T966" s="7">
        <f>S966*J966</f>
        <v>950.1</v>
      </c>
      <c r="U966" s="778"/>
      <c r="V966" s="260">
        <v>90</v>
      </c>
    </row>
    <row r="967" spans="2:22" s="7" customFormat="1" ht="15">
      <c r="B967" s="12"/>
      <c r="C967" s="6" t="s">
        <v>2526</v>
      </c>
      <c r="D967" s="14" t="s">
        <v>2409</v>
      </c>
      <c r="E967" s="22"/>
      <c r="F967" s="102"/>
      <c r="G967" s="22" t="s">
        <v>14</v>
      </c>
      <c r="H967" s="8"/>
      <c r="I967" s="35"/>
      <c r="J967" s="38">
        <v>1</v>
      </c>
      <c r="K967" s="39">
        <v>12</v>
      </c>
      <c r="L967" s="39">
        <f>K967*J967</f>
        <v>12</v>
      </c>
      <c r="M967" s="91"/>
      <c r="N967" s="33">
        <v>44455</v>
      </c>
      <c r="O967" s="32">
        <v>3487</v>
      </c>
      <c r="P967" s="6" t="s">
        <v>3</v>
      </c>
      <c r="Q967" s="322">
        <v>12</v>
      </c>
      <c r="S967" s="7">
        <v>1100</v>
      </c>
      <c r="T967" s="7">
        <f>S967*J967</f>
        <v>1100</v>
      </c>
      <c r="U967" s="21"/>
      <c r="V967" s="260">
        <v>90</v>
      </c>
    </row>
    <row r="968" spans="2:22" s="7" customFormat="1" ht="15">
      <c r="B968" s="12"/>
      <c r="C968" s="6" t="s">
        <v>2526</v>
      </c>
      <c r="D968" s="90" t="s">
        <v>2409</v>
      </c>
      <c r="E968" s="153"/>
      <c r="F968" s="116"/>
      <c r="G968" s="153" t="s">
        <v>14</v>
      </c>
      <c r="H968" s="140"/>
      <c r="I968" s="141"/>
      <c r="J968" s="36">
        <v>1</v>
      </c>
      <c r="K968" s="154">
        <v>12</v>
      </c>
      <c r="L968" s="39"/>
      <c r="M968" s="91"/>
      <c r="N968" s="33">
        <v>44455</v>
      </c>
      <c r="O968" s="32">
        <v>3487</v>
      </c>
      <c r="P968" s="6" t="s">
        <v>3</v>
      </c>
      <c r="Q968" s="322">
        <v>0</v>
      </c>
      <c r="S968" s="745">
        <v>0</v>
      </c>
      <c r="T968" s="7">
        <f>S968*J968</f>
        <v>0</v>
      </c>
      <c r="U968" s="21"/>
      <c r="V968" s="260">
        <v>90</v>
      </c>
    </row>
    <row r="969" spans="2:22" s="191" customFormat="1" ht="15">
      <c r="B969" s="190"/>
      <c r="C969" s="179" t="s">
        <v>2526</v>
      </c>
      <c r="D969" s="180" t="s">
        <v>2409</v>
      </c>
      <c r="E969" s="181"/>
      <c r="F969" s="622"/>
      <c r="G969" s="182" t="s">
        <v>250</v>
      </c>
      <c r="H969" s="184" t="s">
        <v>251</v>
      </c>
      <c r="I969" s="185"/>
      <c r="J969" s="183"/>
      <c r="K969" s="192">
        <v>0</v>
      </c>
      <c r="L969" s="188"/>
      <c r="M969" s="187"/>
      <c r="N969" s="187">
        <v>44455</v>
      </c>
      <c r="O969" s="186">
        <v>3487</v>
      </c>
      <c r="P969" s="179"/>
      <c r="Q969" s="725">
        <v>0</v>
      </c>
      <c r="S969" s="197">
        <v>0</v>
      </c>
      <c r="T969" s="198">
        <v>0</v>
      </c>
      <c r="U969" s="335"/>
      <c r="V969" s="260">
        <v>90</v>
      </c>
    </row>
    <row r="970" spans="2:22" s="7" customFormat="1" ht="18" customHeight="1">
      <c r="B970" s="12"/>
      <c r="C970" s="6" t="s">
        <v>2532</v>
      </c>
      <c r="D970" s="14" t="s">
        <v>2533</v>
      </c>
      <c r="E970" s="19" t="s">
        <v>2270</v>
      </c>
      <c r="F970" s="37"/>
      <c r="G970" s="37"/>
      <c r="H970" s="108"/>
      <c r="I970" s="108"/>
      <c r="J970" s="108"/>
      <c r="K970" s="29" t="s">
        <v>5</v>
      </c>
      <c r="L970" s="139"/>
      <c r="M970" s="33"/>
      <c r="N970" s="33">
        <v>44456</v>
      </c>
      <c r="O970" s="32">
        <v>3491</v>
      </c>
      <c r="P970" s="6"/>
      <c r="Q970" s="339"/>
      <c r="U970" s="21"/>
      <c r="V970" s="260">
        <v>90</v>
      </c>
    </row>
    <row r="971" spans="2:22" s="7" customFormat="1" ht="17.25" customHeight="1">
      <c r="B971" s="12" t="s">
        <v>300</v>
      </c>
      <c r="C971" s="6" t="s">
        <v>2532</v>
      </c>
      <c r="D971" s="14" t="s">
        <v>2533</v>
      </c>
      <c r="E971" s="22">
        <v>5636</v>
      </c>
      <c r="F971" s="37" t="s">
        <v>230</v>
      </c>
      <c r="G971" s="22" t="s">
        <v>2534</v>
      </c>
      <c r="H971" s="813">
        <v>50</v>
      </c>
      <c r="I971" s="814">
        <v>1</v>
      </c>
      <c r="J971" s="8">
        <v>50</v>
      </c>
      <c r="K971" s="39">
        <v>0.26</v>
      </c>
      <c r="L971" s="39">
        <f>K971*J971</f>
        <v>13</v>
      </c>
      <c r="M971" s="91"/>
      <c r="N971" s="33">
        <v>44456</v>
      </c>
      <c r="O971" s="32">
        <v>3491</v>
      </c>
      <c r="P971" s="391">
        <f>ROUNDUP(S971/V971/VLOOKUP(B971,$C$2:$F$6,3,FALSE),2)</f>
        <v>0.22</v>
      </c>
      <c r="Q971" s="322">
        <v>0.22</v>
      </c>
      <c r="S971" s="7">
        <v>13.8</v>
      </c>
      <c r="T971" s="7">
        <f>S971*J971</f>
        <v>690</v>
      </c>
      <c r="U971" s="778"/>
      <c r="V971" s="260">
        <v>90</v>
      </c>
    </row>
    <row r="972" spans="2:22" s="7" customFormat="1" ht="16.899999999999999" customHeight="1">
      <c r="B972" s="12" t="s">
        <v>300</v>
      </c>
      <c r="C972" s="6" t="s">
        <v>2532</v>
      </c>
      <c r="D972" s="14" t="s">
        <v>2533</v>
      </c>
      <c r="E972" s="22">
        <v>5636</v>
      </c>
      <c r="F972" s="37" t="s">
        <v>230</v>
      </c>
      <c r="G972" s="22" t="s">
        <v>2535</v>
      </c>
      <c r="H972" s="813">
        <v>50</v>
      </c>
      <c r="I972" s="814">
        <v>1</v>
      </c>
      <c r="J972" s="8">
        <v>50</v>
      </c>
      <c r="K972" s="39">
        <v>0.26</v>
      </c>
      <c r="L972" s="39">
        <f>K972*J972</f>
        <v>13</v>
      </c>
      <c r="M972" s="91"/>
      <c r="N972" s="33">
        <v>44456</v>
      </c>
      <c r="O972" s="32">
        <v>3491</v>
      </c>
      <c r="P972" s="391">
        <f>ROUNDUP(S972/V972/VLOOKUP(B972,$C$2:$F$6,3,FALSE),2)</f>
        <v>0.22</v>
      </c>
      <c r="Q972" s="322">
        <v>0.22</v>
      </c>
      <c r="S972" s="7">
        <v>13.8</v>
      </c>
      <c r="T972" s="7">
        <f>S972*J972</f>
        <v>690</v>
      </c>
      <c r="U972" s="778"/>
      <c r="V972" s="260">
        <v>90</v>
      </c>
    </row>
    <row r="973" spans="2:22" s="7" customFormat="1" ht="16.899999999999999" customHeight="1">
      <c r="B973" s="12" t="s">
        <v>300</v>
      </c>
      <c r="C973" s="6" t="s">
        <v>2532</v>
      </c>
      <c r="D973" s="14" t="s">
        <v>2533</v>
      </c>
      <c r="E973" s="22">
        <v>5636</v>
      </c>
      <c r="F973" s="37" t="s">
        <v>230</v>
      </c>
      <c r="G973" s="22" t="s">
        <v>2536</v>
      </c>
      <c r="H973" s="813">
        <v>50</v>
      </c>
      <c r="I973" s="814">
        <v>1</v>
      </c>
      <c r="J973" s="8">
        <v>50</v>
      </c>
      <c r="K973" s="39">
        <v>0.26</v>
      </c>
      <c r="L973" s="39">
        <f>K973*J973</f>
        <v>13</v>
      </c>
      <c r="M973" s="91"/>
      <c r="N973" s="33">
        <v>44456</v>
      </c>
      <c r="O973" s="32">
        <v>3491</v>
      </c>
      <c r="P973" s="391">
        <f>ROUNDUP(S973/V973/VLOOKUP(B973,$C$2:$F$6,3,FALSE),2)</f>
        <v>0.22</v>
      </c>
      <c r="Q973" s="322">
        <v>0.22</v>
      </c>
      <c r="S973" s="7">
        <v>13.8</v>
      </c>
      <c r="T973" s="7">
        <f>S973*J973</f>
        <v>690</v>
      </c>
      <c r="U973" s="778"/>
      <c r="V973" s="260">
        <v>90</v>
      </c>
    </row>
    <row r="974" spans="2:22" s="7" customFormat="1" ht="15">
      <c r="B974" s="12"/>
      <c r="C974" s="6" t="s">
        <v>2532</v>
      </c>
      <c r="D974" s="14" t="s">
        <v>2533</v>
      </c>
      <c r="E974" s="22"/>
      <c r="F974" s="102"/>
      <c r="G974" s="22" t="s">
        <v>2537</v>
      </c>
      <c r="H974" s="8"/>
      <c r="I974" s="35"/>
      <c r="J974" s="38">
        <v>1</v>
      </c>
      <c r="K974" s="39">
        <v>12</v>
      </c>
      <c r="L974" s="39">
        <f>K974*J974</f>
        <v>12</v>
      </c>
      <c r="M974" s="91"/>
      <c r="N974" s="33">
        <v>44456</v>
      </c>
      <c r="O974" s="32">
        <v>3491</v>
      </c>
      <c r="P974" s="6" t="s">
        <v>3</v>
      </c>
      <c r="Q974" s="322">
        <v>12</v>
      </c>
      <c r="S974" s="745">
        <v>1100</v>
      </c>
      <c r="T974" s="7">
        <f>S974*J974</f>
        <v>1100</v>
      </c>
      <c r="U974" s="21"/>
      <c r="V974" s="260">
        <v>90</v>
      </c>
    </row>
    <row r="975" spans="2:22" s="191" customFormat="1" ht="15">
      <c r="B975" s="190"/>
      <c r="C975" s="179" t="s">
        <v>2532</v>
      </c>
      <c r="D975" s="180" t="s">
        <v>2533</v>
      </c>
      <c r="E975" s="181"/>
      <c r="F975" s="622"/>
      <c r="G975" s="182" t="s">
        <v>250</v>
      </c>
      <c r="H975" s="184" t="s">
        <v>251</v>
      </c>
      <c r="I975" s="185"/>
      <c r="J975" s="183"/>
      <c r="K975" s="192">
        <v>0</v>
      </c>
      <c r="L975" s="188"/>
      <c r="M975" s="187"/>
      <c r="N975" s="187">
        <v>44456</v>
      </c>
      <c r="O975" s="186">
        <v>3491</v>
      </c>
      <c r="P975" s="179"/>
      <c r="Q975" s="725">
        <v>0</v>
      </c>
      <c r="S975" s="197">
        <v>0</v>
      </c>
      <c r="T975" s="198">
        <v>0</v>
      </c>
      <c r="U975" s="335"/>
      <c r="V975" s="260">
        <v>90</v>
      </c>
    </row>
    <row r="976" spans="2:22" s="7" customFormat="1" ht="18" customHeight="1">
      <c r="B976" s="12"/>
      <c r="C976" s="6" t="s">
        <v>2538</v>
      </c>
      <c r="D976" s="14" t="s">
        <v>2162</v>
      </c>
      <c r="E976" s="19" t="s">
        <v>2163</v>
      </c>
      <c r="F976" s="37"/>
      <c r="G976" s="37"/>
      <c r="H976" s="108"/>
      <c r="I976" s="108"/>
      <c r="J976" s="108"/>
      <c r="K976" s="110" t="s">
        <v>5</v>
      </c>
      <c r="L976" s="139"/>
      <c r="M976" s="33"/>
      <c r="N976" s="33">
        <v>44461</v>
      </c>
      <c r="O976" s="32">
        <v>3508</v>
      </c>
      <c r="P976" s="6"/>
      <c r="Q976" s="339"/>
      <c r="U976" s="21"/>
      <c r="V976" s="260">
        <v>90</v>
      </c>
    </row>
    <row r="977" spans="2:22" s="7" customFormat="1" ht="18" customHeight="1">
      <c r="B977" s="12" t="s">
        <v>300</v>
      </c>
      <c r="C977" s="6" t="s">
        <v>2538</v>
      </c>
      <c r="D977" s="14" t="s">
        <v>2162</v>
      </c>
      <c r="E977" s="22">
        <v>5603</v>
      </c>
      <c r="F977" s="37"/>
      <c r="G977" s="37" t="s">
        <v>2164</v>
      </c>
      <c r="H977" s="108">
        <v>50</v>
      </c>
      <c r="I977" s="109">
        <v>1</v>
      </c>
      <c r="J977" s="8">
        <f>I977*H977</f>
        <v>50</v>
      </c>
      <c r="K977" s="39">
        <v>0.3</v>
      </c>
      <c r="L977" s="39">
        <f>K977*J977</f>
        <v>15</v>
      </c>
      <c r="M977" s="91"/>
      <c r="N977" s="33">
        <v>44461</v>
      </c>
      <c r="O977" s="32">
        <v>3508</v>
      </c>
      <c r="P977" s="391">
        <f>ROUNDUP(S977/V977/VLOOKUP(B977,$C$2:$F$6,3,FALSE),2)</f>
        <v>0.26</v>
      </c>
      <c r="Q977" s="322">
        <v>0.26</v>
      </c>
      <c r="S977" s="7">
        <v>16</v>
      </c>
      <c r="T977" s="7">
        <f>S977*J977</f>
        <v>800</v>
      </c>
      <c r="U977" s="21"/>
      <c r="V977" s="260">
        <v>90</v>
      </c>
    </row>
    <row r="978" spans="2:22" s="7" customFormat="1" ht="18" customHeight="1">
      <c r="B978" s="12"/>
      <c r="C978" s="6" t="s">
        <v>2538</v>
      </c>
      <c r="D978" s="14" t="s">
        <v>2162</v>
      </c>
      <c r="E978" s="22"/>
      <c r="F978" s="102"/>
      <c r="G978" s="22" t="s">
        <v>14</v>
      </c>
      <c r="H978" s="8"/>
      <c r="I978" s="35"/>
      <c r="J978" s="38">
        <v>1</v>
      </c>
      <c r="K978" s="39">
        <v>12</v>
      </c>
      <c r="L978" s="39">
        <f>K978*J978</f>
        <v>12</v>
      </c>
      <c r="M978" s="91"/>
      <c r="N978" s="33">
        <v>44461</v>
      </c>
      <c r="O978" s="32">
        <v>3508</v>
      </c>
      <c r="P978" s="6" t="s">
        <v>3</v>
      </c>
      <c r="Q978" s="322">
        <v>12</v>
      </c>
      <c r="S978" s="7">
        <v>1100</v>
      </c>
      <c r="T978" s="7">
        <f>S978*J978</f>
        <v>1100</v>
      </c>
      <c r="U978" s="21"/>
      <c r="V978" s="260">
        <v>90</v>
      </c>
    </row>
    <row r="979" spans="2:22" s="191" customFormat="1" ht="15">
      <c r="B979" s="190"/>
      <c r="C979" s="179" t="s">
        <v>2538</v>
      </c>
      <c r="D979" s="180" t="s">
        <v>2162</v>
      </c>
      <c r="E979" s="181"/>
      <c r="F979" s="182"/>
      <c r="G979" s="182" t="s">
        <v>250</v>
      </c>
      <c r="H979" s="184" t="s">
        <v>251</v>
      </c>
      <c r="I979" s="185"/>
      <c r="J979" s="183"/>
      <c r="K979" s="192">
        <v>0</v>
      </c>
      <c r="L979" s="188"/>
      <c r="M979" s="187"/>
      <c r="N979" s="187">
        <v>44461</v>
      </c>
      <c r="O979" s="186">
        <v>3508</v>
      </c>
      <c r="P979" s="179"/>
      <c r="Q979" s="725">
        <v>0</v>
      </c>
      <c r="S979" s="197">
        <v>0</v>
      </c>
      <c r="T979" s="7">
        <f>S979*J979</f>
        <v>0</v>
      </c>
      <c r="U979" s="335"/>
      <c r="V979" s="260">
        <v>90</v>
      </c>
    </row>
    <row r="980" spans="2:22" s="7" customFormat="1" ht="18" customHeight="1">
      <c r="B980" s="12"/>
      <c r="C980" s="6" t="s">
        <v>2539</v>
      </c>
      <c r="D980" s="14" t="s">
        <v>2231</v>
      </c>
      <c r="E980" s="19" t="s">
        <v>2270</v>
      </c>
      <c r="F980" s="37"/>
      <c r="G980" s="37"/>
      <c r="H980" s="108"/>
      <c r="I980" s="108"/>
      <c r="J980" s="108"/>
      <c r="K980" s="29" t="s">
        <v>5</v>
      </c>
      <c r="L980" s="139"/>
      <c r="M980" s="33"/>
      <c r="N980" s="33">
        <v>44463</v>
      </c>
      <c r="O980" s="32">
        <v>3507</v>
      </c>
      <c r="P980" s="6"/>
      <c r="Q980" s="339"/>
      <c r="U980" s="21"/>
      <c r="V980" s="260">
        <v>90</v>
      </c>
    </row>
    <row r="981" spans="2:22" s="7" customFormat="1" ht="17.25" customHeight="1">
      <c r="B981" s="12" t="s">
        <v>300</v>
      </c>
      <c r="C981" s="6" t="s">
        <v>2539</v>
      </c>
      <c r="D981" s="14" t="s">
        <v>2231</v>
      </c>
      <c r="E981" s="22">
        <v>5636</v>
      </c>
      <c r="F981" s="37" t="s">
        <v>230</v>
      </c>
      <c r="G981" s="37" t="s">
        <v>2540</v>
      </c>
      <c r="H981" s="108">
        <v>50</v>
      </c>
      <c r="I981" s="109">
        <v>1</v>
      </c>
      <c r="J981" s="8">
        <f>H981*I981</f>
        <v>50</v>
      </c>
      <c r="K981" s="39">
        <v>0.26</v>
      </c>
      <c r="L981" s="39">
        <f>K981*J981</f>
        <v>13</v>
      </c>
      <c r="M981" s="91"/>
      <c r="N981" s="33">
        <v>44463</v>
      </c>
      <c r="O981" s="32">
        <v>3507</v>
      </c>
      <c r="P981" s="391">
        <f>ROUNDUP(S981/V981/VLOOKUP(B981,$C$2:$F$6,3,FALSE),2)</f>
        <v>0.22</v>
      </c>
      <c r="Q981" s="322">
        <v>0.22</v>
      </c>
      <c r="S981" s="7">
        <v>13.8</v>
      </c>
      <c r="T981" s="7">
        <f>S981*J981</f>
        <v>690</v>
      </c>
      <c r="U981" s="778"/>
      <c r="V981" s="260">
        <v>90</v>
      </c>
    </row>
    <row r="982" spans="2:22" s="7" customFormat="1" ht="17.25" customHeight="1">
      <c r="B982" s="12" t="s">
        <v>300</v>
      </c>
      <c r="C982" s="6" t="s">
        <v>2539</v>
      </c>
      <c r="D982" s="14" t="s">
        <v>2231</v>
      </c>
      <c r="E982" s="22">
        <v>5636</v>
      </c>
      <c r="F982" s="37" t="s">
        <v>230</v>
      </c>
      <c r="G982" s="37" t="s">
        <v>2541</v>
      </c>
      <c r="H982" s="108">
        <v>50</v>
      </c>
      <c r="I982" s="109">
        <v>1</v>
      </c>
      <c r="J982" s="8">
        <f>H982*I982</f>
        <v>50</v>
      </c>
      <c r="K982" s="39">
        <v>0.26</v>
      </c>
      <c r="L982" s="39">
        <f>K982*J982</f>
        <v>13</v>
      </c>
      <c r="M982" s="91"/>
      <c r="N982" s="33">
        <v>44463</v>
      </c>
      <c r="O982" s="32">
        <v>3507</v>
      </c>
      <c r="P982" s="391">
        <f>ROUNDUP(S982/V982/VLOOKUP(B982,$C$2:$F$6,3,FALSE),2)</f>
        <v>0.22</v>
      </c>
      <c r="Q982" s="322">
        <v>0.22</v>
      </c>
      <c r="S982" s="7">
        <v>13.8</v>
      </c>
      <c r="T982" s="7">
        <f>S982*J982</f>
        <v>690</v>
      </c>
      <c r="U982" s="778"/>
      <c r="V982" s="260">
        <v>90</v>
      </c>
    </row>
    <row r="983" spans="2:22" s="7" customFormat="1" ht="15">
      <c r="B983" s="12"/>
      <c r="C983" s="6" t="s">
        <v>2539</v>
      </c>
      <c r="D983" s="14" t="s">
        <v>2231</v>
      </c>
      <c r="E983" s="82"/>
      <c r="F983" s="102"/>
      <c r="G983" s="22" t="s">
        <v>14</v>
      </c>
      <c r="H983" s="8"/>
      <c r="I983" s="35"/>
      <c r="J983" s="38">
        <v>1</v>
      </c>
      <c r="K983" s="39">
        <v>12</v>
      </c>
      <c r="L983" s="39">
        <f>K983*J983</f>
        <v>12</v>
      </c>
      <c r="M983" s="91"/>
      <c r="N983" s="33">
        <v>44463</v>
      </c>
      <c r="O983" s="32">
        <v>3507</v>
      </c>
      <c r="P983" s="6" t="s">
        <v>3</v>
      </c>
      <c r="Q983" s="322">
        <v>12</v>
      </c>
      <c r="S983" s="7">
        <v>1100</v>
      </c>
      <c r="T983" s="7">
        <v>1100</v>
      </c>
      <c r="U983" s="21"/>
      <c r="V983" s="260">
        <v>90</v>
      </c>
    </row>
    <row r="984" spans="2:22" s="191" customFormat="1" ht="15">
      <c r="B984" s="190"/>
      <c r="C984" s="179" t="s">
        <v>2539</v>
      </c>
      <c r="D984" s="180" t="s">
        <v>2231</v>
      </c>
      <c r="E984" s="181"/>
      <c r="F984" s="622"/>
      <c r="G984" s="182" t="s">
        <v>250</v>
      </c>
      <c r="H984" s="184" t="s">
        <v>251</v>
      </c>
      <c r="I984" s="185"/>
      <c r="J984" s="183"/>
      <c r="K984" s="192">
        <v>0</v>
      </c>
      <c r="L984" s="188"/>
      <c r="M984" s="187"/>
      <c r="N984" s="187">
        <v>44463</v>
      </c>
      <c r="O984" s="186">
        <v>3507</v>
      </c>
      <c r="P984" s="179"/>
      <c r="Q984" s="725">
        <v>0</v>
      </c>
      <c r="S984" s="197">
        <v>0</v>
      </c>
      <c r="T984" s="198">
        <v>0</v>
      </c>
      <c r="U984" s="335"/>
      <c r="V984" s="260">
        <v>90</v>
      </c>
    </row>
    <row r="985" spans="2:22" s="7" customFormat="1" ht="15">
      <c r="B985" s="12"/>
      <c r="C985" s="6" t="s">
        <v>2542</v>
      </c>
      <c r="D985" s="14" t="s">
        <v>2416</v>
      </c>
      <c r="E985" s="19" t="s">
        <v>2442</v>
      </c>
      <c r="F985" s="37"/>
      <c r="G985" s="770" t="s">
        <v>2453</v>
      </c>
      <c r="H985" s="108"/>
      <c r="I985" s="108"/>
      <c r="J985" s="108"/>
      <c r="K985" s="29" t="s">
        <v>232</v>
      </c>
      <c r="L985" s="139"/>
      <c r="M985" s="33"/>
      <c r="N985" s="33">
        <v>44481</v>
      </c>
      <c r="O985" s="32">
        <v>3528</v>
      </c>
      <c r="P985" s="6"/>
      <c r="Q985" s="339"/>
      <c r="U985" s="21"/>
      <c r="V985" s="260">
        <v>90</v>
      </c>
    </row>
    <row r="986" spans="2:22" s="7" customFormat="1" ht="15">
      <c r="B986" s="12" t="s">
        <v>300</v>
      </c>
      <c r="C986" s="6" t="s">
        <v>2542</v>
      </c>
      <c r="D986" s="14" t="s">
        <v>2416</v>
      </c>
      <c r="E986" s="19" t="s">
        <v>2444</v>
      </c>
      <c r="F986" s="112">
        <v>235</v>
      </c>
      <c r="G986" s="780" t="s">
        <v>2454</v>
      </c>
      <c r="H986" s="166">
        <v>40</v>
      </c>
      <c r="I986" s="166">
        <v>40</v>
      </c>
      <c r="J986" s="166">
        <v>40</v>
      </c>
      <c r="K986" s="39">
        <v>3.28</v>
      </c>
      <c r="L986" s="39">
        <f>K986*J986</f>
        <v>131.19999999999999</v>
      </c>
      <c r="M986" s="91"/>
      <c r="N986" s="33">
        <v>44481</v>
      </c>
      <c r="O986" s="32">
        <v>3528</v>
      </c>
      <c r="P986" s="391">
        <f>ROUNDUP(S986/V986/VLOOKUP(B986,$C$2:$F$6,3,FALSE),2)</f>
        <v>2.6599999999999997</v>
      </c>
      <c r="Q986" s="322">
        <v>2.66</v>
      </c>
      <c r="S986" s="7">
        <v>167</v>
      </c>
      <c r="T986" s="7">
        <f>S986*J986</f>
        <v>6680</v>
      </c>
      <c r="U986" s="166"/>
      <c r="V986" s="260">
        <v>90</v>
      </c>
    </row>
    <row r="987" spans="2:22" s="7" customFormat="1" ht="15">
      <c r="B987" s="12" t="s">
        <v>300</v>
      </c>
      <c r="C987" s="6" t="s">
        <v>2542</v>
      </c>
      <c r="D987" s="14" t="s">
        <v>2416</v>
      </c>
      <c r="E987" s="19" t="s">
        <v>2444</v>
      </c>
      <c r="F987" s="112">
        <v>235</v>
      </c>
      <c r="G987" s="165" t="s">
        <v>2447</v>
      </c>
      <c r="H987" s="166">
        <v>70</v>
      </c>
      <c r="I987" s="166">
        <v>70</v>
      </c>
      <c r="J987" s="166">
        <v>70</v>
      </c>
      <c r="K987" s="39">
        <v>2.92</v>
      </c>
      <c r="L987" s="39">
        <f>K987*J987</f>
        <v>204.4</v>
      </c>
      <c r="M987" s="91"/>
      <c r="N987" s="33">
        <v>44481</v>
      </c>
      <c r="O987" s="32">
        <v>3528</v>
      </c>
      <c r="P987" s="391">
        <f>ROUNDUP(S987/V987/VLOOKUP(B987,$C$2:$F$6,3,FALSE),2)</f>
        <v>2.3699999999999997</v>
      </c>
      <c r="Q987" s="322">
        <v>2.37</v>
      </c>
      <c r="S987" s="7">
        <v>148.9</v>
      </c>
      <c r="T987" s="7">
        <f>S987*J987</f>
        <v>10423</v>
      </c>
      <c r="U987" s="166"/>
      <c r="V987" s="260">
        <v>90</v>
      </c>
    </row>
    <row r="988" spans="2:22" s="7" customFormat="1" ht="15">
      <c r="B988" s="12" t="s">
        <v>306</v>
      </c>
      <c r="C988" s="6" t="s">
        <v>2542</v>
      </c>
      <c r="D988" s="14" t="s">
        <v>2416</v>
      </c>
      <c r="E988" s="22"/>
      <c r="F988" s="102"/>
      <c r="G988" s="22" t="s">
        <v>2543</v>
      </c>
      <c r="H988" s="8"/>
      <c r="I988" s="35"/>
      <c r="J988" s="38">
        <v>1</v>
      </c>
      <c r="K988" s="39">
        <v>180</v>
      </c>
      <c r="L988" s="39">
        <f>K988*J988</f>
        <v>180</v>
      </c>
      <c r="M988" s="91"/>
      <c r="N988" s="33">
        <v>44481</v>
      </c>
      <c r="O988" s="32">
        <v>3528</v>
      </c>
      <c r="P988" s="391">
        <f>ROUNDUP(S988/V988/VLOOKUP(B988,$C$2:$F$6,3,FALSE),2)</f>
        <v>101.02000000000001</v>
      </c>
      <c r="Q988" s="322">
        <v>101.01</v>
      </c>
      <c r="S988" s="7">
        <v>8000</v>
      </c>
      <c r="T988" s="7">
        <f>S988*J988</f>
        <v>8000</v>
      </c>
      <c r="U988" s="21"/>
      <c r="V988" s="260">
        <v>90</v>
      </c>
    </row>
    <row r="989" spans="2:22" s="7" customFormat="1" ht="15">
      <c r="B989" s="12" t="s">
        <v>306</v>
      </c>
      <c r="C989" s="6" t="s">
        <v>2542</v>
      </c>
      <c r="D989" s="14" t="s">
        <v>2416</v>
      </c>
      <c r="E989" s="22"/>
      <c r="F989" s="102"/>
      <c r="G989" s="22" t="s">
        <v>2456</v>
      </c>
      <c r="H989" s="8"/>
      <c r="I989" s="35"/>
      <c r="J989" s="38">
        <v>1</v>
      </c>
      <c r="K989" s="39">
        <v>0</v>
      </c>
      <c r="L989" s="39">
        <v>0</v>
      </c>
      <c r="M989" s="91"/>
      <c r="N989" s="33">
        <v>44481</v>
      </c>
      <c r="O989" s="32">
        <v>3528</v>
      </c>
      <c r="P989" s="391">
        <f>ROUNDUP(S989/V989/VLOOKUP(B989,$C$2:$F$6,3,FALSE),2)</f>
        <v>50.51</v>
      </c>
      <c r="Q989" s="322">
        <v>50.51</v>
      </c>
      <c r="S989" s="7">
        <v>4000</v>
      </c>
      <c r="T989" s="7">
        <f>S989*J989</f>
        <v>4000</v>
      </c>
      <c r="U989" s="21"/>
      <c r="V989" s="260">
        <v>90</v>
      </c>
    </row>
    <row r="990" spans="2:22" s="7" customFormat="1" ht="15">
      <c r="B990" s="12" t="s">
        <v>306</v>
      </c>
      <c r="C990" s="6" t="s">
        <v>2542</v>
      </c>
      <c r="D990" s="14" t="s">
        <v>2416</v>
      </c>
      <c r="E990" s="22"/>
      <c r="F990" s="102"/>
      <c r="G990" s="22" t="s">
        <v>2544</v>
      </c>
      <c r="H990" s="8"/>
      <c r="I990" s="35"/>
      <c r="J990" s="38">
        <v>2</v>
      </c>
      <c r="K990" s="137">
        <v>10</v>
      </c>
      <c r="L990" s="39">
        <f>K990*J990</f>
        <v>20</v>
      </c>
      <c r="M990" s="91"/>
      <c r="N990" s="33">
        <v>44481</v>
      </c>
      <c r="O990" s="32">
        <v>3528</v>
      </c>
      <c r="P990" s="391">
        <f>ROUNDUP(S990/V990/VLOOKUP(B990,$C$2:$F$6,3,FALSE),2)</f>
        <v>6.3199999999999994</v>
      </c>
      <c r="Q990" s="322">
        <v>6.32</v>
      </c>
      <c r="S990" s="7">
        <v>500</v>
      </c>
      <c r="T990" s="7">
        <f>S990*J990</f>
        <v>1000</v>
      </c>
      <c r="U990" s="21"/>
      <c r="V990" s="260">
        <v>90</v>
      </c>
    </row>
    <row r="991" spans="2:22" s="7" customFormat="1" ht="18" customHeight="1">
      <c r="B991" s="12"/>
      <c r="C991" s="6" t="s">
        <v>2542</v>
      </c>
      <c r="D991" s="14" t="s">
        <v>2416</v>
      </c>
      <c r="E991" s="49"/>
      <c r="F991" s="37"/>
      <c r="G991" s="22" t="s">
        <v>316</v>
      </c>
      <c r="H991" s="8"/>
      <c r="I991" s="109" ph="1"/>
      <c r="J991" s="38">
        <v>1</v>
      </c>
      <c r="K991" s="39">
        <v>12</v>
      </c>
      <c r="L991" s="39">
        <v>12</v>
      </c>
      <c r="M991" s="91"/>
      <c r="N991" s="33">
        <v>44481</v>
      </c>
      <c r="O991" s="32">
        <v>3528</v>
      </c>
      <c r="P991" s="6"/>
      <c r="Q991" s="322">
        <v>12</v>
      </c>
      <c r="S991" s="7">
        <v>1100</v>
      </c>
      <c r="T991" s="7">
        <v>1100</v>
      </c>
      <c r="U991" s="21"/>
      <c r="V991" s="260">
        <v>90</v>
      </c>
    </row>
    <row r="992" spans="2:22" s="191" customFormat="1" ht="15">
      <c r="B992" s="190"/>
      <c r="C992" s="179" t="s">
        <v>2542</v>
      </c>
      <c r="D992" s="180" t="s">
        <v>2416</v>
      </c>
      <c r="E992" s="181"/>
      <c r="F992" s="622"/>
      <c r="G992" s="182" t="s">
        <v>250</v>
      </c>
      <c r="H992" s="184" t="s">
        <v>251</v>
      </c>
      <c r="I992" s="185"/>
      <c r="J992" s="183"/>
      <c r="K992" s="192">
        <v>0</v>
      </c>
      <c r="L992" s="188"/>
      <c r="M992" s="187"/>
      <c r="N992" s="187">
        <v>44481</v>
      </c>
      <c r="O992" s="186">
        <v>3528</v>
      </c>
      <c r="P992" s="179"/>
      <c r="Q992" s="725">
        <v>0</v>
      </c>
      <c r="S992" s="197">
        <v>0</v>
      </c>
      <c r="T992" s="198">
        <v>0</v>
      </c>
      <c r="U992" s="335"/>
      <c r="V992" s="260">
        <v>90</v>
      </c>
    </row>
    <row r="993" spans="2:22" s="7" customFormat="1" ht="15">
      <c r="B993" s="12"/>
      <c r="C993" s="6" t="s">
        <v>2545</v>
      </c>
      <c r="D993" s="14" t="s">
        <v>2071</v>
      </c>
      <c r="E993" s="19" t="s">
        <v>63</v>
      </c>
      <c r="F993" s="24"/>
      <c r="G993" s="22"/>
      <c r="H993" s="15"/>
      <c r="I993" s="61"/>
      <c r="J993" s="60"/>
      <c r="K993" s="16" t="s">
        <v>5</v>
      </c>
      <c r="L993" s="39"/>
      <c r="M993" s="91"/>
      <c r="N993" s="33">
        <v>44463</v>
      </c>
      <c r="O993" s="32">
        <v>3510</v>
      </c>
      <c r="P993" s="6"/>
      <c r="Q993" s="358"/>
      <c r="U993" s="120"/>
      <c r="V993" s="260">
        <v>90</v>
      </c>
    </row>
    <row r="994" spans="2:22" s="7" customFormat="1" ht="18" customHeight="1">
      <c r="B994" s="12" t="s">
        <v>300</v>
      </c>
      <c r="C994" s="6" t="s">
        <v>2545</v>
      </c>
      <c r="D994" s="14" t="s">
        <v>2071</v>
      </c>
      <c r="E994" s="22" t="s">
        <v>196</v>
      </c>
      <c r="F994" s="37"/>
      <c r="G994" s="37" t="s">
        <v>100</v>
      </c>
      <c r="H994" s="8">
        <v>275</v>
      </c>
      <c r="I994" s="8">
        <v>275</v>
      </c>
      <c r="J994" s="8">
        <v>275</v>
      </c>
      <c r="K994" s="137">
        <v>1.75</v>
      </c>
      <c r="L994" s="39">
        <f>K994*J994</f>
        <v>481.25</v>
      </c>
      <c r="M994" s="91"/>
      <c r="N994" s="33">
        <v>44463</v>
      </c>
      <c r="O994" s="32">
        <v>3510</v>
      </c>
      <c r="P994" s="391">
        <f>ROUNDUP(S994/V994/VLOOKUP(B994,$C$2:$F$6,3,FALSE),2)</f>
        <v>1.34</v>
      </c>
      <c r="Q994" s="322">
        <v>1.34</v>
      </c>
      <c r="S994" s="7">
        <v>84</v>
      </c>
      <c r="T994" s="7">
        <f>S994*J994</f>
        <v>23100</v>
      </c>
      <c r="U994" s="267" t="s">
        <v>2546</v>
      </c>
      <c r="V994" s="260">
        <v>90</v>
      </c>
    </row>
    <row r="995" spans="2:22" s="143" customFormat="1" ht="18" customHeight="1">
      <c r="B995" s="276"/>
      <c r="C995" s="6" t="s">
        <v>2545</v>
      </c>
      <c r="D995" s="14" t="s">
        <v>2071</v>
      </c>
      <c r="E995" s="49"/>
      <c r="F995" s="116"/>
      <c r="G995" s="22" t="s">
        <v>316</v>
      </c>
      <c r="H995" s="8"/>
      <c r="I995" s="35"/>
      <c r="J995" s="38">
        <v>1</v>
      </c>
      <c r="K995" s="39">
        <v>12</v>
      </c>
      <c r="L995" s="39">
        <f>K995*J995</f>
        <v>12</v>
      </c>
      <c r="M995" s="91"/>
      <c r="N995" s="33">
        <v>44463</v>
      </c>
      <c r="O995" s="32">
        <v>3510</v>
      </c>
      <c r="P995" s="6"/>
      <c r="Q995" s="322">
        <v>12</v>
      </c>
      <c r="S995" s="7">
        <v>0</v>
      </c>
      <c r="T995" s="7">
        <f>S995*J995</f>
        <v>0</v>
      </c>
      <c r="U995" s="746"/>
      <c r="V995" s="260">
        <v>90</v>
      </c>
    </row>
    <row r="996" spans="2:22" s="191" customFormat="1" ht="15">
      <c r="B996" s="190"/>
      <c r="C996" s="179" t="s">
        <v>2545</v>
      </c>
      <c r="D996" s="180" t="s">
        <v>2071</v>
      </c>
      <c r="E996" s="181"/>
      <c r="F996" s="622"/>
      <c r="G996" s="182" t="s">
        <v>250</v>
      </c>
      <c r="H996" s="184" t="s">
        <v>252</v>
      </c>
      <c r="I996" s="185"/>
      <c r="J996" s="183"/>
      <c r="K996" s="203">
        <v>24</v>
      </c>
      <c r="L996" s="188"/>
      <c r="M996" s="187"/>
      <c r="N996" s="187">
        <v>44463</v>
      </c>
      <c r="O996" s="186">
        <v>3510</v>
      </c>
      <c r="P996" s="179"/>
      <c r="Q996" s="747">
        <v>24</v>
      </c>
      <c r="S996" s="197">
        <v>2126</v>
      </c>
      <c r="T996" s="197">
        <v>2126</v>
      </c>
      <c r="U996" s="335"/>
      <c r="V996" s="260">
        <v>90</v>
      </c>
    </row>
    <row r="997" spans="2:22" customFormat="1" ht="15">
      <c r="B997" s="26"/>
      <c r="C997" s="6" t="s">
        <v>2547</v>
      </c>
      <c r="D997" s="14" t="s">
        <v>2409</v>
      </c>
      <c r="E997" s="19" t="s">
        <v>2177</v>
      </c>
      <c r="F997" s="24"/>
      <c r="G997" s="22"/>
      <c r="H997" s="15"/>
      <c r="I997" s="61"/>
      <c r="J997" s="60"/>
      <c r="K997" s="16" t="s">
        <v>101</v>
      </c>
      <c r="L997" s="139"/>
      <c r="M997" s="33"/>
      <c r="N997" s="33">
        <v>44468</v>
      </c>
      <c r="O997" s="32">
        <v>3524</v>
      </c>
      <c r="P997" s="6" t="s">
        <v>8</v>
      </c>
      <c r="Q997" s="358"/>
      <c r="R997" s="1"/>
      <c r="S997" s="7"/>
      <c r="T997" s="7"/>
      <c r="U997" s="120"/>
      <c r="V997" s="260">
        <v>90</v>
      </c>
    </row>
    <row r="998" spans="2:22" customFormat="1" ht="15">
      <c r="B998" s="12" t="s">
        <v>300</v>
      </c>
      <c r="C998" s="6" t="s">
        <v>2547</v>
      </c>
      <c r="D998" s="14" t="s">
        <v>2409</v>
      </c>
      <c r="E998" s="22">
        <v>4141</v>
      </c>
      <c r="F998" s="24" t="s">
        <v>2178</v>
      </c>
      <c r="G998" s="22" t="s">
        <v>2548</v>
      </c>
      <c r="H998" s="60">
        <v>20</v>
      </c>
      <c r="I998" s="61">
        <v>1</v>
      </c>
      <c r="J998" s="60">
        <f t="shared" ref="J998:J1009" si="33">H998*I998</f>
        <v>20</v>
      </c>
      <c r="K998" s="23">
        <v>2.4900000000000002</v>
      </c>
      <c r="L998" s="39">
        <f t="shared" ref="L998:L1010" si="34">K998*J998</f>
        <v>49.800000000000004</v>
      </c>
      <c r="M998" s="91"/>
      <c r="N998" s="33">
        <v>44468</v>
      </c>
      <c r="O998" s="32">
        <v>3524</v>
      </c>
      <c r="P998" s="391">
        <f t="shared" ref="P998:P1009" si="35">ROUNDUP(S998/V998/VLOOKUP(B998,$C$2:$F$6,3,FALSE),2)</f>
        <v>1.83</v>
      </c>
      <c r="Q998" s="358">
        <v>1.83</v>
      </c>
      <c r="R998" s="1"/>
      <c r="S998" s="7">
        <v>115</v>
      </c>
      <c r="T998" s="7">
        <f t="shared" ref="T998:T1010" si="36">S998*J998</f>
        <v>2300</v>
      </c>
      <c r="U998" s="267" t="s">
        <v>2549</v>
      </c>
      <c r="V998" s="260">
        <v>90</v>
      </c>
    </row>
    <row r="999" spans="2:22" customFormat="1" ht="15">
      <c r="B999" s="12" t="s">
        <v>300</v>
      </c>
      <c r="C999" s="6" t="s">
        <v>2547</v>
      </c>
      <c r="D999" s="14" t="s">
        <v>2409</v>
      </c>
      <c r="E999" s="22">
        <v>4141</v>
      </c>
      <c r="F999" s="24" t="s">
        <v>2178</v>
      </c>
      <c r="G999" s="22" t="s">
        <v>2550</v>
      </c>
      <c r="H999" s="60">
        <v>20</v>
      </c>
      <c r="I999" s="61">
        <v>1</v>
      </c>
      <c r="J999" s="60">
        <f t="shared" si="33"/>
        <v>20</v>
      </c>
      <c r="K999" s="23">
        <v>2.4900000000000002</v>
      </c>
      <c r="L999" s="39">
        <f t="shared" si="34"/>
        <v>49.800000000000004</v>
      </c>
      <c r="M999" s="91"/>
      <c r="N999" s="33">
        <v>44468</v>
      </c>
      <c r="O999" s="32">
        <v>3524</v>
      </c>
      <c r="P999" s="391">
        <f t="shared" si="35"/>
        <v>1.83</v>
      </c>
      <c r="Q999" s="358">
        <v>1.83</v>
      </c>
      <c r="R999" s="1"/>
      <c r="S999" s="7">
        <v>115</v>
      </c>
      <c r="T999" s="7">
        <f t="shared" si="36"/>
        <v>2300</v>
      </c>
      <c r="U999" s="267" t="s">
        <v>2549</v>
      </c>
      <c r="V999" s="260">
        <v>90</v>
      </c>
    </row>
    <row r="1000" spans="2:22" customFormat="1" ht="15">
      <c r="B1000" s="12" t="s">
        <v>300</v>
      </c>
      <c r="C1000" s="6" t="s">
        <v>2547</v>
      </c>
      <c r="D1000" s="14" t="s">
        <v>2409</v>
      </c>
      <c r="E1000" s="22">
        <v>4141</v>
      </c>
      <c r="F1000" s="24" t="s">
        <v>2178</v>
      </c>
      <c r="G1000" s="22" t="s">
        <v>80</v>
      </c>
      <c r="H1000" s="60">
        <v>20</v>
      </c>
      <c r="I1000" s="61">
        <v>1</v>
      </c>
      <c r="J1000" s="60">
        <f t="shared" si="33"/>
        <v>20</v>
      </c>
      <c r="K1000" s="23">
        <v>2.4900000000000002</v>
      </c>
      <c r="L1000" s="39">
        <f t="shared" si="34"/>
        <v>49.800000000000004</v>
      </c>
      <c r="M1000" s="91"/>
      <c r="N1000" s="33">
        <v>44468</v>
      </c>
      <c r="O1000" s="32">
        <v>3524</v>
      </c>
      <c r="P1000" s="391">
        <f t="shared" si="35"/>
        <v>1.83</v>
      </c>
      <c r="Q1000" s="358">
        <v>1.83</v>
      </c>
      <c r="R1000" s="1"/>
      <c r="S1000" s="7">
        <v>115</v>
      </c>
      <c r="T1000" s="7">
        <f t="shared" si="36"/>
        <v>2300</v>
      </c>
      <c r="U1000" s="267" t="s">
        <v>2549</v>
      </c>
      <c r="V1000" s="260">
        <v>90</v>
      </c>
    </row>
    <row r="1001" spans="2:22" customFormat="1" ht="15">
      <c r="B1001" s="12" t="s">
        <v>300</v>
      </c>
      <c r="C1001" s="6" t="s">
        <v>2547</v>
      </c>
      <c r="D1001" s="14" t="s">
        <v>2409</v>
      </c>
      <c r="E1001" s="22">
        <v>4141</v>
      </c>
      <c r="F1001" s="24" t="s">
        <v>2178</v>
      </c>
      <c r="G1001" s="22" t="s">
        <v>2551</v>
      </c>
      <c r="H1001" s="60">
        <v>20</v>
      </c>
      <c r="I1001" s="61">
        <v>1</v>
      </c>
      <c r="J1001" s="60">
        <f t="shared" si="33"/>
        <v>20</v>
      </c>
      <c r="K1001" s="23">
        <v>2.4900000000000002</v>
      </c>
      <c r="L1001" s="39">
        <f t="shared" si="34"/>
        <v>49.800000000000004</v>
      </c>
      <c r="M1001" s="91"/>
      <c r="N1001" s="33">
        <v>44468</v>
      </c>
      <c r="O1001" s="32">
        <v>3524</v>
      </c>
      <c r="P1001" s="391">
        <f t="shared" si="35"/>
        <v>1.83</v>
      </c>
      <c r="Q1001" s="358">
        <v>1.83</v>
      </c>
      <c r="R1001" s="1"/>
      <c r="S1001" s="7">
        <v>115</v>
      </c>
      <c r="T1001" s="7">
        <f t="shared" si="36"/>
        <v>2300</v>
      </c>
      <c r="U1001" s="267" t="s">
        <v>2549</v>
      </c>
      <c r="V1001" s="260">
        <v>90</v>
      </c>
    </row>
    <row r="1002" spans="2:22" customFormat="1" ht="15">
      <c r="B1002" s="12" t="s">
        <v>300</v>
      </c>
      <c r="C1002" s="6" t="s">
        <v>2547</v>
      </c>
      <c r="D1002" s="14" t="s">
        <v>2409</v>
      </c>
      <c r="E1002" s="22">
        <v>4141</v>
      </c>
      <c r="F1002" s="24">
        <v>24</v>
      </c>
      <c r="G1002" s="22" t="s">
        <v>2548</v>
      </c>
      <c r="H1002" s="60">
        <v>20</v>
      </c>
      <c r="I1002" s="61">
        <v>1</v>
      </c>
      <c r="J1002" s="60">
        <f t="shared" si="33"/>
        <v>20</v>
      </c>
      <c r="K1002" s="23">
        <v>2.4900000000000002</v>
      </c>
      <c r="L1002" s="39">
        <f t="shared" si="34"/>
        <v>49.800000000000004</v>
      </c>
      <c r="M1002" s="91"/>
      <c r="N1002" s="33">
        <v>44468</v>
      </c>
      <c r="O1002" s="32">
        <v>3524</v>
      </c>
      <c r="P1002" s="391">
        <f t="shared" si="35"/>
        <v>1.83</v>
      </c>
      <c r="Q1002" s="358">
        <v>1.83</v>
      </c>
      <c r="R1002" s="1"/>
      <c r="S1002" s="7">
        <v>115</v>
      </c>
      <c r="T1002" s="7">
        <f t="shared" si="36"/>
        <v>2300</v>
      </c>
      <c r="U1002" s="267" t="s">
        <v>2549</v>
      </c>
      <c r="V1002" s="260">
        <v>90</v>
      </c>
    </row>
    <row r="1003" spans="2:22" customFormat="1" ht="15">
      <c r="B1003" s="12" t="s">
        <v>300</v>
      </c>
      <c r="C1003" s="6" t="s">
        <v>2547</v>
      </c>
      <c r="D1003" s="14" t="s">
        <v>2409</v>
      </c>
      <c r="E1003" s="22">
        <v>4141</v>
      </c>
      <c r="F1003" s="24">
        <v>24</v>
      </c>
      <c r="G1003" s="22" t="s">
        <v>2550</v>
      </c>
      <c r="H1003" s="60">
        <v>20</v>
      </c>
      <c r="I1003" s="61">
        <v>1</v>
      </c>
      <c r="J1003" s="60">
        <f t="shared" si="33"/>
        <v>20</v>
      </c>
      <c r="K1003" s="23">
        <v>2.4900000000000002</v>
      </c>
      <c r="L1003" s="39">
        <f t="shared" si="34"/>
        <v>49.800000000000004</v>
      </c>
      <c r="M1003" s="91"/>
      <c r="N1003" s="33">
        <v>44468</v>
      </c>
      <c r="O1003" s="32">
        <v>3524</v>
      </c>
      <c r="P1003" s="391">
        <f t="shared" si="35"/>
        <v>1.83</v>
      </c>
      <c r="Q1003" s="358">
        <v>1.83</v>
      </c>
      <c r="R1003" s="1"/>
      <c r="S1003" s="7">
        <v>115</v>
      </c>
      <c r="T1003" s="7">
        <f t="shared" si="36"/>
        <v>2300</v>
      </c>
      <c r="U1003" s="267" t="s">
        <v>2549</v>
      </c>
      <c r="V1003" s="260">
        <v>90</v>
      </c>
    </row>
    <row r="1004" spans="2:22" customFormat="1" ht="15">
      <c r="B1004" s="12" t="s">
        <v>300</v>
      </c>
      <c r="C1004" s="6" t="s">
        <v>2547</v>
      </c>
      <c r="D1004" s="14" t="s">
        <v>2409</v>
      </c>
      <c r="E1004" s="22">
        <v>4141</v>
      </c>
      <c r="F1004" s="24">
        <v>24</v>
      </c>
      <c r="G1004" s="22" t="s">
        <v>80</v>
      </c>
      <c r="H1004" s="60">
        <v>20</v>
      </c>
      <c r="I1004" s="61">
        <v>1</v>
      </c>
      <c r="J1004" s="60">
        <f t="shared" si="33"/>
        <v>20</v>
      </c>
      <c r="K1004" s="23">
        <v>2.4900000000000002</v>
      </c>
      <c r="L1004" s="39">
        <f t="shared" si="34"/>
        <v>49.800000000000004</v>
      </c>
      <c r="M1004" s="91"/>
      <c r="N1004" s="33">
        <v>44468</v>
      </c>
      <c r="O1004" s="32">
        <v>3524</v>
      </c>
      <c r="P1004" s="391">
        <f t="shared" si="35"/>
        <v>1.83</v>
      </c>
      <c r="Q1004" s="358">
        <v>1.83</v>
      </c>
      <c r="R1004" s="1"/>
      <c r="S1004" s="7">
        <v>115</v>
      </c>
      <c r="T1004" s="7">
        <f t="shared" si="36"/>
        <v>2300</v>
      </c>
      <c r="U1004" s="267" t="s">
        <v>2549</v>
      </c>
      <c r="V1004" s="260">
        <v>90</v>
      </c>
    </row>
    <row r="1005" spans="2:22" customFormat="1" ht="15">
      <c r="B1005" s="12" t="s">
        <v>300</v>
      </c>
      <c r="C1005" s="6" t="s">
        <v>2547</v>
      </c>
      <c r="D1005" s="14" t="s">
        <v>2409</v>
      </c>
      <c r="E1005" s="22">
        <v>4141</v>
      </c>
      <c r="F1005" s="24">
        <v>24</v>
      </c>
      <c r="G1005" s="22" t="s">
        <v>2551</v>
      </c>
      <c r="H1005" s="60">
        <v>20</v>
      </c>
      <c r="I1005" s="61">
        <v>1</v>
      </c>
      <c r="J1005" s="60">
        <f t="shared" si="33"/>
        <v>20</v>
      </c>
      <c r="K1005" s="23">
        <v>2.4900000000000002</v>
      </c>
      <c r="L1005" s="39">
        <f t="shared" si="34"/>
        <v>49.800000000000004</v>
      </c>
      <c r="M1005" s="91"/>
      <c r="N1005" s="33">
        <v>44468</v>
      </c>
      <c r="O1005" s="32">
        <v>3524</v>
      </c>
      <c r="P1005" s="391">
        <f t="shared" si="35"/>
        <v>1.83</v>
      </c>
      <c r="Q1005" s="358">
        <v>1.83</v>
      </c>
      <c r="R1005" s="1"/>
      <c r="S1005" s="7">
        <v>115</v>
      </c>
      <c r="T1005" s="7">
        <f t="shared" si="36"/>
        <v>2300</v>
      </c>
      <c r="U1005" s="267" t="s">
        <v>2549</v>
      </c>
      <c r="V1005" s="260">
        <v>90</v>
      </c>
    </row>
    <row r="1006" spans="2:22" customFormat="1" ht="15">
      <c r="B1006" s="12" t="s">
        <v>300</v>
      </c>
      <c r="C1006" s="6" t="s">
        <v>2547</v>
      </c>
      <c r="D1006" s="14" t="s">
        <v>2409</v>
      </c>
      <c r="E1006" s="22">
        <v>4141</v>
      </c>
      <c r="F1006" s="24">
        <v>12</v>
      </c>
      <c r="G1006" s="22" t="s">
        <v>2548</v>
      </c>
      <c r="H1006" s="60">
        <v>20</v>
      </c>
      <c r="I1006" s="61">
        <v>1</v>
      </c>
      <c r="J1006" s="60">
        <f t="shared" si="33"/>
        <v>20</v>
      </c>
      <c r="K1006" s="23">
        <v>1.86</v>
      </c>
      <c r="L1006" s="39">
        <f t="shared" si="34"/>
        <v>37.200000000000003</v>
      </c>
      <c r="M1006" s="91"/>
      <c r="N1006" s="33">
        <v>44468</v>
      </c>
      <c r="O1006" s="32">
        <v>3524</v>
      </c>
      <c r="P1006" s="391">
        <f t="shared" si="35"/>
        <v>1.37</v>
      </c>
      <c r="Q1006" s="358">
        <v>1.37</v>
      </c>
      <c r="R1006" s="1"/>
      <c r="S1006" s="7">
        <v>86</v>
      </c>
      <c r="T1006" s="7">
        <f t="shared" si="36"/>
        <v>1720</v>
      </c>
      <c r="U1006" s="267" t="s">
        <v>2552</v>
      </c>
      <c r="V1006" s="260">
        <v>90</v>
      </c>
    </row>
    <row r="1007" spans="2:22" customFormat="1" ht="15">
      <c r="B1007" s="12" t="s">
        <v>300</v>
      </c>
      <c r="C1007" s="6" t="s">
        <v>2547</v>
      </c>
      <c r="D1007" s="14" t="s">
        <v>2409</v>
      </c>
      <c r="E1007" s="22">
        <v>4141</v>
      </c>
      <c r="F1007" s="24">
        <v>12</v>
      </c>
      <c r="G1007" s="22" t="s">
        <v>2550</v>
      </c>
      <c r="H1007" s="60">
        <v>20</v>
      </c>
      <c r="I1007" s="61">
        <v>1</v>
      </c>
      <c r="J1007" s="60">
        <f t="shared" si="33"/>
        <v>20</v>
      </c>
      <c r="K1007" s="23">
        <v>1.86</v>
      </c>
      <c r="L1007" s="39">
        <f t="shared" si="34"/>
        <v>37.200000000000003</v>
      </c>
      <c r="M1007" s="91"/>
      <c r="N1007" s="33">
        <v>44491</v>
      </c>
      <c r="O1007" s="32">
        <v>3590</v>
      </c>
      <c r="P1007" s="391">
        <f t="shared" si="35"/>
        <v>1.37</v>
      </c>
      <c r="Q1007" s="358">
        <v>1.37</v>
      </c>
      <c r="R1007" s="1"/>
      <c r="S1007" s="7">
        <v>86</v>
      </c>
      <c r="T1007" s="7">
        <f t="shared" si="36"/>
        <v>1720</v>
      </c>
      <c r="U1007" s="267" t="s">
        <v>2552</v>
      </c>
      <c r="V1007" s="260">
        <v>90</v>
      </c>
    </row>
    <row r="1008" spans="2:22" customFormat="1" ht="15">
      <c r="B1008" s="12" t="s">
        <v>300</v>
      </c>
      <c r="C1008" s="6" t="s">
        <v>2547</v>
      </c>
      <c r="D1008" s="14" t="s">
        <v>2409</v>
      </c>
      <c r="E1008" s="22">
        <v>4141</v>
      </c>
      <c r="F1008" s="24">
        <v>12</v>
      </c>
      <c r="G1008" s="22" t="s">
        <v>80</v>
      </c>
      <c r="H1008" s="60">
        <v>20</v>
      </c>
      <c r="I1008" s="61">
        <v>1</v>
      </c>
      <c r="J1008" s="60">
        <f t="shared" si="33"/>
        <v>20</v>
      </c>
      <c r="K1008" s="23">
        <v>1.86</v>
      </c>
      <c r="L1008" s="39">
        <f t="shared" si="34"/>
        <v>37.200000000000003</v>
      </c>
      <c r="M1008" s="91"/>
      <c r="N1008" s="33">
        <v>44468</v>
      </c>
      <c r="O1008" s="32">
        <v>3524</v>
      </c>
      <c r="P1008" s="391">
        <f t="shared" si="35"/>
        <v>1.37</v>
      </c>
      <c r="Q1008" s="358">
        <v>1.37</v>
      </c>
      <c r="R1008" s="1"/>
      <c r="S1008" s="7">
        <v>86</v>
      </c>
      <c r="T1008" s="7">
        <f t="shared" si="36"/>
        <v>1720</v>
      </c>
      <c r="U1008" s="267" t="s">
        <v>2552</v>
      </c>
      <c r="V1008" s="260">
        <v>90</v>
      </c>
    </row>
    <row r="1009" spans="2:22" customFormat="1" ht="15">
      <c r="B1009" s="12" t="s">
        <v>300</v>
      </c>
      <c r="C1009" s="6" t="s">
        <v>2547</v>
      </c>
      <c r="D1009" s="14" t="s">
        <v>2409</v>
      </c>
      <c r="E1009" s="22">
        <v>4141</v>
      </c>
      <c r="F1009" s="24">
        <v>12</v>
      </c>
      <c r="G1009" s="22" t="s">
        <v>2551</v>
      </c>
      <c r="H1009" s="60">
        <v>20</v>
      </c>
      <c r="I1009" s="61">
        <v>1</v>
      </c>
      <c r="J1009" s="60">
        <f t="shared" si="33"/>
        <v>20</v>
      </c>
      <c r="K1009" s="23">
        <v>1.86</v>
      </c>
      <c r="L1009" s="39">
        <f t="shared" si="34"/>
        <v>37.200000000000003</v>
      </c>
      <c r="M1009" s="91"/>
      <c r="N1009" s="33">
        <v>44468</v>
      </c>
      <c r="O1009" s="32">
        <v>3524</v>
      </c>
      <c r="P1009" s="391">
        <f t="shared" si="35"/>
        <v>1.37</v>
      </c>
      <c r="Q1009" s="358">
        <v>1.37</v>
      </c>
      <c r="R1009" s="1"/>
      <c r="S1009" s="7">
        <v>86</v>
      </c>
      <c r="T1009" s="7">
        <f t="shared" si="36"/>
        <v>1720</v>
      </c>
      <c r="U1009" s="267" t="s">
        <v>2552</v>
      </c>
      <c r="V1009" s="260">
        <v>90</v>
      </c>
    </row>
    <row r="1010" spans="2:22" s="7" customFormat="1" ht="15">
      <c r="B1010" s="12"/>
      <c r="C1010" s="6" t="s">
        <v>2547</v>
      </c>
      <c r="D1010" s="14" t="s">
        <v>2409</v>
      </c>
      <c r="E1010" s="22"/>
      <c r="F1010" s="102"/>
      <c r="G1010" s="22" t="s">
        <v>316</v>
      </c>
      <c r="H1010" s="8"/>
      <c r="I1010" s="35"/>
      <c r="J1010" s="38">
        <v>1</v>
      </c>
      <c r="K1010" s="39">
        <v>12</v>
      </c>
      <c r="L1010" s="39">
        <f t="shared" si="34"/>
        <v>12</v>
      </c>
      <c r="M1010" s="91"/>
      <c r="N1010" s="33">
        <v>44468</v>
      </c>
      <c r="O1010" s="32">
        <v>3524</v>
      </c>
      <c r="P1010" s="6" t="s">
        <v>3</v>
      </c>
      <c r="Q1010" s="322">
        <v>12</v>
      </c>
      <c r="S1010" s="7">
        <v>0</v>
      </c>
      <c r="T1010" s="7">
        <f t="shared" si="36"/>
        <v>0</v>
      </c>
      <c r="U1010" s="21"/>
      <c r="V1010" s="260">
        <v>90</v>
      </c>
    </row>
    <row r="1011" spans="2:22" s="191" customFormat="1" ht="15">
      <c r="B1011" s="190"/>
      <c r="C1011" s="179" t="s">
        <v>2547</v>
      </c>
      <c r="D1011" s="180" t="s">
        <v>2409</v>
      </c>
      <c r="E1011" s="217"/>
      <c r="F1011" s="182"/>
      <c r="G1011" s="182" t="s">
        <v>250</v>
      </c>
      <c r="H1011" s="184" t="s">
        <v>251</v>
      </c>
      <c r="I1011" s="185"/>
      <c r="J1011" s="183"/>
      <c r="K1011" s="192">
        <v>0</v>
      </c>
      <c r="L1011" s="188"/>
      <c r="M1011" s="187"/>
      <c r="N1011" s="187">
        <v>44468</v>
      </c>
      <c r="O1011" s="186">
        <v>3524</v>
      </c>
      <c r="P1011" s="179"/>
      <c r="Q1011" s="725">
        <v>0</v>
      </c>
      <c r="S1011" s="197">
        <v>0</v>
      </c>
      <c r="T1011" s="198">
        <v>0</v>
      </c>
      <c r="U1011" s="335"/>
      <c r="V1011" s="260">
        <v>90</v>
      </c>
    </row>
    <row r="1012" spans="2:22" s="7" customFormat="1" ht="18" customHeight="1">
      <c r="B1012" s="12"/>
      <c r="C1012" s="6" t="s">
        <v>2553</v>
      </c>
      <c r="D1012" s="14" t="s">
        <v>2211</v>
      </c>
      <c r="E1012" s="19" t="s">
        <v>1950</v>
      </c>
      <c r="F1012" s="37"/>
      <c r="G1012" s="37"/>
      <c r="H1012" s="108"/>
      <c r="I1012" s="108"/>
      <c r="J1012" s="108"/>
      <c r="K1012" s="29" t="s">
        <v>5</v>
      </c>
      <c r="L1012" s="139"/>
      <c r="M1012" s="33"/>
      <c r="N1012" s="33">
        <v>44469</v>
      </c>
      <c r="O1012" s="32">
        <v>3519</v>
      </c>
      <c r="P1012" s="6"/>
      <c r="Q1012" s="339"/>
      <c r="U1012" s="21"/>
      <c r="V1012" s="260">
        <v>90</v>
      </c>
    </row>
    <row r="1013" spans="2:22" s="7" customFormat="1" ht="17.25" customHeight="1">
      <c r="B1013" s="12" t="s">
        <v>300</v>
      </c>
      <c r="C1013" s="6" t="s">
        <v>2553</v>
      </c>
      <c r="D1013" s="14" t="s">
        <v>2211</v>
      </c>
      <c r="E1013" s="22">
        <v>3808</v>
      </c>
      <c r="F1013" s="37">
        <v>9</v>
      </c>
      <c r="G1013" s="812" t="s">
        <v>2554</v>
      </c>
      <c r="H1013" s="108">
        <v>50</v>
      </c>
      <c r="I1013" s="814">
        <v>2</v>
      </c>
      <c r="J1013" s="60">
        <f>H1013*I1013</f>
        <v>100</v>
      </c>
      <c r="K1013" s="39">
        <v>0.56999999999999995</v>
      </c>
      <c r="L1013" s="39">
        <f>K1013*J1013</f>
        <v>56.999999999999993</v>
      </c>
      <c r="M1013" s="91"/>
      <c r="N1013" s="33">
        <v>44469</v>
      </c>
      <c r="O1013" s="32">
        <v>3519</v>
      </c>
      <c r="P1013" s="391">
        <f>ROUNDUP(S1013/V1013/VLOOKUP(B1013,$C$2:$F$6,3,FALSE),2)</f>
        <v>0.29000000000000004</v>
      </c>
      <c r="Q1013" s="725">
        <v>0.28999999999999998</v>
      </c>
      <c r="S1013" s="7">
        <v>18</v>
      </c>
      <c r="T1013" s="7">
        <f>S1013*J1013</f>
        <v>1800</v>
      </c>
      <c r="U1013" s="267" t="s">
        <v>2555</v>
      </c>
      <c r="V1013" s="260">
        <v>90</v>
      </c>
    </row>
    <row r="1014" spans="2:22" s="7" customFormat="1" ht="17.25" customHeight="1">
      <c r="B1014" s="12" t="s">
        <v>300</v>
      </c>
      <c r="C1014" s="6" t="s">
        <v>2553</v>
      </c>
      <c r="D1014" s="14" t="s">
        <v>2211</v>
      </c>
      <c r="E1014" s="22">
        <v>3808</v>
      </c>
      <c r="F1014" s="37">
        <v>9</v>
      </c>
      <c r="G1014" s="812" t="s">
        <v>2556</v>
      </c>
      <c r="H1014" s="108">
        <v>50</v>
      </c>
      <c r="I1014" s="814">
        <v>2</v>
      </c>
      <c r="J1014" s="60">
        <f>H1014*I1014</f>
        <v>100</v>
      </c>
      <c r="K1014" s="39">
        <v>0.56999999999999995</v>
      </c>
      <c r="L1014" s="39">
        <f>K1014*J1014</f>
        <v>56.999999999999993</v>
      </c>
      <c r="M1014" s="91"/>
      <c r="N1014" s="33">
        <v>44469</v>
      </c>
      <c r="O1014" s="32">
        <v>3519</v>
      </c>
      <c r="P1014" s="391">
        <f>ROUNDUP(S1014/V1014/VLOOKUP(B1014,$C$2:$F$6,3,FALSE),2)</f>
        <v>0.29000000000000004</v>
      </c>
      <c r="Q1014" s="725">
        <v>0.28999999999999998</v>
      </c>
      <c r="S1014" s="7">
        <v>18</v>
      </c>
      <c r="T1014" s="7">
        <f>S1014*J1014</f>
        <v>1800</v>
      </c>
      <c r="U1014" s="267" t="s">
        <v>2555</v>
      </c>
      <c r="V1014" s="260">
        <v>90</v>
      </c>
    </row>
    <row r="1015" spans="2:22" s="7" customFormat="1" ht="17.25" customHeight="1">
      <c r="B1015" s="12" t="s">
        <v>300</v>
      </c>
      <c r="C1015" s="6" t="s">
        <v>2553</v>
      </c>
      <c r="D1015" s="14" t="s">
        <v>2211</v>
      </c>
      <c r="E1015" s="22">
        <v>3808</v>
      </c>
      <c r="F1015" s="37">
        <v>9</v>
      </c>
      <c r="G1015" s="812" t="s">
        <v>2557</v>
      </c>
      <c r="H1015" s="108">
        <v>50</v>
      </c>
      <c r="I1015" s="814">
        <v>3</v>
      </c>
      <c r="J1015" s="60">
        <f>H1015*I1015</f>
        <v>150</v>
      </c>
      <c r="K1015" s="39">
        <v>0.56999999999999995</v>
      </c>
      <c r="L1015" s="39">
        <f>K1015*J1015</f>
        <v>85.499999999999986</v>
      </c>
      <c r="M1015" s="91"/>
      <c r="N1015" s="33">
        <v>44469</v>
      </c>
      <c r="O1015" s="32">
        <v>3519</v>
      </c>
      <c r="P1015" s="391">
        <f>ROUNDUP(S1015/V1015/VLOOKUP(B1015,$C$2:$F$6,3,FALSE),2)</f>
        <v>0.29000000000000004</v>
      </c>
      <c r="Q1015" s="725">
        <v>0.28999999999999998</v>
      </c>
      <c r="S1015" s="7">
        <v>18</v>
      </c>
      <c r="T1015" s="7">
        <f>S1015*J1015</f>
        <v>2700</v>
      </c>
      <c r="U1015" s="267" t="s">
        <v>2555</v>
      </c>
      <c r="V1015" s="260">
        <v>90</v>
      </c>
    </row>
    <row r="1016" spans="2:22" s="7" customFormat="1" ht="15">
      <c r="B1016" s="12"/>
      <c r="C1016" s="6" t="s">
        <v>2553</v>
      </c>
      <c r="D1016" s="14" t="s">
        <v>2211</v>
      </c>
      <c r="E1016" s="22"/>
      <c r="F1016" s="102"/>
      <c r="G1016" s="22" t="s">
        <v>316</v>
      </c>
      <c r="H1016" s="8"/>
      <c r="I1016" s="35"/>
      <c r="J1016" s="38">
        <v>1</v>
      </c>
      <c r="K1016" s="39">
        <v>12</v>
      </c>
      <c r="L1016" s="39">
        <f>K1016*J1016</f>
        <v>12</v>
      </c>
      <c r="M1016" s="91"/>
      <c r="N1016" s="33">
        <v>44469</v>
      </c>
      <c r="O1016" s="32">
        <v>3519</v>
      </c>
      <c r="P1016" s="391" t="e">
        <f>ROUNDUP(S1016/V1016/VLOOKUP(B1016,$C$2:$F$6,3,FALSE),2)</f>
        <v>#N/A</v>
      </c>
      <c r="Q1016" s="322">
        <v>12</v>
      </c>
      <c r="S1016" s="7">
        <v>0</v>
      </c>
      <c r="T1016" s="7">
        <f>S1016*J1016</f>
        <v>0</v>
      </c>
      <c r="U1016" s="21"/>
      <c r="V1016" s="260">
        <v>90</v>
      </c>
    </row>
    <row r="1017" spans="2:22" s="191" customFormat="1" ht="18" customHeight="1">
      <c r="B1017" s="190"/>
      <c r="C1017" s="179" t="s">
        <v>2553</v>
      </c>
      <c r="D1017" s="180" t="s">
        <v>2211</v>
      </c>
      <c r="E1017" s="736"/>
      <c r="F1017" s="737"/>
      <c r="G1017" s="182" t="s">
        <v>1955</v>
      </c>
      <c r="H1017" s="222"/>
      <c r="I1017" s="222"/>
      <c r="J1017" s="222">
        <v>350</v>
      </c>
      <c r="K1017" s="192">
        <v>0.19</v>
      </c>
      <c r="L1017" s="192">
        <f>K1017*J1017</f>
        <v>66.5</v>
      </c>
      <c r="M1017" s="331"/>
      <c r="N1017" s="187">
        <v>44469</v>
      </c>
      <c r="O1017" s="186">
        <v>3519</v>
      </c>
      <c r="P1017" s="327"/>
      <c r="Q1017" s="762">
        <v>66.5</v>
      </c>
      <c r="S1017" s="786">
        <v>2148</v>
      </c>
      <c r="T1017" s="786">
        <v>2148</v>
      </c>
      <c r="U1017" s="267"/>
      <c r="V1017" s="260">
        <v>90</v>
      </c>
    </row>
    <row r="1018" spans="2:22" s="7" customFormat="1" ht="18" customHeight="1">
      <c r="B1018" s="12"/>
      <c r="C1018" s="6" t="s">
        <v>2558</v>
      </c>
      <c r="D1018" s="14" t="s">
        <v>2559</v>
      </c>
      <c r="E1018" s="17" t="s">
        <v>1989</v>
      </c>
      <c r="F1018" s="319"/>
      <c r="G1018" s="299"/>
      <c r="H1018" s="300"/>
      <c r="I1018" s="320"/>
      <c r="J1018" s="321"/>
      <c r="K1018" s="110" t="s">
        <v>5</v>
      </c>
      <c r="L1018" s="139"/>
      <c r="M1018" s="33"/>
      <c r="N1018" s="33">
        <v>44477</v>
      </c>
      <c r="O1018" s="32">
        <v>3536</v>
      </c>
      <c r="P1018" s="6"/>
      <c r="Q1018" s="322"/>
      <c r="U1018" s="39"/>
      <c r="V1018" s="260">
        <v>90</v>
      </c>
    </row>
    <row r="1019" spans="2:22" s="7" customFormat="1" ht="18" customHeight="1">
      <c r="B1019" s="12" t="s">
        <v>300</v>
      </c>
      <c r="C1019" s="6" t="s">
        <v>2558</v>
      </c>
      <c r="D1019" s="14" t="s">
        <v>2559</v>
      </c>
      <c r="E1019" s="22">
        <v>5637</v>
      </c>
      <c r="F1019" s="24" t="s">
        <v>230</v>
      </c>
      <c r="G1019" s="22" t="s">
        <v>319</v>
      </c>
      <c r="H1019" s="108">
        <v>50</v>
      </c>
      <c r="I1019" s="109">
        <v>2</v>
      </c>
      <c r="J1019" s="8">
        <f>H1019*I1019</f>
        <v>100</v>
      </c>
      <c r="K1019" s="137">
        <v>0.28000000000000003</v>
      </c>
      <c r="L1019" s="39">
        <f>K1019*J1019</f>
        <v>28.000000000000004</v>
      </c>
      <c r="M1019" s="91"/>
      <c r="N1019" s="33">
        <v>44477</v>
      </c>
      <c r="O1019" s="32">
        <v>3536</v>
      </c>
      <c r="P1019" s="391">
        <f>ROUNDUP(S1019/V1019/VLOOKUP(B1019,$C$2:$F$6,3,FALSE),2)</f>
        <v>0.2</v>
      </c>
      <c r="Q1019" s="322">
        <v>0.2</v>
      </c>
      <c r="S1019" s="92">
        <v>12.6</v>
      </c>
      <c r="T1019" s="7">
        <f>S1019*J1019</f>
        <v>1260</v>
      </c>
      <c r="U1019" s="120"/>
      <c r="V1019" s="260">
        <v>90</v>
      </c>
    </row>
    <row r="1020" spans="2:22" s="7" customFormat="1" ht="18" customHeight="1">
      <c r="B1020" s="12" t="s">
        <v>300</v>
      </c>
      <c r="C1020" s="6" t="s">
        <v>2558</v>
      </c>
      <c r="D1020" s="14" t="s">
        <v>2559</v>
      </c>
      <c r="E1020" s="22">
        <v>5637</v>
      </c>
      <c r="F1020" s="24" t="s">
        <v>230</v>
      </c>
      <c r="G1020" s="22" t="s">
        <v>2560</v>
      </c>
      <c r="H1020" s="108">
        <v>50</v>
      </c>
      <c r="I1020" s="109">
        <v>3</v>
      </c>
      <c r="J1020" s="8">
        <f>H1020*I1020</f>
        <v>150</v>
      </c>
      <c r="K1020" s="137">
        <v>0.28000000000000003</v>
      </c>
      <c r="L1020" s="39">
        <f>K1020*J1020</f>
        <v>42.000000000000007</v>
      </c>
      <c r="M1020" s="91"/>
      <c r="N1020" s="33">
        <v>44477</v>
      </c>
      <c r="O1020" s="32">
        <v>3536</v>
      </c>
      <c r="P1020" s="391">
        <f>ROUNDUP(S1020/V1020/VLOOKUP(B1020,$C$2:$F$6,3,FALSE),2)</f>
        <v>0.2</v>
      </c>
      <c r="Q1020" s="322">
        <v>0.2</v>
      </c>
      <c r="S1020" s="92">
        <v>12.6</v>
      </c>
      <c r="T1020" s="7">
        <f>S1020*J1020</f>
        <v>1890</v>
      </c>
      <c r="U1020" s="120"/>
      <c r="V1020" s="260">
        <v>90</v>
      </c>
    </row>
    <row r="1021" spans="2:22" s="7" customFormat="1" ht="15">
      <c r="B1021" s="12"/>
      <c r="C1021" s="6" t="s">
        <v>2558</v>
      </c>
      <c r="D1021" s="14" t="s">
        <v>2559</v>
      </c>
      <c r="E1021" s="49"/>
      <c r="F1021" s="102"/>
      <c r="G1021" s="22" t="s">
        <v>316</v>
      </c>
      <c r="H1021" s="8"/>
      <c r="I1021" s="35"/>
      <c r="J1021" s="38">
        <v>1</v>
      </c>
      <c r="K1021" s="39">
        <v>12</v>
      </c>
      <c r="L1021" s="39">
        <f>K1021*J1021</f>
        <v>12</v>
      </c>
      <c r="M1021" s="91"/>
      <c r="N1021" s="33">
        <v>44477</v>
      </c>
      <c r="O1021" s="32">
        <v>3536</v>
      </c>
      <c r="P1021" s="6"/>
      <c r="Q1021" s="322">
        <v>12</v>
      </c>
      <c r="S1021" s="197">
        <v>1100</v>
      </c>
      <c r="T1021" s="7">
        <f>S1021*J1021</f>
        <v>1100</v>
      </c>
      <c r="U1021" s="21"/>
      <c r="V1021" s="260">
        <v>90</v>
      </c>
    </row>
    <row r="1022" spans="2:22" s="191" customFormat="1" ht="15">
      <c r="B1022" s="190"/>
      <c r="C1022" s="179" t="s">
        <v>2558</v>
      </c>
      <c r="D1022" s="180" t="s">
        <v>2559</v>
      </c>
      <c r="E1022" s="181"/>
      <c r="F1022" s="182"/>
      <c r="G1022" s="182" t="s">
        <v>250</v>
      </c>
      <c r="H1022" s="184" t="s">
        <v>251</v>
      </c>
      <c r="I1022" s="185"/>
      <c r="J1022" s="183"/>
      <c r="K1022" s="192">
        <v>0</v>
      </c>
      <c r="L1022" s="188"/>
      <c r="M1022" s="187"/>
      <c r="N1022" s="187">
        <v>44477</v>
      </c>
      <c r="O1022" s="186">
        <v>3536</v>
      </c>
      <c r="P1022" s="179"/>
      <c r="Q1022" s="725">
        <v>0</v>
      </c>
      <c r="S1022" s="197">
        <v>0</v>
      </c>
      <c r="T1022" s="198">
        <v>0</v>
      </c>
      <c r="U1022" s="335"/>
      <c r="V1022" s="260">
        <v>90</v>
      </c>
    </row>
    <row r="1023" spans="2:22" customFormat="1" ht="18" customHeight="1">
      <c r="B1023" s="26"/>
      <c r="C1023" s="6" t="s">
        <v>2561</v>
      </c>
      <c r="D1023" s="14" t="s">
        <v>2004</v>
      </c>
      <c r="E1023" s="19" t="s">
        <v>2005</v>
      </c>
      <c r="F1023" s="37"/>
      <c r="G1023" s="37"/>
      <c r="H1023" s="108"/>
      <c r="I1023" s="108"/>
      <c r="J1023" s="108"/>
      <c r="K1023" s="29" t="s">
        <v>101</v>
      </c>
      <c r="L1023" s="139"/>
      <c r="M1023" s="33"/>
      <c r="N1023" s="33">
        <v>44474</v>
      </c>
      <c r="O1023" s="32">
        <v>3537</v>
      </c>
      <c r="P1023" s="6"/>
      <c r="Q1023" s="339"/>
      <c r="R1023" s="1"/>
      <c r="S1023" s="7"/>
      <c r="T1023" s="7"/>
      <c r="U1023" s="21"/>
      <c r="V1023" s="260">
        <v>90</v>
      </c>
    </row>
    <row r="1024" spans="2:22" customFormat="1" ht="18" customHeight="1">
      <c r="B1024" s="26" t="s">
        <v>300</v>
      </c>
      <c r="C1024" s="6" t="s">
        <v>2561</v>
      </c>
      <c r="D1024" s="14" t="s">
        <v>2004</v>
      </c>
      <c r="E1024" s="22" t="s">
        <v>287</v>
      </c>
      <c r="F1024" s="37"/>
      <c r="G1024" s="37" t="s">
        <v>2007</v>
      </c>
      <c r="H1024" s="108">
        <v>100</v>
      </c>
      <c r="I1024" s="109">
        <v>2</v>
      </c>
      <c r="J1024" s="8">
        <f>H1024*I1024</f>
        <v>200</v>
      </c>
      <c r="K1024" s="39">
        <v>1.27</v>
      </c>
      <c r="L1024" s="39">
        <f>K1024*J1024</f>
        <v>254</v>
      </c>
      <c r="M1024" s="91"/>
      <c r="N1024" s="33">
        <v>44474</v>
      </c>
      <c r="O1024" s="32">
        <v>3537</v>
      </c>
      <c r="P1024" s="391">
        <f>ROUNDUP(S1024/V1024/VLOOKUP(B1024,$C$2:$F$6,3,FALSE),2)</f>
        <v>1.0900000000000001</v>
      </c>
      <c r="Q1024" s="322">
        <v>1.0900000000000001</v>
      </c>
      <c r="R1024" s="1"/>
      <c r="S1024" s="7">
        <v>68.5</v>
      </c>
      <c r="T1024" s="7">
        <f>S1024*J1024</f>
        <v>13700</v>
      </c>
      <c r="U1024" s="39"/>
      <c r="V1024" s="260">
        <v>90</v>
      </c>
    </row>
    <row r="1025" spans="2:22" s="7" customFormat="1" ht="15">
      <c r="B1025" s="12"/>
      <c r="C1025" s="6" t="s">
        <v>2561</v>
      </c>
      <c r="D1025" s="14" t="s">
        <v>2004</v>
      </c>
      <c r="E1025" s="82"/>
      <c r="F1025" s="102"/>
      <c r="G1025" s="22" t="s">
        <v>316</v>
      </c>
      <c r="H1025" s="8"/>
      <c r="I1025" s="35"/>
      <c r="J1025" s="38">
        <v>1</v>
      </c>
      <c r="K1025" s="39">
        <v>12</v>
      </c>
      <c r="L1025" s="39">
        <f>K1025*J1025</f>
        <v>12</v>
      </c>
      <c r="M1025" s="91"/>
      <c r="N1025" s="33">
        <v>44474</v>
      </c>
      <c r="O1025" s="32">
        <v>3537</v>
      </c>
      <c r="P1025" s="6"/>
      <c r="Q1025" s="322">
        <v>12</v>
      </c>
      <c r="S1025" s="92">
        <v>1000</v>
      </c>
      <c r="T1025" s="7">
        <f>S1025*J1025</f>
        <v>1000</v>
      </c>
      <c r="U1025" s="21"/>
      <c r="V1025" s="260">
        <v>90</v>
      </c>
    </row>
    <row r="1026" spans="2:22" s="191" customFormat="1" ht="15">
      <c r="B1026" s="190"/>
      <c r="C1026" s="179" t="s">
        <v>2561</v>
      </c>
      <c r="D1026" s="180" t="s">
        <v>2004</v>
      </c>
      <c r="E1026" s="181"/>
      <c r="F1026" s="182"/>
      <c r="G1026" s="182" t="s">
        <v>250</v>
      </c>
      <c r="H1026" s="184" t="s">
        <v>251</v>
      </c>
      <c r="I1026" s="185"/>
      <c r="J1026" s="183"/>
      <c r="K1026" s="192">
        <v>0</v>
      </c>
      <c r="L1026" s="188"/>
      <c r="M1026" s="187"/>
      <c r="N1026" s="187">
        <v>44474</v>
      </c>
      <c r="O1026" s="186">
        <v>3537</v>
      </c>
      <c r="P1026" s="179"/>
      <c r="Q1026" s="725">
        <v>0</v>
      </c>
      <c r="S1026" s="197">
        <v>0</v>
      </c>
      <c r="T1026" s="7">
        <f>S1026*J1026</f>
        <v>0</v>
      </c>
      <c r="U1026" s="335"/>
      <c r="V1026" s="260">
        <v>90</v>
      </c>
    </row>
    <row r="1027" spans="2:22" s="7" customFormat="1" ht="18" customHeight="1">
      <c r="B1027" s="12"/>
      <c r="C1027" s="6" t="s">
        <v>2562</v>
      </c>
      <c r="D1027" s="14" t="s">
        <v>2563</v>
      </c>
      <c r="E1027" s="19" t="s">
        <v>2270</v>
      </c>
      <c r="F1027" s="37"/>
      <c r="G1027" s="37"/>
      <c r="H1027" s="108"/>
      <c r="I1027" s="108"/>
      <c r="J1027" s="108"/>
      <c r="K1027" s="29" t="s">
        <v>5</v>
      </c>
      <c r="L1027" s="139"/>
      <c r="M1027" s="33"/>
      <c r="N1027" s="33">
        <v>44474</v>
      </c>
      <c r="O1027" s="32">
        <v>3544</v>
      </c>
      <c r="P1027" s="6"/>
      <c r="Q1027" s="339"/>
      <c r="U1027" s="21"/>
      <c r="V1027" s="260">
        <v>90</v>
      </c>
    </row>
    <row r="1028" spans="2:22" s="7" customFormat="1" ht="17.25" customHeight="1">
      <c r="B1028" s="12" t="s">
        <v>300</v>
      </c>
      <c r="C1028" s="6" t="s">
        <v>2564</v>
      </c>
      <c r="D1028" s="14" t="s">
        <v>2563</v>
      </c>
      <c r="E1028" s="22">
        <v>5636</v>
      </c>
      <c r="F1028" s="37" t="s">
        <v>230</v>
      </c>
      <c r="G1028" s="37" t="s">
        <v>2232</v>
      </c>
      <c r="H1028" s="108">
        <v>50</v>
      </c>
      <c r="I1028" s="109">
        <v>1</v>
      </c>
      <c r="J1028" s="8">
        <f>H1028*I1028</f>
        <v>50</v>
      </c>
      <c r="K1028" s="39">
        <v>0.26</v>
      </c>
      <c r="L1028" s="39">
        <f>K1028*J1028</f>
        <v>13</v>
      </c>
      <c r="M1028" s="91"/>
      <c r="N1028" s="33">
        <v>44474</v>
      </c>
      <c r="O1028" s="32">
        <v>3544</v>
      </c>
      <c r="P1028" s="391">
        <f>ROUNDUP(S1028/V1028/VLOOKUP(B1028,$C$2:$F$6,3,FALSE),2)</f>
        <v>0.17</v>
      </c>
      <c r="Q1028" s="322">
        <v>0.17</v>
      </c>
      <c r="S1028" s="752">
        <v>10.4</v>
      </c>
      <c r="T1028" s="7">
        <f>S1028*J1028</f>
        <v>520</v>
      </c>
      <c r="U1028" s="778" t="s">
        <v>2255</v>
      </c>
      <c r="V1028" s="260">
        <v>90</v>
      </c>
    </row>
    <row r="1029" spans="2:22" s="7" customFormat="1" ht="17.25" customHeight="1">
      <c r="B1029" s="12" t="s">
        <v>300</v>
      </c>
      <c r="C1029" s="6" t="s">
        <v>2565</v>
      </c>
      <c r="D1029" s="14" t="s">
        <v>2563</v>
      </c>
      <c r="E1029" s="22">
        <v>5636</v>
      </c>
      <c r="F1029" s="37" t="s">
        <v>230</v>
      </c>
      <c r="G1029" s="37" t="s">
        <v>2232</v>
      </c>
      <c r="H1029" s="108">
        <v>50</v>
      </c>
      <c r="I1029" s="109">
        <v>1</v>
      </c>
      <c r="J1029" s="8">
        <f>H1029*I1029</f>
        <v>50</v>
      </c>
      <c r="K1029" s="39">
        <v>0.26</v>
      </c>
      <c r="L1029" s="39">
        <f>K1029*J1029</f>
        <v>13</v>
      </c>
      <c r="M1029" s="91"/>
      <c r="N1029" s="33">
        <v>44474</v>
      </c>
      <c r="O1029" s="32">
        <v>3543</v>
      </c>
      <c r="P1029" s="391">
        <f>ROUNDUP(S1029/V1029/VLOOKUP(B1029,$C$2:$F$6,3,FALSE),2)</f>
        <v>0.17</v>
      </c>
      <c r="Q1029" s="322">
        <v>0.17</v>
      </c>
      <c r="S1029" s="752">
        <v>10.4</v>
      </c>
      <c r="T1029" s="7">
        <f>S1029*J1029</f>
        <v>520</v>
      </c>
      <c r="U1029" s="778" t="s">
        <v>2255</v>
      </c>
      <c r="V1029" s="260">
        <v>90</v>
      </c>
    </row>
    <row r="1030" spans="2:22" s="7" customFormat="1" ht="15">
      <c r="B1030" s="12"/>
      <c r="C1030" s="6" t="s">
        <v>2565</v>
      </c>
      <c r="D1030" s="14" t="s">
        <v>2563</v>
      </c>
      <c r="E1030" s="22"/>
      <c r="F1030" s="102"/>
      <c r="G1030" s="22" t="s">
        <v>316</v>
      </c>
      <c r="H1030" s="8"/>
      <c r="I1030" s="35"/>
      <c r="J1030" s="38">
        <v>1</v>
      </c>
      <c r="K1030" s="39">
        <v>12</v>
      </c>
      <c r="L1030" s="39">
        <f>K1030*J1030</f>
        <v>12</v>
      </c>
      <c r="M1030" s="91"/>
      <c r="N1030" s="33">
        <v>44474</v>
      </c>
      <c r="O1030" s="32">
        <v>3543</v>
      </c>
      <c r="P1030" s="6" t="s">
        <v>3</v>
      </c>
      <c r="Q1030" s="322">
        <v>12</v>
      </c>
      <c r="S1030" s="7">
        <v>1100</v>
      </c>
      <c r="T1030" s="7">
        <v>1100</v>
      </c>
      <c r="U1030" s="21"/>
      <c r="V1030" s="260">
        <v>90</v>
      </c>
    </row>
    <row r="1031" spans="2:22" s="191" customFormat="1" ht="15">
      <c r="B1031" s="190"/>
      <c r="C1031" s="179" t="s">
        <v>2562</v>
      </c>
      <c r="D1031" s="180" t="s">
        <v>2563</v>
      </c>
      <c r="E1031" s="181"/>
      <c r="F1031" s="622"/>
      <c r="G1031" s="182" t="s">
        <v>250</v>
      </c>
      <c r="H1031" s="184" t="s">
        <v>251</v>
      </c>
      <c r="I1031" s="185"/>
      <c r="J1031" s="183"/>
      <c r="K1031" s="192">
        <v>0</v>
      </c>
      <c r="L1031" s="188"/>
      <c r="M1031" s="187"/>
      <c r="N1031" s="187">
        <v>44474</v>
      </c>
      <c r="O1031" s="186">
        <v>3543</v>
      </c>
      <c r="P1031" s="179"/>
      <c r="Q1031" s="725">
        <v>0</v>
      </c>
      <c r="S1031" s="197">
        <v>0</v>
      </c>
      <c r="T1031" s="198">
        <v>0</v>
      </c>
      <c r="U1031" s="335"/>
      <c r="V1031" s="260">
        <v>90</v>
      </c>
    </row>
    <row r="1032" spans="2:22" s="7" customFormat="1" ht="15">
      <c r="B1032" s="12"/>
      <c r="C1032" s="6" t="s">
        <v>2566</v>
      </c>
      <c r="D1032" s="14" t="s">
        <v>1970</v>
      </c>
      <c r="E1032" s="19" t="s">
        <v>2135</v>
      </c>
      <c r="F1032" s="24"/>
      <c r="G1032" s="22"/>
      <c r="H1032" s="60"/>
      <c r="I1032" s="61"/>
      <c r="J1032" s="60"/>
      <c r="K1032" s="10" t="s">
        <v>5</v>
      </c>
      <c r="L1032" s="139"/>
      <c r="M1032" s="33"/>
      <c r="N1032" s="33">
        <v>44476</v>
      </c>
      <c r="O1032" s="32">
        <v>3546</v>
      </c>
      <c r="P1032" s="6" t="s">
        <v>3</v>
      </c>
      <c r="Q1032" s="358"/>
      <c r="U1032" s="120"/>
      <c r="V1032" s="260">
        <v>90</v>
      </c>
    </row>
    <row r="1033" spans="2:22" s="7" customFormat="1" ht="15">
      <c r="B1033" s="12" t="s">
        <v>300</v>
      </c>
      <c r="C1033" s="6" t="s">
        <v>2566</v>
      </c>
      <c r="D1033" s="14" t="s">
        <v>1970</v>
      </c>
      <c r="E1033" s="22" t="s">
        <v>2137</v>
      </c>
      <c r="F1033" s="24">
        <v>18</v>
      </c>
      <c r="G1033" s="22" t="s">
        <v>2334</v>
      </c>
      <c r="H1033" s="8">
        <v>50</v>
      </c>
      <c r="I1033" s="35">
        <v>9</v>
      </c>
      <c r="J1033" s="8">
        <f>H1033*I1033</f>
        <v>450</v>
      </c>
      <c r="K1033" s="23">
        <v>0.97</v>
      </c>
      <c r="L1033" s="39">
        <f>K1033*J1033</f>
        <v>436.5</v>
      </c>
      <c r="M1033" s="91"/>
      <c r="N1033" s="33">
        <v>44476</v>
      </c>
      <c r="O1033" s="32">
        <v>3546</v>
      </c>
      <c r="P1033" s="391">
        <f>ROUNDUP(S1033/V1033/VLOOKUP(B1033,$C$2:$F$6,3,FALSE),2)</f>
        <v>0.75</v>
      </c>
      <c r="Q1033" s="358">
        <v>0.75</v>
      </c>
      <c r="S1033" s="7">
        <v>47</v>
      </c>
      <c r="T1033" s="210">
        <f>S1033*J1033</f>
        <v>21150</v>
      </c>
      <c r="U1033" s="267" t="s">
        <v>2567</v>
      </c>
      <c r="V1033" s="260">
        <v>90</v>
      </c>
    </row>
    <row r="1034" spans="2:22" s="191" customFormat="1" ht="15">
      <c r="B1034" s="190"/>
      <c r="C1034" s="179" t="s">
        <v>2566</v>
      </c>
      <c r="D1034" s="180" t="s">
        <v>1970</v>
      </c>
      <c r="E1034" s="181"/>
      <c r="F1034" s="182"/>
      <c r="G1034" s="182" t="s">
        <v>250</v>
      </c>
      <c r="H1034" s="184" t="s">
        <v>251</v>
      </c>
      <c r="I1034" s="185"/>
      <c r="J1034" s="183"/>
      <c r="K1034" s="192">
        <v>0</v>
      </c>
      <c r="L1034" s="188"/>
      <c r="M1034" s="187"/>
      <c r="N1034" s="187">
        <v>44476</v>
      </c>
      <c r="O1034" s="186">
        <v>3546</v>
      </c>
      <c r="P1034" s="179"/>
      <c r="Q1034" s="725">
        <v>0</v>
      </c>
      <c r="S1034" s="197">
        <v>0</v>
      </c>
      <c r="T1034" s="198">
        <v>0</v>
      </c>
      <c r="U1034" s="335"/>
      <c r="V1034" s="260">
        <v>90</v>
      </c>
    </row>
    <row r="1035" spans="2:22" s="7" customFormat="1" ht="15">
      <c r="B1035" s="12"/>
      <c r="C1035" s="6" t="s">
        <v>2568</v>
      </c>
      <c r="D1035" s="14" t="s">
        <v>1970</v>
      </c>
      <c r="E1035" s="19" t="s">
        <v>2135</v>
      </c>
      <c r="F1035" s="24"/>
      <c r="G1035" s="22"/>
      <c r="H1035" s="60"/>
      <c r="I1035" s="61"/>
      <c r="J1035" s="60"/>
      <c r="K1035" s="10" t="s">
        <v>5</v>
      </c>
      <c r="L1035" s="139"/>
      <c r="M1035" s="33"/>
      <c r="N1035" s="33">
        <v>44476</v>
      </c>
      <c r="O1035" s="32">
        <v>3547</v>
      </c>
      <c r="P1035" s="6" t="s">
        <v>3</v>
      </c>
      <c r="Q1035" s="358"/>
      <c r="U1035" s="120"/>
      <c r="V1035" s="260">
        <v>90</v>
      </c>
    </row>
    <row r="1036" spans="2:22" s="7" customFormat="1" ht="15">
      <c r="B1036" s="12" t="s">
        <v>300</v>
      </c>
      <c r="C1036" s="6" t="s">
        <v>2568</v>
      </c>
      <c r="D1036" s="14" t="s">
        <v>1970</v>
      </c>
      <c r="E1036" s="22" t="s">
        <v>2137</v>
      </c>
      <c r="F1036" s="24">
        <v>9</v>
      </c>
      <c r="G1036" s="22" t="s">
        <v>2318</v>
      </c>
      <c r="H1036" s="8">
        <v>50</v>
      </c>
      <c r="I1036" s="35">
        <v>4</v>
      </c>
      <c r="J1036" s="8">
        <f>H1036*I1036</f>
        <v>200</v>
      </c>
      <c r="K1036" s="23">
        <v>0.5</v>
      </c>
      <c r="L1036" s="39">
        <f>K1036*J1036</f>
        <v>100</v>
      </c>
      <c r="M1036" s="91"/>
      <c r="N1036" s="33">
        <v>44476</v>
      </c>
      <c r="O1036" s="32">
        <v>3547</v>
      </c>
      <c r="P1036" s="391">
        <f>ROUNDUP(S1036/V1036/VLOOKUP(B1036,$C$2:$F$6,3,FALSE),2)</f>
        <v>0.39</v>
      </c>
      <c r="Q1036" s="358">
        <v>0.39</v>
      </c>
      <c r="S1036" s="7">
        <v>24</v>
      </c>
      <c r="T1036" s="7">
        <f>S1036*J1036</f>
        <v>4800</v>
      </c>
      <c r="U1036" s="267" t="s">
        <v>2569</v>
      </c>
      <c r="V1036" s="260">
        <v>90</v>
      </c>
    </row>
    <row r="1037" spans="2:22" s="7" customFormat="1" ht="18" customHeight="1">
      <c r="B1037" s="12"/>
      <c r="C1037" s="6" t="s">
        <v>2568</v>
      </c>
      <c r="D1037" s="14" t="s">
        <v>1970</v>
      </c>
      <c r="E1037" s="17" t="s">
        <v>160</v>
      </c>
      <c r="F1037" s="319"/>
      <c r="G1037" s="299"/>
      <c r="H1037" s="300" t="s">
        <v>355</v>
      </c>
      <c r="I1037" s="320"/>
      <c r="J1037" s="321"/>
      <c r="K1037" s="110" t="s">
        <v>101</v>
      </c>
      <c r="L1037" s="139"/>
      <c r="M1037" s="33"/>
      <c r="N1037" s="33">
        <v>44476</v>
      </c>
      <c r="O1037" s="32">
        <v>3547</v>
      </c>
      <c r="P1037" s="6"/>
      <c r="Q1037" s="322"/>
      <c r="U1037" s="39"/>
      <c r="V1037" s="260">
        <v>90</v>
      </c>
    </row>
    <row r="1038" spans="2:22" s="7" customFormat="1" ht="18" customHeight="1">
      <c r="B1038" s="12" t="s">
        <v>300</v>
      </c>
      <c r="C1038" s="6" t="s">
        <v>2568</v>
      </c>
      <c r="D1038" s="14" t="s">
        <v>1970</v>
      </c>
      <c r="E1038" s="22">
        <v>14552</v>
      </c>
      <c r="F1038" s="24">
        <v>12</v>
      </c>
      <c r="G1038" s="22" t="s">
        <v>2327</v>
      </c>
      <c r="H1038" s="108">
        <v>30</v>
      </c>
      <c r="I1038" s="109">
        <v>4</v>
      </c>
      <c r="J1038" s="8">
        <f>H1038*I1038</f>
        <v>120</v>
      </c>
      <c r="K1038" s="39">
        <v>0.76</v>
      </c>
      <c r="L1038" s="39">
        <f>K1038*J1038</f>
        <v>91.2</v>
      </c>
      <c r="M1038" s="91"/>
      <c r="N1038" s="33">
        <v>44476</v>
      </c>
      <c r="O1038" s="32">
        <v>3547</v>
      </c>
      <c r="P1038" s="391">
        <f>ROUNDUP(S1038/V1038/VLOOKUP(B1038,$C$2:$F$6,3,FALSE),2)</f>
        <v>0.54</v>
      </c>
      <c r="Q1038" s="358">
        <v>0.54</v>
      </c>
      <c r="S1038" s="7">
        <v>34</v>
      </c>
      <c r="T1038" s="7">
        <f>S1038*J1038</f>
        <v>4080</v>
      </c>
      <c r="U1038" s="267" t="s">
        <v>2570</v>
      </c>
      <c r="V1038" s="260">
        <v>90</v>
      </c>
    </row>
    <row r="1039" spans="2:22" s="191" customFormat="1" ht="15">
      <c r="B1039" s="190"/>
      <c r="C1039" s="179" t="s">
        <v>2568</v>
      </c>
      <c r="D1039" s="180" t="s">
        <v>1970</v>
      </c>
      <c r="E1039" s="181"/>
      <c r="F1039" s="622"/>
      <c r="G1039" s="182" t="s">
        <v>250</v>
      </c>
      <c r="H1039" s="184" t="s">
        <v>251</v>
      </c>
      <c r="I1039" s="185"/>
      <c r="J1039" s="183"/>
      <c r="K1039" s="192">
        <v>0</v>
      </c>
      <c r="L1039" s="188"/>
      <c r="M1039" s="187"/>
      <c r="N1039" s="187">
        <v>44476</v>
      </c>
      <c r="O1039" s="186">
        <v>3547</v>
      </c>
      <c r="P1039" s="179"/>
      <c r="Q1039" s="725">
        <v>0</v>
      </c>
      <c r="S1039" s="197">
        <v>0</v>
      </c>
      <c r="T1039" s="198">
        <v>0</v>
      </c>
      <c r="U1039" s="335"/>
      <c r="V1039" s="260">
        <v>90</v>
      </c>
    </row>
    <row r="1040" spans="2:22" s="7" customFormat="1" ht="18" customHeight="1">
      <c r="B1040" s="12"/>
      <c r="C1040" s="6" t="s">
        <v>2571</v>
      </c>
      <c r="D1040" s="14" t="s">
        <v>1970</v>
      </c>
      <c r="E1040" s="17" t="s">
        <v>160</v>
      </c>
      <c r="F1040" s="319"/>
      <c r="G1040" s="299"/>
      <c r="H1040" s="300" t="s">
        <v>355</v>
      </c>
      <c r="I1040" s="320"/>
      <c r="J1040" s="321"/>
      <c r="K1040" s="110" t="s">
        <v>101</v>
      </c>
      <c r="L1040" s="139"/>
      <c r="M1040" s="33"/>
      <c r="N1040" s="33">
        <v>44483</v>
      </c>
      <c r="O1040" s="32">
        <v>3548</v>
      </c>
      <c r="P1040" s="6"/>
      <c r="Q1040" s="322"/>
      <c r="U1040" s="39"/>
      <c r="V1040" s="260">
        <v>90</v>
      </c>
    </row>
    <row r="1041" spans="2:22" s="7" customFormat="1" ht="18" customHeight="1">
      <c r="B1041" s="12" t="s">
        <v>300</v>
      </c>
      <c r="C1041" s="6" t="s">
        <v>2571</v>
      </c>
      <c r="D1041" s="14" t="s">
        <v>1970</v>
      </c>
      <c r="E1041" s="22">
        <v>14552</v>
      </c>
      <c r="F1041" s="24">
        <v>10</v>
      </c>
      <c r="G1041" s="22" t="s">
        <v>2572</v>
      </c>
      <c r="H1041" s="108">
        <v>30</v>
      </c>
      <c r="I1041" s="109">
        <v>1</v>
      </c>
      <c r="J1041" s="8">
        <f>H1041*I1041</f>
        <v>30</v>
      </c>
      <c r="K1041" s="39">
        <v>0.69</v>
      </c>
      <c r="L1041" s="39">
        <f t="shared" ref="L1041:L1046" si="37">K1041*J1041</f>
        <v>20.7</v>
      </c>
      <c r="M1041" s="91"/>
      <c r="N1041" s="33">
        <v>44483</v>
      </c>
      <c r="O1041" s="32">
        <v>3548</v>
      </c>
      <c r="P1041" s="391">
        <f>ROUNDUP(S1041/V1041/VLOOKUP(B1041,$C$2:$F$6,3,FALSE),2)</f>
        <v>0.5</v>
      </c>
      <c r="Q1041" s="358">
        <v>0.5</v>
      </c>
      <c r="S1041" s="7">
        <v>31</v>
      </c>
      <c r="T1041" s="7">
        <f t="shared" ref="T1041:T1047" si="38">S1041*J1041</f>
        <v>930</v>
      </c>
      <c r="U1041" s="267" t="s">
        <v>2573</v>
      </c>
      <c r="V1041" s="260">
        <v>90</v>
      </c>
    </row>
    <row r="1042" spans="2:22" s="7" customFormat="1" ht="18" customHeight="1">
      <c r="B1042" s="12" t="s">
        <v>300</v>
      </c>
      <c r="C1042" s="6" t="s">
        <v>2571</v>
      </c>
      <c r="D1042" s="14" t="s">
        <v>1970</v>
      </c>
      <c r="E1042" s="22">
        <v>14552</v>
      </c>
      <c r="F1042" s="24">
        <v>12</v>
      </c>
      <c r="G1042" s="22" t="s">
        <v>2572</v>
      </c>
      <c r="H1042" s="108">
        <v>30</v>
      </c>
      <c r="I1042" s="109">
        <v>2</v>
      </c>
      <c r="J1042" s="8">
        <f>H1042*I1042</f>
        <v>60</v>
      </c>
      <c r="K1042" s="39">
        <v>0.76</v>
      </c>
      <c r="L1042" s="39">
        <f t="shared" si="37"/>
        <v>45.6</v>
      </c>
      <c r="M1042" s="91"/>
      <c r="N1042" s="33">
        <v>44483</v>
      </c>
      <c r="O1042" s="32">
        <v>3548</v>
      </c>
      <c r="P1042" s="391">
        <f>ROUNDUP(S1042/V1042/VLOOKUP(B1042,$C$2:$F$6,3,FALSE),2)</f>
        <v>0.54</v>
      </c>
      <c r="Q1042" s="358">
        <v>0.54</v>
      </c>
      <c r="S1042" s="7">
        <v>34</v>
      </c>
      <c r="T1042" s="7">
        <f t="shared" si="38"/>
        <v>2040</v>
      </c>
      <c r="U1042" s="267" t="s">
        <v>2570</v>
      </c>
      <c r="V1042" s="260">
        <v>90</v>
      </c>
    </row>
    <row r="1043" spans="2:22" s="7" customFormat="1" ht="18" customHeight="1">
      <c r="B1043" s="12" t="s">
        <v>300</v>
      </c>
      <c r="C1043" s="6" t="s">
        <v>2571</v>
      </c>
      <c r="D1043" s="14" t="s">
        <v>1970</v>
      </c>
      <c r="E1043" s="22">
        <v>14552</v>
      </c>
      <c r="F1043" s="24">
        <v>18</v>
      </c>
      <c r="G1043" s="22" t="s">
        <v>2572</v>
      </c>
      <c r="H1043" s="108">
        <v>30</v>
      </c>
      <c r="I1043" s="109">
        <v>14</v>
      </c>
      <c r="J1043" s="8">
        <f>H1043*I1043</f>
        <v>420</v>
      </c>
      <c r="K1043" s="39">
        <v>1</v>
      </c>
      <c r="L1043" s="39">
        <f t="shared" si="37"/>
        <v>420</v>
      </c>
      <c r="M1043" s="91"/>
      <c r="N1043" s="33">
        <v>44483</v>
      </c>
      <c r="O1043" s="32">
        <v>3548</v>
      </c>
      <c r="P1043" s="391">
        <f>ROUNDUP(S1043/V1043/VLOOKUP(B1043,$C$2:$F$6,3,FALSE),2)</f>
        <v>0.74</v>
      </c>
      <c r="Q1043" s="358">
        <v>0.73</v>
      </c>
      <c r="S1043" s="7">
        <v>46</v>
      </c>
      <c r="T1043" s="7">
        <f t="shared" si="38"/>
        <v>19320</v>
      </c>
      <c r="U1043" s="267" t="s">
        <v>2574</v>
      </c>
      <c r="V1043" s="260">
        <v>90</v>
      </c>
    </row>
    <row r="1044" spans="2:22" s="7" customFormat="1" ht="18" customHeight="1">
      <c r="B1044" s="12" t="s">
        <v>300</v>
      </c>
      <c r="C1044" s="6" t="s">
        <v>2571</v>
      </c>
      <c r="D1044" s="14" t="s">
        <v>1970</v>
      </c>
      <c r="E1044" s="22">
        <v>14552</v>
      </c>
      <c r="F1044" s="24">
        <v>18</v>
      </c>
      <c r="G1044" s="22" t="s">
        <v>2575</v>
      </c>
      <c r="H1044" s="108">
        <v>30</v>
      </c>
      <c r="I1044" s="109">
        <v>5</v>
      </c>
      <c r="J1044" s="8">
        <f>H1044*I1044</f>
        <v>150</v>
      </c>
      <c r="K1044" s="39">
        <v>1</v>
      </c>
      <c r="L1044" s="39">
        <f t="shared" si="37"/>
        <v>150</v>
      </c>
      <c r="M1044" s="91"/>
      <c r="N1044" s="33">
        <v>44483</v>
      </c>
      <c r="O1044" s="32">
        <v>3548</v>
      </c>
      <c r="P1044" s="391">
        <f>ROUNDUP(S1044/V1044/VLOOKUP(B1044,$C$2:$F$6,3,FALSE),2)</f>
        <v>0.74</v>
      </c>
      <c r="Q1044" s="358">
        <v>0.73</v>
      </c>
      <c r="S1044" s="7">
        <v>46</v>
      </c>
      <c r="T1044" s="7">
        <f t="shared" si="38"/>
        <v>6900</v>
      </c>
      <c r="U1044" s="267" t="s">
        <v>2574</v>
      </c>
      <c r="V1044" s="260">
        <v>90</v>
      </c>
    </row>
    <row r="1045" spans="2:22" s="7" customFormat="1" ht="18" customHeight="1">
      <c r="B1045" s="12" t="s">
        <v>300</v>
      </c>
      <c r="C1045" s="6" t="s">
        <v>2571</v>
      </c>
      <c r="D1045" s="14" t="s">
        <v>1970</v>
      </c>
      <c r="E1045" s="22">
        <v>14552</v>
      </c>
      <c r="F1045" s="24">
        <v>25</v>
      </c>
      <c r="G1045" s="22" t="s">
        <v>2576</v>
      </c>
      <c r="H1045" s="108">
        <v>30</v>
      </c>
      <c r="I1045" s="109">
        <v>1</v>
      </c>
      <c r="J1045" s="8">
        <f>H1045*I1045</f>
        <v>30</v>
      </c>
      <c r="K1045" s="39">
        <v>1.21</v>
      </c>
      <c r="L1045" s="39">
        <f t="shared" si="37"/>
        <v>36.299999999999997</v>
      </c>
      <c r="M1045" s="91"/>
      <c r="N1045" s="33">
        <v>44483</v>
      </c>
      <c r="O1045" s="32">
        <v>3548</v>
      </c>
      <c r="P1045" s="391">
        <f>ROUNDUP(S1045/V1045/VLOOKUP(B1045,$C$2:$F$6,3,FALSE),2)</f>
        <v>0.88</v>
      </c>
      <c r="Q1045" s="358">
        <v>0.88</v>
      </c>
      <c r="S1045" s="7">
        <v>55</v>
      </c>
      <c r="T1045" s="7">
        <f t="shared" si="38"/>
        <v>1650</v>
      </c>
      <c r="U1045" s="267" t="s">
        <v>2577</v>
      </c>
      <c r="V1045" s="260">
        <v>90</v>
      </c>
    </row>
    <row r="1046" spans="2:22" s="7" customFormat="1" ht="18" customHeight="1">
      <c r="B1046" s="12"/>
      <c r="C1046" s="6" t="s">
        <v>2571</v>
      </c>
      <c r="D1046" s="14" t="s">
        <v>1970</v>
      </c>
      <c r="E1046" s="49"/>
      <c r="F1046" s="37"/>
      <c r="G1046" s="22" t="s">
        <v>316</v>
      </c>
      <c r="H1046" s="8"/>
      <c r="I1046" s="109" ph="1"/>
      <c r="J1046" s="38">
        <v>1</v>
      </c>
      <c r="K1046" s="39">
        <v>36</v>
      </c>
      <c r="L1046" s="39">
        <f t="shared" si="37"/>
        <v>36</v>
      </c>
      <c r="M1046" s="91"/>
      <c r="N1046" s="33">
        <v>44483</v>
      </c>
      <c r="O1046" s="32">
        <v>3548</v>
      </c>
      <c r="P1046" s="6"/>
      <c r="Q1046" s="322">
        <v>36</v>
      </c>
      <c r="S1046" s="7">
        <f>1000+0</f>
        <v>1000</v>
      </c>
      <c r="T1046" s="7">
        <f t="shared" si="38"/>
        <v>1000</v>
      </c>
      <c r="U1046" s="21"/>
      <c r="V1046" s="260">
        <v>90</v>
      </c>
    </row>
    <row r="1047" spans="2:22" s="7" customFormat="1" ht="18" customHeight="1">
      <c r="B1047" s="12"/>
      <c r="C1047" s="6" t="s">
        <v>2571</v>
      </c>
      <c r="D1047" s="14" t="s">
        <v>1970</v>
      </c>
      <c r="E1047" s="49"/>
      <c r="F1047" s="37"/>
      <c r="G1047" s="22" t="s">
        <v>2578</v>
      </c>
      <c r="H1047" s="8"/>
      <c r="I1047" s="109" ph="1"/>
      <c r="J1047" s="109">
        <v>22</v>
      </c>
      <c r="K1047" s="39"/>
      <c r="L1047" s="39"/>
      <c r="M1047" s="91"/>
      <c r="N1047" s="33">
        <v>44483</v>
      </c>
      <c r="O1047" s="32">
        <v>3548</v>
      </c>
      <c r="P1047" s="6"/>
      <c r="Q1047" s="322" t="s">
        <v>2579</v>
      </c>
      <c r="S1047" s="7">
        <v>30</v>
      </c>
      <c r="T1047" s="7">
        <f t="shared" si="38"/>
        <v>660</v>
      </c>
      <c r="U1047" s="21"/>
      <c r="V1047" s="260">
        <v>90</v>
      </c>
    </row>
    <row r="1048" spans="2:22" s="191" customFormat="1" ht="15">
      <c r="B1048" s="190"/>
      <c r="C1048" s="179" t="s">
        <v>2571</v>
      </c>
      <c r="D1048" s="180" t="s">
        <v>1970</v>
      </c>
      <c r="E1048" s="181"/>
      <c r="F1048" s="622"/>
      <c r="G1048" s="182" t="s">
        <v>250</v>
      </c>
      <c r="H1048" s="184" t="s">
        <v>251</v>
      </c>
      <c r="I1048" s="185"/>
      <c r="J1048" s="183"/>
      <c r="K1048" s="192">
        <v>0</v>
      </c>
      <c r="L1048" s="188"/>
      <c r="M1048" s="187"/>
      <c r="N1048" s="187">
        <v>44483</v>
      </c>
      <c r="O1048" s="186">
        <v>3548</v>
      </c>
      <c r="P1048" s="179"/>
      <c r="Q1048" s="725">
        <v>0</v>
      </c>
      <c r="S1048" s="197">
        <v>0</v>
      </c>
      <c r="T1048" s="198">
        <v>0</v>
      </c>
      <c r="U1048" s="335"/>
      <c r="V1048" s="260">
        <v>90</v>
      </c>
    </row>
    <row r="1049" spans="2:22" s="7" customFormat="1" ht="18" customHeight="1">
      <c r="B1049" s="12"/>
      <c r="C1049" s="6" t="s">
        <v>2580</v>
      </c>
      <c r="D1049" s="14" t="s">
        <v>2162</v>
      </c>
      <c r="E1049" s="19" t="s">
        <v>2163</v>
      </c>
      <c r="F1049" s="37"/>
      <c r="G1049" s="37"/>
      <c r="H1049" s="108"/>
      <c r="I1049" s="108"/>
      <c r="J1049" s="108"/>
      <c r="K1049" s="110" t="s">
        <v>5</v>
      </c>
      <c r="L1049" s="139"/>
      <c r="M1049" s="33"/>
      <c r="N1049" s="33">
        <v>44488</v>
      </c>
      <c r="O1049" s="32">
        <v>3559</v>
      </c>
      <c r="P1049" s="6"/>
      <c r="Q1049" s="339"/>
      <c r="U1049" s="21"/>
      <c r="V1049" s="260">
        <v>90</v>
      </c>
    </row>
    <row r="1050" spans="2:22" s="7" customFormat="1" ht="18" customHeight="1">
      <c r="B1050" s="12" t="s">
        <v>300</v>
      </c>
      <c r="C1050" s="6" t="s">
        <v>2580</v>
      </c>
      <c r="D1050" s="14" t="s">
        <v>2162</v>
      </c>
      <c r="E1050" s="22">
        <v>5603</v>
      </c>
      <c r="F1050" s="37"/>
      <c r="G1050" s="37" t="s">
        <v>2164</v>
      </c>
      <c r="H1050" s="108">
        <v>50</v>
      </c>
      <c r="I1050" s="109">
        <v>60</v>
      </c>
      <c r="J1050" s="8">
        <f>I1050*H1050</f>
        <v>3000</v>
      </c>
      <c r="K1050" s="39">
        <v>0.3</v>
      </c>
      <c r="L1050" s="39">
        <f>K1050*J1050</f>
        <v>900</v>
      </c>
      <c r="M1050" s="91"/>
      <c r="N1050" s="33">
        <v>44488</v>
      </c>
      <c r="O1050" s="32">
        <v>3559</v>
      </c>
      <c r="P1050" s="391">
        <f>ROUNDUP(S1050/V1050/VLOOKUP(B1050,$C$2:$F$6,3,FALSE),2)</f>
        <v>0.26</v>
      </c>
      <c r="Q1050" s="322">
        <v>0.26</v>
      </c>
      <c r="S1050" s="7">
        <v>16</v>
      </c>
      <c r="T1050" s="7">
        <f>S1050*J1050</f>
        <v>48000</v>
      </c>
      <c r="U1050" s="21"/>
      <c r="V1050" s="260">
        <v>90</v>
      </c>
    </row>
    <row r="1051" spans="2:22" s="7" customFormat="1" ht="18" customHeight="1">
      <c r="B1051" s="12"/>
      <c r="C1051" s="6" t="s">
        <v>2580</v>
      </c>
      <c r="D1051" s="14" t="s">
        <v>2162</v>
      </c>
      <c r="E1051" s="22"/>
      <c r="F1051" s="102"/>
      <c r="G1051" s="22" t="s">
        <v>316</v>
      </c>
      <c r="H1051" s="8"/>
      <c r="I1051" s="35"/>
      <c r="J1051" s="38">
        <v>1</v>
      </c>
      <c r="K1051" s="39">
        <v>12</v>
      </c>
      <c r="L1051" s="39">
        <f>K1051*J1051</f>
        <v>12</v>
      </c>
      <c r="M1051" s="91"/>
      <c r="N1051" s="33">
        <v>44488</v>
      </c>
      <c r="O1051" s="32">
        <v>3559</v>
      </c>
      <c r="P1051" s="6" t="s">
        <v>3</v>
      </c>
      <c r="Q1051" s="322">
        <v>12</v>
      </c>
      <c r="S1051" s="7">
        <v>1100</v>
      </c>
      <c r="T1051" s="7">
        <f>S1051*J1051</f>
        <v>1100</v>
      </c>
      <c r="U1051" s="21"/>
      <c r="V1051" s="260">
        <v>90</v>
      </c>
    </row>
    <row r="1052" spans="2:22" s="191" customFormat="1" ht="15">
      <c r="B1052" s="190"/>
      <c r="C1052" s="179" t="s">
        <v>2580</v>
      </c>
      <c r="D1052" s="180" t="s">
        <v>2162</v>
      </c>
      <c r="E1052" s="181"/>
      <c r="F1052" s="182"/>
      <c r="G1052" s="182" t="s">
        <v>250</v>
      </c>
      <c r="H1052" s="184" t="s">
        <v>251</v>
      </c>
      <c r="I1052" s="185"/>
      <c r="J1052" s="183"/>
      <c r="K1052" s="192">
        <v>0</v>
      </c>
      <c r="L1052" s="188"/>
      <c r="M1052" s="187"/>
      <c r="N1052" s="187">
        <v>44488</v>
      </c>
      <c r="O1052" s="186">
        <v>3559</v>
      </c>
      <c r="P1052" s="179"/>
      <c r="Q1052" s="725">
        <v>0</v>
      </c>
      <c r="S1052" s="197">
        <v>0</v>
      </c>
      <c r="T1052" s="7">
        <f>S1052*J1052</f>
        <v>0</v>
      </c>
      <c r="U1052" s="335"/>
      <c r="V1052" s="260">
        <v>90</v>
      </c>
    </row>
    <row r="1053" spans="2:22" s="7" customFormat="1" ht="18" customHeight="1">
      <c r="B1053" s="12"/>
      <c r="C1053" s="6" t="s">
        <v>2581</v>
      </c>
      <c r="D1053" s="14" t="s">
        <v>1963</v>
      </c>
      <c r="E1053" s="19" t="s">
        <v>238</v>
      </c>
      <c r="F1053" s="107"/>
      <c r="G1053" s="22"/>
      <c r="H1053" s="108"/>
      <c r="I1053" s="109"/>
      <c r="J1053" s="108"/>
      <c r="K1053" s="29" t="s">
        <v>5</v>
      </c>
      <c r="L1053" s="139"/>
      <c r="M1053" s="33"/>
      <c r="N1053" s="33">
        <v>44487</v>
      </c>
      <c r="O1053" s="32">
        <v>3571</v>
      </c>
      <c r="P1053" s="14"/>
      <c r="Q1053" s="322"/>
      <c r="U1053" s="14"/>
      <c r="V1053" s="260">
        <v>90</v>
      </c>
    </row>
    <row r="1054" spans="2:22" s="7" customFormat="1" ht="18" customHeight="1">
      <c r="B1054" s="12" t="s">
        <v>302</v>
      </c>
      <c r="C1054" s="6" t="s">
        <v>2582</v>
      </c>
      <c r="D1054" s="14" t="s">
        <v>1963</v>
      </c>
      <c r="E1054" s="22" t="s">
        <v>239</v>
      </c>
      <c r="F1054" s="107">
        <v>150</v>
      </c>
      <c r="G1054" s="22" t="s">
        <v>2293</v>
      </c>
      <c r="H1054" s="108">
        <v>10</v>
      </c>
      <c r="I1054" s="109">
        <v>1</v>
      </c>
      <c r="J1054" s="8">
        <f>H1054*I1054</f>
        <v>10</v>
      </c>
      <c r="K1054" s="39">
        <v>6.53</v>
      </c>
      <c r="L1054" s="39">
        <f t="shared" ref="L1054:L1064" si="39">K1054*J1054</f>
        <v>65.3</v>
      </c>
      <c r="M1054" s="91"/>
      <c r="N1054" s="33">
        <v>44487</v>
      </c>
      <c r="O1054" s="32">
        <v>3571</v>
      </c>
      <c r="P1054" s="391">
        <f>ROUNDUP(S1054/V1054/VLOOKUP(B1054,$C$2:$F$6,3,FALSE),2)</f>
        <v>5.9399999999999995</v>
      </c>
      <c r="Q1054" s="322">
        <v>5.94</v>
      </c>
      <c r="S1054" s="7">
        <v>470</v>
      </c>
      <c r="T1054" s="7">
        <f t="shared" ref="T1054:T1064" si="40">S1054*J1054</f>
        <v>4700</v>
      </c>
      <c r="U1054" s="21"/>
      <c r="V1054" s="260">
        <v>90</v>
      </c>
    </row>
    <row r="1055" spans="2:22" s="7" customFormat="1" ht="18" customHeight="1">
      <c r="B1055" s="12" t="s">
        <v>302</v>
      </c>
      <c r="C1055" s="6" t="s">
        <v>2582</v>
      </c>
      <c r="D1055" s="14" t="s">
        <v>1963</v>
      </c>
      <c r="E1055" s="22" t="s">
        <v>239</v>
      </c>
      <c r="F1055" s="107">
        <v>150</v>
      </c>
      <c r="G1055" s="22" t="s">
        <v>2583</v>
      </c>
      <c r="H1055" s="108">
        <v>10</v>
      </c>
      <c r="I1055" s="109">
        <v>1</v>
      </c>
      <c r="J1055" s="8">
        <f>H1055*I1055</f>
        <v>10</v>
      </c>
      <c r="K1055" s="39">
        <v>6.53</v>
      </c>
      <c r="L1055" s="39">
        <f t="shared" si="39"/>
        <v>65.3</v>
      </c>
      <c r="M1055" s="91"/>
      <c r="N1055" s="33">
        <v>44487</v>
      </c>
      <c r="O1055" s="32">
        <v>3571</v>
      </c>
      <c r="P1055" s="391">
        <f>ROUNDUP(S1055/V1055/VLOOKUP(B1055,$C$2:$F$6,3,FALSE),2)</f>
        <v>5.9399999999999995</v>
      </c>
      <c r="Q1055" s="322">
        <v>5.94</v>
      </c>
      <c r="S1055" s="7">
        <v>470</v>
      </c>
      <c r="T1055" s="7">
        <f t="shared" si="40"/>
        <v>4700</v>
      </c>
      <c r="U1055" s="21"/>
      <c r="V1055" s="260">
        <v>90</v>
      </c>
    </row>
    <row r="1056" spans="2:22" s="7" customFormat="1" ht="18" customHeight="1">
      <c r="B1056" s="12" t="s">
        <v>302</v>
      </c>
      <c r="C1056" s="6" t="s">
        <v>2582</v>
      </c>
      <c r="D1056" s="14" t="s">
        <v>1963</v>
      </c>
      <c r="E1056" s="22" t="s">
        <v>239</v>
      </c>
      <c r="F1056" s="107">
        <v>150</v>
      </c>
      <c r="G1056" s="22" t="s">
        <v>2584</v>
      </c>
      <c r="H1056" s="108">
        <v>10</v>
      </c>
      <c r="I1056" s="109">
        <v>1</v>
      </c>
      <c r="J1056" s="8">
        <f>H1056*I1056</f>
        <v>10</v>
      </c>
      <c r="K1056" s="39">
        <v>6.53</v>
      </c>
      <c r="L1056" s="39">
        <f t="shared" si="39"/>
        <v>65.3</v>
      </c>
      <c r="M1056" s="91"/>
      <c r="N1056" s="33">
        <v>44487</v>
      </c>
      <c r="O1056" s="32">
        <v>3571</v>
      </c>
      <c r="P1056" s="391">
        <f>ROUNDUP(S1056/V1056/VLOOKUP(B1056,$C$2:$F$6,3,FALSE),2)</f>
        <v>5.9399999999999995</v>
      </c>
      <c r="Q1056" s="322">
        <v>5.94</v>
      </c>
      <c r="S1056" s="7">
        <v>470</v>
      </c>
      <c r="T1056" s="7">
        <f t="shared" si="40"/>
        <v>4700</v>
      </c>
      <c r="U1056" s="21"/>
      <c r="V1056" s="260">
        <v>90</v>
      </c>
    </row>
    <row r="1057" spans="2:22" s="7" customFormat="1" ht="18" customHeight="1">
      <c r="B1057" s="12" t="s">
        <v>302</v>
      </c>
      <c r="C1057" s="6" t="s">
        <v>2585</v>
      </c>
      <c r="D1057" s="14" t="s">
        <v>1963</v>
      </c>
      <c r="E1057" s="22" t="s">
        <v>239</v>
      </c>
      <c r="F1057" s="107">
        <v>150</v>
      </c>
      <c r="G1057" s="22" t="s">
        <v>2586</v>
      </c>
      <c r="H1057" s="108">
        <v>6</v>
      </c>
      <c r="I1057" s="109">
        <v>1</v>
      </c>
      <c r="J1057" s="8">
        <f>H1057*I1057</f>
        <v>6</v>
      </c>
      <c r="K1057" s="39">
        <v>6.53</v>
      </c>
      <c r="L1057" s="39">
        <f>K1057*J1057</f>
        <v>39.18</v>
      </c>
      <c r="M1057" s="91"/>
      <c r="N1057" s="33">
        <v>44487</v>
      </c>
      <c r="O1057" s="32">
        <v>3571</v>
      </c>
      <c r="P1057" s="391">
        <f>ROUNDUP(S1057/V1057/VLOOKUP(B1057,$C$2:$F$6,3,FALSE),2)</f>
        <v>5.9399999999999995</v>
      </c>
      <c r="Q1057" s="322">
        <v>5.94</v>
      </c>
      <c r="S1057" s="7">
        <v>470</v>
      </c>
      <c r="T1057" s="7">
        <f>S1057*J1057</f>
        <v>2820</v>
      </c>
      <c r="U1057" s="21"/>
      <c r="V1057" s="260">
        <v>90</v>
      </c>
    </row>
    <row r="1058" spans="2:22" s="7" customFormat="1" ht="15">
      <c r="B1058" s="12"/>
      <c r="C1058" s="6" t="s">
        <v>2587</v>
      </c>
      <c r="D1058" s="14" t="s">
        <v>1963</v>
      </c>
      <c r="E1058" s="22"/>
      <c r="F1058" s="102"/>
      <c r="G1058" s="22" t="s">
        <v>57</v>
      </c>
      <c r="H1058" s="38"/>
      <c r="I1058" s="35"/>
      <c r="J1058" s="38">
        <v>4</v>
      </c>
      <c r="K1058" s="39">
        <v>15</v>
      </c>
      <c r="L1058" s="39">
        <f t="shared" si="39"/>
        <v>60</v>
      </c>
      <c r="M1058" s="91"/>
      <c r="N1058" s="33">
        <v>44487</v>
      </c>
      <c r="O1058" s="32">
        <v>3571</v>
      </c>
      <c r="P1058" s="6"/>
      <c r="Q1058" s="322">
        <v>48</v>
      </c>
      <c r="S1058" s="7">
        <v>1000</v>
      </c>
      <c r="T1058" s="7">
        <f t="shared" si="40"/>
        <v>4000</v>
      </c>
      <c r="U1058" s="21"/>
      <c r="V1058" s="260">
        <v>90</v>
      </c>
    </row>
    <row r="1059" spans="2:22" s="7" customFormat="1" ht="18" customHeight="1">
      <c r="B1059" s="12" t="s">
        <v>302</v>
      </c>
      <c r="C1059" s="6" t="s">
        <v>2588</v>
      </c>
      <c r="D1059" s="14" t="s">
        <v>1963</v>
      </c>
      <c r="E1059" s="22" t="s">
        <v>239</v>
      </c>
      <c r="F1059" s="107">
        <v>150</v>
      </c>
      <c r="G1059" s="22" t="s">
        <v>2293</v>
      </c>
      <c r="H1059" s="108">
        <v>10</v>
      </c>
      <c r="I1059" s="109">
        <v>1</v>
      </c>
      <c r="J1059" s="8">
        <f>H1059*I1059</f>
        <v>10</v>
      </c>
      <c r="K1059" s="39">
        <v>6.53</v>
      </c>
      <c r="L1059" s="39">
        <f t="shared" si="39"/>
        <v>65.3</v>
      </c>
      <c r="M1059" s="91"/>
      <c r="N1059" s="33">
        <v>44487</v>
      </c>
      <c r="O1059" s="32">
        <v>3570</v>
      </c>
      <c r="P1059" s="391">
        <f>ROUNDUP(S1059/V1059/VLOOKUP(B1059,$C$2:$F$6,3,FALSE),2)</f>
        <v>5.9399999999999995</v>
      </c>
      <c r="Q1059" s="322">
        <v>5.94</v>
      </c>
      <c r="S1059" s="7">
        <v>470</v>
      </c>
      <c r="T1059" s="7">
        <f t="shared" si="40"/>
        <v>4700</v>
      </c>
      <c r="U1059" s="21"/>
      <c r="V1059" s="260">
        <v>90</v>
      </c>
    </row>
    <row r="1060" spans="2:22" s="7" customFormat="1" ht="18" customHeight="1">
      <c r="B1060" s="12" t="s">
        <v>302</v>
      </c>
      <c r="C1060" s="6" t="s">
        <v>2588</v>
      </c>
      <c r="D1060" s="14" t="s">
        <v>1963</v>
      </c>
      <c r="E1060" s="22" t="s">
        <v>239</v>
      </c>
      <c r="F1060" s="107">
        <v>150</v>
      </c>
      <c r="G1060" s="22" t="s">
        <v>2583</v>
      </c>
      <c r="H1060" s="108">
        <v>10</v>
      </c>
      <c r="I1060" s="109">
        <v>1</v>
      </c>
      <c r="J1060" s="8">
        <f>H1060*I1060</f>
        <v>10</v>
      </c>
      <c r="K1060" s="39">
        <v>6.53</v>
      </c>
      <c r="L1060" s="39">
        <f t="shared" si="39"/>
        <v>65.3</v>
      </c>
      <c r="M1060" s="91"/>
      <c r="N1060" s="33">
        <v>44487</v>
      </c>
      <c r="O1060" s="32">
        <v>3570</v>
      </c>
      <c r="P1060" s="391">
        <f>ROUNDUP(S1060/V1060/VLOOKUP(B1060,$C$2:$F$6,3,FALSE),2)</f>
        <v>5.9399999999999995</v>
      </c>
      <c r="Q1060" s="322">
        <v>5.94</v>
      </c>
      <c r="S1060" s="7">
        <v>470</v>
      </c>
      <c r="T1060" s="7">
        <f t="shared" si="40"/>
        <v>4700</v>
      </c>
      <c r="U1060" s="21"/>
      <c r="V1060" s="260">
        <v>90</v>
      </c>
    </row>
    <row r="1061" spans="2:22" s="7" customFormat="1" ht="18" customHeight="1">
      <c r="B1061" s="12" t="s">
        <v>302</v>
      </c>
      <c r="C1061" s="6" t="s">
        <v>2588</v>
      </c>
      <c r="D1061" s="14" t="s">
        <v>1963</v>
      </c>
      <c r="E1061" s="22" t="s">
        <v>239</v>
      </c>
      <c r="F1061" s="107">
        <v>150</v>
      </c>
      <c r="G1061" s="22" t="s">
        <v>2584</v>
      </c>
      <c r="H1061" s="108">
        <v>10</v>
      </c>
      <c r="I1061" s="109">
        <v>1</v>
      </c>
      <c r="J1061" s="8">
        <f>H1061*I1061</f>
        <v>10</v>
      </c>
      <c r="K1061" s="39">
        <v>6.53</v>
      </c>
      <c r="L1061" s="39">
        <f t="shared" si="39"/>
        <v>65.3</v>
      </c>
      <c r="M1061" s="91"/>
      <c r="N1061" s="33">
        <v>44487</v>
      </c>
      <c r="O1061" s="32">
        <v>3570</v>
      </c>
      <c r="P1061" s="391">
        <f>ROUNDUP(S1061/V1061/VLOOKUP(B1061,$C$2:$F$6,3,FALSE),2)</f>
        <v>5.9399999999999995</v>
      </c>
      <c r="Q1061" s="322">
        <v>5.94</v>
      </c>
      <c r="S1061" s="7">
        <v>470</v>
      </c>
      <c r="T1061" s="7">
        <f t="shared" si="40"/>
        <v>4700</v>
      </c>
      <c r="U1061" s="21"/>
      <c r="V1061" s="260">
        <v>90</v>
      </c>
    </row>
    <row r="1062" spans="2:22" s="7" customFormat="1" ht="18" customHeight="1">
      <c r="B1062" s="12" t="s">
        <v>302</v>
      </c>
      <c r="C1062" s="6" t="s">
        <v>2589</v>
      </c>
      <c r="D1062" s="14" t="s">
        <v>1963</v>
      </c>
      <c r="E1062" s="22" t="s">
        <v>239</v>
      </c>
      <c r="F1062" s="107">
        <v>150</v>
      </c>
      <c r="G1062" s="22" t="s">
        <v>2586</v>
      </c>
      <c r="H1062" s="108">
        <v>4</v>
      </c>
      <c r="I1062" s="109">
        <v>1</v>
      </c>
      <c r="J1062" s="8">
        <f>H1062*I1062</f>
        <v>4</v>
      </c>
      <c r="K1062" s="39">
        <v>6.53</v>
      </c>
      <c r="L1062" s="39">
        <f>K1062*J1062</f>
        <v>26.12</v>
      </c>
      <c r="M1062" s="91"/>
      <c r="N1062" s="33">
        <v>44487</v>
      </c>
      <c r="O1062" s="32">
        <v>3570</v>
      </c>
      <c r="P1062" s="391">
        <f>ROUNDUP(S1062/V1062/VLOOKUP(B1062,$C$2:$F$6,3,FALSE),2)</f>
        <v>5.9399999999999995</v>
      </c>
      <c r="Q1062" s="322">
        <v>5.94</v>
      </c>
      <c r="S1062" s="7">
        <v>470</v>
      </c>
      <c r="T1062" s="7">
        <f>S1062*J1062</f>
        <v>1880</v>
      </c>
      <c r="U1062" s="21"/>
      <c r="V1062" s="260">
        <v>90</v>
      </c>
    </row>
    <row r="1063" spans="2:22" s="7" customFormat="1" ht="15">
      <c r="B1063" s="12"/>
      <c r="C1063" s="6" t="s">
        <v>2590</v>
      </c>
      <c r="D1063" s="14" t="s">
        <v>1963</v>
      </c>
      <c r="E1063" s="49"/>
      <c r="F1063" s="102"/>
      <c r="G1063" s="22" t="s">
        <v>57</v>
      </c>
      <c r="H1063" s="38"/>
      <c r="I1063" s="35"/>
      <c r="J1063" s="38">
        <v>4</v>
      </c>
      <c r="K1063" s="39">
        <v>15</v>
      </c>
      <c r="L1063" s="39">
        <f t="shared" si="39"/>
        <v>60</v>
      </c>
      <c r="M1063" s="91"/>
      <c r="N1063" s="33">
        <v>44487</v>
      </c>
      <c r="O1063" s="32">
        <v>3570</v>
      </c>
      <c r="P1063" s="6"/>
      <c r="Q1063" s="322">
        <v>48</v>
      </c>
      <c r="S1063" s="7">
        <v>1000</v>
      </c>
      <c r="T1063" s="7">
        <f t="shared" si="40"/>
        <v>4000</v>
      </c>
      <c r="U1063" s="21"/>
      <c r="V1063" s="260">
        <v>90</v>
      </c>
    </row>
    <row r="1064" spans="2:22" s="7" customFormat="1" ht="15">
      <c r="B1064" s="12"/>
      <c r="C1064" s="6" t="s">
        <v>2590</v>
      </c>
      <c r="D1064" s="14" t="s">
        <v>1963</v>
      </c>
      <c r="E1064" s="49"/>
      <c r="F1064" s="102"/>
      <c r="G1064" s="22" t="s">
        <v>316</v>
      </c>
      <c r="H1064" s="38"/>
      <c r="I1064" s="35"/>
      <c r="J1064" s="38">
        <v>1</v>
      </c>
      <c r="K1064" s="39">
        <v>20</v>
      </c>
      <c r="L1064" s="39">
        <f t="shared" si="39"/>
        <v>20</v>
      </c>
      <c r="M1064" s="91"/>
      <c r="N1064" s="33">
        <v>44487</v>
      </c>
      <c r="O1064" s="32">
        <v>3570</v>
      </c>
      <c r="P1064" s="722"/>
      <c r="Q1064" s="322">
        <v>20</v>
      </c>
      <c r="S1064" s="7">
        <f>1000+1000</f>
        <v>2000</v>
      </c>
      <c r="T1064" s="7">
        <f t="shared" si="40"/>
        <v>2000</v>
      </c>
      <c r="U1064" s="21"/>
      <c r="V1064" s="260">
        <v>90</v>
      </c>
    </row>
    <row r="1065" spans="2:22" s="191" customFormat="1" ht="15">
      <c r="B1065" s="190"/>
      <c r="C1065" s="179" t="s">
        <v>2581</v>
      </c>
      <c r="D1065" s="180" t="s">
        <v>1963</v>
      </c>
      <c r="E1065" s="181"/>
      <c r="F1065" s="182"/>
      <c r="G1065" s="182" t="s">
        <v>250</v>
      </c>
      <c r="H1065" s="184" t="s">
        <v>251</v>
      </c>
      <c r="I1065" s="185"/>
      <c r="J1065" s="183"/>
      <c r="K1065" s="192">
        <v>0</v>
      </c>
      <c r="L1065" s="188"/>
      <c r="M1065" s="187"/>
      <c r="N1065" s="187">
        <v>44487</v>
      </c>
      <c r="O1065" s="186">
        <v>3570</v>
      </c>
      <c r="P1065" s="796"/>
      <c r="Q1065" s="807">
        <v>0</v>
      </c>
      <c r="S1065" s="197">
        <v>0</v>
      </c>
      <c r="T1065" s="198">
        <v>0</v>
      </c>
      <c r="U1065" s="808"/>
      <c r="V1065" s="260">
        <v>90</v>
      </c>
    </row>
    <row r="1066" spans="2:22" s="7" customFormat="1" ht="15">
      <c r="B1066" s="12"/>
      <c r="C1066" s="6" t="s">
        <v>2591</v>
      </c>
      <c r="D1066" s="14" t="s">
        <v>2329</v>
      </c>
      <c r="E1066" s="19" t="s">
        <v>59</v>
      </c>
      <c r="F1066" s="107"/>
      <c r="G1066" s="22"/>
      <c r="H1066" s="108"/>
      <c r="I1066" s="109"/>
      <c r="J1066" s="108"/>
      <c r="K1066" s="110" t="s">
        <v>5</v>
      </c>
      <c r="L1066" s="139"/>
      <c r="M1066" s="33"/>
      <c r="N1066" s="33">
        <v>44487</v>
      </c>
      <c r="O1066" s="32">
        <v>3569</v>
      </c>
      <c r="P1066" s="14"/>
      <c r="Q1066" s="322"/>
      <c r="S1066" s="72"/>
      <c r="U1066" s="14"/>
      <c r="V1066" s="260">
        <v>90</v>
      </c>
    </row>
    <row r="1067" spans="2:22" s="7" customFormat="1" ht="15">
      <c r="B1067" s="12" t="s">
        <v>302</v>
      </c>
      <c r="C1067" s="6" t="s">
        <v>2591</v>
      </c>
      <c r="D1067" s="14" t="s">
        <v>2329</v>
      </c>
      <c r="E1067" s="22">
        <v>2440</v>
      </c>
      <c r="F1067" s="107">
        <v>140</v>
      </c>
      <c r="G1067" s="22" t="s">
        <v>2367</v>
      </c>
      <c r="H1067" s="108">
        <v>56</v>
      </c>
      <c r="I1067" s="109">
        <v>1</v>
      </c>
      <c r="J1067" s="8">
        <f>H1067*I1067</f>
        <v>56</v>
      </c>
      <c r="K1067" s="39">
        <v>3.34</v>
      </c>
      <c r="L1067" s="39">
        <f>K1067*J1067</f>
        <v>187.04</v>
      </c>
      <c r="M1067" s="91"/>
      <c r="N1067" s="33">
        <v>44487</v>
      </c>
      <c r="O1067" s="32">
        <v>3569</v>
      </c>
      <c r="P1067" s="391">
        <f>ROUNDUP(S1067/V1067/VLOOKUP(B1067,$C$2:$F$6,3,FALSE),2)</f>
        <v>3.0399999999999996</v>
      </c>
      <c r="Q1067" s="322">
        <v>3.04</v>
      </c>
      <c r="S1067" s="92">
        <v>240</v>
      </c>
      <c r="T1067" s="7">
        <f>S1067*J1067</f>
        <v>13440</v>
      </c>
      <c r="U1067" s="21"/>
      <c r="V1067" s="260">
        <v>90</v>
      </c>
    </row>
    <row r="1068" spans="2:22" s="7" customFormat="1" ht="15">
      <c r="B1068" s="12" t="s">
        <v>302</v>
      </c>
      <c r="C1068" s="6" t="s">
        <v>2591</v>
      </c>
      <c r="D1068" s="14" t="s">
        <v>2329</v>
      </c>
      <c r="E1068" s="22">
        <v>2440</v>
      </c>
      <c r="F1068" s="107">
        <v>140</v>
      </c>
      <c r="G1068" s="22" t="s">
        <v>2367</v>
      </c>
      <c r="H1068" s="108">
        <v>58</v>
      </c>
      <c r="I1068" s="109">
        <v>8</v>
      </c>
      <c r="J1068" s="8">
        <f>H1068*I1068</f>
        <v>464</v>
      </c>
      <c r="K1068" s="39">
        <v>3.34</v>
      </c>
      <c r="L1068" s="39">
        <f>K1068*J1068</f>
        <v>1549.76</v>
      </c>
      <c r="M1068" s="91"/>
      <c r="N1068" s="33">
        <v>44487</v>
      </c>
      <c r="O1068" s="32">
        <v>3569</v>
      </c>
      <c r="P1068" s="391">
        <f>ROUNDUP(S1068/V1068/VLOOKUP(B1068,$C$2:$F$6,3,FALSE),2)</f>
        <v>3.0399999999999996</v>
      </c>
      <c r="Q1068" s="322">
        <v>3.04</v>
      </c>
      <c r="S1068" s="92">
        <v>240</v>
      </c>
      <c r="T1068" s="7">
        <f>S1068*J1068</f>
        <v>111360</v>
      </c>
      <c r="U1068" s="21"/>
      <c r="V1068" s="260">
        <v>90</v>
      </c>
    </row>
    <row r="1069" spans="2:22" s="7" customFormat="1" ht="15">
      <c r="B1069" s="12"/>
      <c r="C1069" s="6" t="s">
        <v>2591</v>
      </c>
      <c r="D1069" s="14" t="s">
        <v>2329</v>
      </c>
      <c r="E1069" s="22"/>
      <c r="F1069" s="102"/>
      <c r="G1069" s="22" t="s">
        <v>316</v>
      </c>
      <c r="H1069" s="8"/>
      <c r="I1069" s="35"/>
      <c r="J1069" s="38">
        <v>1</v>
      </c>
      <c r="K1069" s="39">
        <v>20</v>
      </c>
      <c r="L1069" s="39">
        <f>K1069*J1069</f>
        <v>20</v>
      </c>
      <c r="M1069" s="91"/>
      <c r="N1069" s="33">
        <v>44487</v>
      </c>
      <c r="O1069" s="32">
        <v>3569</v>
      </c>
      <c r="P1069" s="6"/>
      <c r="Q1069" s="322">
        <v>20</v>
      </c>
      <c r="S1069" s="92">
        <v>1800</v>
      </c>
      <c r="T1069" s="210">
        <v>1800</v>
      </c>
      <c r="U1069" s="21"/>
      <c r="V1069" s="260">
        <v>90</v>
      </c>
    </row>
    <row r="1070" spans="2:22" s="7" customFormat="1" ht="15">
      <c r="B1070" s="12"/>
      <c r="C1070" s="6" t="s">
        <v>2591</v>
      </c>
      <c r="D1070" s="14" t="s">
        <v>2329</v>
      </c>
      <c r="E1070" s="22"/>
      <c r="F1070" s="102"/>
      <c r="G1070" s="22" t="s">
        <v>2592</v>
      </c>
      <c r="H1070" s="8"/>
      <c r="I1070" s="35"/>
      <c r="J1070" s="38"/>
      <c r="K1070" s="39">
        <v>-3.34</v>
      </c>
      <c r="L1070" s="39">
        <v>-3.34</v>
      </c>
      <c r="M1070" s="91"/>
      <c r="N1070" s="33">
        <v>44487</v>
      </c>
      <c r="O1070" s="32">
        <v>3569</v>
      </c>
      <c r="P1070" s="6"/>
      <c r="Q1070" s="322"/>
      <c r="S1070" s="92"/>
      <c r="T1070" s="210"/>
      <c r="U1070" s="21"/>
      <c r="V1070" s="260">
        <v>90</v>
      </c>
    </row>
    <row r="1071" spans="2:22" s="7" customFormat="1" ht="15">
      <c r="B1071" s="12"/>
      <c r="C1071" s="6" t="s">
        <v>2593</v>
      </c>
      <c r="D1071" s="14" t="s">
        <v>2329</v>
      </c>
      <c r="E1071" s="19" t="s">
        <v>2594</v>
      </c>
      <c r="F1071" s="107"/>
      <c r="G1071" s="22"/>
      <c r="H1071" s="108"/>
      <c r="I1071" s="109"/>
      <c r="J1071" s="108"/>
      <c r="K1071" s="110" t="s">
        <v>5</v>
      </c>
      <c r="L1071" s="139"/>
      <c r="M1071" s="33"/>
      <c r="N1071" s="33">
        <v>44487</v>
      </c>
      <c r="O1071" s="32">
        <v>3569</v>
      </c>
      <c r="P1071" s="14"/>
      <c r="Q1071" s="322"/>
      <c r="S1071" s="72"/>
      <c r="U1071" s="14"/>
      <c r="V1071" s="260">
        <v>90</v>
      </c>
    </row>
    <row r="1072" spans="2:22" s="7" customFormat="1" ht="15">
      <c r="B1072" s="12" t="s">
        <v>300</v>
      </c>
      <c r="C1072" s="6" t="s">
        <v>2593</v>
      </c>
      <c r="D1072" s="14" t="s">
        <v>2329</v>
      </c>
      <c r="E1072" s="22" t="s">
        <v>2595</v>
      </c>
      <c r="F1072" s="24">
        <v>70</v>
      </c>
      <c r="G1072" s="22" t="s">
        <v>75</v>
      </c>
      <c r="H1072" s="108">
        <v>30</v>
      </c>
      <c r="I1072" s="109">
        <v>1</v>
      </c>
      <c r="J1072" s="8">
        <f>H1072*I1072</f>
        <v>30</v>
      </c>
      <c r="K1072" s="39">
        <v>3.13</v>
      </c>
      <c r="L1072" s="39">
        <f>K1072*J1072</f>
        <v>93.899999999999991</v>
      </c>
      <c r="M1072" s="91"/>
      <c r="N1072" s="33">
        <v>44487</v>
      </c>
      <c r="O1072" s="32">
        <v>3569</v>
      </c>
      <c r="P1072" s="391">
        <f>ROUNDUP(S1072/V1072/VLOOKUP(B1072,$C$2:$F$6,3,FALSE),2)</f>
        <v>2.5399999999999996</v>
      </c>
      <c r="Q1072" s="322">
        <v>2.54</v>
      </c>
      <c r="S1072" s="92">
        <v>160</v>
      </c>
      <c r="T1072" s="7">
        <f>S1072*J1072</f>
        <v>4800</v>
      </c>
      <c r="U1072" s="267" t="s">
        <v>2596</v>
      </c>
      <c r="V1072" s="260">
        <v>90</v>
      </c>
    </row>
    <row r="1073" spans="2:22" s="7" customFormat="1" ht="15">
      <c r="B1073" s="12" t="s">
        <v>300</v>
      </c>
      <c r="C1073" s="6" t="s">
        <v>2593</v>
      </c>
      <c r="D1073" s="14" t="s">
        <v>2329</v>
      </c>
      <c r="E1073" s="22" t="s">
        <v>2595</v>
      </c>
      <c r="F1073" s="24">
        <v>70</v>
      </c>
      <c r="G1073" s="22" t="s">
        <v>2550</v>
      </c>
      <c r="H1073" s="108">
        <v>30</v>
      </c>
      <c r="I1073" s="109">
        <v>1</v>
      </c>
      <c r="J1073" s="8">
        <f>H1073*I1073</f>
        <v>30</v>
      </c>
      <c r="K1073" s="39">
        <v>3.13</v>
      </c>
      <c r="L1073" s="39">
        <f>K1073*J1073</f>
        <v>93.899999999999991</v>
      </c>
      <c r="M1073" s="91"/>
      <c r="N1073" s="33">
        <v>44487</v>
      </c>
      <c r="O1073" s="32">
        <v>3569</v>
      </c>
      <c r="P1073" s="391">
        <f>ROUNDUP(S1073/V1073/VLOOKUP(B1073,$C$2:$F$6,3,FALSE),2)</f>
        <v>2.5399999999999996</v>
      </c>
      <c r="Q1073" s="322">
        <v>2.54</v>
      </c>
      <c r="S1073" s="92">
        <v>160</v>
      </c>
      <c r="T1073" s="7">
        <f>S1073*J1073</f>
        <v>4800</v>
      </c>
      <c r="U1073" s="267" t="s">
        <v>2596</v>
      </c>
      <c r="V1073" s="260">
        <v>90</v>
      </c>
    </row>
    <row r="1074" spans="2:22" s="7" customFormat="1" ht="15">
      <c r="B1074" s="12"/>
      <c r="C1074" s="6" t="s">
        <v>2593</v>
      </c>
      <c r="D1074" s="14" t="s">
        <v>2329</v>
      </c>
      <c r="E1074" s="22"/>
      <c r="F1074" s="102"/>
      <c r="G1074" s="22" t="s">
        <v>316</v>
      </c>
      <c r="H1074" s="8"/>
      <c r="I1074" s="35"/>
      <c r="J1074" s="38">
        <v>1</v>
      </c>
      <c r="K1074" s="39">
        <v>12</v>
      </c>
      <c r="L1074" s="39">
        <f>K1074*J1074</f>
        <v>12</v>
      </c>
      <c r="M1074" s="91"/>
      <c r="N1074" s="33">
        <v>44487</v>
      </c>
      <c r="O1074" s="32">
        <v>3569</v>
      </c>
      <c r="P1074" s="6"/>
      <c r="Q1074" s="322">
        <v>12</v>
      </c>
      <c r="S1074" s="92">
        <v>1000</v>
      </c>
      <c r="T1074" s="7">
        <f>S1074*J1074</f>
        <v>1000</v>
      </c>
      <c r="U1074" s="21"/>
      <c r="V1074" s="260">
        <v>90</v>
      </c>
    </row>
    <row r="1075" spans="2:22" s="191" customFormat="1" ht="15">
      <c r="B1075" s="190"/>
      <c r="C1075" s="179" t="s">
        <v>2597</v>
      </c>
      <c r="D1075" s="180" t="s">
        <v>2329</v>
      </c>
      <c r="E1075" s="181"/>
      <c r="F1075" s="182"/>
      <c r="G1075" s="182" t="s">
        <v>250</v>
      </c>
      <c r="H1075" s="184" t="s">
        <v>252</v>
      </c>
      <c r="I1075" s="185"/>
      <c r="J1075" s="183"/>
      <c r="K1075" s="203">
        <v>302</v>
      </c>
      <c r="L1075" s="188"/>
      <c r="M1075" s="187"/>
      <c r="N1075" s="187">
        <v>44487</v>
      </c>
      <c r="O1075" s="186">
        <v>3569</v>
      </c>
      <c r="P1075" s="179"/>
      <c r="Q1075" s="747">
        <v>302</v>
      </c>
      <c r="S1075" s="212">
        <v>27106</v>
      </c>
      <c r="T1075" s="212">
        <v>27106</v>
      </c>
      <c r="U1075" s="335"/>
      <c r="V1075" s="260">
        <v>90</v>
      </c>
    </row>
    <row r="1076" spans="2:22" s="7" customFormat="1" ht="15">
      <c r="B1076" s="12"/>
      <c r="C1076" s="6" t="s">
        <v>2598</v>
      </c>
      <c r="D1076" s="14" t="s">
        <v>2329</v>
      </c>
      <c r="E1076" s="19" t="s">
        <v>2599</v>
      </c>
      <c r="F1076" s="107"/>
      <c r="G1076" s="22"/>
      <c r="H1076" s="108"/>
      <c r="I1076" s="109"/>
      <c r="J1076" s="108"/>
      <c r="K1076" s="110" t="s">
        <v>102</v>
      </c>
      <c r="L1076" s="139"/>
      <c r="M1076" s="33"/>
      <c r="N1076" s="33">
        <v>44491</v>
      </c>
      <c r="O1076" s="32">
        <v>3592</v>
      </c>
      <c r="P1076" s="14"/>
      <c r="Q1076" s="322"/>
      <c r="S1076" s="72"/>
      <c r="U1076" s="14"/>
      <c r="V1076" s="260">
        <v>90</v>
      </c>
    </row>
    <row r="1077" spans="2:22" s="7" customFormat="1" ht="15">
      <c r="B1077" s="12" t="s">
        <v>302</v>
      </c>
      <c r="C1077" s="6" t="s">
        <v>2598</v>
      </c>
      <c r="D1077" s="14" t="s">
        <v>2329</v>
      </c>
      <c r="E1077" s="821" t="s">
        <v>2600</v>
      </c>
      <c r="F1077" s="107"/>
      <c r="G1077" s="22"/>
      <c r="H1077" s="108"/>
      <c r="I1077" s="109"/>
      <c r="J1077" s="38">
        <v>1</v>
      </c>
      <c r="K1077" s="39">
        <v>8</v>
      </c>
      <c r="L1077" s="39">
        <f>K1077*J1077</f>
        <v>8</v>
      </c>
      <c r="M1077" s="91"/>
      <c r="N1077" s="33">
        <v>44491</v>
      </c>
      <c r="O1077" s="32">
        <v>3592</v>
      </c>
      <c r="P1077" s="391">
        <f>ROUNDUP(S1077/V1077/VLOOKUP(B1077,$C$2:$F$6,3,FALSE),2)</f>
        <v>6.3199999999999994</v>
      </c>
      <c r="Q1077" s="322">
        <v>6.32</v>
      </c>
      <c r="S1077" s="822">
        <v>500</v>
      </c>
      <c r="T1077" s="7">
        <f>S1077*J1077</f>
        <v>500</v>
      </c>
      <c r="U1077" s="21"/>
      <c r="V1077" s="260">
        <v>90</v>
      </c>
    </row>
    <row r="1078" spans="2:22" s="7" customFormat="1" ht="15">
      <c r="B1078" s="12" t="s">
        <v>302</v>
      </c>
      <c r="C1078" s="6" t="s">
        <v>2598</v>
      </c>
      <c r="D1078" s="14" t="s">
        <v>2329</v>
      </c>
      <c r="E1078" s="821" t="s">
        <v>2601</v>
      </c>
      <c r="F1078" s="107"/>
      <c r="G1078" s="22"/>
      <c r="H1078" s="108"/>
      <c r="I1078" s="109"/>
      <c r="J1078" s="38">
        <v>1</v>
      </c>
      <c r="K1078" s="39">
        <v>8</v>
      </c>
      <c r="L1078" s="39">
        <f>K1078*J1078</f>
        <v>8</v>
      </c>
      <c r="M1078" s="91"/>
      <c r="N1078" s="33">
        <v>44491</v>
      </c>
      <c r="O1078" s="32">
        <v>3592</v>
      </c>
      <c r="P1078" s="391">
        <f>ROUNDUP(S1078/V1078/VLOOKUP(B1078,$C$2:$F$6,3,FALSE),2)</f>
        <v>6.3199999999999994</v>
      </c>
      <c r="Q1078" s="322">
        <v>6.32</v>
      </c>
      <c r="S1078" s="822">
        <v>500</v>
      </c>
      <c r="T1078" s="7">
        <f>S1078*J1078</f>
        <v>500</v>
      </c>
      <c r="U1078" s="21"/>
      <c r="V1078" s="260">
        <v>90</v>
      </c>
    </row>
    <row r="1079" spans="2:22" s="7" customFormat="1" ht="15">
      <c r="B1079" s="12" t="s">
        <v>302</v>
      </c>
      <c r="C1079" s="6" t="s">
        <v>2598</v>
      </c>
      <c r="D1079" s="14" t="s">
        <v>2329</v>
      </c>
      <c r="E1079" s="821" t="s">
        <v>2602</v>
      </c>
      <c r="F1079" s="107"/>
      <c r="G1079" s="22"/>
      <c r="H1079" s="108"/>
      <c r="I1079" s="109"/>
      <c r="J1079" s="38">
        <v>1</v>
      </c>
      <c r="K1079" s="39">
        <v>8</v>
      </c>
      <c r="L1079" s="39">
        <f>K1079*J1079</f>
        <v>8</v>
      </c>
      <c r="M1079" s="91"/>
      <c r="N1079" s="33">
        <v>44491</v>
      </c>
      <c r="O1079" s="32">
        <v>3592</v>
      </c>
      <c r="P1079" s="391">
        <f>ROUNDUP(S1079/V1079/VLOOKUP(B1079,$C$2:$F$6,3,FALSE),2)</f>
        <v>5.31</v>
      </c>
      <c r="Q1079" s="322">
        <v>5.31</v>
      </c>
      <c r="S1079" s="822">
        <v>420</v>
      </c>
      <c r="T1079" s="7">
        <f>S1079*J1079</f>
        <v>420</v>
      </c>
      <c r="U1079" s="21"/>
      <c r="V1079" s="260">
        <v>90</v>
      </c>
    </row>
    <row r="1080" spans="2:22" s="7" customFormat="1" ht="15">
      <c r="B1080" s="12" t="s">
        <v>302</v>
      </c>
      <c r="C1080" s="6" t="s">
        <v>2598</v>
      </c>
      <c r="D1080" s="14" t="s">
        <v>2329</v>
      </c>
      <c r="E1080" s="821" t="s">
        <v>2603</v>
      </c>
      <c r="F1080" s="107"/>
      <c r="G1080" s="22"/>
      <c r="H1080" s="108"/>
      <c r="I1080" s="109"/>
      <c r="J1080" s="38">
        <v>1</v>
      </c>
      <c r="K1080" s="39">
        <v>8</v>
      </c>
      <c r="L1080" s="39">
        <f>K1080*J1080</f>
        <v>8</v>
      </c>
      <c r="M1080" s="91"/>
      <c r="N1080" s="33">
        <v>44491</v>
      </c>
      <c r="O1080" s="32">
        <v>3592</v>
      </c>
      <c r="P1080" s="391">
        <f>ROUNDUP(S1080/V1080/VLOOKUP(B1080,$C$2:$F$6,3,FALSE),2)</f>
        <v>6.0699999999999994</v>
      </c>
      <c r="Q1080" s="322">
        <v>6.07</v>
      </c>
      <c r="S1080" s="822">
        <v>480</v>
      </c>
      <c r="T1080" s="7">
        <f>S1080*J1080</f>
        <v>480</v>
      </c>
      <c r="U1080" s="21"/>
      <c r="V1080" s="260">
        <v>90</v>
      </c>
    </row>
    <row r="1081" spans="2:22" s="191" customFormat="1" ht="15">
      <c r="B1081" s="190"/>
      <c r="C1081" s="179" t="s">
        <v>2597</v>
      </c>
      <c r="D1081" s="180" t="s">
        <v>2329</v>
      </c>
      <c r="E1081" s="181"/>
      <c r="F1081" s="182"/>
      <c r="G1081" s="182" t="s">
        <v>250</v>
      </c>
      <c r="H1081" s="184" t="s">
        <v>252</v>
      </c>
      <c r="I1081" s="185"/>
      <c r="J1081" s="183"/>
      <c r="K1081" s="203" t="s">
        <v>2604</v>
      </c>
      <c r="L1081" s="188"/>
      <c r="M1081" s="187"/>
      <c r="N1081" s="187">
        <v>44491</v>
      </c>
      <c r="O1081" s="186">
        <v>3592</v>
      </c>
      <c r="P1081" s="179"/>
      <c r="Q1081" s="747" t="s">
        <v>2605</v>
      </c>
      <c r="S1081" s="212" t="s">
        <v>2606</v>
      </c>
      <c r="T1081" s="212" t="s">
        <v>2606</v>
      </c>
      <c r="U1081" s="335"/>
      <c r="V1081" s="260">
        <v>90</v>
      </c>
    </row>
    <row r="1082" spans="2:22" s="7" customFormat="1" ht="18" customHeight="1">
      <c r="B1082" s="12"/>
      <c r="C1082" s="6" t="s">
        <v>2607</v>
      </c>
      <c r="D1082" s="14" t="s">
        <v>2608</v>
      </c>
      <c r="E1082" s="19" t="s">
        <v>2270</v>
      </c>
      <c r="F1082" s="37"/>
      <c r="G1082" s="37"/>
      <c r="H1082" s="108"/>
      <c r="I1082" s="108"/>
      <c r="J1082" s="108"/>
      <c r="K1082" s="29" t="s">
        <v>5</v>
      </c>
      <c r="L1082" s="139"/>
      <c r="M1082" s="33"/>
      <c r="N1082" s="33">
        <v>44504</v>
      </c>
      <c r="O1082" s="32">
        <v>3580</v>
      </c>
      <c r="P1082" s="6"/>
      <c r="Q1082" s="339"/>
      <c r="U1082" s="21"/>
      <c r="V1082" s="260">
        <v>90</v>
      </c>
    </row>
    <row r="1083" spans="2:22" s="7" customFormat="1" ht="17.25" customHeight="1">
      <c r="B1083" s="12" t="s">
        <v>300</v>
      </c>
      <c r="C1083" s="6" t="s">
        <v>2607</v>
      </c>
      <c r="D1083" s="14" t="s">
        <v>2608</v>
      </c>
      <c r="E1083" s="22">
        <v>5636</v>
      </c>
      <c r="F1083" s="37" t="s">
        <v>230</v>
      </c>
      <c r="G1083" s="22" t="s">
        <v>2609</v>
      </c>
      <c r="H1083" s="813">
        <v>50</v>
      </c>
      <c r="I1083" s="814">
        <v>56</v>
      </c>
      <c r="J1083" s="8">
        <f>H1083*I1083</f>
        <v>2800</v>
      </c>
      <c r="K1083" s="39">
        <v>0.26</v>
      </c>
      <c r="L1083" s="39">
        <f>K1083*J1083</f>
        <v>728</v>
      </c>
      <c r="M1083" s="91"/>
      <c r="N1083" s="33">
        <v>44504</v>
      </c>
      <c r="O1083" s="32">
        <v>3580</v>
      </c>
      <c r="P1083" s="391">
        <f>ROUNDUP(S1083/V1083/VLOOKUP(B1083,$C$2:$F$6,3,FALSE),2)</f>
        <v>0.17</v>
      </c>
      <c r="Q1083" s="322">
        <v>0.17</v>
      </c>
      <c r="S1083" s="752">
        <v>10.4</v>
      </c>
      <c r="T1083" s="7">
        <f>S1083*J1083</f>
        <v>29120</v>
      </c>
      <c r="U1083" s="778" t="s">
        <v>2255</v>
      </c>
      <c r="V1083" s="260">
        <v>90</v>
      </c>
    </row>
    <row r="1084" spans="2:22" s="7" customFormat="1" ht="17.25" customHeight="1">
      <c r="B1084" s="12" t="s">
        <v>300</v>
      </c>
      <c r="C1084" s="6" t="s">
        <v>2607</v>
      </c>
      <c r="D1084" s="14" t="s">
        <v>2608</v>
      </c>
      <c r="E1084" s="22">
        <v>5636</v>
      </c>
      <c r="F1084" s="37" t="s">
        <v>230</v>
      </c>
      <c r="G1084" s="22" t="s">
        <v>2610</v>
      </c>
      <c r="H1084" s="813">
        <v>50</v>
      </c>
      <c r="I1084" s="814">
        <v>58</v>
      </c>
      <c r="J1084" s="8">
        <f>H1084*I1084</f>
        <v>2900</v>
      </c>
      <c r="K1084" s="39">
        <v>0.26</v>
      </c>
      <c r="L1084" s="39">
        <f>K1084*J1084</f>
        <v>754</v>
      </c>
      <c r="M1084" s="91"/>
      <c r="N1084" s="33">
        <v>44504</v>
      </c>
      <c r="O1084" s="32">
        <v>3580</v>
      </c>
      <c r="P1084" s="391">
        <f>ROUNDUP(S1084/V1084/VLOOKUP(B1084,$C$2:$F$6,3,FALSE),2)</f>
        <v>0.22</v>
      </c>
      <c r="Q1084" s="322">
        <v>0.22</v>
      </c>
      <c r="S1084" s="752">
        <v>13.8</v>
      </c>
      <c r="T1084" s="7">
        <f>S1084*J1084</f>
        <v>40020</v>
      </c>
      <c r="U1084" s="778" t="s">
        <v>2255</v>
      </c>
      <c r="V1084" s="260">
        <v>90</v>
      </c>
    </row>
    <row r="1085" spans="2:22" s="7" customFormat="1" ht="17.25" customHeight="1">
      <c r="B1085" s="12" t="s">
        <v>300</v>
      </c>
      <c r="C1085" s="6" t="s">
        <v>2607</v>
      </c>
      <c r="D1085" s="14" t="s">
        <v>2608</v>
      </c>
      <c r="E1085" s="22">
        <v>5636</v>
      </c>
      <c r="F1085" s="37" t="s">
        <v>230</v>
      </c>
      <c r="G1085" s="22" t="s">
        <v>2611</v>
      </c>
      <c r="H1085" s="813">
        <v>50</v>
      </c>
      <c r="I1085" s="814">
        <v>20</v>
      </c>
      <c r="J1085" s="8">
        <f>H1085*I1085</f>
        <v>1000</v>
      </c>
      <c r="K1085" s="39">
        <v>0.26</v>
      </c>
      <c r="L1085" s="39">
        <f>K1085*J1085</f>
        <v>260</v>
      </c>
      <c r="M1085" s="91"/>
      <c r="N1085" s="33">
        <v>44504</v>
      </c>
      <c r="O1085" s="32">
        <v>3580</v>
      </c>
      <c r="P1085" s="391">
        <f>ROUNDUP(S1085/V1085/VLOOKUP(B1085,$C$2:$F$6,3,FALSE),2)</f>
        <v>0.22</v>
      </c>
      <c r="Q1085" s="322">
        <v>0.22</v>
      </c>
      <c r="S1085" s="752">
        <v>13.8</v>
      </c>
      <c r="T1085" s="7">
        <f>S1085*J1085</f>
        <v>13800</v>
      </c>
      <c r="U1085" s="778" t="s">
        <v>2255</v>
      </c>
      <c r="V1085" s="260">
        <v>90</v>
      </c>
    </row>
    <row r="1086" spans="2:22" s="7" customFormat="1" ht="15">
      <c r="B1086" s="12"/>
      <c r="C1086" s="6" t="s">
        <v>2607</v>
      </c>
      <c r="D1086" s="14" t="s">
        <v>2608</v>
      </c>
      <c r="E1086" s="22"/>
      <c r="F1086" s="102"/>
      <c r="G1086" s="22" t="s">
        <v>316</v>
      </c>
      <c r="H1086" s="8"/>
      <c r="I1086" s="35"/>
      <c r="J1086" s="38">
        <v>2</v>
      </c>
      <c r="K1086" s="39">
        <v>12</v>
      </c>
      <c r="L1086" s="39">
        <f>K1086*J1086</f>
        <v>24</v>
      </c>
      <c r="M1086" s="91"/>
      <c r="N1086" s="33">
        <v>44504</v>
      </c>
      <c r="O1086" s="32">
        <v>3580</v>
      </c>
      <c r="P1086" s="6"/>
      <c r="Q1086" s="322">
        <v>24</v>
      </c>
      <c r="S1086" s="7">
        <v>1100</v>
      </c>
      <c r="T1086" s="7">
        <v>1100</v>
      </c>
      <c r="U1086" s="21"/>
      <c r="V1086" s="260">
        <v>90</v>
      </c>
    </row>
    <row r="1087" spans="2:22" s="191" customFormat="1" ht="15">
      <c r="B1087" s="190"/>
      <c r="C1087" s="179" t="s">
        <v>2607</v>
      </c>
      <c r="D1087" s="180" t="s">
        <v>2608</v>
      </c>
      <c r="E1087" s="181"/>
      <c r="F1087" s="622"/>
      <c r="G1087" s="182" t="s">
        <v>250</v>
      </c>
      <c r="H1087" s="184" t="s">
        <v>251</v>
      </c>
      <c r="I1087" s="185"/>
      <c r="J1087" s="183"/>
      <c r="K1087" s="192">
        <v>0</v>
      </c>
      <c r="L1087" s="188"/>
      <c r="M1087" s="187"/>
      <c r="N1087" s="187">
        <v>44504</v>
      </c>
      <c r="O1087" s="186">
        <v>3580</v>
      </c>
      <c r="P1087" s="179"/>
      <c r="Q1087" s="725">
        <v>0</v>
      </c>
      <c r="S1087" s="197">
        <v>0</v>
      </c>
      <c r="T1087" s="198">
        <v>0</v>
      </c>
      <c r="U1087" s="335"/>
      <c r="V1087" s="260">
        <v>90</v>
      </c>
    </row>
    <row r="1088" spans="2:22" s="7" customFormat="1" ht="18" customHeight="1">
      <c r="B1088" s="12"/>
      <c r="C1088" s="6" t="s">
        <v>2612</v>
      </c>
      <c r="D1088" s="14" t="s">
        <v>2034</v>
      </c>
      <c r="E1088" s="19" t="s">
        <v>10</v>
      </c>
      <c r="F1088" s="107"/>
      <c r="G1088" s="22"/>
      <c r="H1088" s="108"/>
      <c r="I1088" s="109"/>
      <c r="J1088" s="108"/>
      <c r="K1088" s="29" t="s">
        <v>5</v>
      </c>
      <c r="L1088" s="39"/>
      <c r="M1088" s="91"/>
      <c r="N1088" s="33">
        <v>44498</v>
      </c>
      <c r="O1088" s="32">
        <v>3618</v>
      </c>
      <c r="P1088" s="14"/>
      <c r="Q1088" s="322"/>
      <c r="U1088" s="14"/>
      <c r="V1088" s="260">
        <v>90</v>
      </c>
    </row>
    <row r="1089" spans="2:22" s="7" customFormat="1" ht="18" customHeight="1">
      <c r="B1089" s="12" t="s">
        <v>302</v>
      </c>
      <c r="C1089" s="6" t="s">
        <v>2612</v>
      </c>
      <c r="D1089" s="14" t="s">
        <v>2034</v>
      </c>
      <c r="E1089" s="22" t="s">
        <v>6</v>
      </c>
      <c r="F1089" s="107">
        <v>160</v>
      </c>
      <c r="G1089" s="22" t="s">
        <v>2613</v>
      </c>
      <c r="H1089" s="108">
        <v>50</v>
      </c>
      <c r="I1089" s="109">
        <v>3</v>
      </c>
      <c r="J1089" s="8">
        <f>H1089*I1089</f>
        <v>150</v>
      </c>
      <c r="K1089" s="39">
        <v>4.45</v>
      </c>
      <c r="L1089" s="39">
        <f>K1089*J1089</f>
        <v>667.5</v>
      </c>
      <c r="M1089" s="91"/>
      <c r="N1089" s="33">
        <v>44498</v>
      </c>
      <c r="O1089" s="32">
        <v>3618</v>
      </c>
      <c r="P1089" s="391">
        <v>4.04</v>
      </c>
      <c r="Q1089" s="322">
        <v>4.04</v>
      </c>
      <c r="S1089" s="7">
        <v>320</v>
      </c>
      <c r="T1089" s="7">
        <f>S1089*J1089</f>
        <v>48000</v>
      </c>
      <c r="U1089" s="21"/>
      <c r="V1089" s="260">
        <v>90</v>
      </c>
    </row>
    <row r="1090" spans="2:22" s="7" customFormat="1" ht="18" customHeight="1">
      <c r="B1090" s="12"/>
      <c r="C1090" s="6" t="s">
        <v>2612</v>
      </c>
      <c r="D1090" s="14" t="s">
        <v>2034</v>
      </c>
      <c r="E1090" s="19" t="s">
        <v>59</v>
      </c>
      <c r="F1090" s="107"/>
      <c r="G1090" s="22"/>
      <c r="H1090" s="108"/>
      <c r="I1090" s="109"/>
      <c r="J1090" s="108"/>
      <c r="K1090" s="29" t="s">
        <v>5</v>
      </c>
      <c r="L1090" s="39"/>
      <c r="M1090" s="91"/>
      <c r="N1090" s="33">
        <v>44498</v>
      </c>
      <c r="O1090" s="32">
        <v>3618</v>
      </c>
      <c r="P1090" s="14"/>
      <c r="Q1090" s="322"/>
      <c r="U1090" s="14"/>
      <c r="V1090" s="260">
        <v>90</v>
      </c>
    </row>
    <row r="1091" spans="2:22" s="7" customFormat="1" ht="18" customHeight="1">
      <c r="B1091" s="12" t="s">
        <v>302</v>
      </c>
      <c r="C1091" s="6" t="s">
        <v>2612</v>
      </c>
      <c r="D1091" s="14" t="s">
        <v>2034</v>
      </c>
      <c r="E1091" s="22" t="s">
        <v>2614</v>
      </c>
      <c r="F1091" s="107">
        <v>150</v>
      </c>
      <c r="G1091" s="22" t="s">
        <v>221</v>
      </c>
      <c r="H1091" s="108">
        <v>51</v>
      </c>
      <c r="I1091" s="109">
        <v>1</v>
      </c>
      <c r="J1091" s="8">
        <f>H1091*I1091</f>
        <v>51</v>
      </c>
      <c r="K1091" s="39">
        <v>10.14</v>
      </c>
      <c r="L1091" s="39">
        <f>K1091*J1091</f>
        <v>517.14</v>
      </c>
      <c r="M1091" s="91"/>
      <c r="N1091" s="33">
        <v>44498</v>
      </c>
      <c r="O1091" s="32">
        <v>3618</v>
      </c>
      <c r="P1091" s="391">
        <f>ROUNDUP(S1091/V1091/VLOOKUP(B1091,$C$2:$F$6,3,FALSE),2)</f>
        <v>9.2200000000000006</v>
      </c>
      <c r="Q1091" s="322">
        <v>9.2200000000000006</v>
      </c>
      <c r="S1091" s="7">
        <v>730</v>
      </c>
      <c r="T1091" s="7">
        <f>S1091*J1091</f>
        <v>37230</v>
      </c>
      <c r="U1091" s="21"/>
      <c r="V1091" s="260">
        <v>90</v>
      </c>
    </row>
    <row r="1092" spans="2:22" s="7" customFormat="1" ht="18" customHeight="1">
      <c r="B1092" s="12" t="s">
        <v>302</v>
      </c>
      <c r="C1092" s="6" t="s">
        <v>2612</v>
      </c>
      <c r="D1092" s="14" t="s">
        <v>2034</v>
      </c>
      <c r="E1092" s="22" t="s">
        <v>2614</v>
      </c>
      <c r="F1092" s="107">
        <v>150</v>
      </c>
      <c r="G1092" s="22" t="s">
        <v>221</v>
      </c>
      <c r="H1092" s="108">
        <v>21</v>
      </c>
      <c r="I1092" s="109">
        <v>1</v>
      </c>
      <c r="J1092" s="8">
        <f>H1092*I1092</f>
        <v>21</v>
      </c>
      <c r="K1092" s="39">
        <v>10.14</v>
      </c>
      <c r="L1092" s="39">
        <f>K1092*J1092</f>
        <v>212.94</v>
      </c>
      <c r="M1092" s="91"/>
      <c r="N1092" s="33">
        <v>44498</v>
      </c>
      <c r="O1092" s="32">
        <v>3618</v>
      </c>
      <c r="P1092" s="391">
        <f>ROUNDUP(S1092/V1092/VLOOKUP(B1092,$C$2:$F$6,3,FALSE),2)</f>
        <v>9.2200000000000006</v>
      </c>
      <c r="Q1092" s="322">
        <v>9.2200000000000006</v>
      </c>
      <c r="S1092" s="7">
        <v>730</v>
      </c>
      <c r="T1092" s="7">
        <f>S1092*J1092</f>
        <v>15330</v>
      </c>
      <c r="U1092" s="21"/>
      <c r="V1092" s="260">
        <v>90</v>
      </c>
    </row>
    <row r="1093" spans="2:22" s="7" customFormat="1" ht="15">
      <c r="B1093" s="12"/>
      <c r="C1093" s="6" t="s">
        <v>2612</v>
      </c>
      <c r="D1093" s="14" t="s">
        <v>2034</v>
      </c>
      <c r="E1093" s="22"/>
      <c r="F1093" s="102"/>
      <c r="G1093" s="22" t="s">
        <v>316</v>
      </c>
      <c r="H1093" s="8"/>
      <c r="I1093" s="35"/>
      <c r="J1093" s="38">
        <v>1</v>
      </c>
      <c r="K1093" s="39">
        <v>20</v>
      </c>
      <c r="L1093" s="39">
        <f>K1093*J1093</f>
        <v>20</v>
      </c>
      <c r="M1093" s="91"/>
      <c r="N1093" s="33">
        <v>44498</v>
      </c>
      <c r="O1093" s="32">
        <v>3618</v>
      </c>
      <c r="P1093" s="6" t="s">
        <v>3</v>
      </c>
      <c r="Q1093" s="322">
        <v>20</v>
      </c>
      <c r="S1093" s="7">
        <v>1800</v>
      </c>
      <c r="T1093" s="7">
        <v>1800</v>
      </c>
      <c r="U1093" s="21"/>
      <c r="V1093" s="260">
        <v>90</v>
      </c>
    </row>
    <row r="1094" spans="2:22" s="191" customFormat="1" ht="15">
      <c r="B1094" s="190"/>
      <c r="C1094" s="179" t="s">
        <v>2612</v>
      </c>
      <c r="D1094" s="180" t="s">
        <v>2034</v>
      </c>
      <c r="E1094" s="217"/>
      <c r="F1094" s="182"/>
      <c r="G1094" s="182" t="s">
        <v>250</v>
      </c>
      <c r="H1094" s="184" t="s">
        <v>252</v>
      </c>
      <c r="I1094" s="185"/>
      <c r="J1094" s="183"/>
      <c r="K1094" s="203">
        <v>315</v>
      </c>
      <c r="L1094" s="188"/>
      <c r="M1094" s="187"/>
      <c r="N1094" s="187">
        <v>44498</v>
      </c>
      <c r="O1094" s="186">
        <v>3618</v>
      </c>
      <c r="P1094" s="179"/>
      <c r="Q1094" s="747">
        <v>315</v>
      </c>
      <c r="S1094" s="212">
        <v>28316</v>
      </c>
      <c r="T1094" s="198">
        <v>28316</v>
      </c>
      <c r="U1094" s="335"/>
      <c r="V1094" s="260">
        <v>90</v>
      </c>
    </row>
    <row r="1095" spans="2:22" s="7" customFormat="1" ht="18" customHeight="1">
      <c r="B1095" s="12"/>
      <c r="C1095" s="6" t="s">
        <v>2615</v>
      </c>
      <c r="D1095" s="14" t="s">
        <v>2259</v>
      </c>
      <c r="E1095" s="19" t="s">
        <v>2369</v>
      </c>
      <c r="F1095" s="37"/>
      <c r="G1095" s="37"/>
      <c r="H1095" s="108"/>
      <c r="I1095" s="108"/>
      <c r="J1095" s="108"/>
      <c r="K1095" s="110" t="s">
        <v>5</v>
      </c>
      <c r="L1095" s="139"/>
      <c r="M1095" s="33"/>
      <c r="N1095" s="33">
        <v>44531</v>
      </c>
      <c r="O1095" s="32">
        <v>3693</v>
      </c>
      <c r="P1095" s="6"/>
      <c r="Q1095" s="339"/>
      <c r="U1095" s="21"/>
      <c r="V1095" s="260">
        <v>90</v>
      </c>
    </row>
    <row r="1096" spans="2:22" s="7" customFormat="1" ht="18" customHeight="1">
      <c r="B1096" s="12" t="s">
        <v>302</v>
      </c>
      <c r="C1096" s="6" t="s">
        <v>2615</v>
      </c>
      <c r="D1096" s="14" t="s">
        <v>2259</v>
      </c>
      <c r="E1096" s="22" t="s">
        <v>2261</v>
      </c>
      <c r="F1096" s="37"/>
      <c r="G1096" s="37" t="s">
        <v>2616</v>
      </c>
      <c r="H1096" s="108">
        <v>13.7</v>
      </c>
      <c r="I1096" s="109">
        <v>5</v>
      </c>
      <c r="J1096" s="131">
        <f>H1096*I1096</f>
        <v>68.5</v>
      </c>
      <c r="K1096" s="39">
        <v>45.98</v>
      </c>
      <c r="L1096" s="39">
        <f>K1096*J1096</f>
        <v>3149.6299999999997</v>
      </c>
      <c r="M1096" s="91"/>
      <c r="N1096" s="33">
        <v>44531</v>
      </c>
      <c r="O1096" s="32">
        <v>3693</v>
      </c>
      <c r="P1096" s="391">
        <f>ROUNDUP(S1096/V1096/VLOOKUP(B1096,$C$2:$F$6,3,FALSE),2)</f>
        <v>41.8</v>
      </c>
      <c r="Q1096" s="322">
        <v>41.8</v>
      </c>
      <c r="S1096" s="7">
        <f>2800+510</f>
        <v>3310</v>
      </c>
      <c r="T1096" s="7">
        <f>S1096*J1096</f>
        <v>226735</v>
      </c>
      <c r="U1096" s="21"/>
      <c r="V1096" s="260">
        <v>90</v>
      </c>
    </row>
    <row r="1097" spans="2:22" s="7" customFormat="1" ht="18" customHeight="1">
      <c r="B1097" s="12" t="s">
        <v>302</v>
      </c>
      <c r="C1097" s="6" t="s">
        <v>2615</v>
      </c>
      <c r="D1097" s="14" t="s">
        <v>2259</v>
      </c>
      <c r="E1097" s="22" t="s">
        <v>2261</v>
      </c>
      <c r="F1097" s="37"/>
      <c r="G1097" s="37" t="s">
        <v>2616</v>
      </c>
      <c r="H1097" s="108">
        <v>12.6</v>
      </c>
      <c r="I1097" s="109">
        <v>1</v>
      </c>
      <c r="J1097" s="131">
        <f>H1097*I1097</f>
        <v>12.6</v>
      </c>
      <c r="K1097" s="39">
        <v>45.98</v>
      </c>
      <c r="L1097" s="39">
        <f>K1097*J1097</f>
        <v>579.34799999999996</v>
      </c>
      <c r="M1097" s="91"/>
      <c r="N1097" s="33">
        <v>44531</v>
      </c>
      <c r="O1097" s="32">
        <v>3693</v>
      </c>
      <c r="P1097" s="391">
        <f>ROUNDUP(S1097/V1097/VLOOKUP(B1097,$C$2:$F$6,3,FALSE),2)</f>
        <v>41.8</v>
      </c>
      <c r="Q1097" s="322">
        <v>41.8</v>
      </c>
      <c r="S1097" s="7">
        <f>2800+510</f>
        <v>3310</v>
      </c>
      <c r="T1097" s="7">
        <f>S1097*J1097</f>
        <v>41706</v>
      </c>
      <c r="U1097" s="21"/>
      <c r="V1097" s="260">
        <v>90</v>
      </c>
    </row>
    <row r="1098" spans="2:22" s="191" customFormat="1" ht="15">
      <c r="B1098" s="190"/>
      <c r="C1098" s="179" t="s">
        <v>2615</v>
      </c>
      <c r="D1098" s="180" t="s">
        <v>2259</v>
      </c>
      <c r="E1098" s="181"/>
      <c r="F1098" s="622"/>
      <c r="G1098" s="182" t="s">
        <v>250</v>
      </c>
      <c r="H1098" s="184" t="s">
        <v>251</v>
      </c>
      <c r="I1098" s="185"/>
      <c r="J1098" s="183"/>
      <c r="K1098" s="192">
        <v>0</v>
      </c>
      <c r="L1098" s="188"/>
      <c r="M1098" s="187"/>
      <c r="N1098" s="187">
        <v>44531</v>
      </c>
      <c r="O1098" s="186">
        <v>3693</v>
      </c>
      <c r="P1098" s="179"/>
      <c r="Q1098" s="725">
        <v>0</v>
      </c>
      <c r="S1098" s="212">
        <v>0</v>
      </c>
      <c r="T1098" s="212">
        <v>0</v>
      </c>
      <c r="U1098" s="335"/>
      <c r="V1098" s="260">
        <v>90</v>
      </c>
    </row>
    <row r="1099" spans="2:22" s="7" customFormat="1" ht="18.600000000000001" customHeight="1">
      <c r="B1099" s="12"/>
      <c r="C1099" s="6" t="s">
        <v>2617</v>
      </c>
      <c r="D1099" s="14" t="s">
        <v>2273</v>
      </c>
      <c r="E1099" s="19" t="s">
        <v>228</v>
      </c>
      <c r="F1099" s="22"/>
      <c r="G1099" s="37"/>
      <c r="H1099" s="108"/>
      <c r="I1099" s="108"/>
      <c r="J1099" s="108"/>
      <c r="K1099" s="110" t="s">
        <v>5</v>
      </c>
      <c r="L1099" s="139"/>
      <c r="M1099" s="33"/>
      <c r="N1099" s="33">
        <v>44495</v>
      </c>
      <c r="O1099" s="32">
        <v>3595</v>
      </c>
      <c r="P1099" s="6"/>
      <c r="Q1099" s="779"/>
      <c r="U1099" s="772" t="s">
        <v>265</v>
      </c>
      <c r="V1099" s="260">
        <v>90</v>
      </c>
    </row>
    <row r="1100" spans="2:22" s="7" customFormat="1" ht="15.95" customHeight="1">
      <c r="B1100" s="12" t="s">
        <v>300</v>
      </c>
      <c r="C1100" s="6" t="s">
        <v>2617</v>
      </c>
      <c r="D1100" s="14" t="s">
        <v>2273</v>
      </c>
      <c r="E1100" s="22" t="s">
        <v>2311</v>
      </c>
      <c r="F1100" s="37"/>
      <c r="G1100" s="37" t="s">
        <v>100</v>
      </c>
      <c r="H1100" s="60">
        <v>14</v>
      </c>
      <c r="I1100" s="61">
        <v>15</v>
      </c>
      <c r="J1100" s="8">
        <f>H1100*I1100</f>
        <v>210</v>
      </c>
      <c r="K1100" s="39">
        <v>2.12</v>
      </c>
      <c r="L1100" s="39">
        <f>K1100*J1100</f>
        <v>445.20000000000005</v>
      </c>
      <c r="M1100" s="91"/>
      <c r="N1100" s="33">
        <v>44495</v>
      </c>
      <c r="O1100" s="32">
        <v>3595</v>
      </c>
      <c r="P1100" s="391">
        <f>ROUNDUP(S1100/V1100/VLOOKUP(B1100,$C$2:$F$6,3,FALSE),2)</f>
        <v>1.34</v>
      </c>
      <c r="Q1100" s="322">
        <v>1.34</v>
      </c>
      <c r="S1100" s="7">
        <v>84</v>
      </c>
      <c r="T1100" s="7">
        <f>S1100*J1100</f>
        <v>17640</v>
      </c>
      <c r="U1100" s="81">
        <f>84+30</f>
        <v>114</v>
      </c>
      <c r="V1100" s="260">
        <v>90</v>
      </c>
    </row>
    <row r="1101" spans="2:22" s="143" customFormat="1" ht="15">
      <c r="B1101" s="276"/>
      <c r="C1101" s="6" t="s">
        <v>2617</v>
      </c>
      <c r="D1101" s="14" t="s">
        <v>2273</v>
      </c>
      <c r="E1101" s="49"/>
      <c r="F1101" s="24"/>
      <c r="G1101" s="22" t="s">
        <v>316</v>
      </c>
      <c r="H1101" s="38"/>
      <c r="I1101" s="35"/>
      <c r="J1101" s="38">
        <v>1</v>
      </c>
      <c r="K1101" s="39">
        <v>12</v>
      </c>
      <c r="L1101" s="39">
        <f>K1101*J1101</f>
        <v>12</v>
      </c>
      <c r="M1101" s="91"/>
      <c r="N1101" s="33">
        <v>44495</v>
      </c>
      <c r="O1101" s="32">
        <v>3595</v>
      </c>
      <c r="P1101" s="142"/>
      <c r="Q1101" s="322">
        <v>12</v>
      </c>
      <c r="S1101" s="7">
        <v>900</v>
      </c>
      <c r="T1101" s="7">
        <f>S1101*J1101</f>
        <v>900</v>
      </c>
      <c r="U1101" s="746"/>
      <c r="V1101" s="260">
        <v>90</v>
      </c>
    </row>
    <row r="1102" spans="2:22" s="7" customFormat="1" ht="15.95" customHeight="1">
      <c r="B1102" s="12" t="s">
        <v>300</v>
      </c>
      <c r="C1102" s="6" t="s">
        <v>2617</v>
      </c>
      <c r="D1102" s="14" t="s">
        <v>2273</v>
      </c>
      <c r="E1102" s="22" t="s">
        <v>2311</v>
      </c>
      <c r="F1102" s="37"/>
      <c r="G1102" s="37" t="s">
        <v>100</v>
      </c>
      <c r="H1102" s="60">
        <v>14</v>
      </c>
      <c r="I1102" s="61">
        <v>7</v>
      </c>
      <c r="J1102" s="8">
        <f>H1102*I1102</f>
        <v>98</v>
      </c>
      <c r="K1102" s="39">
        <v>2.12</v>
      </c>
      <c r="L1102" s="39">
        <f>K1102*J1102</f>
        <v>207.76000000000002</v>
      </c>
      <c r="M1102" s="91"/>
      <c r="N1102" s="33">
        <v>44529</v>
      </c>
      <c r="O1102" s="32">
        <v>3694</v>
      </c>
      <c r="P1102" s="391">
        <f>ROUNDUP(S1102/V1102/VLOOKUP(B1102,$C$2:$F$6,3,FALSE),2)</f>
        <v>1.34</v>
      </c>
      <c r="Q1102" s="322">
        <v>1.34</v>
      </c>
      <c r="S1102" s="7">
        <v>84</v>
      </c>
      <c r="T1102" s="7">
        <f>S1102*J1102</f>
        <v>8232</v>
      </c>
      <c r="U1102" s="81">
        <f>84+30</f>
        <v>114</v>
      </c>
      <c r="V1102" s="260">
        <v>90</v>
      </c>
    </row>
    <row r="1103" spans="2:22" s="191" customFormat="1" ht="15">
      <c r="B1103" s="190"/>
      <c r="C1103" s="179" t="s">
        <v>2617</v>
      </c>
      <c r="D1103" s="180" t="s">
        <v>2273</v>
      </c>
      <c r="E1103" s="181"/>
      <c r="F1103" s="182"/>
      <c r="G1103" s="182" t="s">
        <v>250</v>
      </c>
      <c r="H1103" s="184" t="s">
        <v>251</v>
      </c>
      <c r="I1103" s="185"/>
      <c r="J1103" s="183"/>
      <c r="K1103" s="192">
        <v>0</v>
      </c>
      <c r="L1103" s="188"/>
      <c r="M1103" s="187"/>
      <c r="N1103" s="187"/>
      <c r="O1103" s="186"/>
      <c r="P1103" s="179"/>
      <c r="Q1103" s="725">
        <v>0</v>
      </c>
      <c r="S1103" s="189">
        <v>0</v>
      </c>
      <c r="T1103" s="190">
        <v>0</v>
      </c>
      <c r="U1103" s="335"/>
      <c r="V1103" s="260">
        <v>90</v>
      </c>
    </row>
    <row r="1104" spans="2:22" s="7" customFormat="1" ht="18" customHeight="1">
      <c r="B1104" s="12"/>
      <c r="C1104" s="6" t="s">
        <v>2618</v>
      </c>
      <c r="D1104" s="14" t="s">
        <v>1963</v>
      </c>
      <c r="E1104" s="19" t="s">
        <v>59</v>
      </c>
      <c r="F1104" s="107"/>
      <c r="G1104" s="22"/>
      <c r="H1104" s="108"/>
      <c r="I1104" s="109"/>
      <c r="J1104" s="108"/>
      <c r="K1104" s="29" t="s">
        <v>5</v>
      </c>
      <c r="L1104" s="39"/>
      <c r="M1104" s="91"/>
      <c r="N1104" s="33">
        <v>44497</v>
      </c>
      <c r="O1104" s="32">
        <v>3608</v>
      </c>
      <c r="P1104" s="14"/>
      <c r="Q1104" s="322"/>
      <c r="U1104" s="14"/>
      <c r="V1104" s="260">
        <v>90</v>
      </c>
    </row>
    <row r="1105" spans="2:22" s="7" customFormat="1" ht="18" customHeight="1">
      <c r="B1105" s="12" t="s">
        <v>302</v>
      </c>
      <c r="C1105" s="6" t="s">
        <v>2618</v>
      </c>
      <c r="D1105" s="14" t="s">
        <v>1963</v>
      </c>
      <c r="E1105" s="22" t="s">
        <v>314</v>
      </c>
      <c r="F1105" s="107">
        <v>145</v>
      </c>
      <c r="G1105" s="22" t="s">
        <v>2619</v>
      </c>
      <c r="H1105" s="823"/>
      <c r="I1105" s="824"/>
      <c r="J1105" s="8">
        <v>3</v>
      </c>
      <c r="K1105" s="39">
        <v>8.75</v>
      </c>
      <c r="L1105" s="39">
        <f t="shared" ref="L1105:L1114" si="41">K1105*J1105</f>
        <v>26.25</v>
      </c>
      <c r="M1105" s="91"/>
      <c r="N1105" s="33">
        <v>44497</v>
      </c>
      <c r="O1105" s="32">
        <v>3608</v>
      </c>
      <c r="P1105" s="391">
        <f t="shared" ref="P1105:P1112" si="42">ROUNDUP(S1105/V1105/VLOOKUP(B1105,$C$2:$F$6,3,FALSE),2)</f>
        <v>7.96</v>
      </c>
      <c r="Q1105" s="322">
        <v>7.96</v>
      </c>
      <c r="S1105" s="7">
        <v>630</v>
      </c>
      <c r="T1105" s="7">
        <f t="shared" ref="T1105:T1114" si="43">S1105*J1105</f>
        <v>1890</v>
      </c>
      <c r="U1105" s="21"/>
      <c r="V1105" s="260">
        <v>90</v>
      </c>
    </row>
    <row r="1106" spans="2:22" s="7" customFormat="1" ht="18" customHeight="1">
      <c r="B1106" s="12" t="s">
        <v>302</v>
      </c>
      <c r="C1106" s="6" t="s">
        <v>2618</v>
      </c>
      <c r="D1106" s="14" t="s">
        <v>1963</v>
      </c>
      <c r="E1106" s="22" t="s">
        <v>314</v>
      </c>
      <c r="F1106" s="107">
        <v>145</v>
      </c>
      <c r="G1106" s="22" t="s">
        <v>2536</v>
      </c>
      <c r="H1106" s="823"/>
      <c r="I1106" s="824"/>
      <c r="J1106" s="8">
        <v>3</v>
      </c>
      <c r="K1106" s="39">
        <v>8.75</v>
      </c>
      <c r="L1106" s="39">
        <f t="shared" si="41"/>
        <v>26.25</v>
      </c>
      <c r="M1106" s="91"/>
      <c r="N1106" s="33">
        <v>44497</v>
      </c>
      <c r="O1106" s="32">
        <v>3608</v>
      </c>
      <c r="P1106" s="391">
        <f t="shared" si="42"/>
        <v>7.96</v>
      </c>
      <c r="Q1106" s="322">
        <v>7.96</v>
      </c>
      <c r="S1106" s="7">
        <v>630</v>
      </c>
      <c r="T1106" s="7">
        <f t="shared" si="43"/>
        <v>1890</v>
      </c>
      <c r="U1106" s="21"/>
      <c r="V1106" s="260">
        <v>90</v>
      </c>
    </row>
    <row r="1107" spans="2:22" s="7" customFormat="1" ht="18" customHeight="1">
      <c r="B1107" s="12" t="s">
        <v>302</v>
      </c>
      <c r="C1107" s="6" t="s">
        <v>2618</v>
      </c>
      <c r="D1107" s="14" t="s">
        <v>1963</v>
      </c>
      <c r="E1107" s="22" t="s">
        <v>314</v>
      </c>
      <c r="F1107" s="107">
        <v>145</v>
      </c>
      <c r="G1107" s="22" t="s">
        <v>2620</v>
      </c>
      <c r="H1107" s="823"/>
      <c r="I1107" s="824"/>
      <c r="J1107" s="8">
        <v>3</v>
      </c>
      <c r="K1107" s="39">
        <v>8.75</v>
      </c>
      <c r="L1107" s="39">
        <f t="shared" si="41"/>
        <v>26.25</v>
      </c>
      <c r="M1107" s="91"/>
      <c r="N1107" s="33">
        <v>44497</v>
      </c>
      <c r="O1107" s="32">
        <v>3608</v>
      </c>
      <c r="P1107" s="391">
        <f t="shared" si="42"/>
        <v>7.96</v>
      </c>
      <c r="Q1107" s="322">
        <v>7.96</v>
      </c>
      <c r="S1107" s="7">
        <v>630</v>
      </c>
      <c r="T1107" s="7">
        <f t="shared" si="43"/>
        <v>1890</v>
      </c>
      <c r="U1107" s="21"/>
      <c r="V1107" s="260">
        <v>90</v>
      </c>
    </row>
    <row r="1108" spans="2:22" s="7" customFormat="1" ht="18" customHeight="1">
      <c r="B1108" s="12" t="s">
        <v>302</v>
      </c>
      <c r="C1108" s="6" t="s">
        <v>2618</v>
      </c>
      <c r="D1108" s="14" t="s">
        <v>1963</v>
      </c>
      <c r="E1108" s="22" t="s">
        <v>314</v>
      </c>
      <c r="F1108" s="107">
        <v>145</v>
      </c>
      <c r="G1108" s="22" t="s">
        <v>2621</v>
      </c>
      <c r="H1108" s="823"/>
      <c r="I1108" s="824"/>
      <c r="J1108" s="8">
        <v>5</v>
      </c>
      <c r="K1108" s="39">
        <v>8.75</v>
      </c>
      <c r="L1108" s="39">
        <f t="shared" si="41"/>
        <v>43.75</v>
      </c>
      <c r="M1108" s="91"/>
      <c r="N1108" s="33">
        <v>44497</v>
      </c>
      <c r="O1108" s="32">
        <v>3608</v>
      </c>
      <c r="P1108" s="391">
        <f t="shared" si="42"/>
        <v>7.96</v>
      </c>
      <c r="Q1108" s="322">
        <v>7.96</v>
      </c>
      <c r="S1108" s="7">
        <v>630</v>
      </c>
      <c r="T1108" s="7">
        <f t="shared" si="43"/>
        <v>3150</v>
      </c>
      <c r="U1108" s="21"/>
      <c r="V1108" s="260">
        <v>90</v>
      </c>
    </row>
    <row r="1109" spans="2:22" s="7" customFormat="1" ht="18" customHeight="1">
      <c r="B1109" s="12" t="s">
        <v>302</v>
      </c>
      <c r="C1109" s="6" t="s">
        <v>2618</v>
      </c>
      <c r="D1109" s="14" t="s">
        <v>1963</v>
      </c>
      <c r="E1109" s="22">
        <v>5600</v>
      </c>
      <c r="F1109" s="107">
        <v>148</v>
      </c>
      <c r="G1109" s="22" t="s">
        <v>2619</v>
      </c>
      <c r="H1109" s="823"/>
      <c r="I1109" s="824"/>
      <c r="J1109" s="8">
        <v>3</v>
      </c>
      <c r="K1109" s="39">
        <v>7.2299999999999995</v>
      </c>
      <c r="L1109" s="39">
        <f t="shared" si="41"/>
        <v>21.689999999999998</v>
      </c>
      <c r="M1109" s="91"/>
      <c r="N1109" s="33">
        <v>44497</v>
      </c>
      <c r="O1109" s="32">
        <v>3608</v>
      </c>
      <c r="P1109" s="391">
        <f t="shared" si="42"/>
        <v>6.5699999999999994</v>
      </c>
      <c r="Q1109" s="322">
        <v>6.57</v>
      </c>
      <c r="S1109" s="7">
        <v>520</v>
      </c>
      <c r="T1109" s="7">
        <f t="shared" si="43"/>
        <v>1560</v>
      </c>
      <c r="U1109" s="21"/>
      <c r="V1109" s="260">
        <v>90</v>
      </c>
    </row>
    <row r="1110" spans="2:22" s="7" customFormat="1" ht="18" customHeight="1">
      <c r="B1110" s="12" t="s">
        <v>302</v>
      </c>
      <c r="C1110" s="6" t="s">
        <v>2618</v>
      </c>
      <c r="D1110" s="14" t="s">
        <v>1963</v>
      </c>
      <c r="E1110" s="22">
        <v>5600</v>
      </c>
      <c r="F1110" s="107">
        <v>148</v>
      </c>
      <c r="G1110" s="22" t="s">
        <v>2622</v>
      </c>
      <c r="H1110" s="823"/>
      <c r="I1110" s="824"/>
      <c r="J1110" s="8">
        <v>3</v>
      </c>
      <c r="K1110" s="39">
        <v>7.2299999999999995</v>
      </c>
      <c r="L1110" s="39">
        <f t="shared" si="41"/>
        <v>21.689999999999998</v>
      </c>
      <c r="M1110" s="91"/>
      <c r="N1110" s="33">
        <v>44497</v>
      </c>
      <c r="O1110" s="32">
        <v>3608</v>
      </c>
      <c r="P1110" s="391">
        <f t="shared" si="42"/>
        <v>6.5699999999999994</v>
      </c>
      <c r="Q1110" s="322">
        <v>6.57</v>
      </c>
      <c r="S1110" s="7">
        <v>520</v>
      </c>
      <c r="T1110" s="7">
        <f t="shared" si="43"/>
        <v>1560</v>
      </c>
      <c r="U1110" s="21"/>
      <c r="V1110" s="260">
        <v>90</v>
      </c>
    </row>
    <row r="1111" spans="2:22" s="7" customFormat="1" ht="18" customHeight="1">
      <c r="B1111" s="12" t="s">
        <v>302</v>
      </c>
      <c r="C1111" s="6" t="s">
        <v>2618</v>
      </c>
      <c r="D1111" s="14" t="s">
        <v>1963</v>
      </c>
      <c r="E1111" s="22">
        <v>5600</v>
      </c>
      <c r="F1111" s="107">
        <v>148</v>
      </c>
      <c r="G1111" s="22" t="s">
        <v>2623</v>
      </c>
      <c r="H1111" s="823"/>
      <c r="I1111" s="824"/>
      <c r="J1111" s="8">
        <v>3</v>
      </c>
      <c r="K1111" s="39">
        <v>7.2299999999999995</v>
      </c>
      <c r="L1111" s="39">
        <f t="shared" si="41"/>
        <v>21.689999999999998</v>
      </c>
      <c r="M1111" s="91"/>
      <c r="N1111" s="33">
        <v>44497</v>
      </c>
      <c r="O1111" s="32">
        <v>3608</v>
      </c>
      <c r="P1111" s="391">
        <f t="shared" si="42"/>
        <v>6.5699999999999994</v>
      </c>
      <c r="Q1111" s="322">
        <v>6.57</v>
      </c>
      <c r="S1111" s="7">
        <v>520</v>
      </c>
      <c r="T1111" s="7">
        <f t="shared" si="43"/>
        <v>1560</v>
      </c>
      <c r="U1111" s="21"/>
      <c r="V1111" s="260">
        <v>90</v>
      </c>
    </row>
    <row r="1112" spans="2:22" s="7" customFormat="1" ht="18" customHeight="1">
      <c r="B1112" s="12" t="s">
        <v>302</v>
      </c>
      <c r="C1112" s="6" t="s">
        <v>2618</v>
      </c>
      <c r="D1112" s="14" t="s">
        <v>1963</v>
      </c>
      <c r="E1112" s="22">
        <v>5600</v>
      </c>
      <c r="F1112" s="107">
        <v>148</v>
      </c>
      <c r="G1112" s="22" t="s">
        <v>2624</v>
      </c>
      <c r="H1112" s="823"/>
      <c r="I1112" s="824"/>
      <c r="J1112" s="8">
        <v>5</v>
      </c>
      <c r="K1112" s="39">
        <v>7.2299999999999995</v>
      </c>
      <c r="L1112" s="39">
        <f t="shared" si="41"/>
        <v>36.15</v>
      </c>
      <c r="M1112" s="91"/>
      <c r="N1112" s="33">
        <v>44497</v>
      </c>
      <c r="O1112" s="32">
        <v>3608</v>
      </c>
      <c r="P1112" s="391">
        <f t="shared" si="42"/>
        <v>6.5699999999999994</v>
      </c>
      <c r="Q1112" s="322">
        <v>6.57</v>
      </c>
      <c r="S1112" s="7">
        <v>520</v>
      </c>
      <c r="T1112" s="7">
        <f t="shared" si="43"/>
        <v>2600</v>
      </c>
      <c r="U1112" s="21"/>
      <c r="V1112" s="260">
        <v>90</v>
      </c>
    </row>
    <row r="1113" spans="2:22" s="7" customFormat="1" ht="15">
      <c r="B1113" s="12"/>
      <c r="C1113" s="6" t="s">
        <v>2618</v>
      </c>
      <c r="D1113" s="14" t="s">
        <v>1963</v>
      </c>
      <c r="E1113" s="22"/>
      <c r="F1113" s="102"/>
      <c r="G1113" s="22" t="s">
        <v>2625</v>
      </c>
      <c r="H1113" s="8"/>
      <c r="I1113" s="35"/>
      <c r="J1113" s="38">
        <v>8</v>
      </c>
      <c r="K1113" s="39">
        <v>15</v>
      </c>
      <c r="L1113" s="39">
        <f t="shared" si="41"/>
        <v>120</v>
      </c>
      <c r="M1113" s="91"/>
      <c r="N1113" s="33">
        <v>44497</v>
      </c>
      <c r="O1113" s="32">
        <v>3608</v>
      </c>
      <c r="P1113" s="391">
        <v>12</v>
      </c>
      <c r="Q1113" s="322">
        <v>96</v>
      </c>
      <c r="S1113" s="7">
        <v>1000</v>
      </c>
      <c r="T1113" s="7">
        <f t="shared" si="43"/>
        <v>8000</v>
      </c>
      <c r="U1113" s="21"/>
      <c r="V1113" s="260">
        <v>90</v>
      </c>
    </row>
    <row r="1114" spans="2:22" s="7" customFormat="1" ht="15">
      <c r="B1114" s="12"/>
      <c r="C1114" s="6" t="s">
        <v>2618</v>
      </c>
      <c r="D1114" s="14" t="s">
        <v>1963</v>
      </c>
      <c r="E1114" s="22"/>
      <c r="F1114" s="102"/>
      <c r="G1114" s="22" t="s">
        <v>316</v>
      </c>
      <c r="H1114" s="8"/>
      <c r="I1114" s="35"/>
      <c r="J1114" s="38">
        <v>1</v>
      </c>
      <c r="K1114" s="39">
        <v>20</v>
      </c>
      <c r="L1114" s="39">
        <f t="shared" si="41"/>
        <v>20</v>
      </c>
      <c r="M1114" s="91"/>
      <c r="N1114" s="33">
        <v>44497</v>
      </c>
      <c r="O1114" s="32">
        <v>3608</v>
      </c>
      <c r="P1114" s="6" t="s">
        <v>3</v>
      </c>
      <c r="Q1114" s="322">
        <v>20</v>
      </c>
      <c r="S1114" s="7">
        <v>1000</v>
      </c>
      <c r="T1114" s="7">
        <f t="shared" si="43"/>
        <v>1000</v>
      </c>
      <c r="U1114" s="21"/>
      <c r="V1114" s="260">
        <v>90</v>
      </c>
    </row>
    <row r="1115" spans="2:22" s="191" customFormat="1" ht="15">
      <c r="B1115" s="190"/>
      <c r="C1115" s="179" t="s">
        <v>2618</v>
      </c>
      <c r="D1115" s="180" t="s">
        <v>1963</v>
      </c>
      <c r="E1115" s="217"/>
      <c r="F1115" s="182"/>
      <c r="G1115" s="182" t="s">
        <v>250</v>
      </c>
      <c r="H1115" s="184" t="s">
        <v>251</v>
      </c>
      <c r="I1115" s="185"/>
      <c r="J1115" s="183"/>
      <c r="K1115" s="203">
        <v>0</v>
      </c>
      <c r="L1115" s="188"/>
      <c r="M1115" s="187"/>
      <c r="N1115" s="187">
        <v>44497</v>
      </c>
      <c r="O1115" s="186">
        <v>3608</v>
      </c>
      <c r="P1115" s="179"/>
      <c r="Q1115" s="747">
        <v>0</v>
      </c>
      <c r="S1115" s="197">
        <v>0</v>
      </c>
      <c r="T1115" s="198">
        <v>0</v>
      </c>
      <c r="U1115" s="335"/>
      <c r="V1115" s="260">
        <v>90</v>
      </c>
    </row>
    <row r="1116" spans="2:22" s="7" customFormat="1" ht="15">
      <c r="B1116" s="12"/>
      <c r="C1116" s="6" t="s">
        <v>2626</v>
      </c>
      <c r="D1116" s="14" t="s">
        <v>2329</v>
      </c>
      <c r="E1116" s="19" t="s">
        <v>2627</v>
      </c>
      <c r="F1116" s="107"/>
      <c r="G1116" s="22"/>
      <c r="H1116" s="108"/>
      <c r="I1116" s="109"/>
      <c r="J1116" s="108"/>
      <c r="K1116" s="29" t="s">
        <v>5</v>
      </c>
      <c r="L1116" s="139"/>
      <c r="M1116" s="33"/>
      <c r="N1116" s="33">
        <v>44497</v>
      </c>
      <c r="O1116" s="32">
        <v>3609</v>
      </c>
      <c r="P1116" s="14"/>
      <c r="Q1116" s="322"/>
      <c r="S1116" s="72"/>
      <c r="U1116" s="14"/>
      <c r="V1116" s="260">
        <v>90</v>
      </c>
    </row>
    <row r="1117" spans="2:22" s="7" customFormat="1" ht="15">
      <c r="B1117" s="12" t="s">
        <v>300</v>
      </c>
      <c r="C1117" s="6" t="s">
        <v>2626</v>
      </c>
      <c r="D1117" s="14" t="s">
        <v>2329</v>
      </c>
      <c r="E1117" s="821" t="s">
        <v>2602</v>
      </c>
      <c r="F1117" s="825">
        <v>75</v>
      </c>
      <c r="G1117" s="22" t="s">
        <v>2628</v>
      </c>
      <c r="H1117" s="108">
        <v>10</v>
      </c>
      <c r="I1117" s="109">
        <v>1</v>
      </c>
      <c r="J1117" s="8">
        <f>H1117*I1117</f>
        <v>10</v>
      </c>
      <c r="K1117" s="39">
        <v>29.34</v>
      </c>
      <c r="L1117" s="39">
        <f>K1117*J1117</f>
        <v>293.39999999999998</v>
      </c>
      <c r="M1117" s="91"/>
      <c r="N1117" s="33">
        <v>44497</v>
      </c>
      <c r="O1117" s="32">
        <v>3609</v>
      </c>
      <c r="P1117" s="391">
        <f>ROUNDUP(S1117/V1117/VLOOKUP(B1117,$C$2:$F$6,3,FALSE),2)</f>
        <v>25.150000000000002</v>
      </c>
      <c r="Q1117" s="322">
        <v>25.15</v>
      </c>
      <c r="S1117" s="822">
        <v>1584</v>
      </c>
      <c r="T1117" s="7">
        <f>S1117*J1117</f>
        <v>15840</v>
      </c>
      <c r="U1117" s="21"/>
      <c r="V1117" s="260">
        <v>90</v>
      </c>
    </row>
    <row r="1118" spans="2:22" s="7" customFormat="1" ht="15">
      <c r="B1118" s="12"/>
      <c r="C1118" s="6" t="s">
        <v>2626</v>
      </c>
      <c r="D1118" s="14" t="s">
        <v>2329</v>
      </c>
      <c r="E1118" s="22"/>
      <c r="F1118" s="102"/>
      <c r="G1118" s="22" t="s">
        <v>316</v>
      </c>
      <c r="H1118" s="8"/>
      <c r="I1118" s="35"/>
      <c r="J1118" s="38">
        <v>1</v>
      </c>
      <c r="K1118" s="39">
        <v>12</v>
      </c>
      <c r="L1118" s="39">
        <f>K1118*J1118</f>
        <v>12</v>
      </c>
      <c r="M1118" s="91"/>
      <c r="N1118" s="33">
        <v>44497</v>
      </c>
      <c r="O1118" s="32">
        <v>3609</v>
      </c>
      <c r="P1118" s="391">
        <v>12</v>
      </c>
      <c r="Q1118" s="322">
        <v>12</v>
      </c>
      <c r="S1118" s="7">
        <v>650</v>
      </c>
      <c r="T1118" s="7">
        <f>S1118*J1118</f>
        <v>650</v>
      </c>
      <c r="U1118" s="21"/>
      <c r="V1118" s="260">
        <v>90</v>
      </c>
    </row>
    <row r="1119" spans="2:22" s="191" customFormat="1" ht="15">
      <c r="B1119" s="190"/>
      <c r="C1119" s="179" t="s">
        <v>2626</v>
      </c>
      <c r="D1119" s="180" t="s">
        <v>2329</v>
      </c>
      <c r="E1119" s="181"/>
      <c r="F1119" s="182"/>
      <c r="G1119" s="182" t="s">
        <v>250</v>
      </c>
      <c r="H1119" s="184" t="s">
        <v>252</v>
      </c>
      <c r="I1119" s="185"/>
      <c r="J1119" s="183"/>
      <c r="K1119" s="203">
        <v>25</v>
      </c>
      <c r="L1119" s="188"/>
      <c r="M1119" s="187"/>
      <c r="N1119" s="187">
        <v>44497</v>
      </c>
      <c r="O1119" s="186">
        <v>3609</v>
      </c>
      <c r="P1119" s="179"/>
      <c r="Q1119" s="747">
        <v>25</v>
      </c>
      <c r="S1119" s="212">
        <v>2240</v>
      </c>
      <c r="T1119" s="212">
        <v>2240</v>
      </c>
      <c r="U1119" s="335"/>
      <c r="V1119" s="260">
        <v>90</v>
      </c>
    </row>
    <row r="1120" spans="2:22" s="7" customFormat="1" ht="18" customHeight="1">
      <c r="B1120" s="12"/>
      <c r="C1120" s="6" t="s">
        <v>2629</v>
      </c>
      <c r="D1120" s="14" t="s">
        <v>2211</v>
      </c>
      <c r="E1120" s="19" t="s">
        <v>1950</v>
      </c>
      <c r="F1120" s="37"/>
      <c r="G1120" s="37"/>
      <c r="H1120" s="108"/>
      <c r="I1120" s="108"/>
      <c r="J1120" s="108"/>
      <c r="K1120" s="29" t="s">
        <v>5</v>
      </c>
      <c r="L1120" s="139"/>
      <c r="M1120" s="33"/>
      <c r="N1120" s="33">
        <v>44508</v>
      </c>
      <c r="O1120" s="32">
        <v>3603</v>
      </c>
      <c r="P1120" s="6"/>
      <c r="Q1120" s="339"/>
      <c r="U1120" s="21"/>
      <c r="V1120" s="260">
        <v>90</v>
      </c>
    </row>
    <row r="1121" spans="2:22" s="7" customFormat="1" ht="17.25" customHeight="1">
      <c r="B1121" s="12" t="s">
        <v>300</v>
      </c>
      <c r="C1121" s="6" t="s">
        <v>2629</v>
      </c>
      <c r="D1121" s="14" t="s">
        <v>2211</v>
      </c>
      <c r="E1121" s="22">
        <v>3808</v>
      </c>
      <c r="F1121" s="37">
        <v>9</v>
      </c>
      <c r="G1121" s="812" t="s">
        <v>2557</v>
      </c>
      <c r="H1121" s="108">
        <v>50</v>
      </c>
      <c r="I1121" s="814">
        <v>3</v>
      </c>
      <c r="J1121" s="60">
        <f>H1121*I1121</f>
        <v>150</v>
      </c>
      <c r="K1121" s="39">
        <v>0.56999999999999995</v>
      </c>
      <c r="L1121" s="39">
        <f t="shared" ref="L1121:L1129" si="44">K1121*J1121</f>
        <v>85.499999999999986</v>
      </c>
      <c r="M1121" s="91"/>
      <c r="N1121" s="33">
        <v>44508</v>
      </c>
      <c r="O1121" s="32">
        <v>3603</v>
      </c>
      <c r="P1121" s="391">
        <f>ROUNDUP(S1121/V1121/VLOOKUP(B1121,$C$2:$F$6,3,FALSE),2)</f>
        <v>0.32</v>
      </c>
      <c r="Q1121" s="725">
        <v>0.32</v>
      </c>
      <c r="S1121" s="7">
        <v>20</v>
      </c>
      <c r="T1121" s="7">
        <f>S1121*J1121</f>
        <v>3000</v>
      </c>
      <c r="U1121" s="267"/>
      <c r="V1121" s="260">
        <v>90</v>
      </c>
    </row>
    <row r="1122" spans="2:22" s="7" customFormat="1" ht="17.25" customHeight="1">
      <c r="B1122" s="12" t="s">
        <v>300</v>
      </c>
      <c r="C1122" s="6" t="s">
        <v>2629</v>
      </c>
      <c r="D1122" s="14" t="s">
        <v>2211</v>
      </c>
      <c r="E1122" s="22">
        <v>3808</v>
      </c>
      <c r="F1122" s="37">
        <v>9</v>
      </c>
      <c r="G1122" s="812" t="s">
        <v>2556</v>
      </c>
      <c r="H1122" s="108">
        <v>50</v>
      </c>
      <c r="I1122" s="814">
        <v>4</v>
      </c>
      <c r="J1122" s="60">
        <f>H1122*I1122</f>
        <v>200</v>
      </c>
      <c r="K1122" s="39">
        <v>0.56999999999999995</v>
      </c>
      <c r="L1122" s="39">
        <f t="shared" si="44"/>
        <v>113.99999999999999</v>
      </c>
      <c r="M1122" s="91"/>
      <c r="N1122" s="33">
        <v>44508</v>
      </c>
      <c r="O1122" s="32">
        <v>3603</v>
      </c>
      <c r="P1122" s="391">
        <f>ROUNDUP(S1122/V1122/VLOOKUP(B1122,$C$2:$F$6,3,FALSE),2)</f>
        <v>0.32</v>
      </c>
      <c r="Q1122" s="725">
        <v>0.32</v>
      </c>
      <c r="S1122" s="7">
        <v>20</v>
      </c>
      <c r="T1122" s="7">
        <f>S1122*J1122</f>
        <v>4000</v>
      </c>
      <c r="U1122" s="267"/>
      <c r="V1122" s="260">
        <v>90</v>
      </c>
    </row>
    <row r="1123" spans="2:22" s="7" customFormat="1" ht="17.25" customHeight="1">
      <c r="B1123" s="12" t="s">
        <v>300</v>
      </c>
      <c r="C1123" s="6" t="s">
        <v>2629</v>
      </c>
      <c r="D1123" s="14" t="s">
        <v>2211</v>
      </c>
      <c r="E1123" s="22">
        <v>3808</v>
      </c>
      <c r="F1123" s="37">
        <v>9</v>
      </c>
      <c r="G1123" s="37" t="s">
        <v>2630</v>
      </c>
      <c r="H1123" s="108">
        <v>50</v>
      </c>
      <c r="I1123" s="814">
        <v>2</v>
      </c>
      <c r="J1123" s="60">
        <f>H1123*I1123</f>
        <v>100</v>
      </c>
      <c r="K1123" s="39">
        <v>0.56999999999999995</v>
      </c>
      <c r="L1123" s="39">
        <f t="shared" si="44"/>
        <v>56.999999999999993</v>
      </c>
      <c r="M1123" s="91"/>
      <c r="N1123" s="33">
        <v>44508</v>
      </c>
      <c r="O1123" s="32">
        <v>3603</v>
      </c>
      <c r="P1123" s="391">
        <f>ROUNDUP(S1123/V1123/VLOOKUP(B1123,$C$2:$F$6,3,FALSE),2)</f>
        <v>0.32</v>
      </c>
      <c r="Q1123" s="725">
        <v>0.32</v>
      </c>
      <c r="S1123" s="7">
        <v>20</v>
      </c>
      <c r="T1123" s="7">
        <f>S1123*J1123</f>
        <v>2000</v>
      </c>
      <c r="U1123" s="267"/>
      <c r="V1123" s="260">
        <v>90</v>
      </c>
    </row>
    <row r="1124" spans="2:22" s="7" customFormat="1" ht="17.25" customHeight="1">
      <c r="B1124" s="12" t="s">
        <v>300</v>
      </c>
      <c r="C1124" s="6" t="s">
        <v>2629</v>
      </c>
      <c r="D1124" s="14" t="s">
        <v>2211</v>
      </c>
      <c r="E1124" s="22">
        <v>3808</v>
      </c>
      <c r="F1124" s="37">
        <v>9</v>
      </c>
      <c r="G1124" s="812" t="s">
        <v>184</v>
      </c>
      <c r="H1124" s="108">
        <v>50</v>
      </c>
      <c r="I1124" s="814">
        <v>1</v>
      </c>
      <c r="J1124" s="60">
        <f>H1124*I1124</f>
        <v>50</v>
      </c>
      <c r="K1124" s="39">
        <v>0.56999999999999995</v>
      </c>
      <c r="L1124" s="39">
        <f t="shared" si="44"/>
        <v>28.499999999999996</v>
      </c>
      <c r="M1124" s="91"/>
      <c r="N1124" s="33">
        <v>44508</v>
      </c>
      <c r="O1124" s="32">
        <v>3603</v>
      </c>
      <c r="P1124" s="391">
        <f>ROUNDUP(S1124/V1124/VLOOKUP(B1124,$C$2:$F$6,3,FALSE),2)</f>
        <v>0.32</v>
      </c>
      <c r="Q1124" s="725">
        <v>0.32</v>
      </c>
      <c r="S1124" s="7">
        <v>20</v>
      </c>
      <c r="T1124" s="7">
        <f>S1124*J1124</f>
        <v>1000</v>
      </c>
      <c r="U1124" s="267"/>
      <c r="V1124" s="260">
        <v>90</v>
      </c>
    </row>
    <row r="1125" spans="2:22" s="7" customFormat="1" ht="15">
      <c r="B1125" s="12"/>
      <c r="C1125" s="6" t="s">
        <v>2629</v>
      </c>
      <c r="D1125" s="14" t="s">
        <v>2211</v>
      </c>
      <c r="E1125" s="22"/>
      <c r="F1125" s="102"/>
      <c r="G1125" s="22" t="s">
        <v>316</v>
      </c>
      <c r="H1125" s="8"/>
      <c r="I1125" s="35"/>
      <c r="J1125" s="38">
        <v>1</v>
      </c>
      <c r="K1125" s="39">
        <v>12</v>
      </c>
      <c r="L1125" s="39">
        <f t="shared" si="44"/>
        <v>12</v>
      </c>
      <c r="M1125" s="91"/>
      <c r="N1125" s="33">
        <v>44508</v>
      </c>
      <c r="O1125" s="32">
        <v>3603</v>
      </c>
      <c r="P1125" s="391" t="e">
        <f>ROUNDUP(S1125/V1125/VLOOKUP(B1125,$C$2:$F$6,3,FALSE),2)</f>
        <v>#N/A</v>
      </c>
      <c r="Q1125" s="322">
        <v>12</v>
      </c>
      <c r="S1125" s="745">
        <v>1000</v>
      </c>
      <c r="T1125" s="7">
        <f>S1125*J1125</f>
        <v>1000</v>
      </c>
      <c r="U1125" s="21"/>
      <c r="V1125" s="260">
        <v>90</v>
      </c>
    </row>
    <row r="1126" spans="2:22" s="191" customFormat="1" ht="18" customHeight="1">
      <c r="B1126" s="190"/>
      <c r="C1126" s="179" t="s">
        <v>2629</v>
      </c>
      <c r="D1126" s="180" t="s">
        <v>2211</v>
      </c>
      <c r="E1126" s="736"/>
      <c r="F1126" s="737"/>
      <c r="G1126" s="182" t="s">
        <v>1955</v>
      </c>
      <c r="H1126" s="222"/>
      <c r="I1126" s="222"/>
      <c r="J1126" s="222">
        <v>500</v>
      </c>
      <c r="K1126" s="192">
        <v>0.19</v>
      </c>
      <c r="L1126" s="192">
        <f t="shared" si="44"/>
        <v>95</v>
      </c>
      <c r="M1126" s="331"/>
      <c r="N1126" s="187">
        <v>44508</v>
      </c>
      <c r="O1126" s="186">
        <v>3603</v>
      </c>
      <c r="P1126" s="327"/>
      <c r="Q1126" s="322">
        <v>95</v>
      </c>
      <c r="S1126" s="786">
        <v>4394</v>
      </c>
      <c r="T1126" s="786">
        <v>4394</v>
      </c>
      <c r="U1126" s="267"/>
      <c r="V1126" s="260">
        <v>90</v>
      </c>
    </row>
    <row r="1127" spans="2:22" s="7" customFormat="1" ht="15">
      <c r="B1127" s="12"/>
      <c r="C1127" s="6" t="s">
        <v>2631</v>
      </c>
      <c r="D1127" s="14" t="s">
        <v>1970</v>
      </c>
      <c r="E1127" s="19" t="s">
        <v>2244</v>
      </c>
      <c r="F1127" s="24"/>
      <c r="G1127" s="22"/>
      <c r="H1127" s="60"/>
      <c r="I1127" s="61"/>
      <c r="J1127" s="8"/>
      <c r="K1127" s="110" t="s">
        <v>5</v>
      </c>
      <c r="L1127" s="139"/>
      <c r="M1127" s="33"/>
      <c r="N1127" s="33">
        <v>44502</v>
      </c>
      <c r="O1127" s="32">
        <v>3619</v>
      </c>
      <c r="P1127" s="6" t="s">
        <v>8</v>
      </c>
      <c r="Q1127" s="358"/>
      <c r="U1127" s="120"/>
      <c r="V1127" s="260">
        <v>90</v>
      </c>
    </row>
    <row r="1128" spans="2:22" s="7" customFormat="1" ht="18" customHeight="1">
      <c r="B1128" s="12" t="s">
        <v>300</v>
      </c>
      <c r="C1128" s="6" t="s">
        <v>2631</v>
      </c>
      <c r="D1128" s="14" t="s">
        <v>1970</v>
      </c>
      <c r="E1128" s="22">
        <v>11700</v>
      </c>
      <c r="F1128" s="37">
        <v>36</v>
      </c>
      <c r="G1128" s="22" t="s">
        <v>124</v>
      </c>
      <c r="H1128" s="8">
        <v>10</v>
      </c>
      <c r="I1128" s="35">
        <v>1</v>
      </c>
      <c r="J1128" s="108">
        <f>H1128*I1128</f>
        <v>10</v>
      </c>
      <c r="K1128" s="39">
        <v>3.91</v>
      </c>
      <c r="L1128" s="39">
        <f t="shared" si="44"/>
        <v>39.1</v>
      </c>
      <c r="M1128" s="91"/>
      <c r="N1128" s="33">
        <v>44502</v>
      </c>
      <c r="O1128" s="32">
        <v>3619</v>
      </c>
      <c r="P1128" s="391">
        <f>ROUNDUP(S1128/V1128/VLOOKUP(B1128,$C$2:$F$6,3,FALSE),2)</f>
        <v>3.3499999999999996</v>
      </c>
      <c r="Q1128" s="322">
        <v>3.35</v>
      </c>
      <c r="S1128" s="7">
        <v>210.8</v>
      </c>
      <c r="T1128" s="7">
        <f>S1128*J1128</f>
        <v>2108</v>
      </c>
      <c r="U1128" s="39"/>
      <c r="V1128" s="260">
        <v>90</v>
      </c>
    </row>
    <row r="1129" spans="2:22" s="7" customFormat="1" ht="18" customHeight="1">
      <c r="B1129" s="12" t="s">
        <v>300</v>
      </c>
      <c r="C1129" s="6" t="s">
        <v>2631</v>
      </c>
      <c r="D1129" s="14" t="s">
        <v>1970</v>
      </c>
      <c r="E1129" s="22">
        <v>11700</v>
      </c>
      <c r="F1129" s="37">
        <v>36</v>
      </c>
      <c r="G1129" s="22" t="s">
        <v>157</v>
      </c>
      <c r="H1129" s="8">
        <v>10</v>
      </c>
      <c r="I1129" s="35">
        <v>1</v>
      </c>
      <c r="J1129" s="108">
        <f>H1129*I1129</f>
        <v>10</v>
      </c>
      <c r="K1129" s="39">
        <v>3.91</v>
      </c>
      <c r="L1129" s="39">
        <f t="shared" si="44"/>
        <v>39.1</v>
      </c>
      <c r="M1129" s="91"/>
      <c r="N1129" s="33">
        <v>44502</v>
      </c>
      <c r="O1129" s="32">
        <v>3619</v>
      </c>
      <c r="P1129" s="391">
        <f>ROUNDUP(S1129/V1129/VLOOKUP(B1129,$C$2:$F$6,3,FALSE),2)</f>
        <v>3.3499999999999996</v>
      </c>
      <c r="Q1129" s="322">
        <v>3.35</v>
      </c>
      <c r="S1129" s="7">
        <v>210.8</v>
      </c>
      <c r="T1129" s="7">
        <f>S1129*J1129</f>
        <v>2108</v>
      </c>
      <c r="U1129" s="39"/>
      <c r="V1129" s="260">
        <v>90</v>
      </c>
    </row>
    <row r="1130" spans="2:22" s="7" customFormat="1" ht="15">
      <c r="B1130" s="12"/>
      <c r="C1130" s="6" t="s">
        <v>2631</v>
      </c>
      <c r="D1130" s="14" t="s">
        <v>1970</v>
      </c>
      <c r="E1130" s="22"/>
      <c r="F1130" s="102"/>
      <c r="G1130" s="22" t="s">
        <v>316</v>
      </c>
      <c r="H1130" s="8"/>
      <c r="I1130" s="35"/>
      <c r="J1130" s="38">
        <v>1</v>
      </c>
      <c r="K1130" s="39">
        <v>12</v>
      </c>
      <c r="L1130" s="39">
        <f>K1130*J1130</f>
        <v>12</v>
      </c>
      <c r="M1130" s="91"/>
      <c r="N1130" s="33">
        <v>44502</v>
      </c>
      <c r="O1130" s="32">
        <v>3619</v>
      </c>
      <c r="P1130" s="391" t="e">
        <f>ROUNDUP(S1130/V1130/VLOOKUP(B1130,$C$2:$F$6,3,FALSE),2)</f>
        <v>#N/A</v>
      </c>
      <c r="Q1130" s="322">
        <v>12</v>
      </c>
      <c r="S1130" s="7">
        <v>0</v>
      </c>
      <c r="T1130" s="7">
        <f>S1130*J1130</f>
        <v>0</v>
      </c>
      <c r="U1130" s="21"/>
      <c r="V1130" s="260">
        <v>90</v>
      </c>
    </row>
    <row r="1131" spans="2:22" s="191" customFormat="1" ht="15">
      <c r="B1131" s="190"/>
      <c r="C1131" s="179" t="s">
        <v>2631</v>
      </c>
      <c r="D1131" s="180" t="s">
        <v>1970</v>
      </c>
      <c r="E1131" s="181"/>
      <c r="F1131" s="622"/>
      <c r="G1131" s="182" t="s">
        <v>250</v>
      </c>
      <c r="H1131" s="184" t="s">
        <v>251</v>
      </c>
      <c r="I1131" s="185"/>
      <c r="J1131" s="183"/>
      <c r="K1131" s="192">
        <v>0</v>
      </c>
      <c r="L1131" s="188"/>
      <c r="M1131" s="187"/>
      <c r="N1131" s="187">
        <v>44502</v>
      </c>
      <c r="O1131" s="186">
        <v>3619</v>
      </c>
      <c r="P1131" s="179"/>
      <c r="Q1131" s="725">
        <v>0</v>
      </c>
      <c r="S1131" s="197">
        <v>0</v>
      </c>
      <c r="T1131" s="198">
        <v>0</v>
      </c>
      <c r="U1131" s="335"/>
      <c r="V1131" s="260">
        <v>90</v>
      </c>
    </row>
    <row r="1132" spans="2:22" s="7" customFormat="1" ht="18" customHeight="1">
      <c r="B1132" s="12"/>
      <c r="C1132" s="6" t="s">
        <v>2632</v>
      </c>
      <c r="D1132" s="14" t="s">
        <v>2384</v>
      </c>
      <c r="E1132" s="19" t="s">
        <v>2270</v>
      </c>
      <c r="F1132" s="37"/>
      <c r="G1132" s="37"/>
      <c r="H1132" s="108"/>
      <c r="I1132" s="108"/>
      <c r="J1132" s="108"/>
      <c r="K1132" s="29" t="s">
        <v>5</v>
      </c>
      <c r="L1132" s="139"/>
      <c r="M1132" s="33"/>
      <c r="N1132" s="33">
        <v>44508</v>
      </c>
      <c r="O1132" s="32">
        <v>3622</v>
      </c>
      <c r="P1132" s="6"/>
      <c r="Q1132" s="339"/>
      <c r="U1132" s="21"/>
      <c r="V1132" s="260">
        <v>90</v>
      </c>
    </row>
    <row r="1133" spans="2:22" s="7" customFormat="1" ht="17.25" customHeight="1">
      <c r="B1133" s="12" t="s">
        <v>300</v>
      </c>
      <c r="C1133" s="6" t="s">
        <v>2632</v>
      </c>
      <c r="D1133" s="14" t="s">
        <v>2384</v>
      </c>
      <c r="E1133" s="22">
        <v>5636</v>
      </c>
      <c r="F1133" s="37" t="s">
        <v>230</v>
      </c>
      <c r="G1133" s="22" t="s">
        <v>2609</v>
      </c>
      <c r="H1133" s="813">
        <v>50</v>
      </c>
      <c r="I1133" s="814">
        <v>4</v>
      </c>
      <c r="J1133" s="8">
        <f>H1133*I1133</f>
        <v>200</v>
      </c>
      <c r="K1133" s="39">
        <v>0.26</v>
      </c>
      <c r="L1133" s="39">
        <f>K1133*J1133</f>
        <v>52</v>
      </c>
      <c r="M1133" s="91"/>
      <c r="N1133" s="33">
        <v>44508</v>
      </c>
      <c r="O1133" s="32">
        <v>3622</v>
      </c>
      <c r="P1133" s="391">
        <f>ROUNDUP(S1133/V1133/VLOOKUP(B1133,$C$2:$F$6,3,FALSE),2)</f>
        <v>0.17</v>
      </c>
      <c r="Q1133" s="322">
        <v>0.17</v>
      </c>
      <c r="S1133" s="752">
        <v>10.4</v>
      </c>
      <c r="T1133" s="7">
        <f>S1133*J1133</f>
        <v>2080</v>
      </c>
      <c r="U1133" s="778" t="s">
        <v>2255</v>
      </c>
      <c r="V1133" s="260">
        <v>90</v>
      </c>
    </row>
    <row r="1134" spans="2:22" s="7" customFormat="1" ht="15">
      <c r="B1134" s="12"/>
      <c r="C1134" s="6" t="s">
        <v>2632</v>
      </c>
      <c r="D1134" s="14" t="s">
        <v>2384</v>
      </c>
      <c r="E1134" s="22"/>
      <c r="F1134" s="102"/>
      <c r="G1134" s="22" t="s">
        <v>316</v>
      </c>
      <c r="H1134" s="8"/>
      <c r="I1134" s="35"/>
      <c r="J1134" s="38">
        <v>1</v>
      </c>
      <c r="K1134" s="39">
        <v>15</v>
      </c>
      <c r="L1134" s="39">
        <f>K1134*J1134</f>
        <v>15</v>
      </c>
      <c r="M1134" s="91"/>
      <c r="N1134" s="33">
        <v>44508</v>
      </c>
      <c r="O1134" s="32">
        <v>3622</v>
      </c>
      <c r="P1134" s="6" t="s">
        <v>3</v>
      </c>
      <c r="Q1134" s="322">
        <v>15</v>
      </c>
      <c r="S1134" s="7">
        <v>1100</v>
      </c>
      <c r="T1134" s="7">
        <f>S1134*J1134</f>
        <v>1100</v>
      </c>
      <c r="U1134" s="21"/>
      <c r="V1134" s="260">
        <v>90</v>
      </c>
    </row>
    <row r="1135" spans="2:22" s="191" customFormat="1" ht="15">
      <c r="B1135" s="190"/>
      <c r="C1135" s="179" t="s">
        <v>2632</v>
      </c>
      <c r="D1135" s="180" t="s">
        <v>2384</v>
      </c>
      <c r="E1135" s="181"/>
      <c r="F1135" s="622"/>
      <c r="G1135" s="182" t="s">
        <v>250</v>
      </c>
      <c r="H1135" s="184" t="s">
        <v>251</v>
      </c>
      <c r="I1135" s="185"/>
      <c r="J1135" s="183"/>
      <c r="K1135" s="192">
        <v>0</v>
      </c>
      <c r="L1135" s="188"/>
      <c r="M1135" s="187"/>
      <c r="N1135" s="187">
        <v>44508</v>
      </c>
      <c r="O1135" s="186">
        <v>3622</v>
      </c>
      <c r="P1135" s="179"/>
      <c r="Q1135" s="725">
        <v>0</v>
      </c>
      <c r="S1135" s="197">
        <v>0</v>
      </c>
      <c r="T1135" s="198">
        <v>0</v>
      </c>
      <c r="U1135" s="335"/>
      <c r="V1135" s="260">
        <v>90</v>
      </c>
    </row>
    <row r="1136" spans="2:22" customFormat="1" ht="18" customHeight="1">
      <c r="B1136" s="26"/>
      <c r="C1136" s="6" t="s">
        <v>2633</v>
      </c>
      <c r="D1136" s="14" t="s">
        <v>2634</v>
      </c>
      <c r="E1136" s="19" t="s">
        <v>227</v>
      </c>
      <c r="F1136" s="37"/>
      <c r="G1136" s="37"/>
      <c r="H1136" s="108"/>
      <c r="I1136" s="108"/>
      <c r="J1136" s="108"/>
      <c r="K1136" s="29" t="s">
        <v>101</v>
      </c>
      <c r="L1136" s="139"/>
      <c r="M1136" s="33"/>
      <c r="N1136" s="33">
        <v>44516</v>
      </c>
      <c r="O1136" s="32">
        <v>3621</v>
      </c>
      <c r="P1136" s="6"/>
      <c r="Q1136" s="339"/>
      <c r="R1136" s="1"/>
      <c r="S1136" s="7"/>
      <c r="T1136" s="7"/>
      <c r="U1136" s="21"/>
      <c r="V1136" s="260">
        <v>90</v>
      </c>
    </row>
    <row r="1137" spans="2:22" customFormat="1" ht="18" customHeight="1">
      <c r="B1137" s="26" t="s">
        <v>300</v>
      </c>
      <c r="C1137" s="6" t="s">
        <v>2633</v>
      </c>
      <c r="D1137" s="14" t="s">
        <v>2634</v>
      </c>
      <c r="E1137" s="22">
        <v>2250</v>
      </c>
      <c r="F1137" s="37">
        <v>12</v>
      </c>
      <c r="G1137" s="22" t="s">
        <v>2635</v>
      </c>
      <c r="H1137" s="108">
        <v>30</v>
      </c>
      <c r="I1137" s="109">
        <v>3</v>
      </c>
      <c r="J1137" s="8">
        <f>H1137*I1137</f>
        <v>90</v>
      </c>
      <c r="K1137" s="39">
        <v>0.33</v>
      </c>
      <c r="L1137" s="39">
        <f>K1137*J1137</f>
        <v>29.700000000000003</v>
      </c>
      <c r="M1137" s="91"/>
      <c r="N1137" s="33">
        <v>44516</v>
      </c>
      <c r="O1137" s="32">
        <v>3621</v>
      </c>
      <c r="P1137" s="391">
        <f>ROUNDUP(S1137/V1137/VLOOKUP(B1137,$C$2:$F$6,3,FALSE),2)</f>
        <v>0.28000000000000003</v>
      </c>
      <c r="Q1137" s="322">
        <v>0.28000000000000003</v>
      </c>
      <c r="R1137" s="1"/>
      <c r="S1137" s="7">
        <v>17.5</v>
      </c>
      <c r="T1137" s="7">
        <f>S1137*J1137</f>
        <v>1575</v>
      </c>
      <c r="U1137" s="39"/>
      <c r="V1137" s="260">
        <v>90</v>
      </c>
    </row>
    <row r="1138" spans="2:22" customFormat="1" ht="18" customHeight="1">
      <c r="B1138" s="26" t="s">
        <v>300</v>
      </c>
      <c r="C1138" s="6" t="s">
        <v>2633</v>
      </c>
      <c r="D1138" s="14" t="s">
        <v>2634</v>
      </c>
      <c r="E1138" s="22">
        <v>2250</v>
      </c>
      <c r="F1138" s="37">
        <v>12</v>
      </c>
      <c r="G1138" s="22" t="s">
        <v>2636</v>
      </c>
      <c r="H1138" s="108">
        <v>30</v>
      </c>
      <c r="I1138" s="109">
        <v>8</v>
      </c>
      <c r="J1138" s="8">
        <f>H1138*I1138</f>
        <v>240</v>
      </c>
      <c r="K1138" s="39">
        <v>0.33</v>
      </c>
      <c r="L1138" s="39">
        <f>K1138*J1138</f>
        <v>79.2</v>
      </c>
      <c r="M1138" s="91"/>
      <c r="N1138" s="33">
        <v>44516</v>
      </c>
      <c r="O1138" s="32">
        <v>3621</v>
      </c>
      <c r="P1138" s="391">
        <f>ROUNDUP(S1138/V1138/VLOOKUP(B1138,$C$2:$F$6,3,FALSE),2)</f>
        <v>0.28000000000000003</v>
      </c>
      <c r="Q1138" s="322">
        <v>0.28000000000000003</v>
      </c>
      <c r="R1138" s="1"/>
      <c r="S1138" s="7">
        <v>17.5</v>
      </c>
      <c r="T1138" s="7">
        <f>S1138*J1138</f>
        <v>4200</v>
      </c>
      <c r="U1138" s="39"/>
      <c r="V1138" s="260">
        <v>90</v>
      </c>
    </row>
    <row r="1139" spans="2:22" s="7" customFormat="1" ht="16.899999999999999" customHeight="1">
      <c r="B1139" s="12"/>
      <c r="C1139" s="6" t="s">
        <v>2633</v>
      </c>
      <c r="D1139" s="14" t="s">
        <v>2634</v>
      </c>
      <c r="E1139" s="49"/>
      <c r="F1139" s="340"/>
      <c r="G1139" s="22" t="s">
        <v>316</v>
      </c>
      <c r="H1139" s="8"/>
      <c r="I1139" s="109" ph="1"/>
      <c r="J1139" s="38">
        <v>1</v>
      </c>
      <c r="K1139" s="39">
        <v>15</v>
      </c>
      <c r="L1139" s="39">
        <f>K1139*J1139</f>
        <v>15</v>
      </c>
      <c r="M1139" s="91"/>
      <c r="N1139" s="33">
        <v>44516</v>
      </c>
      <c r="O1139" s="32">
        <v>3621</v>
      </c>
      <c r="P1139" s="6"/>
      <c r="Q1139" s="322">
        <v>12</v>
      </c>
      <c r="S1139" s="7">
        <v>0</v>
      </c>
      <c r="T1139" s="7">
        <f>S1139*J1139</f>
        <v>0</v>
      </c>
      <c r="U1139" s="21"/>
      <c r="V1139" s="260">
        <v>90</v>
      </c>
    </row>
    <row r="1140" spans="2:22" s="191" customFormat="1" ht="15">
      <c r="B1140" s="190"/>
      <c r="C1140" s="179" t="s">
        <v>2633</v>
      </c>
      <c r="D1140" s="180" t="s">
        <v>2634</v>
      </c>
      <c r="E1140" s="181"/>
      <c r="F1140" s="182"/>
      <c r="G1140" s="182" t="s">
        <v>250</v>
      </c>
      <c r="H1140" s="184" t="s">
        <v>252</v>
      </c>
      <c r="I1140" s="185"/>
      <c r="J1140" s="183"/>
      <c r="K1140" s="203">
        <v>30</v>
      </c>
      <c r="L1140" s="188"/>
      <c r="M1140" s="187"/>
      <c r="N1140" s="187">
        <v>44516</v>
      </c>
      <c r="O1140" s="186">
        <v>3621</v>
      </c>
      <c r="P1140" s="179"/>
      <c r="Q1140" s="747">
        <v>30</v>
      </c>
      <c r="S1140" s="212">
        <v>2338</v>
      </c>
      <c r="T1140" s="212">
        <v>2338</v>
      </c>
      <c r="U1140" s="335"/>
      <c r="V1140" s="260">
        <v>90</v>
      </c>
    </row>
    <row r="1141" spans="2:22" s="7" customFormat="1" ht="18" customHeight="1">
      <c r="B1141" s="12"/>
      <c r="C1141" s="6" t="s">
        <v>2637</v>
      </c>
      <c r="D1141" s="14" t="s">
        <v>2156</v>
      </c>
      <c r="E1141" s="19" t="s">
        <v>238</v>
      </c>
      <c r="F1141" s="107"/>
      <c r="G1141" s="22"/>
      <c r="H1141" s="108"/>
      <c r="I1141" s="109"/>
      <c r="J1141" s="108"/>
      <c r="K1141" s="110" t="s">
        <v>5</v>
      </c>
      <c r="L1141" s="139"/>
      <c r="M1141" s="33"/>
      <c r="N1141" s="33">
        <v>44546</v>
      </c>
      <c r="O1141" s="32">
        <v>3729</v>
      </c>
      <c r="P1141" s="14"/>
      <c r="Q1141" s="322"/>
      <c r="U1141" s="14"/>
      <c r="V1141" s="260">
        <v>90</v>
      </c>
    </row>
    <row r="1142" spans="2:22" s="7" customFormat="1" ht="18" customHeight="1">
      <c r="B1142" s="12" t="s">
        <v>302</v>
      </c>
      <c r="C1142" s="6" t="s">
        <v>2637</v>
      </c>
      <c r="D1142" s="14" t="s">
        <v>2156</v>
      </c>
      <c r="E1142" s="22" t="s">
        <v>239</v>
      </c>
      <c r="F1142" s="107">
        <v>150</v>
      </c>
      <c r="G1142" s="22" t="s">
        <v>2638</v>
      </c>
      <c r="H1142" s="125"/>
      <c r="I1142" s="406"/>
      <c r="J1142" s="8">
        <v>586</v>
      </c>
      <c r="K1142" s="39">
        <v>5.42</v>
      </c>
      <c r="L1142" s="39">
        <f>K1142*J1142</f>
        <v>3176.12</v>
      </c>
      <c r="M1142" s="91"/>
      <c r="N1142" s="33">
        <v>44546</v>
      </c>
      <c r="O1142" s="32">
        <v>3729</v>
      </c>
      <c r="P1142" s="391">
        <v>5.0599999999999996</v>
      </c>
      <c r="Q1142" s="39">
        <v>5.0599999999999996</v>
      </c>
      <c r="S1142" s="7">
        <v>470</v>
      </c>
      <c r="T1142" s="210">
        <f>S1142*J1142</f>
        <v>275420</v>
      </c>
      <c r="U1142" s="21"/>
      <c r="V1142" s="260">
        <v>90</v>
      </c>
    </row>
    <row r="1143" spans="2:22" s="7" customFormat="1" ht="15">
      <c r="B1143" s="12"/>
      <c r="C1143" s="6" t="s">
        <v>2637</v>
      </c>
      <c r="D1143" s="14" t="s">
        <v>2156</v>
      </c>
      <c r="E1143" s="49"/>
      <c r="F1143" s="102"/>
      <c r="G1143" s="22" t="s">
        <v>316</v>
      </c>
      <c r="H1143" s="38"/>
      <c r="I1143" s="35"/>
      <c r="J1143" s="38">
        <v>1</v>
      </c>
      <c r="K1143" s="39">
        <v>20</v>
      </c>
      <c r="L1143" s="39">
        <f>K1143*J1143</f>
        <v>20</v>
      </c>
      <c r="M1143" s="91"/>
      <c r="N1143" s="33">
        <v>44546</v>
      </c>
      <c r="O1143" s="32">
        <v>3729</v>
      </c>
      <c r="P1143" s="6"/>
      <c r="Q1143" s="322">
        <v>20</v>
      </c>
      <c r="S1143" s="7">
        <v>1800</v>
      </c>
      <c r="T1143" s="7">
        <f>S1143*J1143</f>
        <v>1800</v>
      </c>
      <c r="U1143" s="21"/>
      <c r="V1143" s="260">
        <v>90</v>
      </c>
    </row>
    <row r="1144" spans="2:22" s="7" customFormat="1" ht="18" customHeight="1">
      <c r="B1144" s="12" t="s">
        <v>302</v>
      </c>
      <c r="C1144" s="6" t="s">
        <v>2637</v>
      </c>
      <c r="D1144" s="14" t="s">
        <v>2156</v>
      </c>
      <c r="E1144" s="22" t="s">
        <v>239</v>
      </c>
      <c r="F1144" s="107">
        <v>150</v>
      </c>
      <c r="G1144" s="22" t="s">
        <v>2639</v>
      </c>
      <c r="H1144" s="125"/>
      <c r="I1144" s="406"/>
      <c r="J1144" s="131">
        <v>2</v>
      </c>
      <c r="K1144" s="39">
        <v>6.53</v>
      </c>
      <c r="L1144" s="39">
        <f>K1144*J1144</f>
        <v>13.06</v>
      </c>
      <c r="M1144" s="91"/>
      <c r="N1144" s="33">
        <v>44546</v>
      </c>
      <c r="O1144" s="32">
        <v>3729</v>
      </c>
      <c r="P1144" s="391">
        <f>ROUNDUP(S1144/V1144/VLOOKUP(B1144,$C$2:$F$6,3,FALSE),2)</f>
        <v>5.9399999999999995</v>
      </c>
      <c r="Q1144" s="322">
        <v>5.94</v>
      </c>
      <c r="S1144" s="7">
        <v>470</v>
      </c>
      <c r="T1144" s="210">
        <f>S1144*J1144</f>
        <v>940</v>
      </c>
      <c r="U1144" s="21"/>
      <c r="V1144" s="260">
        <v>90</v>
      </c>
    </row>
    <row r="1145" spans="2:22" s="7" customFormat="1" ht="15">
      <c r="B1145" s="12"/>
      <c r="C1145" s="6" t="s">
        <v>2637</v>
      </c>
      <c r="D1145" s="14" t="s">
        <v>2156</v>
      </c>
      <c r="E1145" s="49"/>
      <c r="F1145" s="102"/>
      <c r="G1145" s="22" t="s">
        <v>2640</v>
      </c>
      <c r="H1145" s="38"/>
      <c r="I1145" s="35"/>
      <c r="J1145" s="38">
        <v>1</v>
      </c>
      <c r="K1145" s="39">
        <v>12</v>
      </c>
      <c r="L1145" s="39">
        <f>K1145*J1145</f>
        <v>12</v>
      </c>
      <c r="M1145" s="91"/>
      <c r="N1145" s="33">
        <v>44546</v>
      </c>
      <c r="O1145" s="32">
        <v>3729</v>
      </c>
      <c r="P1145" s="6"/>
      <c r="Q1145" s="322">
        <v>12</v>
      </c>
      <c r="S1145" s="7">
        <v>1000</v>
      </c>
      <c r="T1145" s="7">
        <f>S1145*J1145</f>
        <v>1000</v>
      </c>
      <c r="U1145" s="21"/>
      <c r="V1145" s="260">
        <v>90</v>
      </c>
    </row>
    <row r="1146" spans="2:22" s="7" customFormat="1" ht="15">
      <c r="B1146" s="12"/>
      <c r="C1146" s="6" t="s">
        <v>2637</v>
      </c>
      <c r="D1146" s="14" t="s">
        <v>2156</v>
      </c>
      <c r="E1146" s="49"/>
      <c r="F1146" s="102"/>
      <c r="G1146" s="22" t="s">
        <v>2641</v>
      </c>
      <c r="H1146" s="38"/>
      <c r="I1146" s="35"/>
      <c r="J1146" s="38">
        <v>1</v>
      </c>
      <c r="K1146" s="39">
        <v>12</v>
      </c>
      <c r="L1146" s="39">
        <f>K1146*J1146</f>
        <v>12</v>
      </c>
      <c r="M1146" s="91"/>
      <c r="N1146" s="33">
        <v>44546</v>
      </c>
      <c r="O1146" s="32">
        <v>3729</v>
      </c>
      <c r="P1146" s="6"/>
      <c r="Q1146" s="322">
        <v>12</v>
      </c>
      <c r="S1146" s="7">
        <v>1000</v>
      </c>
      <c r="T1146" s="7">
        <f>S1146*J1146</f>
        <v>1000</v>
      </c>
      <c r="U1146" s="21"/>
      <c r="V1146" s="260">
        <v>90</v>
      </c>
    </row>
    <row r="1147" spans="2:22" customFormat="1" ht="18" customHeight="1">
      <c r="B1147" s="26"/>
      <c r="C1147" s="6" t="s">
        <v>2637</v>
      </c>
      <c r="D1147" s="14" t="s">
        <v>2156</v>
      </c>
      <c r="E1147" s="723"/>
      <c r="F1147" s="64"/>
      <c r="G1147" s="37" t="s">
        <v>1955</v>
      </c>
      <c r="H1147" s="131"/>
      <c r="I1147" s="8"/>
      <c r="J1147" s="38">
        <v>1</v>
      </c>
      <c r="K1147" s="39">
        <v>295</v>
      </c>
      <c r="L1147" s="39">
        <v>295</v>
      </c>
      <c r="M1147" s="91"/>
      <c r="N1147" s="33">
        <v>44546</v>
      </c>
      <c r="O1147" s="32">
        <v>3729</v>
      </c>
      <c r="P1147" s="4"/>
      <c r="Q1147" s="322">
        <v>210</v>
      </c>
      <c r="R1147" s="1"/>
      <c r="S1147" s="197">
        <v>17354</v>
      </c>
      <c r="T1147" s="197">
        <v>17354</v>
      </c>
      <c r="U1147" s="34"/>
      <c r="V1147" s="260">
        <v>90</v>
      </c>
    </row>
    <row r="1148" spans="2:22" s="7" customFormat="1" ht="15">
      <c r="B1148" s="12"/>
      <c r="C1148" s="6" t="s">
        <v>2637</v>
      </c>
      <c r="D1148" s="14" t="s">
        <v>2156</v>
      </c>
      <c r="E1148" s="49"/>
      <c r="F1148" s="102"/>
      <c r="G1148" s="22" t="s">
        <v>2157</v>
      </c>
      <c r="H1148" s="38"/>
      <c r="I1148" s="35"/>
      <c r="J1148" s="38">
        <v>1</v>
      </c>
      <c r="K1148" s="39">
        <v>150</v>
      </c>
      <c r="L1148" s="39">
        <f>K1148*J1148</f>
        <v>150</v>
      </c>
      <c r="M1148" s="91"/>
      <c r="N1148" s="33">
        <v>44546</v>
      </c>
      <c r="O1148" s="32">
        <v>3729</v>
      </c>
      <c r="P1148" s="6"/>
      <c r="Q1148" s="322">
        <v>0</v>
      </c>
      <c r="S1148" s="7">
        <v>0</v>
      </c>
      <c r="T1148" s="7">
        <f>S1148*J1148</f>
        <v>0</v>
      </c>
      <c r="U1148" s="21"/>
      <c r="V1148" s="260">
        <v>90</v>
      </c>
    </row>
    <row r="1149" spans="2:22" s="191" customFormat="1" ht="15">
      <c r="B1149" s="190"/>
      <c r="C1149" s="179" t="s">
        <v>2637</v>
      </c>
      <c r="D1149" s="180" t="s">
        <v>2156</v>
      </c>
      <c r="E1149" s="181"/>
      <c r="F1149" s="182"/>
      <c r="G1149" s="182" t="s">
        <v>250</v>
      </c>
      <c r="H1149" s="184" t="s">
        <v>338</v>
      </c>
      <c r="I1149" s="185"/>
      <c r="J1149" s="183"/>
      <c r="K1149" s="203" t="s">
        <v>338</v>
      </c>
      <c r="L1149" s="188"/>
      <c r="M1149" s="187"/>
      <c r="N1149" s="187">
        <v>44546</v>
      </c>
      <c r="O1149" s="186">
        <v>3729</v>
      </c>
      <c r="P1149" s="179"/>
      <c r="Q1149" s="747" t="s">
        <v>338</v>
      </c>
      <c r="S1149" s="197" t="s">
        <v>338</v>
      </c>
      <c r="T1149" s="197" t="s">
        <v>338</v>
      </c>
      <c r="U1149" s="335"/>
      <c r="V1149" s="260">
        <v>90</v>
      </c>
    </row>
    <row r="1150" spans="2:22" s="7" customFormat="1" ht="18" customHeight="1">
      <c r="B1150" s="12"/>
      <c r="C1150" s="6" t="s">
        <v>2642</v>
      </c>
      <c r="D1150" s="14" t="s">
        <v>2643</v>
      </c>
      <c r="E1150" s="17" t="s">
        <v>1991</v>
      </c>
      <c r="F1150" s="319"/>
      <c r="G1150" s="299"/>
      <c r="H1150" s="300"/>
      <c r="I1150" s="320"/>
      <c r="J1150" s="321"/>
      <c r="K1150" s="110" t="s">
        <v>5</v>
      </c>
      <c r="L1150" s="139"/>
      <c r="M1150" s="33"/>
      <c r="N1150" s="33">
        <v>44505</v>
      </c>
      <c r="O1150" s="32">
        <v>3629</v>
      </c>
      <c r="P1150" s="6"/>
      <c r="Q1150" s="322"/>
      <c r="U1150" s="39"/>
      <c r="V1150" s="260">
        <v>90</v>
      </c>
    </row>
    <row r="1151" spans="2:22" customFormat="1" ht="18" customHeight="1">
      <c r="B1151" s="26" t="s">
        <v>300</v>
      </c>
      <c r="C1151" s="6" t="s">
        <v>2642</v>
      </c>
      <c r="D1151" s="14" t="s">
        <v>2643</v>
      </c>
      <c r="E1151" s="826">
        <v>4255</v>
      </c>
      <c r="F1151" s="827" t="s">
        <v>2644</v>
      </c>
      <c r="G1151" s="826" t="s">
        <v>2645</v>
      </c>
      <c r="H1151" s="828"/>
      <c r="I1151" s="829"/>
      <c r="J1151" s="828">
        <v>2</v>
      </c>
      <c r="K1151" s="830">
        <v>7.34</v>
      </c>
      <c r="L1151" s="39">
        <f>K1151*J1151</f>
        <v>14.68</v>
      </c>
      <c r="M1151" s="91"/>
      <c r="N1151" s="33">
        <v>44505</v>
      </c>
      <c r="O1151" s="32">
        <v>3629</v>
      </c>
      <c r="P1151" s="391">
        <f>ROUNDUP(S1151/V1151/VLOOKUP(B1151,$C$2:$F$6,3,FALSE),2)</f>
        <v>4.72</v>
      </c>
      <c r="Q1151" s="322">
        <v>4.72</v>
      </c>
      <c r="R1151" s="1"/>
      <c r="S1151" s="7">
        <v>297</v>
      </c>
      <c r="T1151" s="7">
        <f>S1151*J1151</f>
        <v>594</v>
      </c>
      <c r="U1151" s="39" t="s">
        <v>2646</v>
      </c>
      <c r="V1151" s="260">
        <v>90</v>
      </c>
    </row>
    <row r="1152" spans="2:22" s="7" customFormat="1" ht="16.899999999999999" customHeight="1">
      <c r="B1152" s="12"/>
      <c r="C1152" s="6" t="s">
        <v>2642</v>
      </c>
      <c r="D1152" s="14" t="s">
        <v>2643</v>
      </c>
      <c r="E1152" s="49"/>
      <c r="F1152" s="340"/>
      <c r="G1152" s="22" t="s">
        <v>316</v>
      </c>
      <c r="H1152" s="8"/>
      <c r="I1152" s="109" ph="1"/>
      <c r="J1152" s="38">
        <v>1</v>
      </c>
      <c r="K1152" s="39">
        <v>12</v>
      </c>
      <c r="L1152" s="39">
        <f>K1152*J1152</f>
        <v>12</v>
      </c>
      <c r="M1152" s="91"/>
      <c r="N1152" s="33">
        <v>44505</v>
      </c>
      <c r="O1152" s="32">
        <v>3629</v>
      </c>
      <c r="P1152" s="6"/>
      <c r="Q1152" s="322">
        <v>12</v>
      </c>
      <c r="S1152" s="7">
        <v>0</v>
      </c>
      <c r="T1152" s="7">
        <f>S1152*J1152</f>
        <v>0</v>
      </c>
      <c r="U1152" s="21"/>
      <c r="V1152" s="260">
        <v>90</v>
      </c>
    </row>
    <row r="1153" spans="2:22" s="191" customFormat="1" ht="15">
      <c r="B1153" s="190"/>
      <c r="C1153" s="179" t="s">
        <v>2642</v>
      </c>
      <c r="D1153" s="180" t="s">
        <v>2643</v>
      </c>
      <c r="E1153" s="181"/>
      <c r="F1153" s="182"/>
      <c r="G1153" s="182" t="s">
        <v>250</v>
      </c>
      <c r="H1153" s="184" t="s">
        <v>252</v>
      </c>
      <c r="I1153" s="185"/>
      <c r="J1153" s="183"/>
      <c r="K1153" s="203">
        <v>25</v>
      </c>
      <c r="L1153" s="188"/>
      <c r="M1153" s="187"/>
      <c r="N1153" s="187">
        <v>44505</v>
      </c>
      <c r="O1153" s="186">
        <v>3629</v>
      </c>
      <c r="P1153" s="179"/>
      <c r="Q1153" s="747">
        <v>25</v>
      </c>
      <c r="S1153" s="212">
        <v>2240</v>
      </c>
      <c r="T1153" s="212">
        <v>2240</v>
      </c>
      <c r="U1153" s="335"/>
      <c r="V1153" s="260">
        <v>90</v>
      </c>
    </row>
    <row r="1154" spans="2:22" s="7" customFormat="1" ht="18" customHeight="1">
      <c r="B1154" s="12"/>
      <c r="C1154" s="6" t="s">
        <v>2647</v>
      </c>
      <c r="D1154" s="14" t="s">
        <v>2416</v>
      </c>
      <c r="E1154" s="19" t="s">
        <v>2648</v>
      </c>
      <c r="F1154" s="107"/>
      <c r="G1154" s="22"/>
      <c r="H1154" s="108"/>
      <c r="I1154" s="109"/>
      <c r="J1154" s="108"/>
      <c r="K1154" s="110" t="s">
        <v>5</v>
      </c>
      <c r="L1154" s="139"/>
      <c r="M1154" s="33"/>
      <c r="N1154" s="33">
        <v>44552</v>
      </c>
      <c r="O1154" s="32">
        <v>3771</v>
      </c>
      <c r="P1154" s="14"/>
      <c r="Q1154" s="322"/>
      <c r="S1154" s="308"/>
      <c r="U1154" s="14"/>
      <c r="V1154" s="260">
        <v>90</v>
      </c>
    </row>
    <row r="1155" spans="2:22" customFormat="1" ht="18" customHeight="1">
      <c r="B1155" s="26" t="s">
        <v>300</v>
      </c>
      <c r="C1155" s="6" t="s">
        <v>2647</v>
      </c>
      <c r="D1155" s="14" t="s">
        <v>2416</v>
      </c>
      <c r="E1155" s="19" t="s">
        <v>2418</v>
      </c>
      <c r="F1155" s="37">
        <v>25</v>
      </c>
      <c r="G1155" s="37" t="s">
        <v>2420</v>
      </c>
      <c r="H1155" s="108">
        <v>30</v>
      </c>
      <c r="I1155" s="109">
        <v>10</v>
      </c>
      <c r="J1155" s="8">
        <f>H1155*I1155</f>
        <v>300</v>
      </c>
      <c r="K1155" s="39">
        <v>2.37</v>
      </c>
      <c r="L1155" s="39">
        <f t="shared" ref="L1155:L1161" si="45">K1155*J1155</f>
        <v>711</v>
      </c>
      <c r="M1155" s="91"/>
      <c r="N1155" s="33">
        <v>44552</v>
      </c>
      <c r="O1155" s="32">
        <v>3771</v>
      </c>
      <c r="P1155" s="391">
        <f>ROUNDUP(S1155/V1155/VLOOKUP(B1155,$C$2:$F$6,3,FALSE),2)</f>
        <v>1.93</v>
      </c>
      <c r="Q1155" s="322">
        <v>1.93</v>
      </c>
      <c r="R1155" s="322"/>
      <c r="S1155" s="7">
        <v>121.5</v>
      </c>
      <c r="T1155" s="92">
        <f t="shared" ref="T1155:T1163" si="46">S1155*J1155</f>
        <v>36450</v>
      </c>
      <c r="U1155" s="39"/>
      <c r="V1155" s="260">
        <v>90</v>
      </c>
    </row>
    <row r="1156" spans="2:22" s="7" customFormat="1" ht="18" customHeight="1">
      <c r="B1156" s="12" t="s">
        <v>306</v>
      </c>
      <c r="C1156" s="6" t="s">
        <v>2647</v>
      </c>
      <c r="D1156" s="14" t="s">
        <v>2416</v>
      </c>
      <c r="E1156" s="22"/>
      <c r="F1156" s="102"/>
      <c r="G1156" s="22" t="s">
        <v>2649</v>
      </c>
      <c r="H1156" s="8"/>
      <c r="I1156" s="35"/>
      <c r="J1156" s="38">
        <v>1</v>
      </c>
      <c r="K1156" s="39">
        <v>210</v>
      </c>
      <c r="L1156" s="39">
        <f t="shared" si="45"/>
        <v>210</v>
      </c>
      <c r="M1156" s="91"/>
      <c r="N1156" s="33">
        <v>44552</v>
      </c>
      <c r="O1156" s="32">
        <v>3771</v>
      </c>
      <c r="P1156" s="391">
        <f>ROUNDUP(S1156/V1156/VLOOKUP(B1156,$C$2:$F$6,3,FALSE),2)</f>
        <v>189.39999999999998</v>
      </c>
      <c r="Q1156" s="322">
        <v>189.4</v>
      </c>
      <c r="R1156" s="322"/>
      <c r="S1156" s="7">
        <v>15000</v>
      </c>
      <c r="T1156" s="92">
        <f t="shared" si="46"/>
        <v>15000</v>
      </c>
      <c r="U1156" s="21"/>
      <c r="V1156" s="260">
        <v>90</v>
      </c>
    </row>
    <row r="1157" spans="2:22" s="7" customFormat="1" ht="18" customHeight="1">
      <c r="B1157" s="12"/>
      <c r="C1157" s="6" t="s">
        <v>2647</v>
      </c>
      <c r="D1157" s="14" t="s">
        <v>2416</v>
      </c>
      <c r="E1157" s="22"/>
      <c r="F1157" s="102"/>
      <c r="G1157" s="22" t="s">
        <v>316</v>
      </c>
      <c r="H1157" s="8"/>
      <c r="I1157" s="35"/>
      <c r="J1157" s="38">
        <v>1</v>
      </c>
      <c r="K1157" s="39">
        <v>12</v>
      </c>
      <c r="L1157" s="39">
        <f t="shared" si="45"/>
        <v>12</v>
      </c>
      <c r="M1157" s="91"/>
      <c r="N1157" s="33">
        <v>44552</v>
      </c>
      <c r="O1157" s="32">
        <v>3771</v>
      </c>
      <c r="P1157" s="6" t="s">
        <v>3</v>
      </c>
      <c r="Q1157" s="322">
        <v>12</v>
      </c>
      <c r="R1157" s="322"/>
      <c r="S1157" s="7">
        <v>0</v>
      </c>
      <c r="T1157" s="7">
        <f t="shared" si="46"/>
        <v>0</v>
      </c>
      <c r="U1157" s="21"/>
      <c r="V1157" s="260">
        <v>90</v>
      </c>
    </row>
    <row r="1158" spans="2:22" customFormat="1" ht="18" customHeight="1">
      <c r="B1158" s="26" t="s">
        <v>300</v>
      </c>
      <c r="C1158" s="6" t="s">
        <v>2647</v>
      </c>
      <c r="D1158" s="14" t="s">
        <v>2416</v>
      </c>
      <c r="E1158" s="19" t="s">
        <v>2650</v>
      </c>
      <c r="F1158" s="37">
        <v>25</v>
      </c>
      <c r="G1158" s="37" t="s">
        <v>2419</v>
      </c>
      <c r="H1158" s="108">
        <v>30</v>
      </c>
      <c r="I1158" s="109">
        <v>10</v>
      </c>
      <c r="J1158" s="8">
        <f>H1158*I1158</f>
        <v>300</v>
      </c>
      <c r="K1158" s="39">
        <v>2.37</v>
      </c>
      <c r="L1158" s="39">
        <f t="shared" si="45"/>
        <v>711</v>
      </c>
      <c r="M1158" s="117" t="s">
        <v>2651</v>
      </c>
      <c r="N1158" s="33">
        <v>44606</v>
      </c>
      <c r="O1158" s="32">
        <v>3787</v>
      </c>
      <c r="P1158" s="391">
        <f>ROUNDUP(S1158/V1158/VLOOKUP(B1158,$C$2:$F$6,3,FALSE),2)</f>
        <v>2.0399999999999996</v>
      </c>
      <c r="Q1158" s="322">
        <v>2.04</v>
      </c>
      <c r="R1158" s="322">
        <f>Q1158*J1158</f>
        <v>612</v>
      </c>
      <c r="S1158" s="7">
        <v>128</v>
      </c>
      <c r="T1158" s="92">
        <f t="shared" si="46"/>
        <v>38400</v>
      </c>
      <c r="U1158" s="39"/>
      <c r="V1158" s="260">
        <v>90</v>
      </c>
    </row>
    <row r="1159" spans="2:22" customFormat="1" ht="18" customHeight="1">
      <c r="B1159" s="26" t="s">
        <v>300</v>
      </c>
      <c r="C1159" s="6" t="s">
        <v>2647</v>
      </c>
      <c r="D1159" s="14" t="s">
        <v>2416</v>
      </c>
      <c r="E1159" s="19" t="s">
        <v>2418</v>
      </c>
      <c r="F1159" s="37">
        <v>25</v>
      </c>
      <c r="G1159" s="37" t="s">
        <v>2652</v>
      </c>
      <c r="H1159" s="108">
        <v>30</v>
      </c>
      <c r="I1159" s="109">
        <v>4</v>
      </c>
      <c r="J1159" s="8">
        <f>H1159*I1159</f>
        <v>120</v>
      </c>
      <c r="K1159" s="39">
        <v>2.37</v>
      </c>
      <c r="L1159" s="39">
        <f t="shared" si="45"/>
        <v>284.40000000000003</v>
      </c>
      <c r="M1159" s="117" t="s">
        <v>2651</v>
      </c>
      <c r="N1159" s="33">
        <v>44606</v>
      </c>
      <c r="O1159" s="32">
        <v>3787</v>
      </c>
      <c r="P1159" s="391">
        <f>ROUNDUP(S1159/V1159/VLOOKUP(B1159,$C$2:$F$6,3,FALSE),2)</f>
        <v>2.0399999999999996</v>
      </c>
      <c r="Q1159" s="322">
        <v>2.04</v>
      </c>
      <c r="R1159" s="322">
        <f>Q1159*J1159</f>
        <v>244.8</v>
      </c>
      <c r="S1159" s="7">
        <v>128</v>
      </c>
      <c r="T1159" s="92">
        <f t="shared" si="46"/>
        <v>15360</v>
      </c>
      <c r="U1159" s="39"/>
      <c r="V1159" s="260">
        <v>90</v>
      </c>
    </row>
    <row r="1160" spans="2:22" s="7" customFormat="1" ht="18" customHeight="1">
      <c r="B1160" s="12" t="s">
        <v>306</v>
      </c>
      <c r="C1160" s="6" t="s">
        <v>2647</v>
      </c>
      <c r="D1160" s="14" t="s">
        <v>2416</v>
      </c>
      <c r="E1160" s="22"/>
      <c r="F1160" s="102"/>
      <c r="G1160" s="22" t="s">
        <v>2653</v>
      </c>
      <c r="H1160" s="8"/>
      <c r="I1160" s="35"/>
      <c r="J1160" s="38">
        <v>1</v>
      </c>
      <c r="K1160" s="39">
        <v>210</v>
      </c>
      <c r="L1160" s="39">
        <f t="shared" si="45"/>
        <v>210</v>
      </c>
      <c r="M1160" s="117"/>
      <c r="N1160" s="33">
        <v>44606</v>
      </c>
      <c r="O1160" s="32">
        <v>3787</v>
      </c>
      <c r="P1160" s="391">
        <f>ROUNDUP(S1160/V1160/VLOOKUP(B1160,$C$2:$F$6,3,FALSE),2)</f>
        <v>189.39999999999998</v>
      </c>
      <c r="Q1160" s="322">
        <v>189.4</v>
      </c>
      <c r="R1160" s="322">
        <f>Q1160*J1160</f>
        <v>189.4</v>
      </c>
      <c r="S1160" s="7">
        <v>15000</v>
      </c>
      <c r="T1160" s="92">
        <f t="shared" si="46"/>
        <v>15000</v>
      </c>
      <c r="U1160" s="21"/>
      <c r="V1160" s="260">
        <v>90</v>
      </c>
    </row>
    <row r="1161" spans="2:22" s="7" customFormat="1" ht="18" customHeight="1">
      <c r="B1161" s="12" t="s">
        <v>306</v>
      </c>
      <c r="C1161" s="6" t="s">
        <v>2647</v>
      </c>
      <c r="D1161" s="14" t="s">
        <v>2416</v>
      </c>
      <c r="E1161" s="22"/>
      <c r="F1161" s="102"/>
      <c r="G1161" s="22" t="s">
        <v>2654</v>
      </c>
      <c r="H1161" s="8"/>
      <c r="I1161" s="35"/>
      <c r="J1161" s="38">
        <v>1</v>
      </c>
      <c r="K1161" s="39">
        <v>306</v>
      </c>
      <c r="L1161" s="39">
        <f t="shared" si="45"/>
        <v>306</v>
      </c>
      <c r="M1161" s="117"/>
      <c r="N1161" s="33">
        <v>44606</v>
      </c>
      <c r="O1161" s="32">
        <v>3787</v>
      </c>
      <c r="P1161" s="391">
        <f>ROUNDUP(S1161/V1161/VLOOKUP(B1161,$C$2:$F$6,3,FALSE),2)</f>
        <v>277.77999999999997</v>
      </c>
      <c r="Q1161" s="322">
        <v>277.77999999999997</v>
      </c>
      <c r="R1161" s="322">
        <f>Q1161*J1161</f>
        <v>277.77999999999997</v>
      </c>
      <c r="S1161" s="7">
        <v>22000</v>
      </c>
      <c r="T1161" s="92">
        <f t="shared" si="46"/>
        <v>22000</v>
      </c>
      <c r="U1161" s="21"/>
      <c r="V1161" s="260">
        <v>90</v>
      </c>
    </row>
    <row r="1162" spans="2:22" s="7" customFormat="1" ht="18" customHeight="1">
      <c r="B1162" s="12"/>
      <c r="C1162" s="6" t="s">
        <v>2647</v>
      </c>
      <c r="D1162" s="14" t="s">
        <v>2416</v>
      </c>
      <c r="E1162" s="22"/>
      <c r="F1162" s="102"/>
      <c r="G1162" s="22" t="s">
        <v>316</v>
      </c>
      <c r="H1162" s="8"/>
      <c r="I1162" s="35"/>
      <c r="J1162" s="38">
        <v>1</v>
      </c>
      <c r="K1162" s="39">
        <v>12</v>
      </c>
      <c r="L1162" s="39">
        <f>K1162*J1162</f>
        <v>12</v>
      </c>
      <c r="M1162" s="91"/>
      <c r="N1162" s="33">
        <v>44606</v>
      </c>
      <c r="O1162" s="32">
        <v>3787</v>
      </c>
      <c r="P1162" s="6" t="s">
        <v>3</v>
      </c>
      <c r="Q1162" s="322">
        <v>0</v>
      </c>
      <c r="R1162" s="322">
        <f>Q1162*J1162</f>
        <v>0</v>
      </c>
      <c r="S1162" s="7">
        <v>0</v>
      </c>
      <c r="T1162" s="7">
        <f>S1162*J1162</f>
        <v>0</v>
      </c>
      <c r="U1162" s="21"/>
      <c r="V1162" s="260">
        <v>90</v>
      </c>
    </row>
    <row r="1163" spans="2:22" s="191" customFormat="1" ht="15">
      <c r="B1163" s="190"/>
      <c r="C1163" s="179" t="s">
        <v>2647</v>
      </c>
      <c r="D1163" s="180" t="s">
        <v>2416</v>
      </c>
      <c r="E1163" s="217"/>
      <c r="F1163" s="182"/>
      <c r="G1163" s="182" t="s">
        <v>250</v>
      </c>
      <c r="H1163" s="184" t="s">
        <v>251</v>
      </c>
      <c r="I1163" s="185"/>
      <c r="J1163" s="183"/>
      <c r="K1163" s="192">
        <v>0</v>
      </c>
      <c r="L1163" s="188"/>
      <c r="M1163" s="187"/>
      <c r="N1163" s="187">
        <v>44606</v>
      </c>
      <c r="O1163" s="186">
        <v>3787</v>
      </c>
      <c r="P1163" s="179"/>
      <c r="Q1163" s="725">
        <v>0</v>
      </c>
      <c r="S1163" s="197">
        <v>0</v>
      </c>
      <c r="T1163" s="92">
        <f t="shared" si="46"/>
        <v>0</v>
      </c>
      <c r="U1163" s="335"/>
      <c r="V1163" s="260">
        <v>90</v>
      </c>
    </row>
    <row r="1164" spans="2:22" s="7" customFormat="1" ht="18" customHeight="1">
      <c r="B1164" s="12"/>
      <c r="C1164" s="6" t="s">
        <v>2655</v>
      </c>
      <c r="D1164" s="14" t="s">
        <v>2416</v>
      </c>
      <c r="E1164" s="19" t="s">
        <v>2648</v>
      </c>
      <c r="F1164" s="107"/>
      <c r="G1164" s="22"/>
      <c r="H1164" s="108"/>
      <c r="I1164" s="109"/>
      <c r="J1164" s="108"/>
      <c r="K1164" s="110" t="s">
        <v>5</v>
      </c>
      <c r="L1164" s="139"/>
      <c r="M1164" s="33"/>
      <c r="N1164" s="33">
        <v>44606</v>
      </c>
      <c r="O1164" s="32">
        <v>3788</v>
      </c>
      <c r="P1164" s="14"/>
      <c r="Q1164" s="322"/>
      <c r="S1164" s="308"/>
      <c r="U1164" s="14"/>
      <c r="V1164" s="260">
        <v>90</v>
      </c>
    </row>
    <row r="1165" spans="2:22" customFormat="1" ht="18" customHeight="1">
      <c r="B1165" s="26" t="s">
        <v>300</v>
      </c>
      <c r="C1165" s="6" t="s">
        <v>2655</v>
      </c>
      <c r="D1165" s="14" t="s">
        <v>2416</v>
      </c>
      <c r="E1165" s="19" t="s">
        <v>2418</v>
      </c>
      <c r="F1165" s="37">
        <v>25</v>
      </c>
      <c r="G1165" s="37" t="s">
        <v>2419</v>
      </c>
      <c r="H1165" s="108">
        <v>30</v>
      </c>
      <c r="I1165" s="109">
        <v>17</v>
      </c>
      <c r="J1165" s="8">
        <f>H1165*I1165</f>
        <v>510</v>
      </c>
      <c r="K1165" s="39">
        <v>2.37</v>
      </c>
      <c r="L1165" s="39">
        <f>K1165*J1165</f>
        <v>1208.7</v>
      </c>
      <c r="M1165" s="117" t="s">
        <v>2651</v>
      </c>
      <c r="N1165" s="33">
        <v>44606</v>
      </c>
      <c r="O1165" s="32">
        <v>3788</v>
      </c>
      <c r="P1165" s="391">
        <f>ROUNDUP(S1165/V1165/VLOOKUP(B1165,$C$2:$F$6,3,FALSE),2)</f>
        <v>2.0399999999999996</v>
      </c>
      <c r="Q1165" s="322">
        <v>2.04</v>
      </c>
      <c r="R1165" s="322">
        <f>Q1165*J1165</f>
        <v>1040.4000000000001</v>
      </c>
      <c r="S1165" s="7">
        <v>128</v>
      </c>
      <c r="T1165" s="92">
        <f>S1165*J1165</f>
        <v>65280</v>
      </c>
      <c r="U1165" s="39"/>
      <c r="V1165" s="260">
        <v>90</v>
      </c>
    </row>
    <row r="1166" spans="2:22" customFormat="1" ht="18" customHeight="1">
      <c r="B1166" s="26" t="s">
        <v>300</v>
      </c>
      <c r="C1166" s="6" t="s">
        <v>2656</v>
      </c>
      <c r="D1166" s="14" t="s">
        <v>2416</v>
      </c>
      <c r="E1166" s="19" t="s">
        <v>2418</v>
      </c>
      <c r="F1166" s="37">
        <v>25</v>
      </c>
      <c r="G1166" s="37" t="s">
        <v>2652</v>
      </c>
      <c r="H1166" s="108">
        <v>30</v>
      </c>
      <c r="I1166" s="109">
        <v>1</v>
      </c>
      <c r="J1166" s="8">
        <f>H1166*I1166</f>
        <v>30</v>
      </c>
      <c r="K1166" s="39">
        <v>2.37</v>
      </c>
      <c r="L1166" s="39">
        <f>K1166*J1166</f>
        <v>71.100000000000009</v>
      </c>
      <c r="M1166" s="117" t="s">
        <v>2651</v>
      </c>
      <c r="N1166" s="33">
        <v>44606</v>
      </c>
      <c r="O1166" s="32">
        <v>3788</v>
      </c>
      <c r="P1166" s="391">
        <f>ROUNDUP(S1166/V1166/VLOOKUP(B1166,$C$2:$F$6,3,FALSE),2)</f>
        <v>2.0399999999999996</v>
      </c>
      <c r="Q1166" s="322">
        <v>2.04</v>
      </c>
      <c r="R1166" s="322">
        <f>Q1166*J1166</f>
        <v>61.2</v>
      </c>
      <c r="S1166" s="7">
        <v>128</v>
      </c>
      <c r="T1166" s="92">
        <f>S1166*J1166</f>
        <v>3840</v>
      </c>
      <c r="U1166" s="39"/>
      <c r="V1166" s="260">
        <v>90</v>
      </c>
    </row>
    <row r="1167" spans="2:22" customFormat="1" ht="18" customHeight="1">
      <c r="B1167" s="26" t="s">
        <v>300</v>
      </c>
      <c r="C1167" s="6" t="s">
        <v>2655</v>
      </c>
      <c r="D1167" s="14" t="s">
        <v>2416</v>
      </c>
      <c r="E1167" s="19" t="s">
        <v>2418</v>
      </c>
      <c r="F1167" s="37">
        <v>25</v>
      </c>
      <c r="G1167" s="37" t="s">
        <v>2420</v>
      </c>
      <c r="H1167" s="108">
        <v>30</v>
      </c>
      <c r="I1167" s="109">
        <v>7</v>
      </c>
      <c r="J1167" s="8">
        <f>H1167*I1167</f>
        <v>210</v>
      </c>
      <c r="K1167" s="39">
        <v>2.37</v>
      </c>
      <c r="L1167" s="39">
        <f>K1167*J1167</f>
        <v>497.70000000000005</v>
      </c>
      <c r="M1167" s="91"/>
      <c r="N1167" s="33">
        <v>44552</v>
      </c>
      <c r="O1167" s="32">
        <v>3772</v>
      </c>
      <c r="P1167" s="391">
        <f>ROUNDUP(S1167/V1167/VLOOKUP(B1167,$C$2:$F$6,3,FALSE),2)</f>
        <v>1.93</v>
      </c>
      <c r="Q1167" s="322">
        <v>1.93</v>
      </c>
      <c r="R1167" s="1"/>
      <c r="S1167" s="7">
        <v>121.5</v>
      </c>
      <c r="T1167" s="92">
        <f>S1167*J1167</f>
        <v>25515</v>
      </c>
      <c r="U1167" s="39"/>
      <c r="V1167" s="260">
        <v>90</v>
      </c>
    </row>
    <row r="1168" spans="2:22" s="7" customFormat="1" ht="18" customHeight="1">
      <c r="B1168" s="12" t="s">
        <v>306</v>
      </c>
      <c r="C1168" s="6" t="s">
        <v>2655</v>
      </c>
      <c r="D1168" s="14" t="s">
        <v>2416</v>
      </c>
      <c r="E1168" s="49"/>
      <c r="F1168" s="102"/>
      <c r="G1168" s="22" t="s">
        <v>2657</v>
      </c>
      <c r="H1168" s="8"/>
      <c r="I1168" s="35"/>
      <c r="J1168" s="38">
        <v>0</v>
      </c>
      <c r="K1168" s="39">
        <v>210</v>
      </c>
      <c r="L1168" s="39">
        <f>K1168*J1168</f>
        <v>0</v>
      </c>
      <c r="M1168" s="91"/>
      <c r="N1168" s="33"/>
      <c r="O1168" s="32"/>
      <c r="P1168" s="391">
        <v>0</v>
      </c>
      <c r="Q1168" s="322">
        <v>0</v>
      </c>
      <c r="S1168" s="7">
        <v>0</v>
      </c>
      <c r="T1168" s="92">
        <v>0</v>
      </c>
      <c r="U1168" s="21"/>
      <c r="V1168" s="260">
        <v>90</v>
      </c>
    </row>
    <row r="1169" spans="2:22" s="191" customFormat="1" ht="15">
      <c r="B1169" s="190"/>
      <c r="C1169" s="179" t="s">
        <v>2655</v>
      </c>
      <c r="D1169" s="180" t="s">
        <v>2416</v>
      </c>
      <c r="E1169" s="217"/>
      <c r="F1169" s="182"/>
      <c r="G1169" s="182" t="s">
        <v>250</v>
      </c>
      <c r="H1169" s="184" t="s">
        <v>251</v>
      </c>
      <c r="I1169" s="185"/>
      <c r="J1169" s="183"/>
      <c r="K1169" s="192">
        <v>0</v>
      </c>
      <c r="L1169" s="188"/>
      <c r="M1169" s="187"/>
      <c r="N1169" s="187"/>
      <c r="O1169" s="186"/>
      <c r="P1169" s="179"/>
      <c r="Q1169" s="725">
        <v>0</v>
      </c>
      <c r="S1169" s="197">
        <v>0</v>
      </c>
      <c r="T1169" s="198">
        <v>0</v>
      </c>
      <c r="U1169" s="335"/>
      <c r="V1169" s="260">
        <v>90</v>
      </c>
    </row>
    <row r="1170" spans="2:22" s="7" customFormat="1" ht="18" customHeight="1">
      <c r="B1170" s="12"/>
      <c r="C1170" s="145" t="s">
        <v>2658</v>
      </c>
      <c r="D1170" s="149" t="s">
        <v>2416</v>
      </c>
      <c r="E1170" s="367" t="s">
        <v>2417</v>
      </c>
      <c r="F1170" s="368"/>
      <c r="G1170" s="122"/>
      <c r="H1170" s="148"/>
      <c r="I1170" s="156"/>
      <c r="J1170" s="148"/>
      <c r="K1170" s="377" t="s">
        <v>5</v>
      </c>
      <c r="L1170" s="135"/>
      <c r="M1170" s="370"/>
      <c r="N1170" s="831" t="s">
        <v>72</v>
      </c>
      <c r="O1170" s="134"/>
      <c r="P1170" s="14"/>
      <c r="Q1170" s="322"/>
      <c r="S1170" s="308"/>
      <c r="U1170" s="14"/>
      <c r="V1170" s="260">
        <v>90</v>
      </c>
    </row>
    <row r="1171" spans="2:22" customFormat="1" ht="18" customHeight="1">
      <c r="B1171" s="26" t="s">
        <v>300</v>
      </c>
      <c r="C1171" s="145" t="s">
        <v>2658</v>
      </c>
      <c r="D1171" s="149" t="s">
        <v>2416</v>
      </c>
      <c r="E1171" s="832" t="s">
        <v>2418</v>
      </c>
      <c r="F1171" s="129">
        <v>25</v>
      </c>
      <c r="G1171" s="129" t="s">
        <v>2652</v>
      </c>
      <c r="H1171" s="148">
        <v>30</v>
      </c>
      <c r="I1171" s="156">
        <v>2</v>
      </c>
      <c r="J1171" s="151">
        <f>H1171*I1171</f>
        <v>60</v>
      </c>
      <c r="K1171" s="132">
        <v>2.37</v>
      </c>
      <c r="L1171" s="132">
        <f>K1171*J1171</f>
        <v>142.20000000000002</v>
      </c>
      <c r="M1171" s="833"/>
      <c r="N1171" s="831" t="s">
        <v>72</v>
      </c>
      <c r="O1171" s="134"/>
      <c r="P1171" s="391">
        <f>ROUNDUP(S1171/V1171/VLOOKUP(B1171,$C$2:$F$6,3,FALSE),2)</f>
        <v>0</v>
      </c>
      <c r="Q1171" s="322">
        <v>2.04</v>
      </c>
      <c r="R1171" s="1"/>
      <c r="S1171" s="7">
        <v>0</v>
      </c>
      <c r="T1171" s="92">
        <f>S1171*J1171</f>
        <v>0</v>
      </c>
      <c r="U1171" s="39"/>
      <c r="V1171" s="260">
        <v>90</v>
      </c>
    </row>
    <row r="1172" spans="2:22" s="7" customFormat="1" ht="18" customHeight="1">
      <c r="B1172" s="12"/>
      <c r="C1172" s="145" t="s">
        <v>2658</v>
      </c>
      <c r="D1172" s="149" t="s">
        <v>2416</v>
      </c>
      <c r="E1172" s="122"/>
      <c r="F1172" s="787"/>
      <c r="G1172" s="122" t="s">
        <v>316</v>
      </c>
      <c r="H1172" s="151"/>
      <c r="I1172" s="152"/>
      <c r="J1172" s="381">
        <v>1</v>
      </c>
      <c r="K1172" s="132">
        <v>12</v>
      </c>
      <c r="L1172" s="132">
        <f>K1172*J1172</f>
        <v>12</v>
      </c>
      <c r="M1172" s="833"/>
      <c r="N1172" s="831" t="s">
        <v>72</v>
      </c>
      <c r="O1172" s="134"/>
      <c r="P1172" s="391">
        <v>12</v>
      </c>
      <c r="Q1172" s="322">
        <v>12</v>
      </c>
      <c r="S1172" s="7">
        <v>0</v>
      </c>
      <c r="T1172" s="7">
        <f>S1172*J1172</f>
        <v>0</v>
      </c>
      <c r="U1172" s="21"/>
      <c r="V1172" s="260">
        <v>90</v>
      </c>
    </row>
    <row r="1173" spans="2:22" s="7" customFormat="1" ht="18" customHeight="1">
      <c r="B1173" s="12" t="s">
        <v>306</v>
      </c>
      <c r="C1173" s="145" t="s">
        <v>2658</v>
      </c>
      <c r="D1173" s="149" t="s">
        <v>2416</v>
      </c>
      <c r="E1173" s="122"/>
      <c r="F1173" s="787"/>
      <c r="G1173" s="122" t="s">
        <v>2659</v>
      </c>
      <c r="H1173" s="151"/>
      <c r="I1173" s="152"/>
      <c r="J1173" s="381">
        <v>0</v>
      </c>
      <c r="K1173" s="132">
        <v>306</v>
      </c>
      <c r="L1173" s="132">
        <f>K1173*J1173</f>
        <v>0</v>
      </c>
      <c r="M1173" s="833"/>
      <c r="N1173" s="831" t="s">
        <v>72</v>
      </c>
      <c r="O1173" s="134"/>
      <c r="P1173" s="391">
        <v>0</v>
      </c>
      <c r="Q1173" s="322">
        <v>0</v>
      </c>
      <c r="S1173" s="7">
        <v>0</v>
      </c>
      <c r="T1173" s="92">
        <f>S1173*J1173</f>
        <v>0</v>
      </c>
      <c r="U1173" s="21"/>
      <c r="V1173" s="260">
        <v>90</v>
      </c>
    </row>
    <row r="1174" spans="2:22" s="191" customFormat="1" ht="15">
      <c r="B1174" s="190"/>
      <c r="C1174" s="145" t="s">
        <v>2658</v>
      </c>
      <c r="D1174" s="149" t="s">
        <v>2416</v>
      </c>
      <c r="E1174" s="122"/>
      <c r="F1174" s="129"/>
      <c r="G1174" s="129" t="s">
        <v>250</v>
      </c>
      <c r="H1174" s="381" t="s">
        <v>251</v>
      </c>
      <c r="I1174" s="156"/>
      <c r="J1174" s="148"/>
      <c r="K1174" s="132">
        <v>0</v>
      </c>
      <c r="L1174" s="135"/>
      <c r="M1174" s="370"/>
      <c r="N1174" s="831" t="s">
        <v>72</v>
      </c>
      <c r="O1174" s="134"/>
      <c r="P1174" s="179"/>
      <c r="Q1174" s="725">
        <v>0</v>
      </c>
      <c r="S1174" s="197">
        <v>0</v>
      </c>
      <c r="T1174" s="198">
        <v>0</v>
      </c>
      <c r="U1174" s="335"/>
      <c r="V1174" s="260">
        <v>90</v>
      </c>
    </row>
    <row r="1175" spans="2:22" s="7" customFormat="1" ht="18" customHeight="1">
      <c r="B1175" s="12"/>
      <c r="C1175" s="6" t="s">
        <v>2660</v>
      </c>
      <c r="D1175" s="14" t="s">
        <v>2162</v>
      </c>
      <c r="E1175" s="19" t="s">
        <v>2163</v>
      </c>
      <c r="F1175" s="37"/>
      <c r="G1175" s="37"/>
      <c r="H1175" s="108"/>
      <c r="I1175" s="108"/>
      <c r="J1175" s="108"/>
      <c r="K1175" s="110" t="s">
        <v>5</v>
      </c>
      <c r="L1175" s="139"/>
      <c r="M1175" s="33"/>
      <c r="N1175" s="33">
        <v>44511</v>
      </c>
      <c r="O1175" s="32">
        <v>3656</v>
      </c>
      <c r="P1175" s="6"/>
      <c r="Q1175" s="339"/>
      <c r="U1175" s="21"/>
      <c r="V1175" s="260">
        <v>90</v>
      </c>
    </row>
    <row r="1176" spans="2:22" s="7" customFormat="1" ht="18" customHeight="1">
      <c r="B1176" s="12" t="s">
        <v>300</v>
      </c>
      <c r="C1176" s="6" t="s">
        <v>2660</v>
      </c>
      <c r="D1176" s="14" t="s">
        <v>2162</v>
      </c>
      <c r="E1176" s="22">
        <v>5603</v>
      </c>
      <c r="F1176" s="37"/>
      <c r="G1176" s="37" t="s">
        <v>2164</v>
      </c>
      <c r="H1176" s="108">
        <v>50</v>
      </c>
      <c r="I1176" s="109">
        <v>23</v>
      </c>
      <c r="J1176" s="8">
        <f>I1176*H1176</f>
        <v>1150</v>
      </c>
      <c r="K1176" s="39">
        <v>0.3</v>
      </c>
      <c r="L1176" s="39">
        <f>K1176*J1176</f>
        <v>345</v>
      </c>
      <c r="M1176" s="91"/>
      <c r="N1176" s="33">
        <v>44511</v>
      </c>
      <c r="O1176" s="32">
        <v>3656</v>
      </c>
      <c r="P1176" s="391">
        <f>ROUNDUP(S1176/V1176/VLOOKUP(B1176,$C$2:$F$6,3,FALSE),2)</f>
        <v>0.26</v>
      </c>
      <c r="Q1176" s="322">
        <v>0.26</v>
      </c>
      <c r="S1176" s="7">
        <v>16</v>
      </c>
      <c r="T1176" s="7">
        <f>S1176*J1176</f>
        <v>18400</v>
      </c>
      <c r="U1176" s="21"/>
      <c r="V1176" s="260">
        <v>90</v>
      </c>
    </row>
    <row r="1177" spans="2:22" s="7" customFormat="1" ht="18" customHeight="1">
      <c r="B1177" s="12"/>
      <c r="C1177" s="6" t="s">
        <v>2660</v>
      </c>
      <c r="D1177" s="14" t="s">
        <v>2162</v>
      </c>
      <c r="E1177" s="22"/>
      <c r="F1177" s="102"/>
      <c r="G1177" s="22" t="s">
        <v>316</v>
      </c>
      <c r="H1177" s="8"/>
      <c r="I1177" s="35"/>
      <c r="J1177" s="38">
        <v>1</v>
      </c>
      <c r="K1177" s="39">
        <v>12</v>
      </c>
      <c r="L1177" s="39">
        <f>K1177*J1177</f>
        <v>12</v>
      </c>
      <c r="M1177" s="91"/>
      <c r="N1177" s="33">
        <v>44511</v>
      </c>
      <c r="O1177" s="32">
        <v>3656</v>
      </c>
      <c r="P1177" s="6" t="s">
        <v>3</v>
      </c>
      <c r="Q1177" s="322">
        <v>12</v>
      </c>
      <c r="S1177" s="7">
        <v>1100</v>
      </c>
      <c r="T1177" s="7">
        <f>S1177*J1177</f>
        <v>1100</v>
      </c>
      <c r="U1177" s="21"/>
      <c r="V1177" s="260">
        <v>90</v>
      </c>
    </row>
    <row r="1178" spans="2:22" s="191" customFormat="1" ht="15">
      <c r="B1178" s="190"/>
      <c r="C1178" s="179" t="s">
        <v>2660</v>
      </c>
      <c r="D1178" s="180" t="s">
        <v>2162</v>
      </c>
      <c r="E1178" s="181"/>
      <c r="F1178" s="182"/>
      <c r="G1178" s="182" t="s">
        <v>250</v>
      </c>
      <c r="H1178" s="184" t="s">
        <v>251</v>
      </c>
      <c r="I1178" s="185"/>
      <c r="J1178" s="183"/>
      <c r="K1178" s="192">
        <v>0</v>
      </c>
      <c r="L1178" s="188"/>
      <c r="M1178" s="187"/>
      <c r="N1178" s="187">
        <v>44511</v>
      </c>
      <c r="O1178" s="186">
        <v>3656</v>
      </c>
      <c r="P1178" s="179"/>
      <c r="Q1178" s="725">
        <v>0</v>
      </c>
      <c r="S1178" s="197">
        <v>0</v>
      </c>
      <c r="T1178" s="7">
        <f>S1178*J1178</f>
        <v>0</v>
      </c>
      <c r="U1178" s="335"/>
      <c r="V1178" s="260">
        <v>90</v>
      </c>
    </row>
    <row r="1179" spans="2:22" s="7" customFormat="1" ht="18" customHeight="1">
      <c r="B1179" s="12"/>
      <c r="C1179" s="6" t="s">
        <v>2661</v>
      </c>
      <c r="D1179" s="14" t="s">
        <v>2171</v>
      </c>
      <c r="E1179" s="19" t="s">
        <v>10</v>
      </c>
      <c r="F1179" s="107"/>
      <c r="G1179" s="22"/>
      <c r="H1179" s="108"/>
      <c r="I1179" s="109"/>
      <c r="J1179" s="108"/>
      <c r="K1179" s="29" t="s">
        <v>5</v>
      </c>
      <c r="L1179" s="139"/>
      <c r="M1179" s="33"/>
      <c r="N1179" s="33">
        <v>44508</v>
      </c>
      <c r="O1179" s="32">
        <v>3637</v>
      </c>
      <c r="P1179" s="14"/>
      <c r="Q1179" s="322"/>
      <c r="U1179" s="14"/>
      <c r="V1179" s="260">
        <v>90</v>
      </c>
    </row>
    <row r="1180" spans="2:22" s="7" customFormat="1" ht="18" customHeight="1">
      <c r="B1180" s="12" t="s">
        <v>302</v>
      </c>
      <c r="C1180" s="6" t="s">
        <v>2661</v>
      </c>
      <c r="D1180" s="14" t="s">
        <v>2171</v>
      </c>
      <c r="E1180" s="22" t="s">
        <v>207</v>
      </c>
      <c r="F1180" s="107">
        <v>152</v>
      </c>
      <c r="G1180" s="22" t="s">
        <v>2662</v>
      </c>
      <c r="H1180" s="108">
        <v>50</v>
      </c>
      <c r="I1180" s="109">
        <v>1</v>
      </c>
      <c r="J1180" s="8">
        <f>I1180*H1180</f>
        <v>50</v>
      </c>
      <c r="K1180" s="39">
        <v>4.17</v>
      </c>
      <c r="L1180" s="39">
        <f>K1180*J1180</f>
        <v>208.5</v>
      </c>
      <c r="M1180" s="91"/>
      <c r="N1180" s="33">
        <v>44508</v>
      </c>
      <c r="O1180" s="32">
        <v>3637</v>
      </c>
      <c r="P1180" s="391">
        <f>ROUNDUP(S1180/V1180/VLOOKUP(B1180,$C$2:$F$6,3,FALSE),2)</f>
        <v>3.7899999999999996</v>
      </c>
      <c r="Q1180" s="322">
        <v>3.79</v>
      </c>
      <c r="S1180" s="7">
        <v>300</v>
      </c>
      <c r="T1180" s="7">
        <f>S1180*J1180</f>
        <v>15000</v>
      </c>
      <c r="U1180" s="21"/>
      <c r="V1180" s="260">
        <v>90</v>
      </c>
    </row>
    <row r="1181" spans="2:22" s="7" customFormat="1" ht="15">
      <c r="B1181" s="12"/>
      <c r="C1181" s="6" t="s">
        <v>2661</v>
      </c>
      <c r="D1181" s="14" t="s">
        <v>2171</v>
      </c>
      <c r="E1181" s="22"/>
      <c r="F1181" s="102"/>
      <c r="G1181" s="22" t="s">
        <v>14</v>
      </c>
      <c r="H1181" s="8"/>
      <c r="I1181" s="35"/>
      <c r="J1181" s="38">
        <v>1</v>
      </c>
      <c r="K1181" s="39">
        <v>20</v>
      </c>
      <c r="L1181" s="39">
        <f>K1181*J1181</f>
        <v>20</v>
      </c>
      <c r="M1181" s="91"/>
      <c r="N1181" s="33">
        <v>44508</v>
      </c>
      <c r="O1181" s="32">
        <v>3637</v>
      </c>
      <c r="P1181" s="6" t="s">
        <v>3</v>
      </c>
      <c r="Q1181" s="322">
        <v>20</v>
      </c>
      <c r="S1181" s="7">
        <v>1800</v>
      </c>
      <c r="T1181" s="7">
        <f>S1181*J1181</f>
        <v>1800</v>
      </c>
      <c r="U1181" s="21"/>
      <c r="V1181" s="260">
        <v>90</v>
      </c>
    </row>
    <row r="1182" spans="2:22" s="191" customFormat="1" ht="15">
      <c r="B1182" s="190"/>
      <c r="C1182" s="179" t="s">
        <v>2661</v>
      </c>
      <c r="D1182" s="180" t="s">
        <v>2171</v>
      </c>
      <c r="E1182" s="217"/>
      <c r="F1182" s="182"/>
      <c r="G1182" s="182" t="s">
        <v>250</v>
      </c>
      <c r="H1182" s="184" t="s">
        <v>252</v>
      </c>
      <c r="I1182" s="185"/>
      <c r="J1182" s="183"/>
      <c r="K1182" s="333">
        <v>79</v>
      </c>
      <c r="L1182" s="188"/>
      <c r="M1182" s="187"/>
      <c r="N1182" s="187">
        <v>44508</v>
      </c>
      <c r="O1182" s="186">
        <v>3637</v>
      </c>
      <c r="P1182" s="179"/>
      <c r="Q1182" s="747">
        <v>79</v>
      </c>
      <c r="S1182" s="197">
        <v>7103</v>
      </c>
      <c r="T1182" s="197">
        <v>7103</v>
      </c>
      <c r="U1182" s="335"/>
      <c r="V1182" s="260">
        <v>90</v>
      </c>
    </row>
    <row r="1183" spans="2:22" s="7" customFormat="1" ht="18" customHeight="1">
      <c r="B1183" s="12"/>
      <c r="C1183" s="6" t="s">
        <v>2663</v>
      </c>
      <c r="D1183" s="14" t="s">
        <v>2022</v>
      </c>
      <c r="E1183" s="19" t="s">
        <v>59</v>
      </c>
      <c r="F1183" s="107"/>
      <c r="G1183" s="22"/>
      <c r="H1183" s="108"/>
      <c r="I1183" s="109"/>
      <c r="J1183" s="108"/>
      <c r="K1183" s="29" t="s">
        <v>5</v>
      </c>
      <c r="L1183" s="39"/>
      <c r="M1183" s="91"/>
      <c r="N1183" s="33">
        <v>44509</v>
      </c>
      <c r="O1183" s="32">
        <v>3647</v>
      </c>
      <c r="P1183" s="14"/>
      <c r="Q1183" s="322"/>
      <c r="U1183" s="14"/>
      <c r="V1183" s="260">
        <v>90</v>
      </c>
    </row>
    <row r="1184" spans="2:22" s="7" customFormat="1" ht="18" customHeight="1">
      <c r="B1184" s="12" t="s">
        <v>302</v>
      </c>
      <c r="C1184" s="6" t="s">
        <v>2663</v>
      </c>
      <c r="D1184" s="14" t="s">
        <v>2022</v>
      </c>
      <c r="E1184" s="22" t="s">
        <v>314</v>
      </c>
      <c r="F1184" s="107">
        <v>145</v>
      </c>
      <c r="G1184" s="22" t="s">
        <v>2664</v>
      </c>
      <c r="H1184" s="823"/>
      <c r="I1184" s="824"/>
      <c r="J1184" s="8">
        <v>15</v>
      </c>
      <c r="K1184" s="39">
        <v>8.75</v>
      </c>
      <c r="L1184" s="39">
        <f>K1184*J1184</f>
        <v>131.25</v>
      </c>
      <c r="M1184" s="91"/>
      <c r="N1184" s="33">
        <v>44509</v>
      </c>
      <c r="O1184" s="32">
        <v>3647</v>
      </c>
      <c r="P1184" s="391">
        <v>7.96</v>
      </c>
      <c r="Q1184" s="322">
        <v>7.96</v>
      </c>
      <c r="S1184" s="7">
        <v>630</v>
      </c>
      <c r="T1184" s="7">
        <f>S1184*J1184</f>
        <v>9450</v>
      </c>
      <c r="U1184" s="21"/>
      <c r="V1184" s="260">
        <v>90</v>
      </c>
    </row>
    <row r="1185" spans="2:22" s="7" customFormat="1" ht="15">
      <c r="B1185" s="12"/>
      <c r="C1185" s="6" t="s">
        <v>2665</v>
      </c>
      <c r="D1185" s="14" t="s">
        <v>2022</v>
      </c>
      <c r="E1185" s="22"/>
      <c r="F1185" s="102"/>
      <c r="G1185" s="22" t="s">
        <v>2625</v>
      </c>
      <c r="H1185" s="8"/>
      <c r="I1185" s="35"/>
      <c r="J1185" s="38">
        <v>1</v>
      </c>
      <c r="K1185" s="39">
        <v>15</v>
      </c>
      <c r="L1185" s="39">
        <f>K1185*J1185</f>
        <v>15</v>
      </c>
      <c r="M1185" s="91"/>
      <c r="N1185" s="33">
        <v>44509</v>
      </c>
      <c r="O1185" s="32">
        <v>3647</v>
      </c>
      <c r="P1185" s="391">
        <v>12</v>
      </c>
      <c r="Q1185" s="322">
        <v>12</v>
      </c>
      <c r="S1185" s="7">
        <v>1000</v>
      </c>
      <c r="T1185" s="7">
        <f>S1185*J1185</f>
        <v>1000</v>
      </c>
      <c r="U1185" s="21"/>
      <c r="V1185" s="260">
        <v>90</v>
      </c>
    </row>
    <row r="1186" spans="2:22" s="7" customFormat="1" ht="15">
      <c r="B1186" s="12"/>
      <c r="C1186" s="6" t="s">
        <v>2663</v>
      </c>
      <c r="D1186" s="14" t="s">
        <v>2022</v>
      </c>
      <c r="E1186" s="22"/>
      <c r="F1186" s="102"/>
      <c r="G1186" s="22" t="s">
        <v>316</v>
      </c>
      <c r="H1186" s="8"/>
      <c r="I1186" s="35"/>
      <c r="J1186" s="38">
        <v>1</v>
      </c>
      <c r="K1186" s="39">
        <v>20</v>
      </c>
      <c r="L1186" s="39">
        <v>20</v>
      </c>
      <c r="M1186" s="91"/>
      <c r="N1186" s="33">
        <v>44509</v>
      </c>
      <c r="O1186" s="32">
        <v>3647</v>
      </c>
      <c r="P1186" s="6" t="s">
        <v>3</v>
      </c>
      <c r="Q1186" s="322">
        <v>20</v>
      </c>
      <c r="S1186" s="7">
        <v>1000</v>
      </c>
      <c r="T1186" s="7">
        <f>S1186*J1186</f>
        <v>1000</v>
      </c>
      <c r="U1186" s="21"/>
      <c r="V1186" s="260">
        <v>90</v>
      </c>
    </row>
    <row r="1187" spans="2:22" s="191" customFormat="1" ht="15">
      <c r="B1187" s="190"/>
      <c r="C1187" s="179" t="s">
        <v>2663</v>
      </c>
      <c r="D1187" s="180" t="s">
        <v>2022</v>
      </c>
      <c r="E1187" s="217"/>
      <c r="F1187" s="182"/>
      <c r="G1187" s="182" t="s">
        <v>250</v>
      </c>
      <c r="H1187" s="184" t="s">
        <v>251</v>
      </c>
      <c r="I1187" s="185"/>
      <c r="J1187" s="183"/>
      <c r="K1187" s="203">
        <v>0</v>
      </c>
      <c r="L1187" s="188"/>
      <c r="M1187" s="187"/>
      <c r="N1187" s="187">
        <v>44509</v>
      </c>
      <c r="O1187" s="186">
        <v>3647</v>
      </c>
      <c r="P1187" s="179"/>
      <c r="Q1187" s="747">
        <v>0</v>
      </c>
      <c r="S1187" s="197">
        <v>0</v>
      </c>
      <c r="T1187" s="198">
        <v>0</v>
      </c>
      <c r="U1187" s="335"/>
      <c r="V1187" s="260">
        <v>90</v>
      </c>
    </row>
    <row r="1188" spans="2:22" customFormat="1" ht="18" customHeight="1">
      <c r="B1188" s="26"/>
      <c r="C1188" s="6" t="s">
        <v>2666</v>
      </c>
      <c r="D1188" s="14" t="s">
        <v>2667</v>
      </c>
      <c r="E1188" s="19" t="s">
        <v>227</v>
      </c>
      <c r="F1188" s="37"/>
      <c r="G1188" s="37"/>
      <c r="H1188" s="108"/>
      <c r="I1188" s="108"/>
      <c r="J1188" s="108"/>
      <c r="K1188" s="29" t="s">
        <v>101</v>
      </c>
      <c r="L1188" s="139"/>
      <c r="M1188" s="33"/>
      <c r="N1188" s="33">
        <v>44516</v>
      </c>
      <c r="O1188" s="32">
        <v>3639</v>
      </c>
      <c r="P1188" s="6"/>
      <c r="Q1188" s="339"/>
      <c r="R1188" s="1"/>
      <c r="S1188" s="7"/>
      <c r="T1188" s="7"/>
      <c r="U1188" s="21"/>
      <c r="V1188" s="260">
        <v>90</v>
      </c>
    </row>
    <row r="1189" spans="2:22" customFormat="1" ht="18" customHeight="1">
      <c r="B1189" s="26" t="s">
        <v>300</v>
      </c>
      <c r="C1189" s="6" t="s">
        <v>2666</v>
      </c>
      <c r="D1189" s="14" t="s">
        <v>2667</v>
      </c>
      <c r="E1189" s="22">
        <v>2250</v>
      </c>
      <c r="F1189" s="37">
        <v>18</v>
      </c>
      <c r="G1189" s="22" t="s">
        <v>2668</v>
      </c>
      <c r="H1189" s="108">
        <v>30</v>
      </c>
      <c r="I1189" s="109">
        <v>4</v>
      </c>
      <c r="J1189" s="8">
        <f>H1189*I1189</f>
        <v>120</v>
      </c>
      <c r="K1189" s="39">
        <v>0.55000000000000004</v>
      </c>
      <c r="L1189" s="39">
        <f>K1189*J1189</f>
        <v>66</v>
      </c>
      <c r="M1189" s="91"/>
      <c r="N1189" s="33">
        <v>44516</v>
      </c>
      <c r="O1189" s="32">
        <v>3639</v>
      </c>
      <c r="P1189" s="391">
        <f>ROUNDUP(S1189/V1189/VLOOKUP(B1189,$C$2:$F$6,3,FALSE),2)</f>
        <v>0.39</v>
      </c>
      <c r="Q1189" s="322">
        <v>0.39</v>
      </c>
      <c r="R1189" s="1"/>
      <c r="S1189" s="7">
        <v>24.5</v>
      </c>
      <c r="T1189" s="7">
        <f>S1189*J1189</f>
        <v>2940</v>
      </c>
      <c r="U1189" s="39"/>
      <c r="V1189" s="260">
        <v>90</v>
      </c>
    </row>
    <row r="1190" spans="2:22" customFormat="1" ht="18" customHeight="1">
      <c r="B1190" s="26" t="s">
        <v>300</v>
      </c>
      <c r="C1190" s="6" t="s">
        <v>2666</v>
      </c>
      <c r="D1190" s="14" t="s">
        <v>2667</v>
      </c>
      <c r="E1190" s="22">
        <v>2250</v>
      </c>
      <c r="F1190" s="37">
        <v>18</v>
      </c>
      <c r="G1190" s="22" t="s">
        <v>118</v>
      </c>
      <c r="H1190" s="108">
        <v>30</v>
      </c>
      <c r="I1190" s="109">
        <v>11</v>
      </c>
      <c r="J1190" s="8">
        <f>H1190*I1190</f>
        <v>330</v>
      </c>
      <c r="K1190" s="39">
        <v>0.55000000000000004</v>
      </c>
      <c r="L1190" s="39">
        <f>K1190*J1190</f>
        <v>181.50000000000003</v>
      </c>
      <c r="M1190" s="91"/>
      <c r="N1190" s="33">
        <v>44516</v>
      </c>
      <c r="O1190" s="32">
        <v>3639</v>
      </c>
      <c r="P1190" s="391">
        <f>ROUNDUP(S1190/V1190/VLOOKUP(B1190,$C$2:$F$6,3,FALSE),2)</f>
        <v>0.39</v>
      </c>
      <c r="Q1190" s="322">
        <v>0.39</v>
      </c>
      <c r="R1190" s="1"/>
      <c r="S1190" s="7">
        <v>24.5</v>
      </c>
      <c r="T1190" s="7">
        <f>S1190*J1190</f>
        <v>8085</v>
      </c>
      <c r="U1190" s="39"/>
      <c r="V1190" s="260">
        <v>90</v>
      </c>
    </row>
    <row r="1191" spans="2:22" s="7" customFormat="1" ht="16.899999999999999" customHeight="1">
      <c r="B1191" s="12"/>
      <c r="C1191" s="6" t="s">
        <v>2666</v>
      </c>
      <c r="D1191" s="14" t="s">
        <v>2667</v>
      </c>
      <c r="E1191" s="49"/>
      <c r="F1191" s="340"/>
      <c r="G1191" s="22" t="s">
        <v>316</v>
      </c>
      <c r="H1191" s="8"/>
      <c r="I1191" s="109" ph="1"/>
      <c r="J1191" s="38">
        <v>1</v>
      </c>
      <c r="K1191" s="39">
        <v>12</v>
      </c>
      <c r="L1191" s="39">
        <f>K1191*J1191</f>
        <v>12</v>
      </c>
      <c r="M1191" s="91"/>
      <c r="N1191" s="33">
        <v>44516</v>
      </c>
      <c r="O1191" s="32">
        <v>3639</v>
      </c>
      <c r="P1191" s="6"/>
      <c r="Q1191" s="322">
        <v>12</v>
      </c>
      <c r="S1191" s="7">
        <v>0</v>
      </c>
      <c r="T1191" s="7">
        <f>S1191*J1191</f>
        <v>0</v>
      </c>
      <c r="U1191" s="21"/>
      <c r="V1191" s="260">
        <v>90</v>
      </c>
    </row>
    <row r="1192" spans="2:22" s="191" customFormat="1" ht="15">
      <c r="B1192" s="190"/>
      <c r="C1192" s="179" t="s">
        <v>2666</v>
      </c>
      <c r="D1192" s="180" t="s">
        <v>2667</v>
      </c>
      <c r="E1192" s="181"/>
      <c r="F1192" s="182"/>
      <c r="G1192" s="182" t="s">
        <v>250</v>
      </c>
      <c r="H1192" s="184" t="s">
        <v>2257</v>
      </c>
      <c r="I1192" s="185"/>
      <c r="J1192" s="183">
        <v>450</v>
      </c>
      <c r="K1192" s="333">
        <v>0.09</v>
      </c>
      <c r="L1192" s="192">
        <f>K1192*J1192</f>
        <v>40.5</v>
      </c>
      <c r="M1192" s="331"/>
      <c r="N1192" s="187">
        <v>44516</v>
      </c>
      <c r="O1192" s="186">
        <v>3639</v>
      </c>
      <c r="P1192" s="179"/>
      <c r="Q1192" s="747">
        <v>40.5</v>
      </c>
      <c r="S1192" s="197">
        <v>2764</v>
      </c>
      <c r="T1192" s="92">
        <v>2764</v>
      </c>
      <c r="U1192" s="335"/>
      <c r="V1192" s="260">
        <v>90</v>
      </c>
    </row>
    <row r="1193" spans="2:22" s="7" customFormat="1" ht="18" customHeight="1">
      <c r="B1193" s="12"/>
      <c r="C1193" s="6" t="s">
        <v>2669</v>
      </c>
      <c r="D1193" s="14" t="s">
        <v>2022</v>
      </c>
      <c r="E1193" s="19" t="s">
        <v>59</v>
      </c>
      <c r="F1193" s="107"/>
      <c r="G1193" s="22"/>
      <c r="H1193" s="108"/>
      <c r="I1193" s="109"/>
      <c r="J1193" s="108"/>
      <c r="K1193" s="29" t="s">
        <v>5</v>
      </c>
      <c r="L1193" s="39"/>
      <c r="M1193" s="91"/>
      <c r="N1193" s="33">
        <v>44543</v>
      </c>
      <c r="O1193" s="32">
        <v>3646</v>
      </c>
      <c r="P1193" s="14"/>
      <c r="Q1193" s="322"/>
      <c r="U1193" s="14"/>
      <c r="V1193" s="260">
        <v>90</v>
      </c>
    </row>
    <row r="1194" spans="2:22" s="7" customFormat="1" ht="18" customHeight="1">
      <c r="B1194" s="12" t="s">
        <v>302</v>
      </c>
      <c r="C1194" s="6" t="s">
        <v>2669</v>
      </c>
      <c r="D1194" s="14" t="s">
        <v>2022</v>
      </c>
      <c r="E1194" s="22" t="s">
        <v>314</v>
      </c>
      <c r="F1194" s="107">
        <v>145</v>
      </c>
      <c r="G1194" s="22" t="s">
        <v>2293</v>
      </c>
      <c r="H1194" s="823"/>
      <c r="I1194" s="824"/>
      <c r="J1194" s="8">
        <v>8</v>
      </c>
      <c r="K1194" s="39">
        <v>8.75</v>
      </c>
      <c r="L1194" s="39">
        <f>K1194*J1194</f>
        <v>70</v>
      </c>
      <c r="M1194" s="91"/>
      <c r="N1194" s="33">
        <v>44543</v>
      </c>
      <c r="O1194" s="32">
        <v>3646</v>
      </c>
      <c r="P1194" s="391">
        <f>ROUNDUP(S1194/V1194/VLOOKUP(B1194,$C$2:$F$6,3,FALSE),2)</f>
        <v>7.96</v>
      </c>
      <c r="Q1194" s="322">
        <v>7.96</v>
      </c>
      <c r="S1194" s="7">
        <v>630</v>
      </c>
      <c r="T1194" s="7">
        <f>S1194*J1194</f>
        <v>5040</v>
      </c>
      <c r="U1194" s="21"/>
      <c r="V1194" s="260">
        <v>90</v>
      </c>
    </row>
    <row r="1195" spans="2:22" s="7" customFormat="1" ht="18" customHeight="1">
      <c r="B1195" s="12" t="s">
        <v>302</v>
      </c>
      <c r="C1195" s="6" t="s">
        <v>2669</v>
      </c>
      <c r="D1195" s="14" t="s">
        <v>2022</v>
      </c>
      <c r="E1195" s="22" t="s">
        <v>314</v>
      </c>
      <c r="F1195" s="107">
        <v>145</v>
      </c>
      <c r="G1195" s="22" t="s">
        <v>218</v>
      </c>
      <c r="H1195" s="823"/>
      <c r="I1195" s="824"/>
      <c r="J1195" s="8">
        <v>9</v>
      </c>
      <c r="K1195" s="39">
        <v>8.75</v>
      </c>
      <c r="L1195" s="39">
        <f>K1195*J1195</f>
        <v>78.75</v>
      </c>
      <c r="M1195" s="91"/>
      <c r="N1195" s="33">
        <v>44543</v>
      </c>
      <c r="O1195" s="32">
        <v>3646</v>
      </c>
      <c r="P1195" s="391">
        <f>ROUNDUP(S1195/V1195/VLOOKUP(B1195,$C$2:$F$6,3,FALSE),2)</f>
        <v>7.96</v>
      </c>
      <c r="Q1195" s="322">
        <v>7.96</v>
      </c>
      <c r="S1195" s="7">
        <v>630</v>
      </c>
      <c r="T1195" s="7">
        <f>S1195*J1195</f>
        <v>5670</v>
      </c>
      <c r="U1195" s="21"/>
      <c r="V1195" s="260">
        <v>90</v>
      </c>
    </row>
    <row r="1196" spans="2:22" s="7" customFormat="1" ht="15">
      <c r="B1196" s="12" t="s">
        <v>306</v>
      </c>
      <c r="C1196" s="6" t="s">
        <v>2669</v>
      </c>
      <c r="D1196" s="14" t="s">
        <v>2022</v>
      </c>
      <c r="E1196" s="22"/>
      <c r="F1196" s="102"/>
      <c r="G1196" s="22" t="s">
        <v>2625</v>
      </c>
      <c r="H1196" s="8"/>
      <c r="I1196" s="35"/>
      <c r="J1196" s="38">
        <v>1</v>
      </c>
      <c r="K1196" s="39">
        <v>15</v>
      </c>
      <c r="L1196" s="39">
        <f>K1196*J1196</f>
        <v>15</v>
      </c>
      <c r="M1196" s="91"/>
      <c r="N1196" s="33">
        <v>44543</v>
      </c>
      <c r="O1196" s="32">
        <v>3646</v>
      </c>
      <c r="P1196" s="391">
        <v>12</v>
      </c>
      <c r="Q1196" s="322">
        <v>12</v>
      </c>
      <c r="S1196" s="7">
        <v>1000</v>
      </c>
      <c r="T1196" s="7">
        <v>1000</v>
      </c>
      <c r="U1196" s="21"/>
      <c r="V1196" s="260">
        <v>90</v>
      </c>
    </row>
    <row r="1197" spans="2:22" s="7" customFormat="1" ht="15">
      <c r="B1197" s="12"/>
      <c r="C1197" s="6" t="s">
        <v>2669</v>
      </c>
      <c r="D1197" s="14" t="s">
        <v>2022</v>
      </c>
      <c r="E1197" s="22"/>
      <c r="F1197" s="102"/>
      <c r="G1197" s="22" t="s">
        <v>316</v>
      </c>
      <c r="H1197" s="8"/>
      <c r="I1197" s="35"/>
      <c r="J1197" s="38">
        <v>1</v>
      </c>
      <c r="K1197" s="39">
        <v>20</v>
      </c>
      <c r="L1197" s="39">
        <v>20</v>
      </c>
      <c r="M1197" s="91"/>
      <c r="N1197" s="33">
        <v>44543</v>
      </c>
      <c r="O1197" s="32">
        <v>3646</v>
      </c>
      <c r="P1197" s="6" t="s">
        <v>3</v>
      </c>
      <c r="Q1197" s="322">
        <v>20</v>
      </c>
      <c r="S1197" s="7">
        <v>1000</v>
      </c>
      <c r="T1197" s="7">
        <f>S1197*J1197</f>
        <v>1000</v>
      </c>
      <c r="U1197" s="21"/>
      <c r="V1197" s="260">
        <v>90</v>
      </c>
    </row>
    <row r="1198" spans="2:22" s="191" customFormat="1" ht="15">
      <c r="B1198" s="190"/>
      <c r="C1198" s="179" t="s">
        <v>2669</v>
      </c>
      <c r="D1198" s="180" t="s">
        <v>2022</v>
      </c>
      <c r="E1198" s="217"/>
      <c r="F1198" s="182"/>
      <c r="G1198" s="182" t="s">
        <v>250</v>
      </c>
      <c r="H1198" s="184" t="s">
        <v>251</v>
      </c>
      <c r="I1198" s="185"/>
      <c r="J1198" s="183"/>
      <c r="K1198" s="203">
        <v>0</v>
      </c>
      <c r="L1198" s="188"/>
      <c r="M1198" s="187"/>
      <c r="N1198" s="187">
        <v>44543</v>
      </c>
      <c r="O1198" s="186">
        <v>3646</v>
      </c>
      <c r="P1198" s="179"/>
      <c r="Q1198" s="747">
        <v>0</v>
      </c>
      <c r="S1198" s="197">
        <v>0</v>
      </c>
      <c r="T1198" s="198">
        <v>0</v>
      </c>
      <c r="U1198" s="335"/>
      <c r="V1198" s="260">
        <v>90</v>
      </c>
    </row>
    <row r="1199" spans="2:22" s="7" customFormat="1" ht="18" customHeight="1">
      <c r="B1199" s="12"/>
      <c r="C1199" s="6" t="s">
        <v>2670</v>
      </c>
      <c r="D1199" s="14" t="s">
        <v>2098</v>
      </c>
      <c r="E1199" s="19" t="s">
        <v>2270</v>
      </c>
      <c r="F1199" s="37"/>
      <c r="G1199" s="37"/>
      <c r="H1199" s="108"/>
      <c r="I1199" s="108"/>
      <c r="J1199" s="108"/>
      <c r="K1199" s="29" t="s">
        <v>5</v>
      </c>
      <c r="L1199" s="139"/>
      <c r="M1199" s="33"/>
      <c r="N1199" s="33">
        <v>44510</v>
      </c>
      <c r="O1199" s="32">
        <v>3648</v>
      </c>
      <c r="P1199" s="6"/>
      <c r="Q1199" s="339"/>
      <c r="U1199" s="21"/>
      <c r="V1199" s="260">
        <v>90</v>
      </c>
    </row>
    <row r="1200" spans="2:22" s="7" customFormat="1" ht="17.25" customHeight="1">
      <c r="B1200" s="12" t="s">
        <v>300</v>
      </c>
      <c r="C1200" s="6" t="s">
        <v>2670</v>
      </c>
      <c r="D1200" s="14" t="s">
        <v>2098</v>
      </c>
      <c r="E1200" s="22">
        <v>5636</v>
      </c>
      <c r="F1200" s="37" t="s">
        <v>230</v>
      </c>
      <c r="G1200" s="834" t="s">
        <v>2671</v>
      </c>
      <c r="H1200" s="835">
        <v>50</v>
      </c>
      <c r="I1200" s="836">
        <v>1</v>
      </c>
      <c r="J1200" s="835">
        <v>50</v>
      </c>
      <c r="K1200" s="837">
        <v>0.26</v>
      </c>
      <c r="L1200" s="39">
        <f>K1200*J1200</f>
        <v>13</v>
      </c>
      <c r="M1200" s="91"/>
      <c r="N1200" s="33">
        <v>44510</v>
      </c>
      <c r="O1200" s="32">
        <v>3648</v>
      </c>
      <c r="P1200" s="391">
        <f>ROUNDUP(S1200/V1200/VLOOKUP(B1200,$C$2:$F$6,3,FALSE),2)</f>
        <v>0.17</v>
      </c>
      <c r="Q1200" s="322">
        <v>0.17</v>
      </c>
      <c r="S1200" s="752">
        <v>10.4</v>
      </c>
      <c r="T1200" s="7">
        <f>S1200*J1200</f>
        <v>520</v>
      </c>
      <c r="U1200" s="778" t="s">
        <v>2255</v>
      </c>
      <c r="V1200" s="260">
        <v>90</v>
      </c>
    </row>
    <row r="1201" spans="2:22" s="7" customFormat="1" ht="17.25" customHeight="1">
      <c r="B1201" s="12" t="s">
        <v>300</v>
      </c>
      <c r="C1201" s="6" t="s">
        <v>2670</v>
      </c>
      <c r="D1201" s="14" t="s">
        <v>2098</v>
      </c>
      <c r="E1201" s="22">
        <v>5636</v>
      </c>
      <c r="F1201" s="37" t="s">
        <v>230</v>
      </c>
      <c r="G1201" s="834" t="s">
        <v>2672</v>
      </c>
      <c r="H1201" s="835">
        <v>50</v>
      </c>
      <c r="I1201" s="836">
        <v>1</v>
      </c>
      <c r="J1201" s="835">
        <v>50</v>
      </c>
      <c r="K1201" s="837">
        <v>0.26</v>
      </c>
      <c r="L1201" s="39">
        <f>K1201*J1201</f>
        <v>13</v>
      </c>
      <c r="M1201" s="91"/>
      <c r="N1201" s="33">
        <v>44510</v>
      </c>
      <c r="O1201" s="32">
        <v>3648</v>
      </c>
      <c r="P1201" s="391">
        <f>ROUNDUP(S1201/V1201/VLOOKUP(B1201,$C$2:$F$6,3,FALSE),2)</f>
        <v>0.22</v>
      </c>
      <c r="Q1201" s="322">
        <v>0.22</v>
      </c>
      <c r="S1201" s="752">
        <v>13.8</v>
      </c>
      <c r="T1201" s="7">
        <f>S1201*J1201</f>
        <v>690</v>
      </c>
      <c r="U1201" s="778" t="s">
        <v>2255</v>
      </c>
      <c r="V1201" s="260">
        <v>90</v>
      </c>
    </row>
    <row r="1202" spans="2:22" s="7" customFormat="1" ht="17.25" customHeight="1">
      <c r="B1202" s="12" t="s">
        <v>300</v>
      </c>
      <c r="C1202" s="6" t="s">
        <v>2670</v>
      </c>
      <c r="D1202" s="14" t="s">
        <v>2098</v>
      </c>
      <c r="E1202" s="22">
        <v>5636</v>
      </c>
      <c r="F1202" s="37" t="s">
        <v>230</v>
      </c>
      <c r="G1202" s="834" t="s">
        <v>2673</v>
      </c>
      <c r="H1202" s="835">
        <v>50</v>
      </c>
      <c r="I1202" s="836">
        <v>1</v>
      </c>
      <c r="J1202" s="835">
        <v>50</v>
      </c>
      <c r="K1202" s="837">
        <v>0.26</v>
      </c>
      <c r="L1202" s="39">
        <f>K1202*J1202</f>
        <v>13</v>
      </c>
      <c r="M1202" s="91"/>
      <c r="N1202" s="33">
        <v>44510</v>
      </c>
      <c r="O1202" s="32">
        <v>3648</v>
      </c>
      <c r="P1202" s="391">
        <f>ROUNDUP(S1202/V1202/VLOOKUP(B1202,$C$2:$F$6,3,FALSE),2)</f>
        <v>0.22</v>
      </c>
      <c r="Q1202" s="322">
        <v>0.22</v>
      </c>
      <c r="S1202" s="752">
        <v>13.8</v>
      </c>
      <c r="T1202" s="7">
        <f>S1202*J1202</f>
        <v>690</v>
      </c>
      <c r="U1202" s="778" t="s">
        <v>2255</v>
      </c>
      <c r="V1202" s="260">
        <v>90</v>
      </c>
    </row>
    <row r="1203" spans="2:22" s="7" customFormat="1" ht="17.25" customHeight="1">
      <c r="B1203" s="12" t="s">
        <v>300</v>
      </c>
      <c r="C1203" s="6" t="s">
        <v>2670</v>
      </c>
      <c r="D1203" s="14" t="s">
        <v>2098</v>
      </c>
      <c r="E1203" s="22">
        <v>5636</v>
      </c>
      <c r="F1203" s="37" t="s">
        <v>230</v>
      </c>
      <c r="G1203" s="834" t="s">
        <v>2674</v>
      </c>
      <c r="H1203" s="835">
        <v>50</v>
      </c>
      <c r="I1203" s="836">
        <v>1</v>
      </c>
      <c r="J1203" s="835">
        <v>50</v>
      </c>
      <c r="K1203" s="837">
        <v>0.26</v>
      </c>
      <c r="L1203" s="39">
        <f>K1203*J1203</f>
        <v>13</v>
      </c>
      <c r="M1203" s="91"/>
      <c r="N1203" s="33">
        <v>44510</v>
      </c>
      <c r="O1203" s="32">
        <v>3648</v>
      </c>
      <c r="P1203" s="391">
        <f>ROUNDUP(S1203/V1203/VLOOKUP(B1203,$C$2:$F$6,3,FALSE),2)</f>
        <v>0.22</v>
      </c>
      <c r="Q1203" s="322">
        <v>0.22</v>
      </c>
      <c r="S1203" s="752">
        <v>13.8</v>
      </c>
      <c r="T1203" s="7">
        <f>S1203*J1203</f>
        <v>690</v>
      </c>
      <c r="U1203" s="778" t="s">
        <v>2255</v>
      </c>
      <c r="V1203" s="260">
        <v>90</v>
      </c>
    </row>
    <row r="1204" spans="2:22" s="7" customFormat="1" ht="15">
      <c r="B1204" s="12"/>
      <c r="C1204" s="6" t="s">
        <v>2670</v>
      </c>
      <c r="D1204" s="14" t="s">
        <v>2098</v>
      </c>
      <c r="E1204" s="22"/>
      <c r="F1204" s="102"/>
      <c r="G1204" s="22" t="s">
        <v>316</v>
      </c>
      <c r="H1204" s="8"/>
      <c r="I1204" s="35"/>
      <c r="J1204" s="38">
        <v>1</v>
      </c>
      <c r="K1204" s="39">
        <v>12</v>
      </c>
      <c r="L1204" s="39">
        <f>K1204*J1204</f>
        <v>12</v>
      </c>
      <c r="M1204" s="91"/>
      <c r="N1204" s="33">
        <v>44510</v>
      </c>
      <c r="O1204" s="32">
        <v>3648</v>
      </c>
      <c r="P1204" s="6" t="s">
        <v>3</v>
      </c>
      <c r="Q1204" s="322">
        <v>12</v>
      </c>
      <c r="S1204" s="7">
        <v>1100</v>
      </c>
      <c r="T1204" s="7">
        <f>S1204*J1204</f>
        <v>1100</v>
      </c>
      <c r="U1204" s="21"/>
      <c r="V1204" s="260">
        <v>90</v>
      </c>
    </row>
    <row r="1205" spans="2:22" s="191" customFormat="1" ht="15">
      <c r="B1205" s="190"/>
      <c r="C1205" s="179" t="s">
        <v>2670</v>
      </c>
      <c r="D1205" s="180" t="s">
        <v>2098</v>
      </c>
      <c r="E1205" s="181"/>
      <c r="F1205" s="622"/>
      <c r="G1205" s="182" t="s">
        <v>250</v>
      </c>
      <c r="H1205" s="184" t="s">
        <v>251</v>
      </c>
      <c r="I1205" s="185"/>
      <c r="J1205" s="183"/>
      <c r="K1205" s="192">
        <v>0</v>
      </c>
      <c r="L1205" s="188"/>
      <c r="M1205" s="187"/>
      <c r="N1205" s="187">
        <v>44510</v>
      </c>
      <c r="O1205" s="186">
        <v>3648</v>
      </c>
      <c r="P1205" s="179"/>
      <c r="Q1205" s="725">
        <v>0</v>
      </c>
      <c r="S1205" s="197">
        <v>0</v>
      </c>
      <c r="T1205" s="198">
        <v>0</v>
      </c>
      <c r="U1205" s="335"/>
      <c r="V1205" s="260">
        <v>90</v>
      </c>
    </row>
    <row r="1206" spans="2:22" s="7" customFormat="1" ht="18" customHeight="1">
      <c r="B1206" s="12"/>
      <c r="C1206" s="6" t="s">
        <v>2675</v>
      </c>
      <c r="D1206" s="14" t="s">
        <v>2676</v>
      </c>
      <c r="E1206" s="19" t="s">
        <v>2677</v>
      </c>
      <c r="F1206" s="37"/>
      <c r="G1206" s="37"/>
      <c r="H1206" s="108"/>
      <c r="I1206" s="108"/>
      <c r="J1206" s="108"/>
      <c r="K1206" s="29" t="s">
        <v>5</v>
      </c>
      <c r="L1206" s="139"/>
      <c r="M1206" s="33"/>
      <c r="N1206" s="33">
        <v>44524</v>
      </c>
      <c r="O1206" s="32">
        <v>3650</v>
      </c>
      <c r="P1206" s="6"/>
      <c r="Q1206" s="339"/>
      <c r="U1206" s="21"/>
      <c r="V1206" s="260">
        <v>90</v>
      </c>
    </row>
    <row r="1207" spans="2:22" s="7" customFormat="1" ht="17.25" customHeight="1">
      <c r="B1207" s="12" t="s">
        <v>300</v>
      </c>
      <c r="C1207" s="6" t="s">
        <v>2675</v>
      </c>
      <c r="D1207" s="14" t="s">
        <v>2676</v>
      </c>
      <c r="E1207" s="22" t="s">
        <v>2678</v>
      </c>
      <c r="F1207" s="812" t="s">
        <v>2679</v>
      </c>
      <c r="G1207" s="834" t="s">
        <v>379</v>
      </c>
      <c r="H1207" s="835">
        <v>30</v>
      </c>
      <c r="I1207" s="836">
        <v>20</v>
      </c>
      <c r="J1207" s="8">
        <f t="shared" ref="J1207:J1212" si="47">H1207*I1207</f>
        <v>600</v>
      </c>
      <c r="K1207" s="837">
        <v>1.76</v>
      </c>
      <c r="L1207" s="39">
        <f t="shared" ref="L1207:L1212" si="48">K1207*J1207</f>
        <v>1056</v>
      </c>
      <c r="M1207" s="91"/>
      <c r="N1207" s="33">
        <v>44524</v>
      </c>
      <c r="O1207" s="32">
        <v>3650</v>
      </c>
      <c r="P1207" s="391">
        <f t="shared" ref="P1207:P1212" si="49">ROUNDUP(S1207/V1207/VLOOKUP(B1207,$C$2:$F$6,3,FALSE),2)</f>
        <v>1.51</v>
      </c>
      <c r="Q1207" s="322">
        <v>1.51</v>
      </c>
      <c r="S1207" s="7">
        <v>95</v>
      </c>
      <c r="T1207" s="7">
        <f t="shared" ref="T1207:T1212" si="50">S1207*J1207</f>
        <v>57000</v>
      </c>
      <c r="U1207" s="778"/>
      <c r="V1207" s="260">
        <v>90</v>
      </c>
    </row>
    <row r="1208" spans="2:22" s="7" customFormat="1" ht="17.25" customHeight="1">
      <c r="B1208" s="12" t="s">
        <v>300</v>
      </c>
      <c r="C1208" s="6" t="s">
        <v>2675</v>
      </c>
      <c r="D1208" s="14" t="s">
        <v>2676</v>
      </c>
      <c r="E1208" s="22" t="s">
        <v>2678</v>
      </c>
      <c r="F1208" s="812" t="s">
        <v>2679</v>
      </c>
      <c r="G1208" s="834" t="s">
        <v>2680</v>
      </c>
      <c r="H1208" s="835">
        <v>30</v>
      </c>
      <c r="I1208" s="836">
        <v>4</v>
      </c>
      <c r="J1208" s="8">
        <f t="shared" si="47"/>
        <v>120</v>
      </c>
      <c r="K1208" s="837">
        <v>1.76</v>
      </c>
      <c r="L1208" s="39">
        <f t="shared" si="48"/>
        <v>211.2</v>
      </c>
      <c r="M1208" s="91"/>
      <c r="N1208" s="33">
        <v>44524</v>
      </c>
      <c r="O1208" s="32">
        <v>3650</v>
      </c>
      <c r="P1208" s="391">
        <f t="shared" si="49"/>
        <v>1.43</v>
      </c>
      <c r="Q1208" s="322">
        <v>1.43</v>
      </c>
      <c r="S1208" s="7">
        <v>89.5</v>
      </c>
      <c r="T1208" s="7">
        <f t="shared" si="50"/>
        <v>10740</v>
      </c>
      <c r="U1208" s="778"/>
      <c r="V1208" s="260">
        <v>90</v>
      </c>
    </row>
    <row r="1209" spans="2:22" s="7" customFormat="1" ht="17.25" customHeight="1">
      <c r="B1209" s="12" t="s">
        <v>300</v>
      </c>
      <c r="C1209" s="6" t="s">
        <v>2675</v>
      </c>
      <c r="D1209" s="14" t="s">
        <v>2676</v>
      </c>
      <c r="E1209" s="22" t="s">
        <v>2681</v>
      </c>
      <c r="F1209" s="812" t="s">
        <v>2682</v>
      </c>
      <c r="G1209" s="834" t="s">
        <v>379</v>
      </c>
      <c r="H1209" s="835">
        <v>30</v>
      </c>
      <c r="I1209" s="836">
        <v>6</v>
      </c>
      <c r="J1209" s="8">
        <f t="shared" si="47"/>
        <v>180</v>
      </c>
      <c r="K1209" s="837">
        <v>2.21</v>
      </c>
      <c r="L1209" s="39">
        <f t="shared" si="48"/>
        <v>397.8</v>
      </c>
      <c r="M1209" s="91"/>
      <c r="N1209" s="33">
        <v>44524</v>
      </c>
      <c r="O1209" s="32">
        <v>3650</v>
      </c>
      <c r="P1209" s="391">
        <f t="shared" si="49"/>
        <v>1.9</v>
      </c>
      <c r="Q1209" s="322">
        <v>1.9</v>
      </c>
      <c r="S1209" s="7">
        <v>119.34</v>
      </c>
      <c r="T1209" s="7">
        <f t="shared" si="50"/>
        <v>21481.200000000001</v>
      </c>
      <c r="U1209" s="778"/>
      <c r="V1209" s="260">
        <v>90</v>
      </c>
    </row>
    <row r="1210" spans="2:22" s="7" customFormat="1" ht="17.25" customHeight="1">
      <c r="B1210" s="12" t="s">
        <v>300</v>
      </c>
      <c r="C1210" s="6" t="s">
        <v>2675</v>
      </c>
      <c r="D1210" s="14" t="s">
        <v>2676</v>
      </c>
      <c r="E1210" s="22" t="s">
        <v>2683</v>
      </c>
      <c r="F1210" s="812" t="s">
        <v>2684</v>
      </c>
      <c r="G1210" s="834" t="s">
        <v>379</v>
      </c>
      <c r="H1210" s="835">
        <v>30</v>
      </c>
      <c r="I1210" s="836">
        <v>10</v>
      </c>
      <c r="J1210" s="8">
        <f t="shared" si="47"/>
        <v>300</v>
      </c>
      <c r="K1210" s="837">
        <v>2.13</v>
      </c>
      <c r="L1210" s="39">
        <f t="shared" si="48"/>
        <v>639</v>
      </c>
      <c r="M1210" s="91"/>
      <c r="N1210" s="33">
        <v>44524</v>
      </c>
      <c r="O1210" s="32">
        <v>3650</v>
      </c>
      <c r="P1210" s="391">
        <f t="shared" si="49"/>
        <v>1.83</v>
      </c>
      <c r="Q1210" s="322">
        <v>1.83</v>
      </c>
      <c r="S1210" s="7">
        <v>115</v>
      </c>
      <c r="T1210" s="7">
        <f t="shared" si="50"/>
        <v>34500</v>
      </c>
      <c r="U1210" s="778"/>
      <c r="V1210" s="260">
        <v>90</v>
      </c>
    </row>
    <row r="1211" spans="2:22" s="7" customFormat="1" ht="17.25" customHeight="1">
      <c r="B1211" s="12" t="s">
        <v>300</v>
      </c>
      <c r="C1211" s="6" t="s">
        <v>2675</v>
      </c>
      <c r="D1211" s="14" t="s">
        <v>2676</v>
      </c>
      <c r="E1211" s="22" t="s">
        <v>2683</v>
      </c>
      <c r="F1211" s="812" t="s">
        <v>2684</v>
      </c>
      <c r="G1211" s="834" t="s">
        <v>2685</v>
      </c>
      <c r="H1211" s="835">
        <v>30</v>
      </c>
      <c r="I1211" s="836">
        <v>10</v>
      </c>
      <c r="J1211" s="8">
        <f t="shared" si="47"/>
        <v>300</v>
      </c>
      <c r="K1211" s="837">
        <v>2.13</v>
      </c>
      <c r="L1211" s="39">
        <f t="shared" si="48"/>
        <v>639</v>
      </c>
      <c r="M1211" s="91"/>
      <c r="N1211" s="33">
        <v>44524</v>
      </c>
      <c r="O1211" s="32">
        <v>3650</v>
      </c>
      <c r="P1211" s="391">
        <f t="shared" si="49"/>
        <v>1.77</v>
      </c>
      <c r="Q1211" s="322">
        <v>1.77</v>
      </c>
      <c r="S1211" s="7">
        <v>111</v>
      </c>
      <c r="T1211" s="7">
        <f t="shared" si="50"/>
        <v>33300</v>
      </c>
      <c r="U1211" s="778"/>
      <c r="V1211" s="260">
        <v>90</v>
      </c>
    </row>
    <row r="1212" spans="2:22" s="7" customFormat="1" ht="17.25" customHeight="1">
      <c r="B1212" s="12" t="s">
        <v>300</v>
      </c>
      <c r="C1212" s="6" t="s">
        <v>2675</v>
      </c>
      <c r="D1212" s="14" t="s">
        <v>2676</v>
      </c>
      <c r="E1212" s="22">
        <v>3534</v>
      </c>
      <c r="F1212" s="812" t="s">
        <v>2644</v>
      </c>
      <c r="G1212" s="834" t="s">
        <v>2686</v>
      </c>
      <c r="H1212" s="835">
        <v>30</v>
      </c>
      <c r="I1212" s="836">
        <v>20</v>
      </c>
      <c r="J1212" s="8">
        <f t="shared" si="47"/>
        <v>600</v>
      </c>
      <c r="K1212" s="837">
        <v>1.3</v>
      </c>
      <c r="L1212" s="39">
        <f t="shared" si="48"/>
        <v>780</v>
      </c>
      <c r="M1212" s="91"/>
      <c r="N1212" s="33">
        <v>44524</v>
      </c>
      <c r="O1212" s="32">
        <v>3650</v>
      </c>
      <c r="P1212" s="391">
        <f t="shared" si="49"/>
        <v>1.04</v>
      </c>
      <c r="Q1212" s="322">
        <v>1.04</v>
      </c>
      <c r="S1212" s="7">
        <v>65</v>
      </c>
      <c r="T1212" s="7">
        <f t="shared" si="50"/>
        <v>39000</v>
      </c>
      <c r="U1212" s="778"/>
      <c r="V1212" s="260">
        <v>90</v>
      </c>
    </row>
    <row r="1213" spans="2:22" s="7" customFormat="1" ht="18" customHeight="1">
      <c r="B1213" s="12"/>
      <c r="C1213" s="6" t="s">
        <v>2675</v>
      </c>
      <c r="D1213" s="14" t="s">
        <v>2676</v>
      </c>
      <c r="E1213" s="17" t="s">
        <v>2687</v>
      </c>
      <c r="F1213" s="319"/>
      <c r="G1213" s="299"/>
      <c r="H1213" s="300"/>
      <c r="I1213" s="320"/>
      <c r="J1213" s="321"/>
      <c r="K1213" s="110" t="s">
        <v>5</v>
      </c>
      <c r="L1213" s="139"/>
      <c r="M1213" s="33"/>
      <c r="N1213" s="33">
        <v>44524</v>
      </c>
      <c r="O1213" s="32">
        <v>3650</v>
      </c>
      <c r="P1213" s="6"/>
      <c r="Q1213" s="322"/>
      <c r="U1213" s="39"/>
      <c r="V1213" s="260">
        <v>90</v>
      </c>
    </row>
    <row r="1214" spans="2:22" s="7" customFormat="1" ht="18" customHeight="1">
      <c r="B1214" s="12" t="s">
        <v>300</v>
      </c>
      <c r="C1214" s="6" t="s">
        <v>2675</v>
      </c>
      <c r="D1214" s="14" t="s">
        <v>2676</v>
      </c>
      <c r="E1214" s="22">
        <v>5637</v>
      </c>
      <c r="F1214" s="24" t="s">
        <v>311</v>
      </c>
      <c r="G1214" s="22" t="s">
        <v>2609</v>
      </c>
      <c r="H1214" s="813">
        <v>50</v>
      </c>
      <c r="I1214" s="814">
        <v>30</v>
      </c>
      <c r="J1214" s="8">
        <f>H1214*I1214</f>
        <v>1500</v>
      </c>
      <c r="K1214" s="137">
        <v>0.21</v>
      </c>
      <c r="L1214" s="39">
        <f>K1214*J1214</f>
        <v>315</v>
      </c>
      <c r="M1214" s="91"/>
      <c r="N1214" s="33">
        <v>44524</v>
      </c>
      <c r="O1214" s="32">
        <v>3650</v>
      </c>
      <c r="P1214" s="391">
        <f>ROUNDUP(S1214/V1214/VLOOKUP(B1214,$C$2:$F$6,3,FALSE),2)</f>
        <v>0.15000000000000002</v>
      </c>
      <c r="Q1214" s="322">
        <v>0.15</v>
      </c>
      <c r="S1214" s="752">
        <v>9.1</v>
      </c>
      <c r="T1214" s="7">
        <f t="shared" ref="T1214:T1219" si="51">S1214*J1214</f>
        <v>13650</v>
      </c>
      <c r="U1214" s="778" t="s">
        <v>2688</v>
      </c>
      <c r="V1214" s="260">
        <v>90</v>
      </c>
    </row>
    <row r="1215" spans="2:22" s="7" customFormat="1" ht="18" customHeight="1">
      <c r="B1215" s="12" t="s">
        <v>300</v>
      </c>
      <c r="C1215" s="6" t="s">
        <v>2675</v>
      </c>
      <c r="D1215" s="14" t="s">
        <v>2676</v>
      </c>
      <c r="E1215" s="22">
        <v>5637</v>
      </c>
      <c r="F1215" s="24" t="s">
        <v>311</v>
      </c>
      <c r="G1215" s="22" t="s">
        <v>2689</v>
      </c>
      <c r="H1215" s="813">
        <v>50</v>
      </c>
      <c r="I1215" s="814">
        <v>6</v>
      </c>
      <c r="J1215" s="8">
        <f>H1215*I1215</f>
        <v>300</v>
      </c>
      <c r="K1215" s="137">
        <v>0.21</v>
      </c>
      <c r="L1215" s="39">
        <f>K1215*J1215</f>
        <v>63</v>
      </c>
      <c r="M1215" s="91"/>
      <c r="N1215" s="33">
        <v>44524</v>
      </c>
      <c r="O1215" s="32">
        <v>3650</v>
      </c>
      <c r="P1215" s="391">
        <f>ROUNDUP(S1215/V1215/VLOOKUP(B1215,$C$2:$F$6,3,FALSE),2)</f>
        <v>0.18000000000000002</v>
      </c>
      <c r="Q1215" s="322">
        <v>0.18</v>
      </c>
      <c r="S1215" s="92">
        <v>11.2</v>
      </c>
      <c r="T1215" s="7">
        <f t="shared" si="51"/>
        <v>3360</v>
      </c>
      <c r="U1215" s="120"/>
      <c r="V1215" s="260">
        <v>90</v>
      </c>
    </row>
    <row r="1216" spans="2:22" s="7" customFormat="1" ht="18" customHeight="1">
      <c r="B1216" s="12" t="s">
        <v>300</v>
      </c>
      <c r="C1216" s="6" t="s">
        <v>2675</v>
      </c>
      <c r="D1216" s="14" t="s">
        <v>2676</v>
      </c>
      <c r="E1216" s="22">
        <v>5637</v>
      </c>
      <c r="F1216" s="24" t="s">
        <v>311</v>
      </c>
      <c r="G1216" s="22" t="s">
        <v>2690</v>
      </c>
      <c r="H1216" s="813">
        <v>50</v>
      </c>
      <c r="I1216" s="814">
        <v>10</v>
      </c>
      <c r="J1216" s="8">
        <f>H1216*I1216</f>
        <v>500</v>
      </c>
      <c r="K1216" s="137">
        <v>0.21</v>
      </c>
      <c r="L1216" s="39">
        <f>K1216*J1216</f>
        <v>105</v>
      </c>
      <c r="M1216" s="91"/>
      <c r="N1216" s="33">
        <v>44524</v>
      </c>
      <c r="O1216" s="32">
        <v>3650</v>
      </c>
      <c r="P1216" s="391">
        <f>ROUNDUP(S1216/V1216/VLOOKUP(B1216,$C$2:$F$6,3,FALSE),2)</f>
        <v>0.18000000000000002</v>
      </c>
      <c r="Q1216" s="322">
        <v>0.18</v>
      </c>
      <c r="S1216" s="92">
        <v>11.2</v>
      </c>
      <c r="T1216" s="7">
        <f t="shared" si="51"/>
        <v>5600</v>
      </c>
      <c r="U1216" s="120"/>
      <c r="V1216" s="260">
        <v>90</v>
      </c>
    </row>
    <row r="1217" spans="2:22" s="7" customFormat="1" ht="18" customHeight="1">
      <c r="B1217" s="12" t="s">
        <v>300</v>
      </c>
      <c r="C1217" s="6" t="s">
        <v>2675</v>
      </c>
      <c r="D1217" s="14" t="s">
        <v>2676</v>
      </c>
      <c r="E1217" s="22">
        <v>5637</v>
      </c>
      <c r="F1217" s="24" t="s">
        <v>311</v>
      </c>
      <c r="G1217" s="22" t="s">
        <v>2691</v>
      </c>
      <c r="H1217" s="813">
        <v>50</v>
      </c>
      <c r="I1217" s="814">
        <v>10</v>
      </c>
      <c r="J1217" s="8">
        <f>H1217*I1217</f>
        <v>500</v>
      </c>
      <c r="K1217" s="137">
        <v>0.21</v>
      </c>
      <c r="L1217" s="39">
        <f>K1217*J1217</f>
        <v>105</v>
      </c>
      <c r="M1217" s="91"/>
      <c r="N1217" s="33">
        <v>44524</v>
      </c>
      <c r="O1217" s="32">
        <v>3650</v>
      </c>
      <c r="P1217" s="391">
        <f>ROUNDUP(S1217/V1217/VLOOKUP(B1217,$C$2:$F$6,3,FALSE),2)</f>
        <v>0.18000000000000002</v>
      </c>
      <c r="Q1217" s="322">
        <v>0.18</v>
      </c>
      <c r="S1217" s="92">
        <v>11.2</v>
      </c>
      <c r="T1217" s="7">
        <f t="shared" si="51"/>
        <v>5600</v>
      </c>
      <c r="U1217" s="120"/>
      <c r="V1217" s="260">
        <v>90</v>
      </c>
    </row>
    <row r="1218" spans="2:22" s="7" customFormat="1" ht="15">
      <c r="B1218" s="12"/>
      <c r="C1218" s="6" t="s">
        <v>2675</v>
      </c>
      <c r="D1218" s="14" t="s">
        <v>2676</v>
      </c>
      <c r="E1218" s="22"/>
      <c r="F1218" s="102"/>
      <c r="G1218" s="22" t="s">
        <v>316</v>
      </c>
      <c r="H1218" s="8"/>
      <c r="I1218" s="35"/>
      <c r="J1218" s="38">
        <v>4</v>
      </c>
      <c r="K1218" s="39">
        <v>12</v>
      </c>
      <c r="L1218" s="39">
        <f>K1218*J1218</f>
        <v>48</v>
      </c>
      <c r="M1218" s="91"/>
      <c r="N1218" s="33">
        <v>44524</v>
      </c>
      <c r="O1218" s="32">
        <v>3650</v>
      </c>
      <c r="P1218" s="391">
        <v>12</v>
      </c>
      <c r="Q1218" s="322">
        <f>P1218*J1218</f>
        <v>48</v>
      </c>
      <c r="S1218" s="7">
        <v>1100</v>
      </c>
      <c r="T1218" s="7">
        <v>1100</v>
      </c>
      <c r="U1218" s="21"/>
      <c r="V1218" s="260">
        <v>90</v>
      </c>
    </row>
    <row r="1219" spans="2:22" s="7" customFormat="1" ht="18" customHeight="1">
      <c r="B1219" s="12" t="s">
        <v>300</v>
      </c>
      <c r="C1219" s="6" t="s">
        <v>2675</v>
      </c>
      <c r="D1219" s="14" t="s">
        <v>2676</v>
      </c>
      <c r="E1219" s="22">
        <v>5637</v>
      </c>
      <c r="F1219" s="24" t="s">
        <v>230</v>
      </c>
      <c r="G1219" s="22" t="s">
        <v>2690</v>
      </c>
      <c r="H1219" s="813">
        <v>50</v>
      </c>
      <c r="I1219" s="814">
        <v>5</v>
      </c>
      <c r="J1219" s="8">
        <f>H1219*I1219</f>
        <v>250</v>
      </c>
      <c r="K1219" s="137"/>
      <c r="L1219" s="395" t="s">
        <v>2692</v>
      </c>
      <c r="M1219" s="395"/>
      <c r="N1219" s="33">
        <v>44524</v>
      </c>
      <c r="O1219" s="32">
        <v>3650</v>
      </c>
      <c r="P1219" s="391"/>
      <c r="Q1219" s="322">
        <v>35</v>
      </c>
      <c r="S1219" s="92">
        <v>12.6</v>
      </c>
      <c r="T1219" s="7">
        <f t="shared" si="51"/>
        <v>3150</v>
      </c>
      <c r="U1219" s="120"/>
      <c r="V1219" s="260">
        <v>90</v>
      </c>
    </row>
    <row r="1220" spans="2:22" s="191" customFormat="1" ht="15">
      <c r="B1220" s="190"/>
      <c r="C1220" s="179" t="s">
        <v>2675</v>
      </c>
      <c r="D1220" s="180" t="s">
        <v>2676</v>
      </c>
      <c r="E1220" s="217"/>
      <c r="F1220" s="182"/>
      <c r="G1220" s="182" t="s">
        <v>250</v>
      </c>
      <c r="H1220" s="184" t="s">
        <v>251</v>
      </c>
      <c r="I1220" s="185"/>
      <c r="J1220" s="183"/>
      <c r="K1220" s="192">
        <v>0</v>
      </c>
      <c r="L1220" s="188"/>
      <c r="M1220" s="187"/>
      <c r="N1220" s="187">
        <v>44524</v>
      </c>
      <c r="O1220" s="186">
        <v>3650</v>
      </c>
      <c r="P1220" s="179"/>
      <c r="Q1220" s="725">
        <v>0</v>
      </c>
      <c r="S1220" s="197">
        <v>0</v>
      </c>
      <c r="T1220" s="198">
        <v>0</v>
      </c>
      <c r="U1220" s="335"/>
      <c r="V1220" s="260">
        <v>90</v>
      </c>
    </row>
    <row r="1221" spans="2:22" s="7" customFormat="1" ht="18" customHeight="1">
      <c r="B1221" s="12"/>
      <c r="C1221" s="6" t="s">
        <v>2693</v>
      </c>
      <c r="D1221" s="14" t="s">
        <v>2676</v>
      </c>
      <c r="E1221" s="19" t="s">
        <v>2694</v>
      </c>
      <c r="F1221" s="37"/>
      <c r="G1221" s="37"/>
      <c r="H1221" s="108"/>
      <c r="I1221" s="108"/>
      <c r="J1221" s="108"/>
      <c r="K1221" s="29" t="s">
        <v>5</v>
      </c>
      <c r="L1221" s="139"/>
      <c r="M1221" s="33"/>
      <c r="N1221" s="33">
        <v>44524</v>
      </c>
      <c r="O1221" s="32">
        <v>3657</v>
      </c>
      <c r="P1221" s="6"/>
      <c r="Q1221" s="339"/>
      <c r="U1221" s="21"/>
      <c r="V1221" s="260">
        <v>90</v>
      </c>
    </row>
    <row r="1222" spans="2:22" s="7" customFormat="1" ht="18" customHeight="1">
      <c r="B1222" s="12" t="s">
        <v>300</v>
      </c>
      <c r="C1222" s="6" t="s">
        <v>2693</v>
      </c>
      <c r="D1222" s="14" t="s">
        <v>2676</v>
      </c>
      <c r="E1222" s="22">
        <v>1905</v>
      </c>
      <c r="F1222" s="24"/>
      <c r="G1222" s="22" t="s">
        <v>2695</v>
      </c>
      <c r="H1222" s="813">
        <v>30</v>
      </c>
      <c r="I1222" s="814">
        <v>33</v>
      </c>
      <c r="J1222" s="8">
        <v>990</v>
      </c>
      <c r="K1222" s="137">
        <v>0.14000000000000001</v>
      </c>
      <c r="L1222" s="39">
        <f t="shared" ref="L1222:L1229" si="52">K1222*J1222</f>
        <v>138.60000000000002</v>
      </c>
      <c r="M1222" s="91"/>
      <c r="N1222" s="33">
        <v>44524</v>
      </c>
      <c r="O1222" s="32">
        <v>3657</v>
      </c>
      <c r="P1222" s="391">
        <f t="shared" ref="P1222:P1228" si="53">ROUNDUP(S1222/V1222/VLOOKUP(B1222,$C$2:$F$6,3,FALSE),2)</f>
        <v>0.12</v>
      </c>
      <c r="Q1222" s="322">
        <v>0.12</v>
      </c>
      <c r="S1222" s="92">
        <v>7.27</v>
      </c>
      <c r="T1222" s="7">
        <f t="shared" ref="T1222:T1229" si="54">S1222*J1222</f>
        <v>7197.2999999999993</v>
      </c>
      <c r="U1222" s="120"/>
      <c r="V1222" s="260">
        <v>90</v>
      </c>
    </row>
    <row r="1223" spans="2:22" s="7" customFormat="1" ht="18" customHeight="1">
      <c r="B1223" s="12" t="s">
        <v>300</v>
      </c>
      <c r="C1223" s="6" t="s">
        <v>2693</v>
      </c>
      <c r="D1223" s="14" t="s">
        <v>2676</v>
      </c>
      <c r="E1223" s="22">
        <v>1905</v>
      </c>
      <c r="F1223" s="24"/>
      <c r="G1223" s="22" t="s">
        <v>2696</v>
      </c>
      <c r="H1223" s="813">
        <v>30</v>
      </c>
      <c r="I1223" s="814">
        <v>5</v>
      </c>
      <c r="J1223" s="8">
        <v>150</v>
      </c>
      <c r="K1223" s="137">
        <v>0.14000000000000001</v>
      </c>
      <c r="L1223" s="39">
        <f t="shared" si="52"/>
        <v>21.000000000000004</v>
      </c>
      <c r="M1223" s="91"/>
      <c r="N1223" s="33">
        <v>44524</v>
      </c>
      <c r="O1223" s="32">
        <v>3657</v>
      </c>
      <c r="P1223" s="391">
        <f t="shared" si="53"/>
        <v>0.12</v>
      </c>
      <c r="Q1223" s="322">
        <v>0.12</v>
      </c>
      <c r="S1223" s="92">
        <v>7.27</v>
      </c>
      <c r="T1223" s="7">
        <f t="shared" si="54"/>
        <v>1090.5</v>
      </c>
      <c r="U1223" s="120"/>
      <c r="V1223" s="260">
        <v>90</v>
      </c>
    </row>
    <row r="1224" spans="2:22" s="7" customFormat="1" ht="18" customHeight="1">
      <c r="B1224" s="12" t="s">
        <v>300</v>
      </c>
      <c r="C1224" s="6" t="s">
        <v>2693</v>
      </c>
      <c r="D1224" s="14" t="s">
        <v>2676</v>
      </c>
      <c r="E1224" s="22">
        <v>1905</v>
      </c>
      <c r="F1224" s="24"/>
      <c r="G1224" s="22" t="s">
        <v>2697</v>
      </c>
      <c r="H1224" s="813">
        <v>30</v>
      </c>
      <c r="I1224" s="814">
        <v>3</v>
      </c>
      <c r="J1224" s="8">
        <v>90</v>
      </c>
      <c r="K1224" s="137">
        <v>0.14000000000000001</v>
      </c>
      <c r="L1224" s="39">
        <f t="shared" si="52"/>
        <v>12.600000000000001</v>
      </c>
      <c r="M1224" s="91"/>
      <c r="N1224" s="33">
        <v>44524</v>
      </c>
      <c r="O1224" s="32">
        <v>3657</v>
      </c>
      <c r="P1224" s="391">
        <f t="shared" si="53"/>
        <v>0.12</v>
      </c>
      <c r="Q1224" s="322">
        <v>0.12</v>
      </c>
      <c r="S1224" s="92">
        <v>7.27</v>
      </c>
      <c r="T1224" s="7">
        <f t="shared" si="54"/>
        <v>654.29999999999995</v>
      </c>
      <c r="U1224" s="120"/>
      <c r="V1224" s="260">
        <v>90</v>
      </c>
    </row>
    <row r="1225" spans="2:22" s="7" customFormat="1" ht="18" customHeight="1">
      <c r="B1225" s="12" t="s">
        <v>300</v>
      </c>
      <c r="C1225" s="6" t="s">
        <v>2693</v>
      </c>
      <c r="D1225" s="14" t="s">
        <v>2676</v>
      </c>
      <c r="E1225" s="22">
        <v>1905</v>
      </c>
      <c r="F1225" s="24"/>
      <c r="G1225" s="22" t="s">
        <v>2698</v>
      </c>
      <c r="H1225" s="813">
        <v>30</v>
      </c>
      <c r="I1225" s="814">
        <v>3</v>
      </c>
      <c r="J1225" s="8">
        <v>90</v>
      </c>
      <c r="K1225" s="137">
        <v>0.14000000000000001</v>
      </c>
      <c r="L1225" s="39">
        <f t="shared" si="52"/>
        <v>12.600000000000001</v>
      </c>
      <c r="M1225" s="91"/>
      <c r="N1225" s="33">
        <v>44524</v>
      </c>
      <c r="O1225" s="32">
        <v>3657</v>
      </c>
      <c r="P1225" s="391">
        <f t="shared" si="53"/>
        <v>0.12</v>
      </c>
      <c r="Q1225" s="322">
        <v>0.12</v>
      </c>
      <c r="S1225" s="92">
        <v>7.27</v>
      </c>
      <c r="T1225" s="7">
        <f t="shared" si="54"/>
        <v>654.29999999999995</v>
      </c>
      <c r="U1225" s="120"/>
      <c r="V1225" s="260">
        <v>90</v>
      </c>
    </row>
    <row r="1226" spans="2:22" s="7" customFormat="1" ht="18" customHeight="1">
      <c r="B1226" s="12" t="s">
        <v>300</v>
      </c>
      <c r="C1226" s="6" t="s">
        <v>2693</v>
      </c>
      <c r="D1226" s="14" t="s">
        <v>2676</v>
      </c>
      <c r="E1226" s="22">
        <v>1905</v>
      </c>
      <c r="F1226" s="24"/>
      <c r="G1226" s="22" t="s">
        <v>2699</v>
      </c>
      <c r="H1226" s="813">
        <v>30</v>
      </c>
      <c r="I1226" s="814">
        <v>33</v>
      </c>
      <c r="J1226" s="8">
        <v>990</v>
      </c>
      <c r="K1226" s="137">
        <v>0.14000000000000001</v>
      </c>
      <c r="L1226" s="39">
        <f t="shared" si="52"/>
        <v>138.60000000000002</v>
      </c>
      <c r="M1226" s="91"/>
      <c r="N1226" s="33">
        <v>44524</v>
      </c>
      <c r="O1226" s="32">
        <v>3657</v>
      </c>
      <c r="P1226" s="391">
        <f t="shared" si="53"/>
        <v>0.12</v>
      </c>
      <c r="Q1226" s="322">
        <v>0.12</v>
      </c>
      <c r="S1226" s="92">
        <v>7.27</v>
      </c>
      <c r="T1226" s="7">
        <f t="shared" si="54"/>
        <v>7197.2999999999993</v>
      </c>
      <c r="U1226" s="120"/>
      <c r="V1226" s="260">
        <v>90</v>
      </c>
    </row>
    <row r="1227" spans="2:22" s="7" customFormat="1" ht="18" customHeight="1">
      <c r="B1227" s="12" t="s">
        <v>300</v>
      </c>
      <c r="C1227" s="6" t="s">
        <v>2693</v>
      </c>
      <c r="D1227" s="14" t="s">
        <v>2676</v>
      </c>
      <c r="E1227" s="22">
        <v>1905</v>
      </c>
      <c r="F1227" s="24"/>
      <c r="G1227" s="22" t="s">
        <v>2700</v>
      </c>
      <c r="H1227" s="813">
        <v>30</v>
      </c>
      <c r="I1227" s="814">
        <v>2</v>
      </c>
      <c r="J1227" s="8">
        <v>60</v>
      </c>
      <c r="K1227" s="137">
        <v>0.14000000000000001</v>
      </c>
      <c r="L1227" s="39">
        <f t="shared" si="52"/>
        <v>8.4</v>
      </c>
      <c r="M1227" s="91"/>
      <c r="N1227" s="33">
        <v>44524</v>
      </c>
      <c r="O1227" s="32">
        <v>3657</v>
      </c>
      <c r="P1227" s="391">
        <f t="shared" si="53"/>
        <v>0.12</v>
      </c>
      <c r="Q1227" s="322">
        <v>0.12</v>
      </c>
      <c r="S1227" s="92">
        <v>7.27</v>
      </c>
      <c r="T1227" s="7">
        <f t="shared" si="54"/>
        <v>436.2</v>
      </c>
      <c r="U1227" s="120"/>
      <c r="V1227" s="260">
        <v>90</v>
      </c>
    </row>
    <row r="1228" spans="2:22" s="7" customFormat="1" ht="18" customHeight="1">
      <c r="B1228" s="12" t="s">
        <v>300</v>
      </c>
      <c r="C1228" s="6" t="s">
        <v>2693</v>
      </c>
      <c r="D1228" s="14" t="s">
        <v>2676</v>
      </c>
      <c r="E1228" s="22">
        <v>1905</v>
      </c>
      <c r="F1228" s="24"/>
      <c r="G1228" s="22" t="s">
        <v>2701</v>
      </c>
      <c r="H1228" s="813">
        <v>30</v>
      </c>
      <c r="I1228" s="814">
        <v>6</v>
      </c>
      <c r="J1228" s="8">
        <v>180</v>
      </c>
      <c r="K1228" s="137">
        <v>0.14000000000000001</v>
      </c>
      <c r="L1228" s="39">
        <f t="shared" si="52"/>
        <v>25.200000000000003</v>
      </c>
      <c r="M1228" s="91"/>
      <c r="N1228" s="33">
        <v>44524</v>
      </c>
      <c r="O1228" s="32">
        <v>3657</v>
      </c>
      <c r="P1228" s="391">
        <f t="shared" si="53"/>
        <v>0.12</v>
      </c>
      <c r="Q1228" s="322">
        <v>0.12</v>
      </c>
      <c r="S1228" s="92">
        <v>7.27</v>
      </c>
      <c r="T1228" s="7">
        <f t="shared" si="54"/>
        <v>1308.5999999999999</v>
      </c>
      <c r="U1228" s="120"/>
      <c r="V1228" s="260">
        <v>90</v>
      </c>
    </row>
    <row r="1229" spans="2:22" s="7" customFormat="1" ht="15">
      <c r="B1229" s="12"/>
      <c r="C1229" s="6" t="s">
        <v>2693</v>
      </c>
      <c r="D1229" s="14" t="s">
        <v>2676</v>
      </c>
      <c r="E1229" s="22"/>
      <c r="F1229" s="102"/>
      <c r="G1229" s="22" t="s">
        <v>316</v>
      </c>
      <c r="H1229" s="8"/>
      <c r="I1229" s="35"/>
      <c r="J1229" s="38">
        <v>1</v>
      </c>
      <c r="K1229" s="39">
        <v>12</v>
      </c>
      <c r="L1229" s="39">
        <f t="shared" si="52"/>
        <v>12</v>
      </c>
      <c r="M1229" s="91"/>
      <c r="N1229" s="33">
        <v>44524</v>
      </c>
      <c r="O1229" s="32">
        <v>3657</v>
      </c>
      <c r="P1229" s="391">
        <v>12</v>
      </c>
      <c r="Q1229" s="322">
        <f>P1229*J1229</f>
        <v>12</v>
      </c>
      <c r="S1229" s="7">
        <v>0</v>
      </c>
      <c r="T1229" s="7">
        <f t="shared" si="54"/>
        <v>0</v>
      </c>
      <c r="U1229" s="21"/>
      <c r="V1229" s="260">
        <v>90</v>
      </c>
    </row>
    <row r="1230" spans="2:22" s="191" customFormat="1" ht="15">
      <c r="B1230" s="190"/>
      <c r="C1230" s="179" t="s">
        <v>2675</v>
      </c>
      <c r="D1230" s="180" t="s">
        <v>2676</v>
      </c>
      <c r="E1230" s="181"/>
      <c r="F1230" s="182"/>
      <c r="G1230" s="182" t="s">
        <v>250</v>
      </c>
      <c r="H1230" s="184" t="s">
        <v>251</v>
      </c>
      <c r="I1230" s="185"/>
      <c r="J1230" s="183"/>
      <c r="K1230" s="192">
        <v>0</v>
      </c>
      <c r="L1230" s="188"/>
      <c r="M1230" s="187"/>
      <c r="N1230" s="187">
        <v>44524</v>
      </c>
      <c r="O1230" s="186">
        <v>3657</v>
      </c>
      <c r="P1230" s="179"/>
      <c r="Q1230" s="725">
        <v>0</v>
      </c>
      <c r="S1230" s="197">
        <v>0</v>
      </c>
      <c r="T1230" s="198">
        <v>0</v>
      </c>
      <c r="U1230" s="335"/>
      <c r="V1230" s="260">
        <v>90</v>
      </c>
    </row>
    <row r="1231" spans="2:22" s="7" customFormat="1" ht="18" customHeight="1">
      <c r="B1231" s="12"/>
      <c r="C1231" s="6" t="s">
        <v>2702</v>
      </c>
      <c r="D1231" s="14" t="s">
        <v>2194</v>
      </c>
      <c r="E1231" s="19" t="s">
        <v>10</v>
      </c>
      <c r="F1231" s="107"/>
      <c r="G1231" s="22"/>
      <c r="H1231" s="108"/>
      <c r="I1231" s="109"/>
      <c r="J1231" s="108"/>
      <c r="K1231" s="110" t="s">
        <v>5</v>
      </c>
      <c r="L1231" s="139"/>
      <c r="M1231" s="33"/>
      <c r="N1231" s="33">
        <v>44511</v>
      </c>
      <c r="O1231" s="32">
        <v>3653</v>
      </c>
      <c r="P1231" s="14"/>
      <c r="Q1231" s="322"/>
      <c r="U1231" s="14"/>
      <c r="V1231" s="260">
        <v>90</v>
      </c>
    </row>
    <row r="1232" spans="2:22" s="7" customFormat="1" ht="18" customHeight="1">
      <c r="B1232" s="12" t="s">
        <v>302</v>
      </c>
      <c r="C1232" s="6" t="s">
        <v>2702</v>
      </c>
      <c r="D1232" s="14" t="s">
        <v>2194</v>
      </c>
      <c r="E1232" s="22" t="s">
        <v>206</v>
      </c>
      <c r="F1232" s="107">
        <v>162</v>
      </c>
      <c r="G1232" s="22" t="s">
        <v>2195</v>
      </c>
      <c r="H1232" s="108">
        <v>50</v>
      </c>
      <c r="I1232" s="109">
        <v>3</v>
      </c>
      <c r="J1232" s="8">
        <f>H1232*I1232</f>
        <v>150</v>
      </c>
      <c r="K1232" s="39">
        <v>4.17</v>
      </c>
      <c r="L1232" s="39">
        <f>K1232*J1232</f>
        <v>625.5</v>
      </c>
      <c r="M1232" s="91"/>
      <c r="N1232" s="33">
        <v>44511</v>
      </c>
      <c r="O1232" s="32">
        <v>3653</v>
      </c>
      <c r="P1232" s="391">
        <f>ROUNDUP(S1232/V1232/VLOOKUP(B1232,$C$2:$F$6,3,FALSE),2)</f>
        <v>3.7899999999999996</v>
      </c>
      <c r="Q1232" s="322">
        <v>3.79</v>
      </c>
      <c r="S1232" s="7">
        <v>300</v>
      </c>
      <c r="T1232" s="7">
        <f>S1232*J1232</f>
        <v>45000</v>
      </c>
      <c r="U1232" s="21"/>
      <c r="V1232" s="260">
        <v>90</v>
      </c>
    </row>
    <row r="1233" spans="2:22" s="7" customFormat="1" ht="17.45" customHeight="1">
      <c r="B1233" s="12"/>
      <c r="C1233" s="6" t="s">
        <v>2702</v>
      </c>
      <c r="D1233" s="14" t="s">
        <v>2194</v>
      </c>
      <c r="E1233" s="159"/>
      <c r="F1233" s="37"/>
      <c r="G1233" s="22" t="s">
        <v>363</v>
      </c>
      <c r="H1233" s="8"/>
      <c r="I1233" s="109" ph="1"/>
      <c r="J1233" s="38">
        <v>1</v>
      </c>
      <c r="K1233" s="39">
        <v>20</v>
      </c>
      <c r="L1233" s="39">
        <f>K1233*J1233</f>
        <v>20</v>
      </c>
      <c r="M1233" s="91"/>
      <c r="N1233" s="33">
        <v>44511</v>
      </c>
      <c r="O1233" s="32">
        <v>3653</v>
      </c>
      <c r="P1233" s="6"/>
      <c r="Q1233" s="322">
        <v>20</v>
      </c>
      <c r="S1233" s="7">
        <v>1800</v>
      </c>
      <c r="T1233" s="7">
        <v>1800</v>
      </c>
      <c r="U1233" s="21"/>
      <c r="V1233" s="260">
        <v>90</v>
      </c>
    </row>
    <row r="1234" spans="2:22" s="191" customFormat="1" ht="15">
      <c r="B1234" s="190"/>
      <c r="C1234" s="179" t="s">
        <v>2702</v>
      </c>
      <c r="D1234" s="180" t="s">
        <v>2194</v>
      </c>
      <c r="E1234" s="217"/>
      <c r="F1234" s="182"/>
      <c r="G1234" s="182" t="s">
        <v>250</v>
      </c>
      <c r="H1234" s="184" t="s">
        <v>252</v>
      </c>
      <c r="I1234" s="185"/>
      <c r="J1234" s="183"/>
      <c r="K1234" s="203">
        <v>230</v>
      </c>
      <c r="L1234" s="188"/>
      <c r="M1234" s="187"/>
      <c r="N1234" s="187">
        <v>44511</v>
      </c>
      <c r="O1234" s="186">
        <v>3653</v>
      </c>
      <c r="P1234" s="179"/>
      <c r="Q1234" s="747">
        <v>230</v>
      </c>
      <c r="S1234" s="212">
        <v>20760</v>
      </c>
      <c r="T1234" s="212">
        <v>20760</v>
      </c>
      <c r="U1234" s="335"/>
      <c r="V1234" s="260">
        <v>90</v>
      </c>
    </row>
    <row r="1235" spans="2:22" s="7" customFormat="1" ht="18" customHeight="1">
      <c r="B1235" s="12"/>
      <c r="C1235" s="6" t="s">
        <v>2703</v>
      </c>
      <c r="D1235" s="14" t="s">
        <v>2162</v>
      </c>
      <c r="E1235" s="19" t="s">
        <v>2163</v>
      </c>
      <c r="F1235" s="37"/>
      <c r="G1235" s="37"/>
      <c r="H1235" s="108"/>
      <c r="I1235" s="108"/>
      <c r="J1235" s="108"/>
      <c r="K1235" s="110" t="s">
        <v>5</v>
      </c>
      <c r="L1235" s="139"/>
      <c r="M1235" s="33"/>
      <c r="N1235" s="33">
        <v>44512</v>
      </c>
      <c r="O1235" s="32">
        <v>3658</v>
      </c>
      <c r="P1235" s="6"/>
      <c r="Q1235" s="339"/>
      <c r="U1235" s="21"/>
      <c r="V1235" s="260">
        <v>90</v>
      </c>
    </row>
    <row r="1236" spans="2:22" s="7" customFormat="1" ht="18" customHeight="1">
      <c r="B1236" s="12" t="s">
        <v>300</v>
      </c>
      <c r="C1236" s="6" t="s">
        <v>2703</v>
      </c>
      <c r="D1236" s="14" t="s">
        <v>2162</v>
      </c>
      <c r="E1236" s="22">
        <v>5603</v>
      </c>
      <c r="F1236" s="37"/>
      <c r="G1236" s="37" t="s">
        <v>185</v>
      </c>
      <c r="H1236" s="108">
        <v>50</v>
      </c>
      <c r="I1236" s="109">
        <v>1</v>
      </c>
      <c r="J1236" s="8">
        <f>I1236*H1236</f>
        <v>50</v>
      </c>
      <c r="K1236" s="39">
        <v>0.3</v>
      </c>
      <c r="L1236" s="39">
        <f>K1236*J1236</f>
        <v>15</v>
      </c>
      <c r="M1236" s="91"/>
      <c r="N1236" s="33">
        <v>44512</v>
      </c>
      <c r="O1236" s="32">
        <v>3658</v>
      </c>
      <c r="P1236" s="391">
        <f>ROUNDUP(S1236/V1236/VLOOKUP(B1236,$C$2:$F$6,3,FALSE),2)</f>
        <v>0.26</v>
      </c>
      <c r="Q1236" s="322">
        <v>0.26</v>
      </c>
      <c r="S1236" s="7">
        <v>16</v>
      </c>
      <c r="T1236" s="7">
        <f>S1236*J1236</f>
        <v>800</v>
      </c>
      <c r="U1236" s="21"/>
      <c r="V1236" s="260">
        <v>90</v>
      </c>
    </row>
    <row r="1237" spans="2:22" s="7" customFormat="1" ht="18" customHeight="1">
      <c r="B1237" s="12"/>
      <c r="C1237" s="6" t="s">
        <v>2703</v>
      </c>
      <c r="D1237" s="14" t="s">
        <v>2162</v>
      </c>
      <c r="E1237" s="22"/>
      <c r="F1237" s="102"/>
      <c r="G1237" s="22" t="s">
        <v>316</v>
      </c>
      <c r="H1237" s="8"/>
      <c r="I1237" s="35"/>
      <c r="J1237" s="38">
        <v>1</v>
      </c>
      <c r="K1237" s="39">
        <v>12</v>
      </c>
      <c r="L1237" s="39">
        <f>K1237*J1237</f>
        <v>12</v>
      </c>
      <c r="M1237" s="91"/>
      <c r="N1237" s="33">
        <v>44512</v>
      </c>
      <c r="O1237" s="32">
        <v>3658</v>
      </c>
      <c r="P1237" s="6" t="s">
        <v>3</v>
      </c>
      <c r="Q1237" s="322">
        <v>12</v>
      </c>
      <c r="S1237" s="7">
        <v>1100</v>
      </c>
      <c r="T1237" s="7">
        <f>S1237*J1237</f>
        <v>1100</v>
      </c>
      <c r="U1237" s="21"/>
      <c r="V1237" s="260">
        <v>90</v>
      </c>
    </row>
    <row r="1238" spans="2:22" s="191" customFormat="1" ht="15">
      <c r="B1238" s="190"/>
      <c r="C1238" s="179" t="s">
        <v>2703</v>
      </c>
      <c r="D1238" s="180" t="s">
        <v>2162</v>
      </c>
      <c r="E1238" s="181"/>
      <c r="F1238" s="182"/>
      <c r="G1238" s="182" t="s">
        <v>250</v>
      </c>
      <c r="H1238" s="184" t="s">
        <v>251</v>
      </c>
      <c r="I1238" s="185"/>
      <c r="J1238" s="183"/>
      <c r="K1238" s="192">
        <v>0</v>
      </c>
      <c r="L1238" s="188"/>
      <c r="M1238" s="187"/>
      <c r="N1238" s="187">
        <v>44512</v>
      </c>
      <c r="O1238" s="186">
        <v>3658</v>
      </c>
      <c r="P1238" s="179"/>
      <c r="Q1238" s="725">
        <v>0</v>
      </c>
      <c r="S1238" s="197">
        <v>0</v>
      </c>
      <c r="T1238" s="7">
        <f>S1238*J1238</f>
        <v>0</v>
      </c>
      <c r="U1238" s="335"/>
      <c r="V1238" s="260">
        <v>90</v>
      </c>
    </row>
    <row r="1239" spans="2:22" s="7" customFormat="1" ht="15">
      <c r="B1239" s="12"/>
      <c r="C1239" s="6" t="s">
        <v>2704</v>
      </c>
      <c r="D1239" s="14" t="s">
        <v>2034</v>
      </c>
      <c r="E1239" s="19" t="s">
        <v>2011</v>
      </c>
      <c r="F1239" s="24"/>
      <c r="G1239" s="22"/>
      <c r="H1239" s="60"/>
      <c r="I1239" s="61"/>
      <c r="J1239" s="60"/>
      <c r="K1239" s="16" t="s">
        <v>5</v>
      </c>
      <c r="L1239" s="139"/>
      <c r="M1239" s="33"/>
      <c r="N1239" s="33">
        <v>44515</v>
      </c>
      <c r="O1239" s="32">
        <v>3669</v>
      </c>
      <c r="P1239" s="6" t="s">
        <v>3</v>
      </c>
      <c r="Q1239" s="358"/>
      <c r="U1239" s="120"/>
      <c r="V1239" s="260">
        <v>90</v>
      </c>
    </row>
    <row r="1240" spans="2:22" s="7" customFormat="1" ht="15.75" customHeight="1">
      <c r="B1240" s="12" t="s">
        <v>300</v>
      </c>
      <c r="C1240" s="6" t="s">
        <v>2704</v>
      </c>
      <c r="D1240" s="14" t="s">
        <v>2034</v>
      </c>
      <c r="E1240" s="22" t="s">
        <v>2236</v>
      </c>
      <c r="F1240" s="24"/>
      <c r="G1240" s="22" t="s">
        <v>100</v>
      </c>
      <c r="H1240" s="108">
        <v>13.7</v>
      </c>
      <c r="I1240" s="109">
        <v>4</v>
      </c>
      <c r="J1240" s="131">
        <f>H1240*I1240</f>
        <v>54.8</v>
      </c>
      <c r="K1240" s="39">
        <v>5.74</v>
      </c>
      <c r="L1240" s="39">
        <f>K1240*J1240</f>
        <v>314.55200000000002</v>
      </c>
      <c r="M1240" s="91"/>
      <c r="N1240" s="33">
        <v>44515</v>
      </c>
      <c r="O1240" s="32">
        <v>3669</v>
      </c>
      <c r="P1240" s="391">
        <f>ROUNDUP(S1240/V1240/VLOOKUP(B1240,$C$2:$F$6,3,FALSE),2)</f>
        <v>4.93</v>
      </c>
      <c r="Q1240" s="322">
        <v>4.93</v>
      </c>
      <c r="S1240" s="7">
        <v>310</v>
      </c>
      <c r="T1240" s="7">
        <f>S1240*J1240</f>
        <v>16988</v>
      </c>
      <c r="U1240" s="386"/>
      <c r="V1240" s="260">
        <v>90</v>
      </c>
    </row>
    <row r="1241" spans="2:22" s="7" customFormat="1" ht="16.899999999999999" customHeight="1">
      <c r="B1241" s="12"/>
      <c r="C1241" s="6" t="s">
        <v>2704</v>
      </c>
      <c r="D1241" s="14" t="s">
        <v>2034</v>
      </c>
      <c r="E1241" s="22"/>
      <c r="F1241" s="340"/>
      <c r="G1241" s="22" t="s">
        <v>316</v>
      </c>
      <c r="H1241" s="8"/>
      <c r="I1241" s="109" ph="1"/>
      <c r="J1241" s="38">
        <v>1</v>
      </c>
      <c r="K1241" s="39">
        <v>12</v>
      </c>
      <c r="L1241" s="39">
        <f>K1241*J1241</f>
        <v>12</v>
      </c>
      <c r="M1241" s="91"/>
      <c r="N1241" s="33">
        <v>44515</v>
      </c>
      <c r="O1241" s="32">
        <v>3669</v>
      </c>
      <c r="P1241" s="6"/>
      <c r="Q1241" s="322">
        <v>12</v>
      </c>
      <c r="S1241" s="7">
        <v>800</v>
      </c>
      <c r="T1241" s="7">
        <f>S1241*J1241</f>
        <v>800</v>
      </c>
      <c r="U1241" s="21"/>
      <c r="V1241" s="260">
        <v>90</v>
      </c>
    </row>
    <row r="1242" spans="2:22" s="191" customFormat="1" ht="15">
      <c r="B1242" s="190"/>
      <c r="C1242" s="179" t="s">
        <v>2704</v>
      </c>
      <c r="D1242" s="180" t="s">
        <v>2034</v>
      </c>
      <c r="E1242" s="181"/>
      <c r="F1242" s="182"/>
      <c r="G1242" s="182" t="s">
        <v>250</v>
      </c>
      <c r="H1242" s="184" t="s">
        <v>252</v>
      </c>
      <c r="I1242" s="185"/>
      <c r="J1242" s="183"/>
      <c r="K1242" s="203">
        <v>25</v>
      </c>
      <c r="L1242" s="188"/>
      <c r="M1242" s="187"/>
      <c r="N1242" s="187">
        <v>44515</v>
      </c>
      <c r="O1242" s="186">
        <v>3669</v>
      </c>
      <c r="P1242" s="179"/>
      <c r="Q1242" s="747">
        <v>25</v>
      </c>
      <c r="S1242" s="212">
        <v>2228</v>
      </c>
      <c r="T1242" s="212">
        <v>2228</v>
      </c>
      <c r="U1242" s="335"/>
      <c r="V1242" s="260">
        <v>90</v>
      </c>
    </row>
    <row r="1243" spans="2:22" s="7" customFormat="1" ht="18" customHeight="1">
      <c r="B1243" s="12"/>
      <c r="C1243" s="6" t="s">
        <v>2705</v>
      </c>
      <c r="D1243" s="14" t="s">
        <v>2022</v>
      </c>
      <c r="E1243" s="19" t="s">
        <v>59</v>
      </c>
      <c r="F1243" s="107"/>
      <c r="G1243" s="22"/>
      <c r="H1243" s="108"/>
      <c r="I1243" s="109"/>
      <c r="J1243" s="108"/>
      <c r="K1243" s="29" t="s">
        <v>5</v>
      </c>
      <c r="L1243" s="39"/>
      <c r="M1243" s="91"/>
      <c r="N1243" s="33">
        <v>44515</v>
      </c>
      <c r="O1243" s="32">
        <v>3668</v>
      </c>
      <c r="P1243" s="14"/>
      <c r="Q1243" s="322"/>
      <c r="U1243" s="14"/>
      <c r="V1243" s="260">
        <v>90</v>
      </c>
    </row>
    <row r="1244" spans="2:22" s="7" customFormat="1" ht="18" customHeight="1">
      <c r="B1244" s="12" t="s">
        <v>302</v>
      </c>
      <c r="C1244" s="6" t="s">
        <v>2705</v>
      </c>
      <c r="D1244" s="14" t="s">
        <v>2022</v>
      </c>
      <c r="E1244" s="22" t="s">
        <v>314</v>
      </c>
      <c r="F1244" s="107">
        <v>145</v>
      </c>
      <c r="G1244" s="22" t="s">
        <v>2706</v>
      </c>
      <c r="H1244" s="823"/>
      <c r="I1244" s="824"/>
      <c r="J1244" s="8">
        <v>5</v>
      </c>
      <c r="K1244" s="39">
        <v>8.75</v>
      </c>
      <c r="L1244" s="39">
        <f>K1244*J1244</f>
        <v>43.75</v>
      </c>
      <c r="M1244" s="91"/>
      <c r="N1244" s="33">
        <v>44515</v>
      </c>
      <c r="O1244" s="32">
        <v>3668</v>
      </c>
      <c r="P1244" s="391">
        <f>ROUNDUP(S1244/V1244/VLOOKUP(B1244,$C$2:$F$6,3,FALSE),2)</f>
        <v>7.96</v>
      </c>
      <c r="Q1244" s="322">
        <v>7.96</v>
      </c>
      <c r="S1244" s="7">
        <v>630</v>
      </c>
      <c r="T1244" s="7">
        <f>S1244*J1244</f>
        <v>3150</v>
      </c>
      <c r="U1244" s="21"/>
      <c r="V1244" s="260">
        <v>90</v>
      </c>
    </row>
    <row r="1245" spans="2:22" s="7" customFormat="1" ht="15">
      <c r="B1245" s="12"/>
      <c r="C1245" s="6" t="s">
        <v>2705</v>
      </c>
      <c r="D1245" s="14" t="s">
        <v>2022</v>
      </c>
      <c r="E1245" s="22"/>
      <c r="F1245" s="102"/>
      <c r="G1245" s="22" t="s">
        <v>2625</v>
      </c>
      <c r="H1245" s="8"/>
      <c r="I1245" s="35"/>
      <c r="J1245" s="38">
        <v>1</v>
      </c>
      <c r="K1245" s="39">
        <v>15</v>
      </c>
      <c r="L1245" s="39">
        <f>K1245*J1245</f>
        <v>15</v>
      </c>
      <c r="M1245" s="91"/>
      <c r="N1245" s="33">
        <v>44515</v>
      </c>
      <c r="O1245" s="32">
        <v>3668</v>
      </c>
      <c r="P1245" s="391">
        <v>12</v>
      </c>
      <c r="Q1245" s="322">
        <v>12</v>
      </c>
      <c r="S1245" s="7">
        <v>1000</v>
      </c>
      <c r="T1245" s="7">
        <f>S1245*J1245</f>
        <v>1000</v>
      </c>
      <c r="U1245" s="21"/>
      <c r="V1245" s="260">
        <v>90</v>
      </c>
    </row>
    <row r="1246" spans="2:22" s="7" customFormat="1" ht="15">
      <c r="B1246" s="12"/>
      <c r="C1246" s="6" t="s">
        <v>2705</v>
      </c>
      <c r="D1246" s="14" t="s">
        <v>2022</v>
      </c>
      <c r="E1246" s="22"/>
      <c r="F1246" s="102"/>
      <c r="G1246" s="22" t="s">
        <v>316</v>
      </c>
      <c r="H1246" s="8"/>
      <c r="I1246" s="35"/>
      <c r="J1246" s="38">
        <v>1</v>
      </c>
      <c r="K1246" s="39">
        <v>20</v>
      </c>
      <c r="L1246" s="39">
        <v>20</v>
      </c>
      <c r="M1246" s="91"/>
      <c r="N1246" s="33">
        <v>44515</v>
      </c>
      <c r="O1246" s="32">
        <v>3668</v>
      </c>
      <c r="P1246" s="6" t="s">
        <v>3</v>
      </c>
      <c r="Q1246" s="322">
        <v>20</v>
      </c>
      <c r="S1246" s="7">
        <v>1000</v>
      </c>
      <c r="T1246" s="7">
        <f>S1246*J1246</f>
        <v>1000</v>
      </c>
      <c r="U1246" s="21"/>
      <c r="V1246" s="260">
        <v>90</v>
      </c>
    </row>
    <row r="1247" spans="2:22" s="191" customFormat="1" ht="15">
      <c r="B1247" s="190"/>
      <c r="C1247" s="179" t="s">
        <v>2705</v>
      </c>
      <c r="D1247" s="180" t="s">
        <v>2022</v>
      </c>
      <c r="E1247" s="217"/>
      <c r="F1247" s="182"/>
      <c r="G1247" s="182" t="s">
        <v>250</v>
      </c>
      <c r="H1247" s="184" t="s">
        <v>251</v>
      </c>
      <c r="I1247" s="185"/>
      <c r="J1247" s="183"/>
      <c r="K1247" s="203">
        <v>0</v>
      </c>
      <c r="L1247" s="188"/>
      <c r="M1247" s="187"/>
      <c r="N1247" s="187">
        <v>44515</v>
      </c>
      <c r="O1247" s="186">
        <v>3668</v>
      </c>
      <c r="P1247" s="179"/>
      <c r="Q1247" s="747">
        <v>0</v>
      </c>
      <c r="S1247" s="197">
        <v>0</v>
      </c>
      <c r="T1247" s="198">
        <v>0</v>
      </c>
      <c r="U1247" s="335"/>
      <c r="V1247" s="260">
        <v>90</v>
      </c>
    </row>
    <row r="1248" spans="2:22" s="7" customFormat="1" ht="18" customHeight="1">
      <c r="B1248" s="12"/>
      <c r="C1248" s="6" t="s">
        <v>2707</v>
      </c>
      <c r="D1248" s="14" t="s">
        <v>2171</v>
      </c>
      <c r="E1248" s="19" t="s">
        <v>10</v>
      </c>
      <c r="F1248" s="107"/>
      <c r="G1248" s="22"/>
      <c r="H1248" s="108"/>
      <c r="I1248" s="109"/>
      <c r="J1248" s="108"/>
      <c r="K1248" s="29" t="s">
        <v>5</v>
      </c>
      <c r="L1248" s="139"/>
      <c r="M1248" s="33"/>
      <c r="N1248" s="33">
        <v>44536</v>
      </c>
      <c r="O1248" s="32">
        <v>3678</v>
      </c>
      <c r="P1248" s="14"/>
      <c r="Q1248" s="322"/>
      <c r="U1248" s="14"/>
      <c r="V1248" s="260">
        <v>90</v>
      </c>
    </row>
    <row r="1249" spans="2:22" s="7" customFormat="1" ht="18" customHeight="1">
      <c r="B1249" s="12" t="s">
        <v>302</v>
      </c>
      <c r="C1249" s="6" t="s">
        <v>2707</v>
      </c>
      <c r="D1249" s="14" t="s">
        <v>2171</v>
      </c>
      <c r="E1249" s="22" t="s">
        <v>190</v>
      </c>
      <c r="F1249" s="107">
        <v>160</v>
      </c>
      <c r="G1249" s="22" t="s">
        <v>2374</v>
      </c>
      <c r="H1249" s="108">
        <v>50</v>
      </c>
      <c r="I1249" s="109">
        <v>1</v>
      </c>
      <c r="J1249" s="8">
        <f>H1249*I1249</f>
        <v>50</v>
      </c>
      <c r="K1249" s="39">
        <v>4.45</v>
      </c>
      <c r="L1249" s="39">
        <f>K1249*J1249</f>
        <v>222.5</v>
      </c>
      <c r="M1249" s="91"/>
      <c r="N1249" s="33">
        <v>44536</v>
      </c>
      <c r="O1249" s="32">
        <v>3678</v>
      </c>
      <c r="P1249" s="391">
        <f>ROUNDUP(S1249/V1249/VLOOKUP(B1249,$C$2:$F$6,3,FALSE),2)</f>
        <v>4.05</v>
      </c>
      <c r="Q1249" s="322">
        <v>4.05</v>
      </c>
      <c r="S1249" s="7">
        <v>320</v>
      </c>
      <c r="T1249" s="7">
        <f>S1249*J1249</f>
        <v>16000</v>
      </c>
      <c r="U1249" s="21"/>
      <c r="V1249" s="260">
        <v>90</v>
      </c>
    </row>
    <row r="1250" spans="2:22" s="7" customFormat="1" ht="18" customHeight="1">
      <c r="B1250" s="12" t="s">
        <v>302</v>
      </c>
      <c r="C1250" s="6" t="s">
        <v>2707</v>
      </c>
      <c r="D1250" s="14" t="s">
        <v>2171</v>
      </c>
      <c r="E1250" s="22" t="s">
        <v>190</v>
      </c>
      <c r="F1250" s="107">
        <v>160</v>
      </c>
      <c r="G1250" s="22" t="s">
        <v>2407</v>
      </c>
      <c r="H1250" s="108">
        <v>50</v>
      </c>
      <c r="I1250" s="109">
        <v>1</v>
      </c>
      <c r="J1250" s="8">
        <f>H1250*I1250</f>
        <v>50</v>
      </c>
      <c r="K1250" s="39">
        <v>4.45</v>
      </c>
      <c r="L1250" s="39">
        <f>K1250*J1250</f>
        <v>222.5</v>
      </c>
      <c r="M1250" s="91"/>
      <c r="N1250" s="33">
        <v>44536</v>
      </c>
      <c r="O1250" s="32">
        <v>3678</v>
      </c>
      <c r="P1250" s="391">
        <f>ROUNDUP(S1250/V1250/VLOOKUP(B1250,$C$2:$F$6,3,FALSE),2)</f>
        <v>4.05</v>
      </c>
      <c r="Q1250" s="322">
        <v>4.05</v>
      </c>
      <c r="S1250" s="7">
        <v>320</v>
      </c>
      <c r="T1250" s="7">
        <f>S1250*J1250</f>
        <v>16000</v>
      </c>
      <c r="U1250" s="21"/>
      <c r="V1250" s="260">
        <v>90</v>
      </c>
    </row>
    <row r="1251" spans="2:22" s="7" customFormat="1" ht="18" customHeight="1">
      <c r="B1251" s="12"/>
      <c r="C1251" s="6" t="s">
        <v>2707</v>
      </c>
      <c r="D1251" s="14" t="s">
        <v>2171</v>
      </c>
      <c r="E1251" s="19" t="s">
        <v>10</v>
      </c>
      <c r="F1251" s="107"/>
      <c r="G1251" s="22"/>
      <c r="H1251" s="108"/>
      <c r="I1251" s="109"/>
      <c r="J1251" s="108"/>
      <c r="K1251" s="29" t="s">
        <v>5</v>
      </c>
      <c r="L1251" s="139"/>
      <c r="M1251" s="33"/>
      <c r="N1251" s="33">
        <v>44536</v>
      </c>
      <c r="O1251" s="32">
        <v>3678</v>
      </c>
      <c r="P1251" s="14"/>
      <c r="Q1251" s="322"/>
      <c r="U1251" s="14"/>
      <c r="V1251" s="260">
        <v>90</v>
      </c>
    </row>
    <row r="1252" spans="2:22" s="7" customFormat="1" ht="18" customHeight="1">
      <c r="B1252" s="12" t="s">
        <v>302</v>
      </c>
      <c r="C1252" s="6" t="s">
        <v>2707</v>
      </c>
      <c r="D1252" s="14" t="s">
        <v>2171</v>
      </c>
      <c r="E1252" s="22" t="s">
        <v>207</v>
      </c>
      <c r="F1252" s="107">
        <v>152</v>
      </c>
      <c r="G1252" s="22" t="s">
        <v>2405</v>
      </c>
      <c r="H1252" s="108">
        <v>50</v>
      </c>
      <c r="I1252" s="109">
        <v>1</v>
      </c>
      <c r="J1252" s="8">
        <f>I1252*H1252</f>
        <v>50</v>
      </c>
      <c r="K1252" s="39">
        <v>4.17</v>
      </c>
      <c r="L1252" s="39">
        <f>K1252*J1252</f>
        <v>208.5</v>
      </c>
      <c r="M1252" s="91"/>
      <c r="N1252" s="33">
        <v>44536</v>
      </c>
      <c r="O1252" s="32">
        <v>3678</v>
      </c>
      <c r="P1252" s="391">
        <f>ROUNDUP(S1252/V1252/VLOOKUP(B1252,$C$2:$F$6,3,FALSE),2)</f>
        <v>3.7899999999999996</v>
      </c>
      <c r="Q1252" s="322">
        <v>3.79</v>
      </c>
      <c r="S1252" s="7">
        <v>300</v>
      </c>
      <c r="T1252" s="7">
        <f>S1252*J1252</f>
        <v>15000</v>
      </c>
      <c r="U1252" s="21"/>
      <c r="V1252" s="260">
        <v>90</v>
      </c>
    </row>
    <row r="1253" spans="2:22" s="7" customFormat="1" ht="18" customHeight="1">
      <c r="B1253" s="12" t="s">
        <v>302</v>
      </c>
      <c r="C1253" s="6" t="s">
        <v>2707</v>
      </c>
      <c r="D1253" s="14" t="s">
        <v>2171</v>
      </c>
      <c r="E1253" s="22" t="s">
        <v>207</v>
      </c>
      <c r="F1253" s="107">
        <v>152</v>
      </c>
      <c r="G1253" s="22" t="s">
        <v>2173</v>
      </c>
      <c r="H1253" s="108">
        <v>50</v>
      </c>
      <c r="I1253" s="109">
        <v>2</v>
      </c>
      <c r="J1253" s="8">
        <f>I1253*H1253</f>
        <v>100</v>
      </c>
      <c r="K1253" s="39">
        <v>4.17</v>
      </c>
      <c r="L1253" s="39">
        <f>K1253*J1253</f>
        <v>417</v>
      </c>
      <c r="M1253" s="91"/>
      <c r="N1253" s="33">
        <v>44536</v>
      </c>
      <c r="O1253" s="32">
        <v>3678</v>
      </c>
      <c r="P1253" s="391">
        <f>ROUNDUP(S1253/V1253/VLOOKUP(B1253,$C$2:$F$6,3,FALSE),2)</f>
        <v>3.7899999999999996</v>
      </c>
      <c r="Q1253" s="322">
        <v>3.79</v>
      </c>
      <c r="S1253" s="7">
        <v>300</v>
      </c>
      <c r="T1253" s="7">
        <f>S1253*J1253</f>
        <v>30000</v>
      </c>
      <c r="U1253" s="21"/>
      <c r="V1253" s="260">
        <v>90</v>
      </c>
    </row>
    <row r="1254" spans="2:22" s="7" customFormat="1" ht="18" customHeight="1">
      <c r="B1254" s="12" t="s">
        <v>302</v>
      </c>
      <c r="C1254" s="6" t="s">
        <v>2707</v>
      </c>
      <c r="D1254" s="14" t="s">
        <v>2171</v>
      </c>
      <c r="E1254" s="22" t="s">
        <v>207</v>
      </c>
      <c r="F1254" s="107">
        <v>152</v>
      </c>
      <c r="G1254" s="22" t="s">
        <v>2708</v>
      </c>
      <c r="H1254" s="108">
        <v>50</v>
      </c>
      <c r="I1254" s="109">
        <v>1</v>
      </c>
      <c r="J1254" s="8">
        <f>I1254*H1254</f>
        <v>50</v>
      </c>
      <c r="K1254" s="39">
        <v>4.17</v>
      </c>
      <c r="L1254" s="39">
        <f>K1254*J1254</f>
        <v>208.5</v>
      </c>
      <c r="M1254" s="91"/>
      <c r="N1254" s="33">
        <v>44536</v>
      </c>
      <c r="O1254" s="32">
        <v>3678</v>
      </c>
      <c r="P1254" s="391">
        <f>ROUNDUP(S1254/V1254/VLOOKUP(B1254,$C$2:$F$6,3,FALSE),2)</f>
        <v>3.7899999999999996</v>
      </c>
      <c r="Q1254" s="322">
        <v>3.79</v>
      </c>
      <c r="S1254" s="7">
        <v>300</v>
      </c>
      <c r="T1254" s="7">
        <f>S1254*J1254</f>
        <v>15000</v>
      </c>
      <c r="U1254" s="21"/>
      <c r="V1254" s="260">
        <v>90</v>
      </c>
    </row>
    <row r="1255" spans="2:22" s="7" customFormat="1" ht="18" customHeight="1">
      <c r="B1255" s="12" t="s">
        <v>302</v>
      </c>
      <c r="C1255" s="6" t="s">
        <v>2707</v>
      </c>
      <c r="D1255" s="14" t="s">
        <v>2171</v>
      </c>
      <c r="E1255" s="22" t="s">
        <v>207</v>
      </c>
      <c r="F1255" s="107">
        <v>152</v>
      </c>
      <c r="G1255" s="22" t="s">
        <v>2234</v>
      </c>
      <c r="H1255" s="108">
        <v>50</v>
      </c>
      <c r="I1255" s="109">
        <v>1</v>
      </c>
      <c r="J1255" s="8">
        <f>I1255*H1255</f>
        <v>50</v>
      </c>
      <c r="K1255" s="39">
        <v>4.17</v>
      </c>
      <c r="L1255" s="39">
        <f>K1255*J1255</f>
        <v>208.5</v>
      </c>
      <c r="M1255" s="91"/>
      <c r="N1255" s="33">
        <v>44536</v>
      </c>
      <c r="O1255" s="32">
        <v>3678</v>
      </c>
      <c r="P1255" s="391">
        <f>ROUNDUP(S1255/V1255/VLOOKUP(B1255,$C$2:$F$6,3,FALSE),2)</f>
        <v>3.7899999999999996</v>
      </c>
      <c r="Q1255" s="322">
        <v>3.79</v>
      </c>
      <c r="S1255" s="7">
        <v>300</v>
      </c>
      <c r="T1255" s="7">
        <f>S1255*J1255</f>
        <v>15000</v>
      </c>
      <c r="U1255" s="21"/>
      <c r="V1255" s="260">
        <v>90</v>
      </c>
    </row>
    <row r="1256" spans="2:22" s="7" customFormat="1" ht="15">
      <c r="B1256" s="12"/>
      <c r="C1256" s="6" t="s">
        <v>2707</v>
      </c>
      <c r="D1256" s="14" t="s">
        <v>2171</v>
      </c>
      <c r="E1256" s="22"/>
      <c r="F1256" s="102"/>
      <c r="G1256" s="22" t="s">
        <v>316</v>
      </c>
      <c r="H1256" s="8"/>
      <c r="I1256" s="35"/>
      <c r="J1256" s="38">
        <v>1</v>
      </c>
      <c r="K1256" s="39">
        <v>20</v>
      </c>
      <c r="L1256" s="39">
        <f>K1256*J1256</f>
        <v>20</v>
      </c>
      <c r="M1256" s="91"/>
      <c r="N1256" s="33">
        <v>44536</v>
      </c>
      <c r="O1256" s="32">
        <v>3678</v>
      </c>
      <c r="P1256" s="6" t="s">
        <v>3</v>
      </c>
      <c r="Q1256" s="322">
        <v>20</v>
      </c>
      <c r="S1256" s="7">
        <v>1800</v>
      </c>
      <c r="T1256" s="7">
        <f>S1256*J1256</f>
        <v>1800</v>
      </c>
      <c r="U1256" s="21"/>
      <c r="V1256" s="260">
        <v>90</v>
      </c>
    </row>
    <row r="1257" spans="2:22" s="191" customFormat="1" ht="15">
      <c r="B1257" s="190"/>
      <c r="C1257" s="179" t="s">
        <v>2707</v>
      </c>
      <c r="D1257" s="180" t="s">
        <v>2171</v>
      </c>
      <c r="E1257" s="217"/>
      <c r="F1257" s="182"/>
      <c r="G1257" s="182" t="s">
        <v>250</v>
      </c>
      <c r="H1257" s="184" t="s">
        <v>252</v>
      </c>
      <c r="I1257" s="185"/>
      <c r="J1257" s="183"/>
      <c r="K1257" s="333">
        <v>550</v>
      </c>
      <c r="L1257" s="188"/>
      <c r="M1257" s="187"/>
      <c r="N1257" s="187">
        <v>44536</v>
      </c>
      <c r="O1257" s="186">
        <v>3678</v>
      </c>
      <c r="P1257" s="179"/>
      <c r="Q1257" s="747">
        <v>550</v>
      </c>
      <c r="S1257" s="212">
        <v>43335</v>
      </c>
      <c r="T1257" s="838">
        <v>43335</v>
      </c>
      <c r="U1257" s="335"/>
      <c r="V1257" s="260">
        <v>90</v>
      </c>
    </row>
    <row r="1258" spans="2:22" s="7" customFormat="1" ht="18" customHeight="1">
      <c r="B1258" s="12"/>
      <c r="C1258" s="6" t="s">
        <v>2709</v>
      </c>
      <c r="D1258" s="14" t="s">
        <v>2162</v>
      </c>
      <c r="E1258" s="19" t="s">
        <v>2163</v>
      </c>
      <c r="F1258" s="37"/>
      <c r="G1258" s="37"/>
      <c r="H1258" s="108"/>
      <c r="I1258" s="108"/>
      <c r="J1258" s="108"/>
      <c r="K1258" s="110" t="s">
        <v>5</v>
      </c>
      <c r="L1258" s="139"/>
      <c r="M1258" s="33"/>
      <c r="N1258" s="33">
        <v>44519</v>
      </c>
      <c r="O1258" s="32">
        <v>3685</v>
      </c>
      <c r="P1258" s="6"/>
      <c r="Q1258" s="339"/>
      <c r="U1258" s="21"/>
      <c r="V1258" s="260">
        <v>90</v>
      </c>
    </row>
    <row r="1259" spans="2:22" s="7" customFormat="1" ht="18" customHeight="1">
      <c r="B1259" s="12" t="s">
        <v>300</v>
      </c>
      <c r="C1259" s="6" t="s">
        <v>2709</v>
      </c>
      <c r="D1259" s="14" t="s">
        <v>2162</v>
      </c>
      <c r="E1259" s="22">
        <v>5603</v>
      </c>
      <c r="F1259" s="37"/>
      <c r="G1259" s="37" t="s">
        <v>2710</v>
      </c>
      <c r="H1259" s="108">
        <v>50</v>
      </c>
      <c r="I1259" s="109">
        <v>1</v>
      </c>
      <c r="J1259" s="8">
        <f>I1259*H1259</f>
        <v>50</v>
      </c>
      <c r="K1259" s="39">
        <v>0.3</v>
      </c>
      <c r="L1259" s="39">
        <f>K1259*J1259</f>
        <v>15</v>
      </c>
      <c r="M1259" s="91"/>
      <c r="N1259" s="33">
        <v>44519</v>
      </c>
      <c r="O1259" s="32">
        <v>3685</v>
      </c>
      <c r="P1259" s="391">
        <f>ROUNDUP(S1259/V1259/VLOOKUP(B1259,$C$2:$F$6,3,FALSE),2)</f>
        <v>0.26</v>
      </c>
      <c r="Q1259" s="322">
        <v>0.26</v>
      </c>
      <c r="S1259" s="7">
        <v>16</v>
      </c>
      <c r="T1259" s="7">
        <f>S1259*J1259</f>
        <v>800</v>
      </c>
      <c r="U1259" s="21"/>
      <c r="V1259" s="260">
        <v>90</v>
      </c>
    </row>
    <row r="1260" spans="2:22" s="7" customFormat="1" ht="18" customHeight="1">
      <c r="B1260" s="12" t="s">
        <v>300</v>
      </c>
      <c r="C1260" s="6" t="s">
        <v>2709</v>
      </c>
      <c r="D1260" s="14" t="s">
        <v>2162</v>
      </c>
      <c r="E1260" s="22">
        <v>5603</v>
      </c>
      <c r="F1260" s="37"/>
      <c r="G1260" s="37" t="s">
        <v>2711</v>
      </c>
      <c r="H1260" s="108">
        <v>50</v>
      </c>
      <c r="I1260" s="109">
        <v>1</v>
      </c>
      <c r="J1260" s="8">
        <f>I1260*H1260</f>
        <v>50</v>
      </c>
      <c r="K1260" s="39">
        <v>0.3</v>
      </c>
      <c r="L1260" s="39">
        <f>K1260*J1260</f>
        <v>15</v>
      </c>
      <c r="M1260" s="91"/>
      <c r="N1260" s="33">
        <v>44519</v>
      </c>
      <c r="O1260" s="32">
        <v>3685</v>
      </c>
      <c r="P1260" s="391">
        <f>ROUNDUP(S1260/V1260/VLOOKUP(B1260,$C$2:$F$6,3,FALSE),2)</f>
        <v>0.26</v>
      </c>
      <c r="Q1260" s="322">
        <v>0.26</v>
      </c>
      <c r="S1260" s="7">
        <v>16</v>
      </c>
      <c r="T1260" s="7">
        <f>S1260*J1260</f>
        <v>800</v>
      </c>
      <c r="U1260" s="21"/>
      <c r="V1260" s="260">
        <v>90</v>
      </c>
    </row>
    <row r="1261" spans="2:22" s="7" customFormat="1" ht="18" customHeight="1">
      <c r="B1261" s="12" t="s">
        <v>300</v>
      </c>
      <c r="C1261" s="6" t="s">
        <v>2709</v>
      </c>
      <c r="D1261" s="14" t="s">
        <v>2162</v>
      </c>
      <c r="E1261" s="22">
        <v>5603</v>
      </c>
      <c r="F1261" s="37"/>
      <c r="G1261" s="37" t="s">
        <v>2712</v>
      </c>
      <c r="H1261" s="108">
        <v>50</v>
      </c>
      <c r="I1261" s="109">
        <v>1</v>
      </c>
      <c r="J1261" s="8">
        <f>I1261*H1261</f>
        <v>50</v>
      </c>
      <c r="K1261" s="39">
        <v>0.3</v>
      </c>
      <c r="L1261" s="39">
        <f>K1261*J1261</f>
        <v>15</v>
      </c>
      <c r="M1261" s="91"/>
      <c r="N1261" s="33">
        <v>44519</v>
      </c>
      <c r="O1261" s="32">
        <v>3685</v>
      </c>
      <c r="P1261" s="391">
        <f>ROUNDUP(S1261/V1261/VLOOKUP(B1261,$C$2:$F$6,3,FALSE),2)</f>
        <v>0.26</v>
      </c>
      <c r="Q1261" s="322">
        <v>0.26</v>
      </c>
      <c r="S1261" s="7">
        <v>16</v>
      </c>
      <c r="T1261" s="7">
        <f>S1261*J1261</f>
        <v>800</v>
      </c>
      <c r="U1261" s="21"/>
      <c r="V1261" s="260">
        <v>90</v>
      </c>
    </row>
    <row r="1262" spans="2:22" s="7" customFormat="1" ht="18" customHeight="1">
      <c r="B1262" s="12"/>
      <c r="C1262" s="6" t="s">
        <v>2709</v>
      </c>
      <c r="D1262" s="14" t="s">
        <v>2162</v>
      </c>
      <c r="E1262" s="22"/>
      <c r="F1262" s="102"/>
      <c r="G1262" s="22" t="s">
        <v>316</v>
      </c>
      <c r="H1262" s="8"/>
      <c r="I1262" s="35"/>
      <c r="J1262" s="38">
        <v>1</v>
      </c>
      <c r="K1262" s="39">
        <v>12</v>
      </c>
      <c r="L1262" s="39">
        <f>K1262*J1262</f>
        <v>12</v>
      </c>
      <c r="M1262" s="91"/>
      <c r="N1262" s="33">
        <v>44519</v>
      </c>
      <c r="O1262" s="32">
        <v>3685</v>
      </c>
      <c r="P1262" s="6" t="s">
        <v>3</v>
      </c>
      <c r="Q1262" s="322">
        <v>12</v>
      </c>
      <c r="S1262" s="7">
        <v>0</v>
      </c>
      <c r="T1262" s="7">
        <f>S1262*J1262</f>
        <v>0</v>
      </c>
      <c r="U1262" s="21"/>
      <c r="V1262" s="260">
        <v>90</v>
      </c>
    </row>
    <row r="1263" spans="2:22" s="191" customFormat="1" ht="15">
      <c r="B1263" s="190"/>
      <c r="C1263" s="179" t="s">
        <v>2709</v>
      </c>
      <c r="D1263" s="180" t="s">
        <v>2162</v>
      </c>
      <c r="E1263" s="181"/>
      <c r="F1263" s="182"/>
      <c r="G1263" s="182" t="s">
        <v>250</v>
      </c>
      <c r="H1263" s="184" t="s">
        <v>251</v>
      </c>
      <c r="I1263" s="185"/>
      <c r="J1263" s="183"/>
      <c r="K1263" s="192">
        <v>0</v>
      </c>
      <c r="L1263" s="188"/>
      <c r="M1263" s="187"/>
      <c r="N1263" s="187">
        <v>44519</v>
      </c>
      <c r="O1263" s="186">
        <v>3685</v>
      </c>
      <c r="P1263" s="179"/>
      <c r="Q1263" s="725">
        <v>0</v>
      </c>
      <c r="S1263" s="197">
        <v>0</v>
      </c>
      <c r="T1263" s="7">
        <f>S1263*J1263</f>
        <v>0</v>
      </c>
      <c r="U1263" s="335"/>
      <c r="V1263" s="260">
        <v>90</v>
      </c>
    </row>
    <row r="1264" spans="2:22" s="7" customFormat="1" ht="18" customHeight="1">
      <c r="B1264" s="12"/>
      <c r="C1264" s="6" t="s">
        <v>2713</v>
      </c>
      <c r="D1264" s="14" t="s">
        <v>2231</v>
      </c>
      <c r="E1264" s="19" t="s">
        <v>2270</v>
      </c>
      <c r="F1264" s="37"/>
      <c r="G1264" s="37"/>
      <c r="H1264" s="108"/>
      <c r="I1264" s="108"/>
      <c r="J1264" s="108"/>
      <c r="K1264" s="29" t="s">
        <v>5</v>
      </c>
      <c r="L1264" s="139"/>
      <c r="M1264" s="33"/>
      <c r="N1264" s="33">
        <v>44524</v>
      </c>
      <c r="O1264" s="32">
        <v>3688</v>
      </c>
      <c r="P1264" s="6"/>
      <c r="Q1264" s="339"/>
      <c r="U1264" s="21"/>
      <c r="V1264" s="260">
        <v>90</v>
      </c>
    </row>
    <row r="1265" spans="2:22" s="7" customFormat="1" ht="17.25" customHeight="1">
      <c r="B1265" s="12" t="s">
        <v>300</v>
      </c>
      <c r="C1265" s="6" t="s">
        <v>2713</v>
      </c>
      <c r="D1265" s="14" t="s">
        <v>2231</v>
      </c>
      <c r="E1265" s="22">
        <v>5636</v>
      </c>
      <c r="F1265" s="37" t="s">
        <v>230</v>
      </c>
      <c r="G1265" s="839" t="s">
        <v>2714</v>
      </c>
      <c r="H1265" s="108">
        <v>50</v>
      </c>
      <c r="I1265" s="109">
        <v>1</v>
      </c>
      <c r="J1265" s="8">
        <f>H1265*I1265</f>
        <v>50</v>
      </c>
      <c r="K1265" s="39">
        <v>0.26</v>
      </c>
      <c r="L1265" s="39">
        <f>K1265*J1265</f>
        <v>13</v>
      </c>
      <c r="M1265" s="91"/>
      <c r="N1265" s="33">
        <v>44524</v>
      </c>
      <c r="O1265" s="32">
        <v>3688</v>
      </c>
      <c r="P1265" s="391">
        <f>ROUNDUP(S1265/V1265/VLOOKUP(B1265,$C$2:$F$6,3,FALSE),2)</f>
        <v>0.22</v>
      </c>
      <c r="Q1265" s="322">
        <v>0.22</v>
      </c>
      <c r="S1265" s="7">
        <v>13.8</v>
      </c>
      <c r="T1265" s="7">
        <f>S1265*J1265</f>
        <v>690</v>
      </c>
      <c r="U1265" s="778"/>
      <c r="V1265" s="260">
        <v>90</v>
      </c>
    </row>
    <row r="1266" spans="2:22" s="7" customFormat="1" ht="17.25" customHeight="1">
      <c r="B1266" s="12" t="s">
        <v>300</v>
      </c>
      <c r="C1266" s="6" t="s">
        <v>2713</v>
      </c>
      <c r="D1266" s="14" t="s">
        <v>2231</v>
      </c>
      <c r="E1266" s="22">
        <v>5636</v>
      </c>
      <c r="F1266" s="37" t="s">
        <v>230</v>
      </c>
      <c r="G1266" s="839" t="s">
        <v>2715</v>
      </c>
      <c r="H1266" s="108">
        <v>50</v>
      </c>
      <c r="I1266" s="109">
        <v>1</v>
      </c>
      <c r="J1266" s="8">
        <f>H1266*I1266</f>
        <v>50</v>
      </c>
      <c r="K1266" s="39">
        <v>0.26</v>
      </c>
      <c r="L1266" s="39">
        <f>K1266*J1266</f>
        <v>13</v>
      </c>
      <c r="M1266" s="91"/>
      <c r="N1266" s="33">
        <v>44524</v>
      </c>
      <c r="O1266" s="32">
        <v>3688</v>
      </c>
      <c r="P1266" s="391">
        <f>ROUNDUP(S1266/V1266/VLOOKUP(B1266,$C$2:$F$6,3,FALSE),2)</f>
        <v>0.22</v>
      </c>
      <c r="Q1266" s="322">
        <v>0.22</v>
      </c>
      <c r="S1266" s="7">
        <v>13.8</v>
      </c>
      <c r="T1266" s="7">
        <f>S1266*J1266</f>
        <v>690</v>
      </c>
      <c r="U1266" s="778"/>
      <c r="V1266" s="260">
        <v>90</v>
      </c>
    </row>
    <row r="1267" spans="2:22" s="7" customFormat="1" ht="17.25" customHeight="1">
      <c r="B1267" s="12" t="s">
        <v>300</v>
      </c>
      <c r="C1267" s="6" t="s">
        <v>2713</v>
      </c>
      <c r="D1267" s="14" t="s">
        <v>2231</v>
      </c>
      <c r="E1267" s="22">
        <v>5636</v>
      </c>
      <c r="F1267" s="37" t="s">
        <v>230</v>
      </c>
      <c r="G1267" s="839" t="s">
        <v>2716</v>
      </c>
      <c r="H1267" s="108">
        <v>50</v>
      </c>
      <c r="I1267" s="109">
        <v>1</v>
      </c>
      <c r="J1267" s="8">
        <f>H1267*I1267</f>
        <v>50</v>
      </c>
      <c r="K1267" s="39">
        <v>0.26</v>
      </c>
      <c r="L1267" s="39">
        <f>K1267*J1267</f>
        <v>13</v>
      </c>
      <c r="M1267" s="91"/>
      <c r="N1267" s="33">
        <v>44524</v>
      </c>
      <c r="O1267" s="32">
        <v>3688</v>
      </c>
      <c r="P1267" s="391">
        <f>ROUNDUP(S1267/V1267/VLOOKUP(B1267,$C$2:$F$6,3,FALSE),2)</f>
        <v>0.22</v>
      </c>
      <c r="Q1267" s="322">
        <v>0.22</v>
      </c>
      <c r="S1267" s="7">
        <v>13.8</v>
      </c>
      <c r="T1267" s="7">
        <f>S1267*J1267</f>
        <v>690</v>
      </c>
      <c r="U1267" s="778"/>
      <c r="V1267" s="260">
        <v>90</v>
      </c>
    </row>
    <row r="1268" spans="2:22" s="7" customFormat="1" ht="15">
      <c r="B1268" s="12"/>
      <c r="C1268" s="6" t="s">
        <v>2713</v>
      </c>
      <c r="D1268" s="14" t="s">
        <v>2231</v>
      </c>
      <c r="E1268" s="82"/>
      <c r="F1268" s="102"/>
      <c r="G1268" s="22" t="s">
        <v>316</v>
      </c>
      <c r="H1268" s="8"/>
      <c r="I1268" s="35"/>
      <c r="J1268" s="38">
        <v>1</v>
      </c>
      <c r="K1268" s="39">
        <v>12</v>
      </c>
      <c r="L1268" s="39">
        <f>K1268*J1268</f>
        <v>12</v>
      </c>
      <c r="M1268" s="91"/>
      <c r="N1268" s="33">
        <v>44524</v>
      </c>
      <c r="O1268" s="32">
        <v>3688</v>
      </c>
      <c r="P1268" s="6" t="s">
        <v>3</v>
      </c>
      <c r="Q1268" s="322">
        <v>12</v>
      </c>
      <c r="S1268" s="7">
        <v>1100</v>
      </c>
      <c r="T1268" s="7">
        <v>1100</v>
      </c>
      <c r="U1268" s="21"/>
      <c r="V1268" s="260">
        <v>90</v>
      </c>
    </row>
    <row r="1269" spans="2:22" s="191" customFormat="1" ht="15">
      <c r="B1269" s="190"/>
      <c r="C1269" s="179" t="s">
        <v>2713</v>
      </c>
      <c r="D1269" s="180" t="s">
        <v>2231</v>
      </c>
      <c r="E1269" s="181"/>
      <c r="F1269" s="622"/>
      <c r="G1269" s="182" t="s">
        <v>250</v>
      </c>
      <c r="H1269" s="184" t="s">
        <v>251</v>
      </c>
      <c r="I1269" s="185"/>
      <c r="J1269" s="183"/>
      <c r="K1269" s="192">
        <v>0</v>
      </c>
      <c r="L1269" s="188"/>
      <c r="M1269" s="187"/>
      <c r="N1269" s="187">
        <v>44524</v>
      </c>
      <c r="O1269" s="186">
        <v>3688</v>
      </c>
      <c r="P1269" s="179"/>
      <c r="Q1269" s="725">
        <v>0</v>
      </c>
      <c r="S1269" s="197">
        <v>0</v>
      </c>
      <c r="T1269" s="198">
        <v>0</v>
      </c>
      <c r="U1269" s="335"/>
      <c r="V1269" s="260">
        <v>90</v>
      </c>
    </row>
    <row r="1270" spans="2:22" s="7" customFormat="1" ht="18" customHeight="1">
      <c r="B1270" s="12"/>
      <c r="C1270" s="6" t="s">
        <v>2717</v>
      </c>
      <c r="D1270" s="14" t="s">
        <v>2276</v>
      </c>
      <c r="E1270" s="19" t="s">
        <v>59</v>
      </c>
      <c r="F1270" s="107"/>
      <c r="G1270" s="22"/>
      <c r="H1270" s="108"/>
      <c r="I1270" s="109"/>
      <c r="J1270" s="108"/>
      <c r="K1270" s="29" t="s">
        <v>5</v>
      </c>
      <c r="L1270" s="39"/>
      <c r="M1270" s="91"/>
      <c r="N1270" s="33">
        <v>44524</v>
      </c>
      <c r="O1270" s="32">
        <v>3691</v>
      </c>
      <c r="P1270" s="14"/>
      <c r="Q1270" s="322"/>
      <c r="U1270" s="14"/>
      <c r="V1270" s="260">
        <v>90</v>
      </c>
    </row>
    <row r="1271" spans="2:22" s="7" customFormat="1" ht="18" customHeight="1">
      <c r="B1271" s="12" t="s">
        <v>302</v>
      </c>
      <c r="C1271" s="6" t="s">
        <v>2717</v>
      </c>
      <c r="D1271" s="14" t="s">
        <v>2276</v>
      </c>
      <c r="E1271" s="22" t="s">
        <v>2718</v>
      </c>
      <c r="F1271" s="107">
        <v>152</v>
      </c>
      <c r="G1271" s="22" t="s">
        <v>218</v>
      </c>
      <c r="H1271" s="823"/>
      <c r="I1271" s="824"/>
      <c r="J1271" s="8">
        <v>43</v>
      </c>
      <c r="K1271" s="39">
        <v>8.6199999999999992</v>
      </c>
      <c r="L1271" s="39">
        <f>K1271*J1271</f>
        <v>370.65999999999997</v>
      </c>
      <c r="M1271" s="91"/>
      <c r="N1271" s="33">
        <v>44524</v>
      </c>
      <c r="O1271" s="32">
        <v>3691</v>
      </c>
      <c r="P1271" s="391">
        <f>ROUNDUP(S1271/V1271/VLOOKUP(B1271,$C$2:$F$6,3,FALSE),2)</f>
        <v>7.83</v>
      </c>
      <c r="Q1271" s="322">
        <v>7.83</v>
      </c>
      <c r="S1271" s="7">
        <v>620</v>
      </c>
      <c r="T1271" s="7">
        <f>S1271*J1271</f>
        <v>26660</v>
      </c>
      <c r="U1271" s="21"/>
      <c r="V1271" s="260">
        <v>90</v>
      </c>
    </row>
    <row r="1272" spans="2:22" s="7" customFormat="1" ht="15">
      <c r="B1272" s="12"/>
      <c r="C1272" s="6" t="s">
        <v>2717</v>
      </c>
      <c r="D1272" s="14" t="s">
        <v>2276</v>
      </c>
      <c r="E1272" s="22"/>
      <c r="F1272" s="102"/>
      <c r="G1272" s="22" t="s">
        <v>316</v>
      </c>
      <c r="H1272" s="8"/>
      <c r="I1272" s="35"/>
      <c r="J1272" s="38">
        <v>1</v>
      </c>
      <c r="K1272" s="39">
        <v>20</v>
      </c>
      <c r="L1272" s="39">
        <v>20</v>
      </c>
      <c r="M1272" s="91"/>
      <c r="N1272" s="33">
        <v>44524</v>
      </c>
      <c r="O1272" s="32">
        <v>3691</v>
      </c>
      <c r="P1272" s="6"/>
      <c r="Q1272" s="322">
        <v>20</v>
      </c>
      <c r="S1272" s="7">
        <v>1800</v>
      </c>
      <c r="T1272" s="7">
        <f>S1272*J1272</f>
        <v>1800</v>
      </c>
      <c r="U1272" s="21"/>
      <c r="V1272" s="260">
        <v>90</v>
      </c>
    </row>
    <row r="1273" spans="2:22" s="191" customFormat="1" ht="15">
      <c r="B1273" s="190"/>
      <c r="C1273" s="179" t="s">
        <v>2717</v>
      </c>
      <c r="D1273" s="180" t="s">
        <v>2276</v>
      </c>
      <c r="E1273" s="217"/>
      <c r="F1273" s="182"/>
      <c r="G1273" s="182" t="s">
        <v>250</v>
      </c>
      <c r="H1273" s="184" t="s">
        <v>252</v>
      </c>
      <c r="I1273" s="185"/>
      <c r="J1273" s="183"/>
      <c r="K1273" s="333">
        <v>72</v>
      </c>
      <c r="L1273" s="188"/>
      <c r="M1273" s="187"/>
      <c r="N1273" s="187">
        <v>44524</v>
      </c>
      <c r="O1273" s="186">
        <v>3691</v>
      </c>
      <c r="P1273" s="179"/>
      <c r="Q1273" s="747">
        <v>72</v>
      </c>
      <c r="S1273" s="197">
        <v>6476</v>
      </c>
      <c r="T1273" s="92">
        <v>6476</v>
      </c>
      <c r="U1273" s="335"/>
      <c r="V1273" s="260">
        <v>90</v>
      </c>
    </row>
    <row r="1274" spans="2:22" customFormat="1" ht="18" customHeight="1">
      <c r="B1274" s="26"/>
      <c r="C1274" s="6" t="s">
        <v>2719</v>
      </c>
      <c r="D1274" s="14" t="s">
        <v>2517</v>
      </c>
      <c r="E1274" s="19" t="s">
        <v>227</v>
      </c>
      <c r="F1274" s="37"/>
      <c r="G1274" s="37"/>
      <c r="H1274" s="108"/>
      <c r="I1274" s="108"/>
      <c r="J1274" s="108"/>
      <c r="K1274" s="29" t="s">
        <v>101</v>
      </c>
      <c r="L1274" s="139"/>
      <c r="M1274" s="33"/>
      <c r="N1274" s="33">
        <v>44536</v>
      </c>
      <c r="O1274" s="32">
        <v>3707</v>
      </c>
      <c r="P1274" s="6"/>
      <c r="Q1274" s="339"/>
      <c r="R1274" s="1"/>
      <c r="S1274" s="7"/>
      <c r="T1274" s="7"/>
      <c r="U1274" s="21"/>
      <c r="V1274" s="260">
        <v>90</v>
      </c>
    </row>
    <row r="1275" spans="2:22" customFormat="1" ht="18" customHeight="1">
      <c r="B1275" s="26" t="s">
        <v>300</v>
      </c>
      <c r="C1275" s="6" t="s">
        <v>2719</v>
      </c>
      <c r="D1275" s="14" t="s">
        <v>2517</v>
      </c>
      <c r="E1275" s="22">
        <v>2250</v>
      </c>
      <c r="F1275" s="37">
        <v>9</v>
      </c>
      <c r="G1275" s="22" t="s">
        <v>118</v>
      </c>
      <c r="H1275" s="108">
        <v>30</v>
      </c>
      <c r="I1275" s="109">
        <v>29</v>
      </c>
      <c r="J1275" s="8">
        <f>H1275*I1275</f>
        <v>870</v>
      </c>
      <c r="K1275" s="39">
        <v>0.26</v>
      </c>
      <c r="L1275" s="39">
        <f>K1275*J1275</f>
        <v>226.20000000000002</v>
      </c>
      <c r="M1275" s="91"/>
      <c r="N1275" s="33">
        <v>44536</v>
      </c>
      <c r="O1275" s="32">
        <v>3707</v>
      </c>
      <c r="P1275" s="391">
        <f>ROUNDUP(S1275/V1275/VLOOKUP(B1275,$C$2:$F$6,3,FALSE),2)</f>
        <v>0.23</v>
      </c>
      <c r="Q1275" s="322">
        <v>0.23</v>
      </c>
      <c r="R1275" s="1"/>
      <c r="S1275" s="7">
        <v>14</v>
      </c>
      <c r="T1275" s="7">
        <f>S1275*J1275</f>
        <v>12180</v>
      </c>
      <c r="U1275" s="39"/>
      <c r="V1275" s="260">
        <v>90</v>
      </c>
    </row>
    <row r="1276" spans="2:22" s="7" customFormat="1" ht="15">
      <c r="B1276" s="12"/>
      <c r="C1276" s="6" t="s">
        <v>2719</v>
      </c>
      <c r="D1276" s="14" t="s">
        <v>2517</v>
      </c>
      <c r="E1276" s="22"/>
      <c r="F1276" s="102"/>
      <c r="G1276" s="22" t="s">
        <v>316</v>
      </c>
      <c r="H1276" s="8"/>
      <c r="I1276" s="35"/>
      <c r="J1276" s="38">
        <v>1</v>
      </c>
      <c r="K1276" s="39">
        <v>15</v>
      </c>
      <c r="L1276" s="39">
        <f>K1276*J1276</f>
        <v>15</v>
      </c>
      <c r="M1276" s="91"/>
      <c r="N1276" s="33">
        <v>44536</v>
      </c>
      <c r="O1276" s="32">
        <v>3707</v>
      </c>
      <c r="P1276" s="6"/>
      <c r="Q1276" s="322">
        <v>12</v>
      </c>
      <c r="S1276" s="7">
        <v>0</v>
      </c>
      <c r="T1276" s="7">
        <f>S1276*J1276</f>
        <v>0</v>
      </c>
      <c r="U1276" s="21"/>
      <c r="V1276" s="260">
        <v>90</v>
      </c>
    </row>
    <row r="1277" spans="2:22" s="191" customFormat="1" ht="15">
      <c r="B1277" s="190"/>
      <c r="C1277" s="179" t="s">
        <v>2719</v>
      </c>
      <c r="D1277" s="180" t="s">
        <v>2517</v>
      </c>
      <c r="E1277" s="181"/>
      <c r="F1277" s="182"/>
      <c r="G1277" s="771" t="s">
        <v>2518</v>
      </c>
      <c r="H1277" s="184" t="s">
        <v>251</v>
      </c>
      <c r="I1277" s="185"/>
      <c r="J1277" s="183"/>
      <c r="K1277" s="192">
        <v>0</v>
      </c>
      <c r="L1277" s="188"/>
      <c r="M1277" s="187"/>
      <c r="N1277" s="187">
        <v>44536</v>
      </c>
      <c r="O1277" s="186">
        <v>3707</v>
      </c>
      <c r="P1277" s="179"/>
      <c r="Q1277" s="725">
        <v>0</v>
      </c>
      <c r="S1277" s="197">
        <v>0</v>
      </c>
      <c r="T1277" s="198">
        <v>0</v>
      </c>
      <c r="U1277" s="335"/>
      <c r="V1277" s="260">
        <v>90</v>
      </c>
    </row>
    <row r="1278" spans="2:22" customFormat="1" ht="18" customHeight="1">
      <c r="B1278" s="26"/>
      <c r="C1278" s="6" t="s">
        <v>2720</v>
      </c>
      <c r="D1278" s="14" t="s">
        <v>2634</v>
      </c>
      <c r="E1278" s="19" t="s">
        <v>227</v>
      </c>
      <c r="F1278" s="37"/>
      <c r="G1278" s="37"/>
      <c r="H1278" s="108"/>
      <c r="I1278" s="108"/>
      <c r="J1278" s="108"/>
      <c r="K1278" s="29" t="s">
        <v>101</v>
      </c>
      <c r="L1278" s="139"/>
      <c r="M1278" s="33"/>
      <c r="N1278" s="33">
        <v>44567</v>
      </c>
      <c r="O1278" s="32">
        <v>3708</v>
      </c>
      <c r="P1278" s="6"/>
      <c r="Q1278" s="339"/>
      <c r="R1278" s="1"/>
      <c r="S1278" s="7"/>
      <c r="T1278" s="7"/>
      <c r="U1278" s="21"/>
      <c r="V1278" s="260">
        <v>90</v>
      </c>
    </row>
    <row r="1279" spans="2:22" customFormat="1" ht="18" customHeight="1">
      <c r="B1279" s="26" t="s">
        <v>300</v>
      </c>
      <c r="C1279" s="6" t="s">
        <v>2721</v>
      </c>
      <c r="D1279" s="14" t="s">
        <v>2634</v>
      </c>
      <c r="E1279" s="22">
        <v>2250</v>
      </c>
      <c r="F1279" s="37">
        <v>18</v>
      </c>
      <c r="G1279" s="22" t="s">
        <v>118</v>
      </c>
      <c r="H1279" s="108">
        <v>30</v>
      </c>
      <c r="I1279" s="109">
        <v>39</v>
      </c>
      <c r="J1279" s="8">
        <f>H1279*I1279</f>
        <v>1170</v>
      </c>
      <c r="K1279" s="39">
        <v>0.46</v>
      </c>
      <c r="L1279" s="39">
        <f>K1279*J1279</f>
        <v>538.20000000000005</v>
      </c>
      <c r="M1279" s="91"/>
      <c r="N1279" s="33">
        <v>44567</v>
      </c>
      <c r="O1279" s="32">
        <v>3708</v>
      </c>
      <c r="P1279" s="391">
        <f>ROUNDUP(S1279/V1279/VLOOKUP(B1279,$C$2:$F$6,3,FALSE),2)</f>
        <v>0.39</v>
      </c>
      <c r="Q1279" s="322">
        <v>0.39</v>
      </c>
      <c r="R1279" s="1"/>
      <c r="S1279" s="7">
        <v>24.5</v>
      </c>
      <c r="T1279" s="7">
        <f>S1279*J1279</f>
        <v>28665</v>
      </c>
      <c r="U1279" s="39"/>
      <c r="V1279" s="260">
        <v>90</v>
      </c>
    </row>
    <row r="1280" spans="2:22" s="7" customFormat="1" ht="16.899999999999999" customHeight="1">
      <c r="B1280" s="12"/>
      <c r="C1280" s="6" t="s">
        <v>2720</v>
      </c>
      <c r="D1280" s="14" t="s">
        <v>2634</v>
      </c>
      <c r="E1280" s="49"/>
      <c r="F1280" s="340"/>
      <c r="G1280" s="22" t="s">
        <v>316</v>
      </c>
      <c r="H1280" s="8"/>
      <c r="I1280" s="109" ph="1"/>
      <c r="J1280" s="38">
        <v>1</v>
      </c>
      <c r="K1280" s="39">
        <v>15</v>
      </c>
      <c r="L1280" s="39">
        <f>K1280*J1280</f>
        <v>15</v>
      </c>
      <c r="M1280" s="91"/>
      <c r="N1280" s="33">
        <v>44567</v>
      </c>
      <c r="O1280" s="32">
        <v>3708</v>
      </c>
      <c r="P1280" s="6"/>
      <c r="Q1280" s="322">
        <v>12</v>
      </c>
      <c r="S1280" s="7">
        <v>0</v>
      </c>
      <c r="T1280" s="7">
        <f>S1280*J1280</f>
        <v>0</v>
      </c>
      <c r="U1280" s="21"/>
      <c r="V1280" s="260">
        <v>90</v>
      </c>
    </row>
    <row r="1281" spans="2:22" s="191" customFormat="1" ht="15">
      <c r="B1281" s="190"/>
      <c r="C1281" s="179" t="s">
        <v>2720</v>
      </c>
      <c r="D1281" s="180" t="s">
        <v>2634</v>
      </c>
      <c r="E1281" s="181"/>
      <c r="F1281" s="182"/>
      <c r="G1281" s="182" t="s">
        <v>250</v>
      </c>
      <c r="H1281" s="184" t="s">
        <v>252</v>
      </c>
      <c r="I1281" s="185"/>
      <c r="J1281" s="183"/>
      <c r="K1281" s="203">
        <v>90</v>
      </c>
      <c r="L1281" s="188"/>
      <c r="M1281" s="187"/>
      <c r="N1281" s="187">
        <v>44567</v>
      </c>
      <c r="O1281" s="186">
        <v>3708</v>
      </c>
      <c r="P1281" s="179"/>
      <c r="Q1281" s="840">
        <v>73</v>
      </c>
      <c r="S1281" s="212">
        <v>5610</v>
      </c>
      <c r="T1281" s="212">
        <v>5610</v>
      </c>
      <c r="U1281" s="335"/>
      <c r="V1281" s="260">
        <v>90</v>
      </c>
    </row>
    <row r="1282" spans="2:22" customFormat="1" ht="18" customHeight="1">
      <c r="B1282" s="26"/>
      <c r="C1282" s="6" t="s">
        <v>2722</v>
      </c>
      <c r="D1282" s="14" t="s">
        <v>2723</v>
      </c>
      <c r="E1282" s="19" t="s">
        <v>227</v>
      </c>
      <c r="F1282" s="37"/>
      <c r="G1282" s="37"/>
      <c r="H1282" s="108"/>
      <c r="I1282" s="108"/>
      <c r="J1282" s="108"/>
      <c r="K1282" s="29" t="s">
        <v>101</v>
      </c>
      <c r="L1282" s="139"/>
      <c r="M1282" s="33"/>
      <c r="N1282" s="33">
        <v>44537</v>
      </c>
      <c r="O1282" s="32">
        <v>3702</v>
      </c>
      <c r="P1282" s="6"/>
      <c r="Q1282" s="339"/>
      <c r="R1282" s="1"/>
      <c r="S1282" s="7"/>
      <c r="T1282" s="7"/>
      <c r="U1282" s="21"/>
      <c r="V1282" s="260">
        <v>90</v>
      </c>
    </row>
    <row r="1283" spans="2:22" customFormat="1" ht="18" customHeight="1">
      <c r="B1283" s="26" t="s">
        <v>300</v>
      </c>
      <c r="C1283" s="6" t="s">
        <v>2722</v>
      </c>
      <c r="D1283" s="14" t="s">
        <v>2723</v>
      </c>
      <c r="E1283" s="22">
        <v>2250</v>
      </c>
      <c r="F1283" s="37">
        <v>9</v>
      </c>
      <c r="G1283" s="22" t="s">
        <v>118</v>
      </c>
      <c r="H1283" s="108">
        <v>30</v>
      </c>
      <c r="I1283" s="109">
        <v>16</v>
      </c>
      <c r="J1283" s="8">
        <f>H1283*I1283</f>
        <v>480</v>
      </c>
      <c r="K1283" s="39">
        <v>0.32</v>
      </c>
      <c r="L1283" s="39">
        <f>K1283*J1283</f>
        <v>153.6</v>
      </c>
      <c r="M1283" s="91"/>
      <c r="N1283" s="33">
        <v>44537</v>
      </c>
      <c r="O1283" s="32">
        <v>3702</v>
      </c>
      <c r="P1283" s="391">
        <f>ROUNDUP(S1283/V1283/VLOOKUP(B1283,$C$2:$F$6,3,FALSE),2)</f>
        <v>0.23</v>
      </c>
      <c r="Q1283" s="322">
        <v>0.23</v>
      </c>
      <c r="R1283" s="1"/>
      <c r="S1283" s="7">
        <v>14</v>
      </c>
      <c r="T1283" s="7">
        <f>S1283*J1283</f>
        <v>6720</v>
      </c>
      <c r="U1283" s="39"/>
      <c r="V1283" s="260">
        <v>90</v>
      </c>
    </row>
    <row r="1284" spans="2:22" customFormat="1" ht="18" customHeight="1">
      <c r="B1284" s="26" t="s">
        <v>300</v>
      </c>
      <c r="C1284" s="6" t="s">
        <v>2722</v>
      </c>
      <c r="D1284" s="14" t="s">
        <v>2723</v>
      </c>
      <c r="E1284" s="22">
        <v>2250</v>
      </c>
      <c r="F1284" s="37">
        <v>9</v>
      </c>
      <c r="G1284" s="22" t="s">
        <v>2133</v>
      </c>
      <c r="H1284" s="108">
        <v>30</v>
      </c>
      <c r="I1284" s="109">
        <v>7</v>
      </c>
      <c r="J1284" s="8">
        <f>H1284*I1284</f>
        <v>210</v>
      </c>
      <c r="K1284" s="39">
        <v>0.32</v>
      </c>
      <c r="L1284" s="39">
        <f>K1284*J1284</f>
        <v>67.2</v>
      </c>
      <c r="M1284" s="91"/>
      <c r="N1284" s="33">
        <v>44537</v>
      </c>
      <c r="O1284" s="32">
        <v>3702</v>
      </c>
      <c r="P1284" s="391">
        <f>ROUNDUP(S1284/V1284/VLOOKUP(B1284,$C$2:$F$6,3,FALSE),2)</f>
        <v>0.23</v>
      </c>
      <c r="Q1284" s="322">
        <v>0.23</v>
      </c>
      <c r="R1284" s="1"/>
      <c r="S1284" s="7">
        <v>14</v>
      </c>
      <c r="T1284" s="7">
        <f>S1284*J1284</f>
        <v>2940</v>
      </c>
      <c r="U1284" s="39"/>
      <c r="V1284" s="260">
        <v>90</v>
      </c>
    </row>
    <row r="1285" spans="2:22" customFormat="1" ht="18" customHeight="1">
      <c r="B1285" s="26" t="s">
        <v>300</v>
      </c>
      <c r="C1285" s="6" t="s">
        <v>2722</v>
      </c>
      <c r="D1285" s="14" t="s">
        <v>2723</v>
      </c>
      <c r="E1285" s="22">
        <v>2250</v>
      </c>
      <c r="F1285" s="37">
        <v>12</v>
      </c>
      <c r="G1285" s="22" t="s">
        <v>118</v>
      </c>
      <c r="H1285" s="108">
        <v>30</v>
      </c>
      <c r="I1285" s="109">
        <v>8</v>
      </c>
      <c r="J1285" s="8">
        <f>H1285*I1285</f>
        <v>240</v>
      </c>
      <c r="K1285" s="39">
        <v>0.41</v>
      </c>
      <c r="L1285" s="39">
        <f>K1285*J1285</f>
        <v>98.399999999999991</v>
      </c>
      <c r="M1285" s="91"/>
      <c r="N1285" s="33">
        <v>44537</v>
      </c>
      <c r="O1285" s="32">
        <v>3702</v>
      </c>
      <c r="P1285" s="391">
        <f>ROUNDUP(S1285/V1285/VLOOKUP(B1285,$C$2:$F$6,3,FALSE),2)</f>
        <v>0.28000000000000003</v>
      </c>
      <c r="Q1285" s="322">
        <v>0.28000000000000003</v>
      </c>
      <c r="R1285" s="1"/>
      <c r="S1285" s="7">
        <v>17.5</v>
      </c>
      <c r="T1285" s="7">
        <f>S1285*J1285</f>
        <v>4200</v>
      </c>
      <c r="U1285" s="39"/>
      <c r="V1285" s="260">
        <v>90</v>
      </c>
    </row>
    <row r="1286" spans="2:22" s="7" customFormat="1" ht="15">
      <c r="B1286" s="12"/>
      <c r="C1286" s="6" t="s">
        <v>2722</v>
      </c>
      <c r="D1286" s="14" t="s">
        <v>2723</v>
      </c>
      <c r="E1286" s="22"/>
      <c r="F1286" s="102"/>
      <c r="G1286" s="22" t="s">
        <v>316</v>
      </c>
      <c r="H1286" s="8"/>
      <c r="I1286" s="35"/>
      <c r="J1286" s="38">
        <v>1</v>
      </c>
      <c r="K1286" s="39">
        <v>15</v>
      </c>
      <c r="L1286" s="39">
        <f>K1286*J1286</f>
        <v>15</v>
      </c>
      <c r="M1286" s="91"/>
      <c r="N1286" s="33">
        <v>44537</v>
      </c>
      <c r="O1286" s="32">
        <v>3702</v>
      </c>
      <c r="P1286" s="6"/>
      <c r="Q1286" s="322">
        <v>12</v>
      </c>
      <c r="S1286" s="7">
        <v>0</v>
      </c>
      <c r="T1286" s="7">
        <f>S1286*J1286</f>
        <v>0</v>
      </c>
      <c r="U1286" s="21"/>
      <c r="V1286" s="260">
        <v>90</v>
      </c>
    </row>
    <row r="1287" spans="2:22" s="191" customFormat="1" ht="15">
      <c r="B1287" s="190"/>
      <c r="C1287" s="179" t="s">
        <v>2722</v>
      </c>
      <c r="D1287" s="180" t="s">
        <v>2723</v>
      </c>
      <c r="E1287" s="181"/>
      <c r="F1287" s="182"/>
      <c r="G1287" s="182" t="s">
        <v>324</v>
      </c>
      <c r="H1287" s="184" t="s">
        <v>264</v>
      </c>
      <c r="I1287" s="185"/>
      <c r="J1287" s="183"/>
      <c r="K1287" s="203" t="s">
        <v>2724</v>
      </c>
      <c r="L1287" s="188"/>
      <c r="M1287" s="187"/>
      <c r="N1287" s="187">
        <v>44537</v>
      </c>
      <c r="O1287" s="186">
        <v>3702</v>
      </c>
      <c r="P1287" s="179"/>
      <c r="Q1287" s="840">
        <v>40</v>
      </c>
      <c r="S1287" s="212">
        <v>3762</v>
      </c>
      <c r="T1287" s="212">
        <v>3762</v>
      </c>
      <c r="U1287" s="335"/>
      <c r="V1287" s="260">
        <v>90</v>
      </c>
    </row>
    <row r="1288" spans="2:22" s="7" customFormat="1" ht="18" customHeight="1">
      <c r="B1288" s="12"/>
      <c r="C1288" s="6" t="s">
        <v>2725</v>
      </c>
      <c r="D1288" s="14" t="s">
        <v>2067</v>
      </c>
      <c r="E1288" s="19" t="s">
        <v>59</v>
      </c>
      <c r="F1288" s="107"/>
      <c r="G1288" s="22"/>
      <c r="H1288" s="108"/>
      <c r="I1288" s="109"/>
      <c r="J1288" s="108"/>
      <c r="K1288" s="29" t="s">
        <v>5</v>
      </c>
      <c r="L1288" s="39"/>
      <c r="M1288" s="91"/>
      <c r="N1288" s="33">
        <v>44532</v>
      </c>
      <c r="O1288" s="32">
        <v>3714</v>
      </c>
      <c r="P1288" s="14"/>
      <c r="Q1288" s="322"/>
      <c r="U1288" s="14"/>
      <c r="V1288" s="260">
        <v>90</v>
      </c>
    </row>
    <row r="1289" spans="2:22" s="7" customFormat="1" ht="18" customHeight="1">
      <c r="B1289" s="12" t="s">
        <v>302</v>
      </c>
      <c r="C1289" s="6" t="s">
        <v>2725</v>
      </c>
      <c r="D1289" s="14" t="s">
        <v>2067</v>
      </c>
      <c r="E1289" s="22" t="s">
        <v>2726</v>
      </c>
      <c r="F1289" s="107">
        <v>148</v>
      </c>
      <c r="G1289" s="22" t="s">
        <v>2727</v>
      </c>
      <c r="H1289" s="108">
        <v>41</v>
      </c>
      <c r="I1289" s="109">
        <v>1</v>
      </c>
      <c r="J1289" s="8">
        <f>H1289*I1289</f>
        <v>41</v>
      </c>
      <c r="K1289" s="39">
        <v>6.12</v>
      </c>
      <c r="L1289" s="39">
        <f>K1289*J1289</f>
        <v>250.92000000000002</v>
      </c>
      <c r="M1289" s="91"/>
      <c r="N1289" s="33">
        <v>44532</v>
      </c>
      <c r="O1289" s="32">
        <v>3714</v>
      </c>
      <c r="P1289" s="391">
        <f>ROUNDUP(S1289/V1289/VLOOKUP(B1289,$C$2:$F$6,3,FALSE),2)</f>
        <v>5.56</v>
      </c>
      <c r="Q1289" s="322">
        <v>5.56</v>
      </c>
      <c r="S1289" s="7">
        <v>440</v>
      </c>
      <c r="T1289" s="7">
        <f>S1289*J1289</f>
        <v>18040</v>
      </c>
      <c r="U1289" s="21"/>
      <c r="V1289" s="260">
        <v>90</v>
      </c>
    </row>
    <row r="1290" spans="2:22" s="7" customFormat="1" ht="15">
      <c r="B1290" s="12"/>
      <c r="C1290" s="6" t="s">
        <v>2725</v>
      </c>
      <c r="D1290" s="14" t="s">
        <v>2067</v>
      </c>
      <c r="E1290" s="22"/>
      <c r="F1290" s="102"/>
      <c r="G1290" s="22" t="s">
        <v>316</v>
      </c>
      <c r="H1290" s="8"/>
      <c r="I1290" s="35"/>
      <c r="J1290" s="38">
        <v>1</v>
      </c>
      <c r="K1290" s="39">
        <v>20</v>
      </c>
      <c r="L1290" s="39">
        <v>20</v>
      </c>
      <c r="M1290" s="91"/>
      <c r="N1290" s="33">
        <v>44532</v>
      </c>
      <c r="O1290" s="32">
        <v>3714</v>
      </c>
      <c r="P1290" s="6"/>
      <c r="Q1290" s="322">
        <v>20</v>
      </c>
      <c r="S1290" s="7">
        <v>1800</v>
      </c>
      <c r="T1290" s="7">
        <f>S1290*J1290</f>
        <v>1800</v>
      </c>
      <c r="U1290" s="21"/>
      <c r="V1290" s="260">
        <v>90</v>
      </c>
    </row>
    <row r="1291" spans="2:22" s="191" customFormat="1" ht="15">
      <c r="B1291" s="190"/>
      <c r="C1291" s="179" t="s">
        <v>2725</v>
      </c>
      <c r="D1291" s="180" t="s">
        <v>2067</v>
      </c>
      <c r="E1291" s="217"/>
      <c r="F1291" s="182"/>
      <c r="G1291" s="182" t="s">
        <v>250</v>
      </c>
      <c r="H1291" s="184" t="s">
        <v>251</v>
      </c>
      <c r="I1291" s="185"/>
      <c r="J1291" s="183"/>
      <c r="K1291" s="192">
        <v>0</v>
      </c>
      <c r="L1291" s="188"/>
      <c r="M1291" s="187"/>
      <c r="N1291" s="187"/>
      <c r="O1291" s="186"/>
      <c r="P1291" s="179"/>
      <c r="Q1291" s="725">
        <v>0</v>
      </c>
      <c r="S1291" s="197">
        <v>0</v>
      </c>
      <c r="T1291" s="198">
        <v>0</v>
      </c>
      <c r="U1291" s="335"/>
      <c r="V1291" s="260">
        <v>90</v>
      </c>
    </row>
    <row r="1292" spans="2:22" s="7" customFormat="1" ht="15" customHeight="1">
      <c r="B1292" s="12"/>
      <c r="C1292" s="6" t="s">
        <v>2728</v>
      </c>
      <c r="D1292" s="14" t="s">
        <v>2559</v>
      </c>
      <c r="E1292" s="19" t="s">
        <v>200</v>
      </c>
      <c r="F1292" s="24"/>
      <c r="G1292" s="22"/>
      <c r="H1292" s="60"/>
      <c r="I1292" s="61"/>
      <c r="J1292" s="60"/>
      <c r="K1292" s="16" t="s">
        <v>101</v>
      </c>
      <c r="L1292" s="33"/>
      <c r="M1292" s="33"/>
      <c r="N1292" s="33">
        <v>44536</v>
      </c>
      <c r="O1292" s="32">
        <v>3725</v>
      </c>
      <c r="P1292" s="123" t="s">
        <v>8</v>
      </c>
      <c r="Q1292" s="230" t="s">
        <v>226</v>
      </c>
      <c r="S1292" s="257"/>
      <c r="T1292" s="92"/>
      <c r="U1292" s="269"/>
      <c r="V1292" s="260">
        <v>90</v>
      </c>
    </row>
    <row r="1293" spans="2:22" s="7" customFormat="1" ht="18" customHeight="1">
      <c r="B1293" s="12" t="s">
        <v>300</v>
      </c>
      <c r="C1293" s="6" t="s">
        <v>2728</v>
      </c>
      <c r="D1293" s="14" t="s">
        <v>2559</v>
      </c>
      <c r="E1293" s="22">
        <v>5291</v>
      </c>
      <c r="F1293" s="24">
        <v>4</v>
      </c>
      <c r="G1293" s="22" t="s">
        <v>2729</v>
      </c>
      <c r="H1293" s="60">
        <v>50</v>
      </c>
      <c r="I1293" s="61">
        <v>4</v>
      </c>
      <c r="J1293" s="8">
        <f>H1293*I1293</f>
        <v>200</v>
      </c>
      <c r="K1293" s="39">
        <v>0.12</v>
      </c>
      <c r="L1293" s="39">
        <f>K1293*J1293</f>
        <v>24</v>
      </c>
      <c r="M1293" s="91"/>
      <c r="N1293" s="33">
        <v>44536</v>
      </c>
      <c r="O1293" s="32">
        <v>3725</v>
      </c>
      <c r="P1293" s="391">
        <f>ROUNDUP(S1293/V1293/VLOOKUP(B1293,$C$2:$F$6,3,FALSE),2)</f>
        <v>0.11</v>
      </c>
      <c r="Q1293" s="124">
        <v>0.11</v>
      </c>
      <c r="S1293" s="257">
        <v>6.4</v>
      </c>
      <c r="T1293" s="7">
        <f>S1293*J1293</f>
        <v>1280</v>
      </c>
      <c r="U1293" s="270"/>
      <c r="V1293" s="260">
        <v>90</v>
      </c>
    </row>
    <row r="1294" spans="2:22" customFormat="1" ht="15.95" customHeight="1">
      <c r="B1294" s="26"/>
      <c r="C1294" s="6" t="s">
        <v>2728</v>
      </c>
      <c r="D1294" s="14" t="s">
        <v>2559</v>
      </c>
      <c r="E1294" s="22"/>
      <c r="F1294" s="102"/>
      <c r="G1294" s="37" t="s">
        <v>316</v>
      </c>
      <c r="H1294" s="8"/>
      <c r="I1294" s="35"/>
      <c r="J1294" s="38">
        <v>1</v>
      </c>
      <c r="K1294" s="39">
        <v>15</v>
      </c>
      <c r="L1294" s="39">
        <f>K1294*J1294</f>
        <v>15</v>
      </c>
      <c r="M1294" s="91"/>
      <c r="N1294" s="33">
        <v>44536</v>
      </c>
      <c r="O1294" s="32">
        <v>3725</v>
      </c>
      <c r="P1294" s="123"/>
      <c r="Q1294" s="124">
        <v>15</v>
      </c>
      <c r="R1294" s="1"/>
      <c r="S1294" s="263">
        <v>850</v>
      </c>
      <c r="T1294" s="7">
        <f>S1294*J1294</f>
        <v>850</v>
      </c>
      <c r="U1294" s="270"/>
      <c r="V1294" s="260">
        <v>90</v>
      </c>
    </row>
    <row r="1295" spans="2:22" s="191" customFormat="1" ht="15" customHeight="1">
      <c r="B1295" s="190"/>
      <c r="C1295" s="179" t="s">
        <v>2728</v>
      </c>
      <c r="D1295" s="180" t="s">
        <v>2559</v>
      </c>
      <c r="E1295" s="181"/>
      <c r="F1295" s="182"/>
      <c r="G1295" s="182" t="s">
        <v>250</v>
      </c>
      <c r="H1295" s="184" t="s">
        <v>251</v>
      </c>
      <c r="I1295" s="185"/>
      <c r="J1295" s="183"/>
      <c r="K1295" s="192">
        <v>0</v>
      </c>
      <c r="L1295" s="187"/>
      <c r="M1295" s="187"/>
      <c r="N1295" s="187">
        <v>44536</v>
      </c>
      <c r="O1295" s="186">
        <v>3725</v>
      </c>
      <c r="P1295" s="179"/>
      <c r="Q1295" s="255">
        <v>0</v>
      </c>
      <c r="S1295" s="275">
        <v>0</v>
      </c>
      <c r="T1295" s="198">
        <v>0</v>
      </c>
      <c r="U1295" s="271"/>
      <c r="V1295" s="260">
        <v>90</v>
      </c>
    </row>
    <row r="1296" spans="2:22" s="7" customFormat="1" ht="15" customHeight="1">
      <c r="B1296" s="12"/>
      <c r="C1296" s="6" t="s">
        <v>2730</v>
      </c>
      <c r="D1296" s="14" t="s">
        <v>2378</v>
      </c>
      <c r="E1296" s="19" t="s">
        <v>2731</v>
      </c>
      <c r="F1296" s="24"/>
      <c r="G1296" s="22"/>
      <c r="H1296" s="60"/>
      <c r="I1296" s="61"/>
      <c r="J1296" s="60"/>
      <c r="K1296" s="16" t="s">
        <v>101</v>
      </c>
      <c r="L1296" s="33"/>
      <c r="M1296" s="33"/>
      <c r="N1296" s="33">
        <v>44540</v>
      </c>
      <c r="O1296" s="32">
        <v>3724</v>
      </c>
      <c r="P1296" s="123" t="s">
        <v>8</v>
      </c>
      <c r="Q1296" s="230" t="s">
        <v>226</v>
      </c>
      <c r="S1296" s="257"/>
      <c r="T1296" s="92"/>
      <c r="U1296" s="269"/>
      <c r="V1296" s="260">
        <v>90</v>
      </c>
    </row>
    <row r="1297" spans="2:22" s="7" customFormat="1" ht="18" customHeight="1">
      <c r="B1297" s="12" t="s">
        <v>300</v>
      </c>
      <c r="C1297" s="6" t="s">
        <v>2730</v>
      </c>
      <c r="D1297" s="14" t="s">
        <v>2378</v>
      </c>
      <c r="E1297" s="22">
        <v>6355</v>
      </c>
      <c r="F1297" s="24">
        <v>25</v>
      </c>
      <c r="G1297" s="22" t="s">
        <v>75</v>
      </c>
      <c r="H1297" s="60">
        <v>30</v>
      </c>
      <c r="I1297" s="61">
        <v>1</v>
      </c>
      <c r="J1297" s="8">
        <f>H1297*I1297</f>
        <v>30</v>
      </c>
      <c r="K1297" s="39">
        <v>0.75</v>
      </c>
      <c r="L1297" s="39">
        <f>K1297*J1297</f>
        <v>22.5</v>
      </c>
      <c r="M1297" s="91"/>
      <c r="N1297" s="33">
        <v>44540</v>
      </c>
      <c r="O1297" s="32">
        <v>3724</v>
      </c>
      <c r="P1297" s="391">
        <f>ROUNDUP(S1297/V1297/VLOOKUP(B1297,$C$2:$F$6,3,FALSE),2)</f>
        <v>0.64</v>
      </c>
      <c r="Q1297" s="124">
        <v>0.64</v>
      </c>
      <c r="S1297" s="257">
        <v>40</v>
      </c>
      <c r="T1297" s="7">
        <f>S1297*J1297</f>
        <v>1200</v>
      </c>
      <c r="U1297" s="270"/>
      <c r="V1297" s="260">
        <v>90</v>
      </c>
    </row>
    <row r="1298" spans="2:22" s="7" customFormat="1" ht="18" customHeight="1">
      <c r="B1298" s="12" t="s">
        <v>300</v>
      </c>
      <c r="C1298" s="6" t="s">
        <v>2730</v>
      </c>
      <c r="D1298" s="14" t="s">
        <v>2378</v>
      </c>
      <c r="E1298" s="22">
        <v>6355</v>
      </c>
      <c r="F1298" s="24">
        <v>25</v>
      </c>
      <c r="G1298" s="22" t="s">
        <v>76</v>
      </c>
      <c r="H1298" s="60">
        <v>30</v>
      </c>
      <c r="I1298" s="61">
        <v>1</v>
      </c>
      <c r="J1298" s="8">
        <f>H1298*I1298</f>
        <v>30</v>
      </c>
      <c r="K1298" s="39">
        <v>0.75</v>
      </c>
      <c r="L1298" s="39">
        <f>K1298*J1298</f>
        <v>22.5</v>
      </c>
      <c r="M1298" s="91"/>
      <c r="N1298" s="33">
        <v>44540</v>
      </c>
      <c r="O1298" s="32">
        <v>3724</v>
      </c>
      <c r="P1298" s="391">
        <f>ROUNDUP(S1298/V1298/VLOOKUP(B1298,$C$2:$F$6,3,FALSE),2)</f>
        <v>0.64</v>
      </c>
      <c r="Q1298" s="124">
        <v>0.64</v>
      </c>
      <c r="S1298" s="257">
        <v>40</v>
      </c>
      <c r="T1298" s="7">
        <f>S1298*J1298</f>
        <v>1200</v>
      </c>
      <c r="U1298" s="270"/>
      <c r="V1298" s="260">
        <v>90</v>
      </c>
    </row>
    <row r="1299" spans="2:22" s="7" customFormat="1" ht="15" customHeight="1">
      <c r="B1299" s="12"/>
      <c r="C1299" s="6" t="s">
        <v>2730</v>
      </c>
      <c r="D1299" s="14" t="s">
        <v>2378</v>
      </c>
      <c r="E1299" s="19" t="s">
        <v>2732</v>
      </c>
      <c r="F1299" s="24"/>
      <c r="G1299" s="22"/>
      <c r="H1299" s="60"/>
      <c r="I1299" s="61"/>
      <c r="J1299" s="60"/>
      <c r="K1299" s="16" t="s">
        <v>101</v>
      </c>
      <c r="L1299" s="33"/>
      <c r="M1299" s="33"/>
      <c r="N1299" s="33">
        <v>44540</v>
      </c>
      <c r="O1299" s="32">
        <v>3724</v>
      </c>
      <c r="P1299" s="123" t="s">
        <v>8</v>
      </c>
      <c r="Q1299" s="230" t="s">
        <v>226</v>
      </c>
      <c r="S1299" s="257"/>
      <c r="T1299" s="92"/>
      <c r="U1299" s="269"/>
      <c r="V1299" s="260">
        <v>90</v>
      </c>
    </row>
    <row r="1300" spans="2:22" s="7" customFormat="1" ht="18" customHeight="1">
      <c r="B1300" s="12" t="s">
        <v>300</v>
      </c>
      <c r="C1300" s="6" t="s">
        <v>2730</v>
      </c>
      <c r="D1300" s="14" t="s">
        <v>2378</v>
      </c>
      <c r="E1300" s="22" t="s">
        <v>2733</v>
      </c>
      <c r="F1300" s="24"/>
      <c r="G1300" s="22" t="s">
        <v>2734</v>
      </c>
      <c r="H1300" s="60">
        <v>30</v>
      </c>
      <c r="I1300" s="61">
        <v>1</v>
      </c>
      <c r="J1300" s="8">
        <f>H1300*I1300</f>
        <v>30</v>
      </c>
      <c r="K1300" s="39">
        <v>1.1299999999999999</v>
      </c>
      <c r="L1300" s="39">
        <f>K1300*J1300</f>
        <v>33.9</v>
      </c>
      <c r="M1300" s="91"/>
      <c r="N1300" s="33">
        <v>44540</v>
      </c>
      <c r="O1300" s="32">
        <v>3724</v>
      </c>
      <c r="P1300" s="391">
        <f>ROUNDUP(S1300/V1300/VLOOKUP(B1300,$C$2:$F$6,3,FALSE),2)</f>
        <v>0.97</v>
      </c>
      <c r="Q1300" s="124">
        <v>0.97</v>
      </c>
      <c r="S1300" s="257">
        <v>61</v>
      </c>
      <c r="T1300" s="7">
        <f>S1300*J1300</f>
        <v>1830</v>
      </c>
      <c r="U1300" s="270"/>
      <c r="V1300" s="260">
        <v>90</v>
      </c>
    </row>
    <row r="1301" spans="2:22" s="7" customFormat="1" ht="18" customHeight="1">
      <c r="B1301" s="12" t="s">
        <v>300</v>
      </c>
      <c r="C1301" s="6" t="s">
        <v>2730</v>
      </c>
      <c r="D1301" s="14" t="s">
        <v>2378</v>
      </c>
      <c r="E1301" s="22" t="s">
        <v>2733</v>
      </c>
      <c r="F1301" s="24"/>
      <c r="G1301" s="22" t="s">
        <v>2094</v>
      </c>
      <c r="H1301" s="60">
        <v>30</v>
      </c>
      <c r="I1301" s="61">
        <v>1</v>
      </c>
      <c r="J1301" s="8">
        <f>H1301*I1301</f>
        <v>30</v>
      </c>
      <c r="K1301" s="39">
        <v>1.1299999999999999</v>
      </c>
      <c r="L1301" s="39">
        <f>K1301*J1301</f>
        <v>33.9</v>
      </c>
      <c r="M1301" s="91"/>
      <c r="N1301" s="33">
        <v>44540</v>
      </c>
      <c r="O1301" s="32">
        <v>3724</v>
      </c>
      <c r="P1301" s="391">
        <f>ROUNDUP(S1301/V1301/VLOOKUP(B1301,$C$2:$F$6,3,FALSE),2)</f>
        <v>0.97</v>
      </c>
      <c r="Q1301" s="124">
        <v>0.97</v>
      </c>
      <c r="S1301" s="257">
        <v>61</v>
      </c>
      <c r="T1301" s="7">
        <f>S1301*J1301</f>
        <v>1830</v>
      </c>
      <c r="U1301" s="270"/>
      <c r="V1301" s="260">
        <v>90</v>
      </c>
    </row>
    <row r="1302" spans="2:22" s="7" customFormat="1" ht="18" customHeight="1">
      <c r="B1302" s="12" t="s">
        <v>300</v>
      </c>
      <c r="C1302" s="6" t="s">
        <v>2730</v>
      </c>
      <c r="D1302" s="14" t="s">
        <v>2378</v>
      </c>
      <c r="E1302" s="22" t="s">
        <v>2733</v>
      </c>
      <c r="F1302" s="24"/>
      <c r="G1302" s="22" t="s">
        <v>237</v>
      </c>
      <c r="H1302" s="60">
        <v>30</v>
      </c>
      <c r="I1302" s="61">
        <v>1</v>
      </c>
      <c r="J1302" s="8">
        <f>H1302*I1302</f>
        <v>30</v>
      </c>
      <c r="K1302" s="39">
        <v>1.1299999999999999</v>
      </c>
      <c r="L1302" s="39">
        <f>K1302*J1302</f>
        <v>33.9</v>
      </c>
      <c r="M1302" s="91"/>
      <c r="N1302" s="33">
        <v>44540</v>
      </c>
      <c r="O1302" s="32">
        <v>3724</v>
      </c>
      <c r="P1302" s="391">
        <f>ROUNDUP(S1302/V1302/VLOOKUP(B1302,$C$2:$F$6,3,FALSE),2)</f>
        <v>0.97</v>
      </c>
      <c r="Q1302" s="124">
        <v>0.97</v>
      </c>
      <c r="S1302" s="257">
        <v>61</v>
      </c>
      <c r="T1302" s="7">
        <f>S1302*J1302</f>
        <v>1830</v>
      </c>
      <c r="U1302" s="270"/>
      <c r="V1302" s="260">
        <v>90</v>
      </c>
    </row>
    <row r="1303" spans="2:22" s="7" customFormat="1" ht="15" customHeight="1">
      <c r="B1303" s="12"/>
      <c r="C1303" s="6" t="s">
        <v>2730</v>
      </c>
      <c r="D1303" s="14" t="s">
        <v>2378</v>
      </c>
      <c r="E1303" s="19" t="s">
        <v>2735</v>
      </c>
      <c r="F1303" s="24"/>
      <c r="G1303" s="22"/>
      <c r="H1303" s="60"/>
      <c r="I1303" s="61"/>
      <c r="J1303" s="60"/>
      <c r="K1303" s="16" t="s">
        <v>101</v>
      </c>
      <c r="L1303" s="33"/>
      <c r="M1303" s="33"/>
      <c r="N1303" s="33">
        <v>44540</v>
      </c>
      <c r="O1303" s="32">
        <v>3724</v>
      </c>
      <c r="P1303" s="123" t="s">
        <v>8</v>
      </c>
      <c r="Q1303" s="230" t="s">
        <v>226</v>
      </c>
      <c r="S1303" s="257"/>
      <c r="T1303" s="92"/>
      <c r="U1303" s="269"/>
      <c r="V1303" s="260">
        <v>90</v>
      </c>
    </row>
    <row r="1304" spans="2:22" s="7" customFormat="1" ht="18" customHeight="1">
      <c r="B1304" s="12" t="s">
        <v>300</v>
      </c>
      <c r="C1304" s="6" t="s">
        <v>2730</v>
      </c>
      <c r="D1304" s="14" t="s">
        <v>2378</v>
      </c>
      <c r="E1304" s="22" t="s">
        <v>2736</v>
      </c>
      <c r="F1304" s="24"/>
      <c r="G1304" s="22" t="s">
        <v>285</v>
      </c>
      <c r="H1304" s="60">
        <v>30</v>
      </c>
      <c r="I1304" s="61">
        <v>1</v>
      </c>
      <c r="J1304" s="8">
        <f>H1304*I1304</f>
        <v>30</v>
      </c>
      <c r="K1304" s="39">
        <v>1.36</v>
      </c>
      <c r="L1304" s="39">
        <f>K1304*J1304</f>
        <v>40.800000000000004</v>
      </c>
      <c r="M1304" s="91"/>
      <c r="N1304" s="33">
        <v>44540</v>
      </c>
      <c r="O1304" s="32">
        <v>3724</v>
      </c>
      <c r="P1304" s="391">
        <f>ROUNDUP(S1304/V1304/VLOOKUP(B1304,$C$2:$F$6,3,FALSE),2)</f>
        <v>1.1599999999999999</v>
      </c>
      <c r="Q1304" s="124">
        <v>1.1599999999999999</v>
      </c>
      <c r="S1304" s="257">
        <v>73</v>
      </c>
      <c r="T1304" s="7">
        <f>S1304*J1304</f>
        <v>2190</v>
      </c>
      <c r="U1304" s="270"/>
      <c r="V1304" s="260">
        <v>90</v>
      </c>
    </row>
    <row r="1305" spans="2:22" customFormat="1" ht="15.95" customHeight="1">
      <c r="B1305" s="26" t="s">
        <v>306</v>
      </c>
      <c r="C1305" s="6" t="s">
        <v>2730</v>
      </c>
      <c r="D1305" s="14" t="s">
        <v>2378</v>
      </c>
      <c r="E1305" s="22"/>
      <c r="F1305" s="102"/>
      <c r="G1305" s="37" t="s">
        <v>2737</v>
      </c>
      <c r="H1305" s="8"/>
      <c r="I1305" s="35"/>
      <c r="J1305" s="38">
        <v>1</v>
      </c>
      <c r="K1305" s="39">
        <v>3</v>
      </c>
      <c r="L1305" s="39">
        <f>K1305*J1305</f>
        <v>3</v>
      </c>
      <c r="M1305" s="91"/>
      <c r="N1305" s="33">
        <v>44540</v>
      </c>
      <c r="O1305" s="32">
        <v>3724</v>
      </c>
      <c r="P1305" s="391">
        <f>ROUNDUP(S1305/V1305/VLOOKUP(B1305,$C$2:$F$6,3,FALSE),2)</f>
        <v>0</v>
      </c>
      <c r="Q1305" s="124">
        <v>2.5299999999999998</v>
      </c>
      <c r="R1305" s="1"/>
      <c r="S1305" s="263">
        <v>0</v>
      </c>
      <c r="T1305" s="7">
        <f>S1305*J1305</f>
        <v>0</v>
      </c>
      <c r="U1305" s="270"/>
      <c r="V1305" s="260">
        <v>90</v>
      </c>
    </row>
    <row r="1306" spans="2:22" customFormat="1" ht="15.95" customHeight="1">
      <c r="B1306" s="26"/>
      <c r="C1306" s="6" t="s">
        <v>2730</v>
      </c>
      <c r="D1306" s="14" t="s">
        <v>2378</v>
      </c>
      <c r="E1306" s="22"/>
      <c r="F1306" s="102"/>
      <c r="G1306" s="37" t="s">
        <v>316</v>
      </c>
      <c r="H1306" s="8"/>
      <c r="I1306" s="35"/>
      <c r="J1306" s="38">
        <v>2</v>
      </c>
      <c r="K1306" s="39">
        <v>12</v>
      </c>
      <c r="L1306" s="39">
        <f>K1306*J1306</f>
        <v>24</v>
      </c>
      <c r="M1306" s="91"/>
      <c r="N1306" s="33">
        <v>44540</v>
      </c>
      <c r="O1306" s="32">
        <v>3724</v>
      </c>
      <c r="P1306" s="123"/>
      <c r="Q1306" s="124">
        <v>24</v>
      </c>
      <c r="R1306" s="1"/>
      <c r="S1306" s="263">
        <f>850+1000</f>
        <v>1850</v>
      </c>
      <c r="T1306" s="263">
        <f>850+1000</f>
        <v>1850</v>
      </c>
      <c r="U1306" s="270"/>
      <c r="V1306" s="260">
        <v>90</v>
      </c>
    </row>
    <row r="1307" spans="2:22" s="191" customFormat="1" ht="15.75" customHeight="1">
      <c r="B1307" s="190"/>
      <c r="C1307" s="179" t="s">
        <v>2730</v>
      </c>
      <c r="D1307" s="180" t="s">
        <v>2378</v>
      </c>
      <c r="E1307" s="217"/>
      <c r="F1307" s="182"/>
      <c r="G1307" s="182" t="s">
        <v>2738</v>
      </c>
      <c r="H1307" s="184" t="s">
        <v>252</v>
      </c>
      <c r="I1307" s="185"/>
      <c r="J1307" s="183"/>
      <c r="K1307" s="333">
        <v>36</v>
      </c>
      <c r="L1307" s="188"/>
      <c r="M1307" s="187"/>
      <c r="N1307" s="187">
        <v>44540</v>
      </c>
      <c r="O1307" s="186">
        <v>3724</v>
      </c>
      <c r="P1307" s="179"/>
      <c r="Q1307" s="747">
        <v>36</v>
      </c>
      <c r="S1307" s="197">
        <v>3158</v>
      </c>
      <c r="T1307" s="92">
        <v>3158</v>
      </c>
      <c r="U1307" s="335"/>
      <c r="V1307" s="260">
        <v>90</v>
      </c>
    </row>
    <row r="1308" spans="2:22" s="7" customFormat="1" ht="18" customHeight="1">
      <c r="B1308" s="12"/>
      <c r="C1308" s="6" t="s">
        <v>2739</v>
      </c>
      <c r="D1308" s="14" t="s">
        <v>2162</v>
      </c>
      <c r="E1308" s="19" t="s">
        <v>2163</v>
      </c>
      <c r="F1308" s="37"/>
      <c r="G1308" s="37"/>
      <c r="H1308" s="108"/>
      <c r="I1308" s="108"/>
      <c r="J1308" s="108"/>
      <c r="K1308" s="110" t="s">
        <v>5</v>
      </c>
      <c r="L1308" s="139"/>
      <c r="M1308" s="33"/>
      <c r="N1308" s="33">
        <v>44539</v>
      </c>
      <c r="O1308" s="32">
        <v>3728</v>
      </c>
      <c r="P1308" s="6"/>
      <c r="Q1308" s="339"/>
      <c r="U1308" s="21"/>
      <c r="V1308" s="260">
        <v>90</v>
      </c>
    </row>
    <row r="1309" spans="2:22" s="7" customFormat="1" ht="18" customHeight="1">
      <c r="B1309" s="12" t="s">
        <v>300</v>
      </c>
      <c r="C1309" s="6" t="s">
        <v>2739</v>
      </c>
      <c r="D1309" s="14" t="s">
        <v>2162</v>
      </c>
      <c r="E1309" s="22">
        <v>5603</v>
      </c>
      <c r="F1309" s="37"/>
      <c r="G1309" s="37" t="s">
        <v>2164</v>
      </c>
      <c r="H1309" s="108">
        <v>50</v>
      </c>
      <c r="I1309" s="109">
        <v>22</v>
      </c>
      <c r="J1309" s="8">
        <f>I1309*H1309</f>
        <v>1100</v>
      </c>
      <c r="K1309" s="39">
        <v>0.3</v>
      </c>
      <c r="L1309" s="39">
        <f>K1309*J1309</f>
        <v>330</v>
      </c>
      <c r="M1309" s="91"/>
      <c r="N1309" s="33">
        <v>44539</v>
      </c>
      <c r="O1309" s="32">
        <v>3728</v>
      </c>
      <c r="P1309" s="391">
        <f>ROUNDUP(S1309/V1309/VLOOKUP(B1309,$C$2:$F$6,3,FALSE),2)</f>
        <v>0.26</v>
      </c>
      <c r="Q1309" s="322">
        <v>0.26</v>
      </c>
      <c r="S1309" s="7">
        <v>16</v>
      </c>
      <c r="T1309" s="7">
        <f>S1309*J1309</f>
        <v>17600</v>
      </c>
      <c r="U1309" s="21"/>
      <c r="V1309" s="260">
        <v>90</v>
      </c>
    </row>
    <row r="1310" spans="2:22" s="7" customFormat="1" ht="18" customHeight="1">
      <c r="B1310" s="12"/>
      <c r="C1310" s="6" t="s">
        <v>2739</v>
      </c>
      <c r="D1310" s="14" t="s">
        <v>2162</v>
      </c>
      <c r="E1310" s="22"/>
      <c r="F1310" s="102"/>
      <c r="G1310" s="22" t="s">
        <v>363</v>
      </c>
      <c r="H1310" s="8"/>
      <c r="I1310" s="35"/>
      <c r="J1310" s="38">
        <v>1</v>
      </c>
      <c r="K1310" s="39">
        <v>12</v>
      </c>
      <c r="L1310" s="39">
        <f>K1310*J1310</f>
        <v>12</v>
      </c>
      <c r="M1310" s="91"/>
      <c r="N1310" s="33">
        <v>44539</v>
      </c>
      <c r="O1310" s="32">
        <v>3728</v>
      </c>
      <c r="P1310" s="6" t="s">
        <v>3</v>
      </c>
      <c r="Q1310" s="322">
        <v>12</v>
      </c>
      <c r="S1310" s="7">
        <v>1100</v>
      </c>
      <c r="T1310" s="7">
        <f>S1310*J1310</f>
        <v>1100</v>
      </c>
      <c r="U1310" s="21"/>
      <c r="V1310" s="260">
        <v>90</v>
      </c>
    </row>
    <row r="1311" spans="2:22" s="191" customFormat="1" ht="15">
      <c r="B1311" s="190"/>
      <c r="C1311" s="179" t="s">
        <v>2739</v>
      </c>
      <c r="D1311" s="180" t="s">
        <v>2162</v>
      </c>
      <c r="E1311" s="181"/>
      <c r="F1311" s="182"/>
      <c r="G1311" s="182" t="s">
        <v>250</v>
      </c>
      <c r="H1311" s="184" t="s">
        <v>251</v>
      </c>
      <c r="I1311" s="185"/>
      <c r="J1311" s="183"/>
      <c r="K1311" s="192">
        <v>0</v>
      </c>
      <c r="L1311" s="188"/>
      <c r="M1311" s="187"/>
      <c r="N1311" s="187">
        <v>44539</v>
      </c>
      <c r="O1311" s="186">
        <v>3728</v>
      </c>
      <c r="P1311" s="179"/>
      <c r="Q1311" s="725">
        <v>0</v>
      </c>
      <c r="S1311" s="197">
        <v>0</v>
      </c>
      <c r="T1311" s="7">
        <f>S1311*J1311</f>
        <v>0</v>
      </c>
      <c r="U1311" s="335"/>
      <c r="V1311" s="260">
        <v>90</v>
      </c>
    </row>
    <row r="1312" spans="2:22" s="7" customFormat="1" ht="15">
      <c r="B1312" s="12"/>
      <c r="C1312" s="6" t="s">
        <v>2740</v>
      </c>
      <c r="D1312" s="14" t="s">
        <v>2741</v>
      </c>
      <c r="E1312" s="19" t="s">
        <v>376</v>
      </c>
      <c r="F1312" s="24"/>
      <c r="G1312" s="22"/>
      <c r="H1312" s="60"/>
      <c r="I1312" s="61"/>
      <c r="J1312" s="60"/>
      <c r="K1312" s="16" t="s">
        <v>5</v>
      </c>
      <c r="L1312" s="139"/>
      <c r="M1312" s="33"/>
      <c r="N1312" s="33">
        <v>44551</v>
      </c>
      <c r="O1312" s="32">
        <v>3744</v>
      </c>
      <c r="P1312" s="6" t="s">
        <v>3</v>
      </c>
      <c r="Q1312" s="322"/>
      <c r="S1312" s="39"/>
      <c r="U1312" s="21"/>
      <c r="V1312" s="260">
        <v>90</v>
      </c>
    </row>
    <row r="1313" spans="2:22" s="7" customFormat="1" ht="15.95" customHeight="1">
      <c r="B1313" s="12" t="s">
        <v>300</v>
      </c>
      <c r="C1313" s="6" t="s">
        <v>2740</v>
      </c>
      <c r="D1313" s="14" t="s">
        <v>2741</v>
      </c>
      <c r="E1313" s="22" t="s">
        <v>2742</v>
      </c>
      <c r="F1313" s="37"/>
      <c r="G1313" s="37" t="s">
        <v>120</v>
      </c>
      <c r="H1313" s="108">
        <v>20</v>
      </c>
      <c r="I1313" s="109">
        <v>1</v>
      </c>
      <c r="J1313" s="8">
        <f>I1313*H1313</f>
        <v>20</v>
      </c>
      <c r="K1313" s="39">
        <v>1.34</v>
      </c>
      <c r="L1313" s="39">
        <f t="shared" ref="L1313:L1320" si="55">K1313*J1313</f>
        <v>26.8</v>
      </c>
      <c r="M1313" s="117" t="s">
        <v>2651</v>
      </c>
      <c r="N1313" s="33">
        <v>44551</v>
      </c>
      <c r="O1313" s="32">
        <v>3744</v>
      </c>
      <c r="P1313" s="391">
        <f>ROUNDUP(S1313/V1313/VLOOKUP(B1313,$C$2:$F$6,3,FALSE),2)</f>
        <v>0.48</v>
      </c>
      <c r="Q1313" s="322">
        <v>0.48</v>
      </c>
      <c r="S1313" s="92">
        <v>30</v>
      </c>
      <c r="T1313" s="7">
        <f t="shared" ref="T1313:T1321" si="56">S1313*J1313</f>
        <v>600</v>
      </c>
      <c r="U1313" s="211" t="s">
        <v>2743</v>
      </c>
      <c r="V1313" s="260">
        <v>90</v>
      </c>
    </row>
    <row r="1314" spans="2:22" s="7" customFormat="1" ht="15.95" customHeight="1">
      <c r="B1314" s="12" t="s">
        <v>300</v>
      </c>
      <c r="C1314" s="6" t="s">
        <v>2740</v>
      </c>
      <c r="D1314" s="14" t="s">
        <v>2741</v>
      </c>
      <c r="E1314" s="22" t="s">
        <v>2742</v>
      </c>
      <c r="F1314" s="37"/>
      <c r="G1314" s="37" t="s">
        <v>2744</v>
      </c>
      <c r="H1314" s="108">
        <v>20</v>
      </c>
      <c r="I1314" s="109">
        <v>1</v>
      </c>
      <c r="J1314" s="8">
        <f>I1314*H1314</f>
        <v>20</v>
      </c>
      <c r="K1314" s="39">
        <v>1.34</v>
      </c>
      <c r="L1314" s="39">
        <f t="shared" si="55"/>
        <v>26.8</v>
      </c>
      <c r="M1314" s="117" t="s">
        <v>2651</v>
      </c>
      <c r="N1314" s="33">
        <v>44551</v>
      </c>
      <c r="O1314" s="32">
        <v>3744</v>
      </c>
      <c r="P1314" s="391">
        <f>ROUNDUP(S1314/V1314/VLOOKUP(B1314,$C$2:$F$6,3,FALSE),2)</f>
        <v>0.48</v>
      </c>
      <c r="Q1314" s="322">
        <v>0.48</v>
      </c>
      <c r="S1314" s="92">
        <v>30</v>
      </c>
      <c r="T1314" s="7">
        <f t="shared" si="56"/>
        <v>600</v>
      </c>
      <c r="U1314" s="211" t="s">
        <v>2743</v>
      </c>
      <c r="V1314" s="260">
        <v>90</v>
      </c>
    </row>
    <row r="1315" spans="2:22" s="7" customFormat="1" ht="15.95" customHeight="1">
      <c r="B1315" s="12" t="s">
        <v>300</v>
      </c>
      <c r="C1315" s="6" t="s">
        <v>2740</v>
      </c>
      <c r="D1315" s="14" t="s">
        <v>2741</v>
      </c>
      <c r="E1315" s="22" t="s">
        <v>2742</v>
      </c>
      <c r="F1315" s="37"/>
      <c r="G1315" s="37" t="s">
        <v>2745</v>
      </c>
      <c r="H1315" s="108">
        <v>20</v>
      </c>
      <c r="I1315" s="109">
        <v>1</v>
      </c>
      <c r="J1315" s="8">
        <f>I1315*H1315</f>
        <v>20</v>
      </c>
      <c r="K1315" s="39">
        <v>1.34</v>
      </c>
      <c r="L1315" s="39">
        <f t="shared" si="55"/>
        <v>26.8</v>
      </c>
      <c r="M1315" s="117" t="s">
        <v>2651</v>
      </c>
      <c r="N1315" s="33">
        <v>44551</v>
      </c>
      <c r="O1315" s="32">
        <v>3744</v>
      </c>
      <c r="P1315" s="391">
        <f>ROUNDUP(S1315/V1315/VLOOKUP(B1315,$C$2:$F$6,3,FALSE),2)</f>
        <v>0.48</v>
      </c>
      <c r="Q1315" s="322">
        <v>0.48</v>
      </c>
      <c r="S1315" s="92">
        <v>30</v>
      </c>
      <c r="T1315" s="7">
        <f t="shared" si="56"/>
        <v>600</v>
      </c>
      <c r="U1315" s="211" t="s">
        <v>2743</v>
      </c>
      <c r="V1315" s="260">
        <v>90</v>
      </c>
    </row>
    <row r="1316" spans="2:22" s="7" customFormat="1" ht="18" customHeight="1">
      <c r="B1316" s="12" t="s">
        <v>306</v>
      </c>
      <c r="C1316" s="6" t="s">
        <v>2740</v>
      </c>
      <c r="D1316" s="14" t="s">
        <v>2741</v>
      </c>
      <c r="E1316" s="22"/>
      <c r="F1316" s="102"/>
      <c r="G1316" s="22" t="s">
        <v>204</v>
      </c>
      <c r="H1316" s="8"/>
      <c r="I1316" s="35"/>
      <c r="J1316" s="38">
        <v>3</v>
      </c>
      <c r="K1316" s="39">
        <v>125</v>
      </c>
      <c r="L1316" s="39">
        <f t="shared" si="55"/>
        <v>375</v>
      </c>
      <c r="M1316" s="91"/>
      <c r="N1316" s="33">
        <v>44551</v>
      </c>
      <c r="O1316" s="32">
        <v>3744</v>
      </c>
      <c r="P1316" s="391">
        <f>ROUNDUP(S1316/V1316/VLOOKUP(B1316,$C$2:$F$6,3,FALSE),2)</f>
        <v>113.64</v>
      </c>
      <c r="Q1316" s="322">
        <v>113.64</v>
      </c>
      <c r="S1316" s="7">
        <v>9000</v>
      </c>
      <c r="T1316" s="7">
        <f t="shared" si="56"/>
        <v>27000</v>
      </c>
      <c r="U1316" s="21"/>
      <c r="V1316" s="260">
        <v>90</v>
      </c>
    </row>
    <row r="1317" spans="2:22" s="7" customFormat="1" ht="18" customHeight="1">
      <c r="B1317" s="12"/>
      <c r="C1317" s="6" t="s">
        <v>2740</v>
      </c>
      <c r="D1317" s="14" t="s">
        <v>2741</v>
      </c>
      <c r="E1317" s="22"/>
      <c r="F1317" s="102"/>
      <c r="G1317" s="22" t="s">
        <v>363</v>
      </c>
      <c r="H1317" s="8"/>
      <c r="I1317" s="35"/>
      <c r="J1317" s="38">
        <v>1</v>
      </c>
      <c r="K1317" s="39">
        <v>12</v>
      </c>
      <c r="L1317" s="39">
        <f t="shared" si="55"/>
        <v>12</v>
      </c>
      <c r="M1317" s="91"/>
      <c r="N1317" s="33">
        <v>44551</v>
      </c>
      <c r="O1317" s="32">
        <v>3744</v>
      </c>
      <c r="P1317" s="6" t="s">
        <v>3</v>
      </c>
      <c r="Q1317" s="322">
        <v>12</v>
      </c>
      <c r="S1317" s="7">
        <v>0</v>
      </c>
      <c r="T1317" s="7">
        <f t="shared" si="56"/>
        <v>0</v>
      </c>
      <c r="U1317" s="21"/>
      <c r="V1317" s="260">
        <v>90</v>
      </c>
    </row>
    <row r="1318" spans="2:22" s="7" customFormat="1" ht="15.95" customHeight="1">
      <c r="B1318" s="12" t="s">
        <v>300</v>
      </c>
      <c r="C1318" s="6" t="s">
        <v>2740</v>
      </c>
      <c r="D1318" s="14" t="s">
        <v>2741</v>
      </c>
      <c r="E1318" s="22" t="s">
        <v>2742</v>
      </c>
      <c r="F1318" s="37"/>
      <c r="G1318" s="37" t="s">
        <v>120</v>
      </c>
      <c r="H1318" s="108">
        <v>30</v>
      </c>
      <c r="I1318" s="109">
        <v>1</v>
      </c>
      <c r="J1318" s="8">
        <f>I1318*H1318</f>
        <v>30</v>
      </c>
      <c r="K1318" s="39">
        <v>1.34</v>
      </c>
      <c r="L1318" s="39">
        <f t="shared" si="55"/>
        <v>40.200000000000003</v>
      </c>
      <c r="M1318" s="117" t="s">
        <v>2651</v>
      </c>
      <c r="N1318" s="224" t="s">
        <v>2746</v>
      </c>
      <c r="O1318" s="32"/>
      <c r="P1318" s="391">
        <f>ROUNDUP(S1318/V1318/VLOOKUP(B1318,$C$2:$F$6,3,FALSE),2)</f>
        <v>0.48</v>
      </c>
      <c r="Q1318" s="322">
        <v>0.48</v>
      </c>
      <c r="S1318" s="92">
        <v>30</v>
      </c>
      <c r="T1318" s="7">
        <f>S1318*J1318</f>
        <v>900</v>
      </c>
      <c r="U1318" s="211" t="s">
        <v>2743</v>
      </c>
      <c r="V1318" s="260">
        <v>90</v>
      </c>
    </row>
    <row r="1319" spans="2:22" s="7" customFormat="1" ht="15.95" customHeight="1">
      <c r="B1319" s="12" t="s">
        <v>300</v>
      </c>
      <c r="C1319" s="6" t="s">
        <v>2740</v>
      </c>
      <c r="D1319" s="14" t="s">
        <v>2741</v>
      </c>
      <c r="E1319" s="22" t="s">
        <v>2742</v>
      </c>
      <c r="F1319" s="37"/>
      <c r="G1319" s="37" t="s">
        <v>2744</v>
      </c>
      <c r="H1319" s="108">
        <v>30</v>
      </c>
      <c r="I1319" s="109">
        <v>1</v>
      </c>
      <c r="J1319" s="8">
        <f>I1319*H1319</f>
        <v>30</v>
      </c>
      <c r="K1319" s="39">
        <v>1.34</v>
      </c>
      <c r="L1319" s="39">
        <f t="shared" si="55"/>
        <v>40.200000000000003</v>
      </c>
      <c r="M1319" s="117" t="s">
        <v>2651</v>
      </c>
      <c r="N1319" s="224" t="s">
        <v>2746</v>
      </c>
      <c r="O1319" s="32"/>
      <c r="P1319" s="391">
        <f>ROUNDUP(S1319/V1319/VLOOKUP(B1319,$C$2:$F$6,3,FALSE),2)</f>
        <v>0.48</v>
      </c>
      <c r="Q1319" s="322">
        <v>0.48</v>
      </c>
      <c r="S1319" s="92">
        <v>30</v>
      </c>
      <c r="T1319" s="7">
        <f>S1319*J1319</f>
        <v>900</v>
      </c>
      <c r="U1319" s="211" t="s">
        <v>2743</v>
      </c>
      <c r="V1319" s="260">
        <v>90</v>
      </c>
    </row>
    <row r="1320" spans="2:22" s="7" customFormat="1" ht="15.95" customHeight="1">
      <c r="B1320" s="12" t="s">
        <v>300</v>
      </c>
      <c r="C1320" s="6" t="s">
        <v>2740</v>
      </c>
      <c r="D1320" s="14" t="s">
        <v>2741</v>
      </c>
      <c r="E1320" s="22" t="s">
        <v>2742</v>
      </c>
      <c r="F1320" s="37"/>
      <c r="G1320" s="37" t="s">
        <v>2745</v>
      </c>
      <c r="H1320" s="108">
        <v>30</v>
      </c>
      <c r="I1320" s="109">
        <v>1</v>
      </c>
      <c r="J1320" s="8">
        <f>I1320*H1320</f>
        <v>30</v>
      </c>
      <c r="K1320" s="39">
        <v>1.34</v>
      </c>
      <c r="L1320" s="39">
        <f t="shared" si="55"/>
        <v>40.200000000000003</v>
      </c>
      <c r="M1320" s="117" t="s">
        <v>2651</v>
      </c>
      <c r="N1320" s="224" t="s">
        <v>2746</v>
      </c>
      <c r="O1320" s="32"/>
      <c r="P1320" s="391">
        <f>ROUNDUP(S1320/V1320/VLOOKUP(B1320,$C$2:$F$6,3,FALSE),2)</f>
        <v>0.48</v>
      </c>
      <c r="Q1320" s="322">
        <v>0.48</v>
      </c>
      <c r="S1320" s="92">
        <v>30</v>
      </c>
      <c r="T1320" s="7">
        <f>S1320*J1320</f>
        <v>900</v>
      </c>
      <c r="U1320" s="211" t="s">
        <v>2743</v>
      </c>
      <c r="V1320" s="260">
        <v>90</v>
      </c>
    </row>
    <row r="1321" spans="2:22" s="191" customFormat="1" ht="15">
      <c r="B1321" s="190"/>
      <c r="C1321" s="179" t="s">
        <v>2740</v>
      </c>
      <c r="D1321" s="180" t="s">
        <v>2741</v>
      </c>
      <c r="E1321" s="181"/>
      <c r="F1321" s="182"/>
      <c r="G1321" s="182" t="s">
        <v>250</v>
      </c>
      <c r="H1321" s="184" t="s">
        <v>251</v>
      </c>
      <c r="I1321" s="185"/>
      <c r="J1321" s="183"/>
      <c r="K1321" s="192">
        <v>0</v>
      </c>
      <c r="L1321" s="188"/>
      <c r="M1321" s="187"/>
      <c r="N1321" s="187"/>
      <c r="O1321" s="186"/>
      <c r="P1321" s="179"/>
      <c r="Q1321" s="725">
        <v>0</v>
      </c>
      <c r="S1321" s="197">
        <v>0</v>
      </c>
      <c r="T1321" s="7">
        <f t="shared" si="56"/>
        <v>0</v>
      </c>
      <c r="U1321" s="335"/>
      <c r="V1321" s="260">
        <v>90</v>
      </c>
    </row>
    <row r="1322" spans="2:22" s="7" customFormat="1" ht="18" customHeight="1">
      <c r="B1322" s="12"/>
      <c r="C1322" s="6" t="s">
        <v>2747</v>
      </c>
      <c r="D1322" s="14" t="s">
        <v>2748</v>
      </c>
      <c r="E1322" s="19" t="s">
        <v>2749</v>
      </c>
      <c r="F1322" s="37"/>
      <c r="G1322" s="37"/>
      <c r="H1322" s="108"/>
      <c r="I1322" s="108"/>
      <c r="J1322" s="108"/>
      <c r="K1322" s="110" t="s">
        <v>5</v>
      </c>
      <c r="L1322" s="139"/>
      <c r="M1322" s="33"/>
      <c r="N1322" s="33">
        <v>44546</v>
      </c>
      <c r="O1322" s="32">
        <v>3740</v>
      </c>
      <c r="P1322" s="6"/>
      <c r="Q1322" s="339"/>
      <c r="U1322" s="21"/>
      <c r="V1322" s="260">
        <v>90</v>
      </c>
    </row>
    <row r="1323" spans="2:22" s="7" customFormat="1" ht="18" customHeight="1">
      <c r="B1323" s="12" t="s">
        <v>300</v>
      </c>
      <c r="C1323" s="6" t="s">
        <v>2747</v>
      </c>
      <c r="D1323" s="14" t="s">
        <v>2748</v>
      </c>
      <c r="E1323" s="22">
        <v>5659</v>
      </c>
      <c r="F1323" s="37" t="s">
        <v>311</v>
      </c>
      <c r="G1323" s="37" t="s">
        <v>2750</v>
      </c>
      <c r="H1323" s="108">
        <v>100</v>
      </c>
      <c r="I1323" s="109">
        <v>18</v>
      </c>
      <c r="J1323" s="8">
        <f>I1323*H1323</f>
        <v>1800</v>
      </c>
      <c r="K1323" s="39">
        <v>0.49</v>
      </c>
      <c r="L1323" s="39">
        <f>K1323*J1323</f>
        <v>882</v>
      </c>
      <c r="M1323" s="91"/>
      <c r="N1323" s="33">
        <v>44546</v>
      </c>
      <c r="O1323" s="32">
        <v>3740</v>
      </c>
      <c r="P1323" s="391">
        <f>ROUNDUP(S1323/V1323/VLOOKUP(B1323,$C$2:$F$6,3,FALSE),2)</f>
        <v>0.4</v>
      </c>
      <c r="Q1323" s="322">
        <v>0.4</v>
      </c>
      <c r="S1323" s="7">
        <v>24.8</v>
      </c>
      <c r="T1323" s="7">
        <f>S1323*J1323</f>
        <v>44640</v>
      </c>
      <c r="U1323" s="21"/>
      <c r="V1323" s="260">
        <v>90</v>
      </c>
    </row>
    <row r="1324" spans="2:22" s="7" customFormat="1" ht="18" customHeight="1">
      <c r="B1324" s="12"/>
      <c r="C1324" s="6" t="s">
        <v>2747</v>
      </c>
      <c r="D1324" s="14" t="s">
        <v>2748</v>
      </c>
      <c r="E1324" s="22"/>
      <c r="F1324" s="102"/>
      <c r="G1324" s="22" t="s">
        <v>363</v>
      </c>
      <c r="H1324" s="8"/>
      <c r="I1324" s="35"/>
      <c r="J1324" s="38">
        <v>1</v>
      </c>
      <c r="K1324" s="39">
        <v>12</v>
      </c>
      <c r="L1324" s="39">
        <f>K1324*J1324</f>
        <v>12</v>
      </c>
      <c r="M1324" s="91"/>
      <c r="N1324" s="33">
        <v>44546</v>
      </c>
      <c r="O1324" s="32">
        <v>3740</v>
      </c>
      <c r="P1324" s="6" t="s">
        <v>3</v>
      </c>
      <c r="Q1324" s="322">
        <v>12</v>
      </c>
      <c r="S1324" s="7">
        <v>1100</v>
      </c>
      <c r="T1324" s="7">
        <f>S1324*J1324</f>
        <v>1100</v>
      </c>
      <c r="U1324" s="21"/>
      <c r="V1324" s="260">
        <v>90</v>
      </c>
    </row>
    <row r="1325" spans="2:22" s="191" customFormat="1" ht="15">
      <c r="B1325" s="190"/>
      <c r="C1325" s="179" t="s">
        <v>2747</v>
      </c>
      <c r="D1325" s="180" t="s">
        <v>2748</v>
      </c>
      <c r="E1325" s="181"/>
      <c r="F1325" s="182"/>
      <c r="G1325" s="182" t="s">
        <v>250</v>
      </c>
      <c r="H1325" s="184" t="s">
        <v>252</v>
      </c>
      <c r="I1325" s="185"/>
      <c r="J1325" s="183"/>
      <c r="K1325" s="192">
        <v>51</v>
      </c>
      <c r="L1325" s="188"/>
      <c r="M1325" s="187"/>
      <c r="N1325" s="187">
        <v>44546</v>
      </c>
      <c r="O1325" s="186">
        <v>3740</v>
      </c>
      <c r="P1325" s="179"/>
      <c r="Q1325" s="725">
        <v>51</v>
      </c>
      <c r="S1325" s="197">
        <v>4571</v>
      </c>
      <c r="T1325" s="197">
        <v>4571</v>
      </c>
      <c r="U1325" s="335"/>
      <c r="V1325" s="260">
        <v>90</v>
      </c>
    </row>
    <row r="1326" spans="2:22" s="7" customFormat="1" ht="18" customHeight="1">
      <c r="B1326" s="12"/>
      <c r="C1326" s="6" t="s">
        <v>2751</v>
      </c>
      <c r="D1326" s="14" t="s">
        <v>2676</v>
      </c>
      <c r="E1326" s="19" t="s">
        <v>2752</v>
      </c>
      <c r="F1326" s="37"/>
      <c r="G1326" s="37"/>
      <c r="H1326" s="108"/>
      <c r="I1326" s="108"/>
      <c r="J1326" s="108"/>
      <c r="K1326" s="29" t="s">
        <v>5</v>
      </c>
      <c r="L1326" s="139"/>
      <c r="M1326" s="33"/>
      <c r="N1326" s="33">
        <v>44553</v>
      </c>
      <c r="O1326" s="32">
        <v>3776</v>
      </c>
      <c r="P1326" s="6"/>
      <c r="Q1326" s="339"/>
      <c r="U1326" s="21"/>
      <c r="V1326" s="260">
        <v>90</v>
      </c>
    </row>
    <row r="1327" spans="2:22" s="7" customFormat="1" ht="18" customHeight="1">
      <c r="B1327" s="12" t="s">
        <v>300</v>
      </c>
      <c r="C1327" s="6" t="s">
        <v>2751</v>
      </c>
      <c r="D1327" s="14" t="s">
        <v>2676</v>
      </c>
      <c r="E1327" s="22" t="s">
        <v>2753</v>
      </c>
      <c r="F1327" s="24" t="s">
        <v>230</v>
      </c>
      <c r="G1327" s="841" t="s">
        <v>2754</v>
      </c>
      <c r="H1327" s="813">
        <v>50</v>
      </c>
      <c r="I1327" s="814">
        <v>1</v>
      </c>
      <c r="J1327" s="8">
        <f t="shared" ref="J1327:J1334" si="57">I1327*H1327</f>
        <v>50</v>
      </c>
      <c r="K1327" s="137">
        <v>0.28000000000000003</v>
      </c>
      <c r="L1327" s="39">
        <f>K1327*J1327</f>
        <v>14.000000000000002</v>
      </c>
      <c r="M1327" s="91"/>
      <c r="N1327" s="33">
        <v>44553</v>
      </c>
      <c r="O1327" s="32">
        <v>3776</v>
      </c>
      <c r="P1327" s="391">
        <f>ROUNDUP(S1327/V1327/VLOOKUP(B1327,$C$2:$F$6,3,FALSE),2)</f>
        <v>0.24000000000000002</v>
      </c>
      <c r="Q1327" s="322">
        <v>0.24</v>
      </c>
      <c r="S1327" s="92">
        <v>14.8</v>
      </c>
      <c r="T1327" s="7">
        <f>S1327*J1327</f>
        <v>740</v>
      </c>
      <c r="U1327" s="120"/>
      <c r="V1327" s="260">
        <v>90</v>
      </c>
    </row>
    <row r="1328" spans="2:22" s="7" customFormat="1" ht="18" customHeight="1">
      <c r="B1328" s="12" t="s">
        <v>300</v>
      </c>
      <c r="C1328" s="6" t="s">
        <v>2751</v>
      </c>
      <c r="D1328" s="14" t="s">
        <v>2676</v>
      </c>
      <c r="E1328" s="22" t="s">
        <v>2753</v>
      </c>
      <c r="F1328" s="24" t="s">
        <v>230</v>
      </c>
      <c r="G1328" s="841" t="s">
        <v>2755</v>
      </c>
      <c r="H1328" s="813">
        <v>50</v>
      </c>
      <c r="I1328" s="814">
        <v>1</v>
      </c>
      <c r="J1328" s="8">
        <f t="shared" si="57"/>
        <v>50</v>
      </c>
      <c r="K1328" s="137">
        <v>0.28000000000000003</v>
      </c>
      <c r="L1328" s="39">
        <f t="shared" ref="L1328:L1334" si="58">K1328*J1328</f>
        <v>14.000000000000002</v>
      </c>
      <c r="M1328" s="91"/>
      <c r="N1328" s="33">
        <v>44553</v>
      </c>
      <c r="O1328" s="32">
        <v>3776</v>
      </c>
      <c r="P1328" s="391">
        <f t="shared" ref="P1328:P1334" si="59">ROUNDUP(S1328/V1328/VLOOKUP(B1328,$C$2:$F$6,3,FALSE),2)</f>
        <v>0.24000000000000002</v>
      </c>
      <c r="Q1328" s="322">
        <v>0.24</v>
      </c>
      <c r="S1328" s="92">
        <v>14.8</v>
      </c>
      <c r="T1328" s="7">
        <f t="shared" ref="T1328:T1334" si="60">S1328*J1328</f>
        <v>740</v>
      </c>
      <c r="U1328" s="120"/>
      <c r="V1328" s="260">
        <v>90</v>
      </c>
    </row>
    <row r="1329" spans="2:22" s="7" customFormat="1" ht="18" customHeight="1">
      <c r="B1329" s="12" t="s">
        <v>300</v>
      </c>
      <c r="C1329" s="6" t="s">
        <v>2751</v>
      </c>
      <c r="D1329" s="14" t="s">
        <v>2676</v>
      </c>
      <c r="E1329" s="22" t="s">
        <v>2753</v>
      </c>
      <c r="F1329" s="24" t="s">
        <v>230</v>
      </c>
      <c r="G1329" s="841" t="s">
        <v>2756</v>
      </c>
      <c r="H1329" s="813">
        <v>50</v>
      </c>
      <c r="I1329" s="814">
        <v>1</v>
      </c>
      <c r="J1329" s="8">
        <f t="shared" si="57"/>
        <v>50</v>
      </c>
      <c r="K1329" s="137">
        <v>0.28000000000000003</v>
      </c>
      <c r="L1329" s="39">
        <f t="shared" si="58"/>
        <v>14.000000000000002</v>
      </c>
      <c r="M1329" s="91"/>
      <c r="N1329" s="33">
        <v>44553</v>
      </c>
      <c r="O1329" s="32">
        <v>3776</v>
      </c>
      <c r="P1329" s="391">
        <f t="shared" si="59"/>
        <v>0.24000000000000002</v>
      </c>
      <c r="Q1329" s="322">
        <v>0.24</v>
      </c>
      <c r="S1329" s="92">
        <v>14.8</v>
      </c>
      <c r="T1329" s="7">
        <f t="shared" si="60"/>
        <v>740</v>
      </c>
      <c r="U1329" s="120"/>
      <c r="V1329" s="260">
        <v>90</v>
      </c>
    </row>
    <row r="1330" spans="2:22" s="7" customFormat="1" ht="18" customHeight="1">
      <c r="B1330" s="12" t="s">
        <v>300</v>
      </c>
      <c r="C1330" s="6" t="s">
        <v>2751</v>
      </c>
      <c r="D1330" s="14" t="s">
        <v>2676</v>
      </c>
      <c r="E1330" s="22" t="s">
        <v>2753</v>
      </c>
      <c r="F1330" s="24" t="s">
        <v>230</v>
      </c>
      <c r="G1330" s="841" t="s">
        <v>2757</v>
      </c>
      <c r="H1330" s="813">
        <v>50</v>
      </c>
      <c r="I1330" s="814">
        <v>1</v>
      </c>
      <c r="J1330" s="8">
        <f t="shared" si="57"/>
        <v>50</v>
      </c>
      <c r="K1330" s="137">
        <v>0.28000000000000003</v>
      </c>
      <c r="L1330" s="39">
        <f t="shared" si="58"/>
        <v>14.000000000000002</v>
      </c>
      <c r="M1330" s="91"/>
      <c r="N1330" s="33">
        <v>44553</v>
      </c>
      <c r="O1330" s="32">
        <v>3776</v>
      </c>
      <c r="P1330" s="391">
        <f t="shared" si="59"/>
        <v>0.24000000000000002</v>
      </c>
      <c r="Q1330" s="322">
        <v>0.24</v>
      </c>
      <c r="S1330" s="92">
        <v>14.8</v>
      </c>
      <c r="T1330" s="7">
        <f t="shared" si="60"/>
        <v>740</v>
      </c>
      <c r="U1330" s="120"/>
      <c r="V1330" s="260">
        <v>90</v>
      </c>
    </row>
    <row r="1331" spans="2:22" s="7" customFormat="1" ht="18" customHeight="1">
      <c r="B1331" s="12" t="s">
        <v>300</v>
      </c>
      <c r="C1331" s="6" t="s">
        <v>2751</v>
      </c>
      <c r="D1331" s="14" t="s">
        <v>2676</v>
      </c>
      <c r="E1331" s="22" t="s">
        <v>2753</v>
      </c>
      <c r="F1331" s="24" t="s">
        <v>230</v>
      </c>
      <c r="G1331" s="841" t="s">
        <v>2758</v>
      </c>
      <c r="H1331" s="813">
        <v>50</v>
      </c>
      <c r="I1331" s="814">
        <v>1</v>
      </c>
      <c r="J1331" s="8">
        <f t="shared" si="57"/>
        <v>50</v>
      </c>
      <c r="K1331" s="137">
        <v>0.28000000000000003</v>
      </c>
      <c r="L1331" s="39">
        <f t="shared" si="58"/>
        <v>14.000000000000002</v>
      </c>
      <c r="M1331" s="91"/>
      <c r="N1331" s="33">
        <v>44553</v>
      </c>
      <c r="O1331" s="32">
        <v>3776</v>
      </c>
      <c r="P1331" s="391">
        <f t="shared" si="59"/>
        <v>0.24000000000000002</v>
      </c>
      <c r="Q1331" s="322">
        <v>0.24</v>
      </c>
      <c r="S1331" s="92">
        <v>14.8</v>
      </c>
      <c r="T1331" s="7">
        <f t="shared" si="60"/>
        <v>740</v>
      </c>
      <c r="U1331" s="120"/>
      <c r="V1331" s="260">
        <v>90</v>
      </c>
    </row>
    <row r="1332" spans="2:22" s="7" customFormat="1" ht="18" customHeight="1">
      <c r="B1332" s="12" t="s">
        <v>300</v>
      </c>
      <c r="C1332" s="6" t="s">
        <v>2751</v>
      </c>
      <c r="D1332" s="14" t="s">
        <v>2676</v>
      </c>
      <c r="E1332" s="22" t="s">
        <v>2753</v>
      </c>
      <c r="F1332" s="24" t="s">
        <v>230</v>
      </c>
      <c r="G1332" s="841" t="s">
        <v>2759</v>
      </c>
      <c r="H1332" s="813">
        <v>50</v>
      </c>
      <c r="I1332" s="814">
        <v>1</v>
      </c>
      <c r="J1332" s="8">
        <f t="shared" si="57"/>
        <v>50</v>
      </c>
      <c r="K1332" s="137">
        <v>0.28000000000000003</v>
      </c>
      <c r="L1332" s="39">
        <f t="shared" si="58"/>
        <v>14.000000000000002</v>
      </c>
      <c r="M1332" s="91"/>
      <c r="N1332" s="33">
        <v>44553</v>
      </c>
      <c r="O1332" s="32">
        <v>3776</v>
      </c>
      <c r="P1332" s="391">
        <f t="shared" si="59"/>
        <v>0.24000000000000002</v>
      </c>
      <c r="Q1332" s="322">
        <v>0.24</v>
      </c>
      <c r="S1332" s="92">
        <v>14.8</v>
      </c>
      <c r="T1332" s="7">
        <f t="shared" si="60"/>
        <v>740</v>
      </c>
      <c r="U1332" s="120"/>
      <c r="V1332" s="260">
        <v>90</v>
      </c>
    </row>
    <row r="1333" spans="2:22" s="7" customFormat="1" ht="18" customHeight="1">
      <c r="B1333" s="12" t="s">
        <v>300</v>
      </c>
      <c r="C1333" s="6" t="s">
        <v>2751</v>
      </c>
      <c r="D1333" s="14" t="s">
        <v>2676</v>
      </c>
      <c r="E1333" s="22" t="s">
        <v>2753</v>
      </c>
      <c r="F1333" s="24" t="s">
        <v>230</v>
      </c>
      <c r="G1333" s="841" t="s">
        <v>2760</v>
      </c>
      <c r="H1333" s="813">
        <v>50</v>
      </c>
      <c r="I1333" s="814">
        <v>1</v>
      </c>
      <c r="J1333" s="8">
        <f t="shared" si="57"/>
        <v>50</v>
      </c>
      <c r="K1333" s="137">
        <v>0.28000000000000003</v>
      </c>
      <c r="L1333" s="39">
        <f t="shared" si="58"/>
        <v>14.000000000000002</v>
      </c>
      <c r="M1333" s="91"/>
      <c r="N1333" s="33">
        <v>44553</v>
      </c>
      <c r="O1333" s="32">
        <v>3776</v>
      </c>
      <c r="P1333" s="391">
        <f t="shared" si="59"/>
        <v>0.24000000000000002</v>
      </c>
      <c r="Q1333" s="322">
        <v>0.24</v>
      </c>
      <c r="S1333" s="92">
        <v>14.8</v>
      </c>
      <c r="T1333" s="7">
        <f t="shared" si="60"/>
        <v>740</v>
      </c>
      <c r="U1333" s="120"/>
      <c r="V1333" s="260">
        <v>90</v>
      </c>
    </row>
    <row r="1334" spans="2:22" s="7" customFormat="1" ht="18" customHeight="1">
      <c r="B1334" s="12" t="s">
        <v>300</v>
      </c>
      <c r="C1334" s="6" t="s">
        <v>2751</v>
      </c>
      <c r="D1334" s="14" t="s">
        <v>2676</v>
      </c>
      <c r="E1334" s="22" t="s">
        <v>2753</v>
      </c>
      <c r="F1334" s="24" t="s">
        <v>230</v>
      </c>
      <c r="G1334" s="841" t="s">
        <v>2761</v>
      </c>
      <c r="H1334" s="813">
        <v>50</v>
      </c>
      <c r="I1334" s="814">
        <v>1</v>
      </c>
      <c r="J1334" s="8">
        <f t="shared" si="57"/>
        <v>50</v>
      </c>
      <c r="K1334" s="137">
        <v>0.28000000000000003</v>
      </c>
      <c r="L1334" s="39">
        <f t="shared" si="58"/>
        <v>14.000000000000002</v>
      </c>
      <c r="M1334" s="91"/>
      <c r="N1334" s="33">
        <v>44553</v>
      </c>
      <c r="O1334" s="32">
        <v>3776</v>
      </c>
      <c r="P1334" s="391">
        <f t="shared" si="59"/>
        <v>0.24000000000000002</v>
      </c>
      <c r="Q1334" s="322">
        <v>0.24</v>
      </c>
      <c r="S1334" s="92">
        <v>14.8</v>
      </c>
      <c r="T1334" s="7">
        <f t="shared" si="60"/>
        <v>740</v>
      </c>
      <c r="U1334" s="120"/>
      <c r="V1334" s="260">
        <v>90</v>
      </c>
    </row>
    <row r="1335" spans="2:22" s="7" customFormat="1" ht="18" customHeight="1">
      <c r="B1335" s="12"/>
      <c r="C1335" s="6" t="s">
        <v>2751</v>
      </c>
      <c r="D1335" s="14" t="s">
        <v>2676</v>
      </c>
      <c r="E1335" s="19" t="s">
        <v>2762</v>
      </c>
      <c r="F1335" s="37"/>
      <c r="G1335" s="37"/>
      <c r="H1335" s="108"/>
      <c r="I1335" s="108"/>
      <c r="J1335" s="108"/>
      <c r="K1335" s="29" t="s">
        <v>5</v>
      </c>
      <c r="L1335" s="139"/>
      <c r="M1335" s="33"/>
      <c r="N1335" s="33">
        <v>44553</v>
      </c>
      <c r="O1335" s="32">
        <v>3776</v>
      </c>
      <c r="P1335" s="6"/>
      <c r="Q1335" s="339"/>
      <c r="U1335" s="21"/>
      <c r="V1335" s="260">
        <v>90</v>
      </c>
    </row>
    <row r="1336" spans="2:22" s="7" customFormat="1" ht="18" customHeight="1">
      <c r="B1336" s="12" t="s">
        <v>300</v>
      </c>
      <c r="C1336" s="6" t="s">
        <v>2751</v>
      </c>
      <c r="D1336" s="14" t="s">
        <v>2676</v>
      </c>
      <c r="E1336" s="22" t="s">
        <v>2763</v>
      </c>
      <c r="F1336" s="24" t="s">
        <v>230</v>
      </c>
      <c r="G1336" s="841" t="s">
        <v>2754</v>
      </c>
      <c r="H1336" s="813">
        <v>50</v>
      </c>
      <c r="I1336" s="814">
        <v>1</v>
      </c>
      <c r="J1336" s="8">
        <f t="shared" ref="J1336:J1343" si="61">I1336*H1336</f>
        <v>50</v>
      </c>
      <c r="K1336" s="137">
        <v>0.53</v>
      </c>
      <c r="L1336" s="39">
        <f>K1336*J1336</f>
        <v>26.5</v>
      </c>
      <c r="M1336" s="91"/>
      <c r="N1336" s="33">
        <v>44553</v>
      </c>
      <c r="O1336" s="32">
        <v>3776</v>
      </c>
      <c r="P1336" s="391">
        <f>ROUNDUP(S1336/V1336/VLOOKUP(B1336,$C$2:$F$6,3,FALSE),2)</f>
        <v>0.45</v>
      </c>
      <c r="Q1336" s="322">
        <v>0.45</v>
      </c>
      <c r="S1336" s="92">
        <v>28.2</v>
      </c>
      <c r="T1336" s="7">
        <f>S1336*J1336</f>
        <v>1410</v>
      </c>
      <c r="U1336" s="120"/>
      <c r="V1336" s="260">
        <v>90</v>
      </c>
    </row>
    <row r="1337" spans="2:22" s="7" customFormat="1" ht="18" customHeight="1">
      <c r="B1337" s="12" t="s">
        <v>300</v>
      </c>
      <c r="C1337" s="6" t="s">
        <v>2751</v>
      </c>
      <c r="D1337" s="14" t="s">
        <v>2676</v>
      </c>
      <c r="E1337" s="22" t="s">
        <v>2763</v>
      </c>
      <c r="F1337" s="24" t="s">
        <v>230</v>
      </c>
      <c r="G1337" s="841" t="s">
        <v>2755</v>
      </c>
      <c r="H1337" s="813">
        <v>50</v>
      </c>
      <c r="I1337" s="814">
        <v>1</v>
      </c>
      <c r="J1337" s="8">
        <f t="shared" si="61"/>
        <v>50</v>
      </c>
      <c r="K1337" s="137">
        <v>0.53</v>
      </c>
      <c r="L1337" s="39">
        <f t="shared" ref="L1337:L1343" si="62">K1337*J1337</f>
        <v>26.5</v>
      </c>
      <c r="M1337" s="91"/>
      <c r="N1337" s="33">
        <v>44553</v>
      </c>
      <c r="O1337" s="32">
        <v>3776</v>
      </c>
      <c r="P1337" s="391">
        <f t="shared" ref="P1337:P1343" si="63">ROUNDUP(S1337/V1337/VLOOKUP(B1337,$C$2:$F$6,3,FALSE),2)</f>
        <v>0.45</v>
      </c>
      <c r="Q1337" s="322">
        <v>0.45</v>
      </c>
      <c r="S1337" s="92">
        <v>28.2</v>
      </c>
      <c r="T1337" s="7">
        <f t="shared" ref="T1337:T1343" si="64">S1337*J1337</f>
        <v>1410</v>
      </c>
      <c r="U1337" s="120"/>
      <c r="V1337" s="260">
        <v>90</v>
      </c>
    </row>
    <row r="1338" spans="2:22" s="7" customFormat="1" ht="18" customHeight="1">
      <c r="B1338" s="12" t="s">
        <v>300</v>
      </c>
      <c r="C1338" s="6" t="s">
        <v>2751</v>
      </c>
      <c r="D1338" s="14" t="s">
        <v>2676</v>
      </c>
      <c r="E1338" s="22" t="s">
        <v>2763</v>
      </c>
      <c r="F1338" s="24" t="s">
        <v>230</v>
      </c>
      <c r="G1338" s="841" t="s">
        <v>2756</v>
      </c>
      <c r="H1338" s="813">
        <v>50</v>
      </c>
      <c r="I1338" s="814">
        <v>1</v>
      </c>
      <c r="J1338" s="8">
        <f t="shared" si="61"/>
        <v>50</v>
      </c>
      <c r="K1338" s="137">
        <v>0.53</v>
      </c>
      <c r="L1338" s="39">
        <f t="shared" si="62"/>
        <v>26.5</v>
      </c>
      <c r="M1338" s="91"/>
      <c r="N1338" s="33">
        <v>44553</v>
      </c>
      <c r="O1338" s="32">
        <v>3776</v>
      </c>
      <c r="P1338" s="391">
        <f t="shared" si="63"/>
        <v>0.45</v>
      </c>
      <c r="Q1338" s="322">
        <v>0.45</v>
      </c>
      <c r="S1338" s="92">
        <v>28.2</v>
      </c>
      <c r="T1338" s="7">
        <f t="shared" si="64"/>
        <v>1410</v>
      </c>
      <c r="U1338" s="120"/>
      <c r="V1338" s="260">
        <v>90</v>
      </c>
    </row>
    <row r="1339" spans="2:22" s="7" customFormat="1" ht="18" customHeight="1">
      <c r="B1339" s="12" t="s">
        <v>300</v>
      </c>
      <c r="C1339" s="6" t="s">
        <v>2751</v>
      </c>
      <c r="D1339" s="14" t="s">
        <v>2676</v>
      </c>
      <c r="E1339" s="22" t="s">
        <v>2763</v>
      </c>
      <c r="F1339" s="24" t="s">
        <v>230</v>
      </c>
      <c r="G1339" s="841" t="s">
        <v>2757</v>
      </c>
      <c r="H1339" s="813">
        <v>50</v>
      </c>
      <c r="I1339" s="814">
        <v>1</v>
      </c>
      <c r="J1339" s="8">
        <f t="shared" si="61"/>
        <v>50</v>
      </c>
      <c r="K1339" s="137">
        <v>0.53</v>
      </c>
      <c r="L1339" s="39">
        <f t="shared" si="62"/>
        <v>26.5</v>
      </c>
      <c r="M1339" s="91"/>
      <c r="N1339" s="33">
        <v>44553</v>
      </c>
      <c r="O1339" s="32">
        <v>3776</v>
      </c>
      <c r="P1339" s="391">
        <f t="shared" si="63"/>
        <v>0.45</v>
      </c>
      <c r="Q1339" s="322">
        <v>0.45</v>
      </c>
      <c r="S1339" s="92">
        <v>28.2</v>
      </c>
      <c r="T1339" s="7">
        <f t="shared" si="64"/>
        <v>1410</v>
      </c>
      <c r="U1339" s="120"/>
      <c r="V1339" s="260">
        <v>90</v>
      </c>
    </row>
    <row r="1340" spans="2:22" s="7" customFormat="1" ht="18" customHeight="1">
      <c r="B1340" s="12" t="s">
        <v>300</v>
      </c>
      <c r="C1340" s="6" t="s">
        <v>2751</v>
      </c>
      <c r="D1340" s="14" t="s">
        <v>2676</v>
      </c>
      <c r="E1340" s="22" t="s">
        <v>2763</v>
      </c>
      <c r="F1340" s="24" t="s">
        <v>230</v>
      </c>
      <c r="G1340" s="841" t="s">
        <v>2758</v>
      </c>
      <c r="H1340" s="813">
        <v>50</v>
      </c>
      <c r="I1340" s="814">
        <v>1</v>
      </c>
      <c r="J1340" s="8">
        <f t="shared" si="61"/>
        <v>50</v>
      </c>
      <c r="K1340" s="137">
        <v>0.53</v>
      </c>
      <c r="L1340" s="39">
        <f t="shared" si="62"/>
        <v>26.5</v>
      </c>
      <c r="M1340" s="91"/>
      <c r="N1340" s="33">
        <v>44553</v>
      </c>
      <c r="O1340" s="32">
        <v>3776</v>
      </c>
      <c r="P1340" s="391">
        <f t="shared" si="63"/>
        <v>0.45</v>
      </c>
      <c r="Q1340" s="322">
        <v>0.45</v>
      </c>
      <c r="S1340" s="92">
        <v>28.2</v>
      </c>
      <c r="T1340" s="7">
        <f t="shared" si="64"/>
        <v>1410</v>
      </c>
      <c r="U1340" s="120"/>
      <c r="V1340" s="260">
        <v>90</v>
      </c>
    </row>
    <row r="1341" spans="2:22" s="7" customFormat="1" ht="18" customHeight="1">
      <c r="B1341" s="12" t="s">
        <v>300</v>
      </c>
      <c r="C1341" s="6" t="s">
        <v>2751</v>
      </c>
      <c r="D1341" s="14" t="s">
        <v>2676</v>
      </c>
      <c r="E1341" s="22" t="s">
        <v>2763</v>
      </c>
      <c r="F1341" s="24" t="s">
        <v>230</v>
      </c>
      <c r="G1341" s="841" t="s">
        <v>2759</v>
      </c>
      <c r="H1341" s="813">
        <v>50</v>
      </c>
      <c r="I1341" s="814">
        <v>1</v>
      </c>
      <c r="J1341" s="8">
        <f t="shared" si="61"/>
        <v>50</v>
      </c>
      <c r="K1341" s="137">
        <v>0.53</v>
      </c>
      <c r="L1341" s="39">
        <f t="shared" si="62"/>
        <v>26.5</v>
      </c>
      <c r="M1341" s="91"/>
      <c r="N1341" s="33">
        <v>44553</v>
      </c>
      <c r="O1341" s="32">
        <v>3776</v>
      </c>
      <c r="P1341" s="391">
        <f t="shared" si="63"/>
        <v>0.45</v>
      </c>
      <c r="Q1341" s="322">
        <v>0.45</v>
      </c>
      <c r="S1341" s="92">
        <v>28.2</v>
      </c>
      <c r="T1341" s="7">
        <f t="shared" si="64"/>
        <v>1410</v>
      </c>
      <c r="U1341" s="120"/>
      <c r="V1341" s="260">
        <v>90</v>
      </c>
    </row>
    <row r="1342" spans="2:22" s="7" customFormat="1" ht="18" customHeight="1">
      <c r="B1342" s="12" t="s">
        <v>300</v>
      </c>
      <c r="C1342" s="6" t="s">
        <v>2751</v>
      </c>
      <c r="D1342" s="14" t="s">
        <v>2676</v>
      </c>
      <c r="E1342" s="22" t="s">
        <v>2763</v>
      </c>
      <c r="F1342" s="24" t="s">
        <v>230</v>
      </c>
      <c r="G1342" s="841" t="s">
        <v>2760</v>
      </c>
      <c r="H1342" s="813">
        <v>50</v>
      </c>
      <c r="I1342" s="814">
        <v>1</v>
      </c>
      <c r="J1342" s="8">
        <f t="shared" si="61"/>
        <v>50</v>
      </c>
      <c r="K1342" s="137">
        <v>0.53</v>
      </c>
      <c r="L1342" s="39">
        <f t="shared" si="62"/>
        <v>26.5</v>
      </c>
      <c r="M1342" s="91"/>
      <c r="N1342" s="33">
        <v>44553</v>
      </c>
      <c r="O1342" s="32">
        <v>3776</v>
      </c>
      <c r="P1342" s="391">
        <f t="shared" si="63"/>
        <v>0.45</v>
      </c>
      <c r="Q1342" s="322">
        <v>0.45</v>
      </c>
      <c r="S1342" s="92">
        <v>28.2</v>
      </c>
      <c r="T1342" s="7">
        <f t="shared" si="64"/>
        <v>1410</v>
      </c>
      <c r="U1342" s="120"/>
      <c r="V1342" s="260">
        <v>90</v>
      </c>
    </row>
    <row r="1343" spans="2:22" s="7" customFormat="1" ht="18" customHeight="1">
      <c r="B1343" s="12" t="s">
        <v>300</v>
      </c>
      <c r="C1343" s="6" t="s">
        <v>2751</v>
      </c>
      <c r="D1343" s="14" t="s">
        <v>2676</v>
      </c>
      <c r="E1343" s="22" t="s">
        <v>2763</v>
      </c>
      <c r="F1343" s="24" t="s">
        <v>230</v>
      </c>
      <c r="G1343" s="841" t="s">
        <v>2764</v>
      </c>
      <c r="H1343" s="813">
        <v>50</v>
      </c>
      <c r="I1343" s="814">
        <v>1</v>
      </c>
      <c r="J1343" s="8">
        <f t="shared" si="61"/>
        <v>50</v>
      </c>
      <c r="K1343" s="137">
        <v>0.53</v>
      </c>
      <c r="L1343" s="39">
        <f t="shared" si="62"/>
        <v>26.5</v>
      </c>
      <c r="M1343" s="91"/>
      <c r="N1343" s="33">
        <v>44553</v>
      </c>
      <c r="O1343" s="32">
        <v>3776</v>
      </c>
      <c r="P1343" s="391">
        <f t="shared" si="63"/>
        <v>0.45</v>
      </c>
      <c r="Q1343" s="322">
        <v>0.45</v>
      </c>
      <c r="S1343" s="92">
        <v>28.2</v>
      </c>
      <c r="T1343" s="7">
        <f t="shared" si="64"/>
        <v>1410</v>
      </c>
      <c r="U1343" s="120"/>
      <c r="V1343" s="260">
        <v>90</v>
      </c>
    </row>
    <row r="1344" spans="2:22" s="7" customFormat="1" ht="18" customHeight="1">
      <c r="B1344" s="12"/>
      <c r="C1344" s="6" t="s">
        <v>2751</v>
      </c>
      <c r="D1344" s="14" t="s">
        <v>2676</v>
      </c>
      <c r="E1344" s="22"/>
      <c r="F1344" s="102"/>
      <c r="G1344" s="22" t="s">
        <v>363</v>
      </c>
      <c r="H1344" s="8"/>
      <c r="I1344" s="35"/>
      <c r="J1344" s="38">
        <v>1</v>
      </c>
      <c r="K1344" s="39">
        <v>12</v>
      </c>
      <c r="L1344" s="39">
        <f>K1344*J1344</f>
        <v>12</v>
      </c>
      <c r="M1344" s="91"/>
      <c r="N1344" s="33">
        <v>44553</v>
      </c>
      <c r="O1344" s="32">
        <v>3776</v>
      </c>
      <c r="P1344" s="6" t="s">
        <v>3</v>
      </c>
      <c r="Q1344" s="322">
        <v>12</v>
      </c>
      <c r="S1344" s="7">
        <v>1100</v>
      </c>
      <c r="T1344" s="7">
        <f>S1344*J1344</f>
        <v>1100</v>
      </c>
      <c r="U1344" s="21"/>
      <c r="V1344" s="260">
        <v>90</v>
      </c>
    </row>
    <row r="1345" spans="2:22" s="7" customFormat="1" ht="15">
      <c r="B1345" s="12"/>
      <c r="C1345" s="6" t="s">
        <v>2751</v>
      </c>
      <c r="D1345" s="14" t="s">
        <v>2676</v>
      </c>
      <c r="E1345" s="22"/>
      <c r="F1345" s="102"/>
      <c r="G1345" s="22" t="s">
        <v>2765</v>
      </c>
      <c r="H1345" s="8"/>
      <c r="I1345" s="35"/>
      <c r="J1345" s="38"/>
      <c r="K1345" s="39">
        <v>-84</v>
      </c>
      <c r="L1345" s="39">
        <v>-84</v>
      </c>
      <c r="M1345" s="91"/>
      <c r="N1345" s="33">
        <v>44553</v>
      </c>
      <c r="O1345" s="32">
        <v>3776</v>
      </c>
      <c r="P1345" s="6"/>
      <c r="Q1345" s="322"/>
      <c r="S1345" s="92"/>
      <c r="T1345" s="210"/>
      <c r="U1345" s="21"/>
      <c r="V1345" s="260">
        <v>90</v>
      </c>
    </row>
    <row r="1346" spans="2:22" s="191" customFormat="1" ht="15">
      <c r="B1346" s="190"/>
      <c r="C1346" s="179" t="s">
        <v>2751</v>
      </c>
      <c r="D1346" s="180" t="s">
        <v>2676</v>
      </c>
      <c r="E1346" s="181"/>
      <c r="F1346" s="182"/>
      <c r="G1346" s="182" t="s">
        <v>250</v>
      </c>
      <c r="H1346" s="184" t="s">
        <v>251</v>
      </c>
      <c r="I1346" s="185"/>
      <c r="J1346" s="183"/>
      <c r="K1346" s="192">
        <v>0</v>
      </c>
      <c r="L1346" s="188"/>
      <c r="M1346" s="187"/>
      <c r="N1346" s="187">
        <v>44553</v>
      </c>
      <c r="O1346" s="186">
        <v>3776</v>
      </c>
      <c r="P1346" s="179"/>
      <c r="Q1346" s="725">
        <v>0</v>
      </c>
      <c r="S1346" s="197">
        <v>0</v>
      </c>
      <c r="T1346" s="7">
        <f>S1346*J1346</f>
        <v>0</v>
      </c>
      <c r="U1346" s="335"/>
      <c r="V1346" s="260">
        <v>90</v>
      </c>
    </row>
    <row r="1347" spans="2:22" s="7" customFormat="1" ht="18" customHeight="1">
      <c r="B1347" s="12"/>
      <c r="C1347" s="6" t="s">
        <v>2766</v>
      </c>
      <c r="D1347" s="14" t="s">
        <v>2767</v>
      </c>
      <c r="E1347" s="19" t="s">
        <v>2410</v>
      </c>
      <c r="F1347" s="107"/>
      <c r="G1347" s="22"/>
      <c r="H1347" s="108"/>
      <c r="I1347" s="109"/>
      <c r="J1347" s="108"/>
      <c r="K1347" s="29" t="s">
        <v>5</v>
      </c>
      <c r="L1347" s="139"/>
      <c r="M1347" s="33"/>
      <c r="N1347" s="33">
        <v>44572</v>
      </c>
      <c r="O1347" s="32">
        <v>3742</v>
      </c>
      <c r="P1347" s="14"/>
      <c r="Q1347" s="322"/>
      <c r="U1347" s="14"/>
      <c r="V1347" s="260">
        <v>90</v>
      </c>
    </row>
    <row r="1348" spans="2:22" s="7" customFormat="1" ht="18" customHeight="1">
      <c r="B1348" s="12" t="s">
        <v>300</v>
      </c>
      <c r="C1348" s="6" t="s">
        <v>2766</v>
      </c>
      <c r="D1348" s="14" t="s">
        <v>2767</v>
      </c>
      <c r="E1348" s="22">
        <v>5305</v>
      </c>
      <c r="F1348" s="107"/>
      <c r="G1348" s="842" t="s">
        <v>2768</v>
      </c>
      <c r="H1348" s="108">
        <v>30</v>
      </c>
      <c r="I1348" s="109">
        <v>23</v>
      </c>
      <c r="J1348" s="8">
        <f>H1348*I1348</f>
        <v>690</v>
      </c>
      <c r="K1348" s="39">
        <v>0.93</v>
      </c>
      <c r="L1348" s="39">
        <f>K1348*J1348</f>
        <v>641.70000000000005</v>
      </c>
      <c r="M1348" s="117" t="s">
        <v>2651</v>
      </c>
      <c r="N1348" s="33">
        <v>44572</v>
      </c>
      <c r="O1348" s="32">
        <v>3742</v>
      </c>
      <c r="P1348" s="391">
        <f>ROUNDUP(S1348/V1348/VLOOKUP(B1348,$C$2:$F$6,3,FALSE),2)</f>
        <v>0.8</v>
      </c>
      <c r="Q1348" s="322">
        <v>0.8</v>
      </c>
      <c r="S1348" s="7">
        <v>50</v>
      </c>
      <c r="T1348" s="7">
        <f>S1348*J1348</f>
        <v>34500</v>
      </c>
      <c r="U1348" s="21"/>
      <c r="V1348" s="260">
        <v>90</v>
      </c>
    </row>
    <row r="1349" spans="2:22" s="7" customFormat="1" ht="18" customHeight="1">
      <c r="B1349" s="12" t="s">
        <v>300</v>
      </c>
      <c r="C1349" s="6" t="s">
        <v>2766</v>
      </c>
      <c r="D1349" s="14" t="s">
        <v>2767</v>
      </c>
      <c r="E1349" s="22">
        <v>5305</v>
      </c>
      <c r="F1349" s="107"/>
      <c r="G1349" s="842" t="s">
        <v>2769</v>
      </c>
      <c r="H1349" s="108">
        <v>30</v>
      </c>
      <c r="I1349" s="109">
        <v>3</v>
      </c>
      <c r="J1349" s="8">
        <f>H1349*I1349</f>
        <v>90</v>
      </c>
      <c r="K1349" s="39">
        <v>0.93</v>
      </c>
      <c r="L1349" s="39">
        <f>K1349*J1349</f>
        <v>83.7</v>
      </c>
      <c r="M1349" s="117" t="s">
        <v>2651</v>
      </c>
      <c r="N1349" s="33">
        <v>44572</v>
      </c>
      <c r="O1349" s="32">
        <v>3742</v>
      </c>
      <c r="P1349" s="391">
        <f>ROUNDUP(S1349/V1349/VLOOKUP(B1349,$C$2:$F$6,3,FALSE),2)</f>
        <v>0.8</v>
      </c>
      <c r="Q1349" s="322">
        <v>0.8</v>
      </c>
      <c r="S1349" s="7">
        <v>50</v>
      </c>
      <c r="T1349" s="7">
        <f>S1349*J1349</f>
        <v>4500</v>
      </c>
      <c r="U1349" s="21"/>
      <c r="V1349" s="260">
        <v>90</v>
      </c>
    </row>
    <row r="1350" spans="2:22" s="7" customFormat="1" ht="18" customHeight="1">
      <c r="B1350" s="12" t="s">
        <v>300</v>
      </c>
      <c r="C1350" s="6" t="s">
        <v>2766</v>
      </c>
      <c r="D1350" s="14" t="s">
        <v>2767</v>
      </c>
      <c r="E1350" s="22">
        <v>5305</v>
      </c>
      <c r="F1350" s="107"/>
      <c r="G1350" s="842" t="s">
        <v>2770</v>
      </c>
      <c r="H1350" s="108">
        <v>30</v>
      </c>
      <c r="I1350" s="109">
        <v>7</v>
      </c>
      <c r="J1350" s="8">
        <f>H1350*I1350</f>
        <v>210</v>
      </c>
      <c r="K1350" s="39">
        <v>0.93</v>
      </c>
      <c r="L1350" s="39">
        <f>K1350*J1350</f>
        <v>195.3</v>
      </c>
      <c r="M1350" s="117" t="s">
        <v>2651</v>
      </c>
      <c r="N1350" s="33">
        <v>44572</v>
      </c>
      <c r="O1350" s="32">
        <v>3742</v>
      </c>
      <c r="P1350" s="391">
        <f>ROUNDUP(S1350/V1350/VLOOKUP(B1350,$C$2:$F$6,3,FALSE),2)</f>
        <v>0.8</v>
      </c>
      <c r="Q1350" s="322">
        <v>0.8</v>
      </c>
      <c r="S1350" s="7">
        <v>50</v>
      </c>
      <c r="T1350" s="7">
        <f>S1350*J1350</f>
        <v>10500</v>
      </c>
      <c r="U1350" s="21"/>
      <c r="V1350" s="260">
        <v>90</v>
      </c>
    </row>
    <row r="1351" spans="2:22" s="7" customFormat="1" ht="17.45" customHeight="1">
      <c r="B1351" s="12"/>
      <c r="C1351" s="6" t="s">
        <v>2766</v>
      </c>
      <c r="D1351" s="14" t="s">
        <v>2767</v>
      </c>
      <c r="E1351" s="159"/>
      <c r="F1351" s="37"/>
      <c r="G1351" s="22" t="s">
        <v>363</v>
      </c>
      <c r="H1351" s="8"/>
      <c r="I1351" s="109" ph="1"/>
      <c r="J1351" s="38">
        <v>1</v>
      </c>
      <c r="K1351" s="39">
        <v>12</v>
      </c>
      <c r="L1351" s="39">
        <f>K1351*J1351</f>
        <v>12</v>
      </c>
      <c r="M1351" s="91"/>
      <c r="N1351" s="33">
        <v>44572</v>
      </c>
      <c r="O1351" s="32">
        <v>3742</v>
      </c>
      <c r="P1351" s="6"/>
      <c r="Q1351" s="322">
        <v>12</v>
      </c>
      <c r="S1351" s="7">
        <v>0</v>
      </c>
      <c r="T1351" s="7">
        <f>S1351*J1351</f>
        <v>0</v>
      </c>
      <c r="U1351" s="21"/>
      <c r="V1351" s="260">
        <v>90</v>
      </c>
    </row>
    <row r="1352" spans="2:22" s="7" customFormat="1" ht="15" customHeight="1">
      <c r="B1352" s="12"/>
      <c r="C1352" s="6" t="s">
        <v>2766</v>
      </c>
      <c r="D1352" s="14" t="s">
        <v>2767</v>
      </c>
      <c r="E1352" s="22"/>
      <c r="F1352" s="102"/>
      <c r="G1352" s="114" t="s">
        <v>275</v>
      </c>
      <c r="H1352" s="8"/>
      <c r="I1352" s="35"/>
      <c r="J1352" s="109">
        <v>33</v>
      </c>
      <c r="K1352" s="39">
        <v>0</v>
      </c>
      <c r="L1352" s="39">
        <f>K1352*J1352</f>
        <v>0</v>
      </c>
      <c r="M1352" s="91"/>
      <c r="N1352" s="33">
        <v>44572</v>
      </c>
      <c r="O1352" s="32">
        <v>3742</v>
      </c>
      <c r="P1352" s="6"/>
      <c r="Q1352" s="254">
        <v>0</v>
      </c>
      <c r="S1352" s="257">
        <v>30</v>
      </c>
      <c r="T1352" s="287">
        <f>S1352*J1352</f>
        <v>990</v>
      </c>
      <c r="U1352" s="266"/>
      <c r="V1352" s="260">
        <v>90</v>
      </c>
    </row>
    <row r="1353" spans="2:22" s="191" customFormat="1" ht="15">
      <c r="B1353" s="190"/>
      <c r="C1353" s="179" t="s">
        <v>2766</v>
      </c>
      <c r="D1353" s="180" t="s">
        <v>2767</v>
      </c>
      <c r="E1353" s="217"/>
      <c r="F1353" s="182"/>
      <c r="G1353" s="182" t="s">
        <v>250</v>
      </c>
      <c r="H1353" s="184" t="s">
        <v>252</v>
      </c>
      <c r="I1353" s="185"/>
      <c r="J1353" s="183"/>
      <c r="K1353" s="203">
        <v>98</v>
      </c>
      <c r="L1353" s="188"/>
      <c r="M1353" s="187"/>
      <c r="N1353" s="187">
        <v>44572</v>
      </c>
      <c r="O1353" s="186">
        <v>3742</v>
      </c>
      <c r="P1353" s="179"/>
      <c r="Q1353" s="747">
        <v>67</v>
      </c>
      <c r="S1353" s="212">
        <v>5413</v>
      </c>
      <c r="T1353" s="198">
        <v>5413</v>
      </c>
      <c r="U1353" s="335"/>
      <c r="V1353" s="260">
        <v>90</v>
      </c>
    </row>
    <row r="1354" spans="2:22" s="7" customFormat="1" ht="18" customHeight="1">
      <c r="B1354" s="12"/>
      <c r="C1354" s="6" t="s">
        <v>2766</v>
      </c>
      <c r="D1354" s="14" t="s">
        <v>2767</v>
      </c>
      <c r="E1354" s="19" t="s">
        <v>2410</v>
      </c>
      <c r="F1354" s="107"/>
      <c r="G1354" s="22"/>
      <c r="H1354" s="108"/>
      <c r="I1354" s="109"/>
      <c r="J1354" s="108"/>
      <c r="K1354" s="29" t="s">
        <v>5</v>
      </c>
      <c r="L1354" s="139"/>
      <c r="M1354" s="33"/>
      <c r="N1354" s="33">
        <v>44599</v>
      </c>
      <c r="O1354" s="32">
        <v>3743</v>
      </c>
      <c r="P1354" s="14"/>
      <c r="Q1354" s="322"/>
      <c r="U1354" s="14"/>
      <c r="V1354" s="260">
        <v>90</v>
      </c>
    </row>
    <row r="1355" spans="2:22" s="7" customFormat="1" ht="18" customHeight="1">
      <c r="B1355" s="12" t="s">
        <v>300</v>
      </c>
      <c r="C1355" s="6" t="s">
        <v>2766</v>
      </c>
      <c r="D1355" s="14" t="s">
        <v>2767</v>
      </c>
      <c r="E1355" s="22">
        <v>5305</v>
      </c>
      <c r="F1355" s="107"/>
      <c r="G1355" s="842" t="s">
        <v>2768</v>
      </c>
      <c r="H1355" s="108">
        <v>30</v>
      </c>
      <c r="I1355" s="109">
        <v>25</v>
      </c>
      <c r="J1355" s="8">
        <f>H1355*I1355</f>
        <v>750</v>
      </c>
      <c r="K1355" s="39">
        <v>0.93</v>
      </c>
      <c r="L1355" s="39">
        <f>K1355*J1355</f>
        <v>697.5</v>
      </c>
      <c r="M1355" s="117" t="s">
        <v>2651</v>
      </c>
      <c r="N1355" s="33">
        <v>44599</v>
      </c>
      <c r="O1355" s="32">
        <v>3743</v>
      </c>
      <c r="P1355" s="391">
        <f>ROUNDUP(S1355/V1355/VLOOKUP(B1355,$C$2:$F$6,3,FALSE),2)</f>
        <v>0.8</v>
      </c>
      <c r="Q1355" s="322">
        <v>0.8</v>
      </c>
      <c r="R1355" s="701">
        <f>Q1355*J1355</f>
        <v>600</v>
      </c>
      <c r="S1355" s="7">
        <v>50</v>
      </c>
      <c r="T1355" s="7">
        <f>S1355*J1355</f>
        <v>37500</v>
      </c>
      <c r="U1355" s="21"/>
      <c r="V1355" s="260">
        <v>90</v>
      </c>
    </row>
    <row r="1356" spans="2:22" s="7" customFormat="1" ht="18" customHeight="1">
      <c r="B1356" s="12" t="s">
        <v>300</v>
      </c>
      <c r="C1356" s="6" t="s">
        <v>2766</v>
      </c>
      <c r="D1356" s="14" t="s">
        <v>2767</v>
      </c>
      <c r="E1356" s="22">
        <v>5305</v>
      </c>
      <c r="F1356" s="107"/>
      <c r="G1356" s="842" t="s">
        <v>2769</v>
      </c>
      <c r="H1356" s="108">
        <v>30</v>
      </c>
      <c r="I1356" s="109">
        <v>7</v>
      </c>
      <c r="J1356" s="8">
        <f>H1356*I1356</f>
        <v>210</v>
      </c>
      <c r="K1356" s="39">
        <v>0.93</v>
      </c>
      <c r="L1356" s="39">
        <f>K1356*J1356</f>
        <v>195.3</v>
      </c>
      <c r="M1356" s="117" t="s">
        <v>2651</v>
      </c>
      <c r="N1356" s="33">
        <v>44599</v>
      </c>
      <c r="O1356" s="32">
        <v>3743</v>
      </c>
      <c r="P1356" s="391">
        <f>ROUNDUP(S1356/V1356/VLOOKUP(B1356,$C$2:$F$6,3,FALSE),2)</f>
        <v>0.8</v>
      </c>
      <c r="Q1356" s="322">
        <v>0.8</v>
      </c>
      <c r="R1356" s="701">
        <f>Q1356*J1356</f>
        <v>168</v>
      </c>
      <c r="S1356" s="7">
        <v>50</v>
      </c>
      <c r="T1356" s="7">
        <f>S1356*J1356</f>
        <v>10500</v>
      </c>
      <c r="U1356" s="21"/>
      <c r="V1356" s="260">
        <v>90</v>
      </c>
    </row>
    <row r="1357" spans="2:22" s="7" customFormat="1" ht="17.45" customHeight="1">
      <c r="B1357" s="12"/>
      <c r="C1357" s="6" t="s">
        <v>2766</v>
      </c>
      <c r="D1357" s="14" t="s">
        <v>2767</v>
      </c>
      <c r="E1357" s="159"/>
      <c r="F1357" s="37"/>
      <c r="G1357" s="22" t="s">
        <v>363</v>
      </c>
      <c r="H1357" s="8"/>
      <c r="I1357" s="109" ph="1"/>
      <c r="J1357" s="38">
        <v>1</v>
      </c>
      <c r="K1357" s="39">
        <v>12</v>
      </c>
      <c r="L1357" s="39">
        <f>K1357*J1357</f>
        <v>12</v>
      </c>
      <c r="M1357" s="91"/>
      <c r="N1357" s="33">
        <v>44599</v>
      </c>
      <c r="O1357" s="32">
        <v>3743</v>
      </c>
      <c r="P1357" s="6"/>
      <c r="Q1357" s="322">
        <v>12</v>
      </c>
      <c r="R1357" s="701">
        <f>Q1357*J1357</f>
        <v>12</v>
      </c>
      <c r="S1357" s="7">
        <v>30</v>
      </c>
      <c r="T1357" s="7">
        <v>960</v>
      </c>
      <c r="U1357" s="21"/>
      <c r="V1357" s="260">
        <v>90</v>
      </c>
    </row>
    <row r="1358" spans="2:22" s="191" customFormat="1" ht="15">
      <c r="B1358" s="190"/>
      <c r="C1358" s="179" t="s">
        <v>2766</v>
      </c>
      <c r="D1358" s="180" t="s">
        <v>2767</v>
      </c>
      <c r="E1358" s="217"/>
      <c r="F1358" s="182"/>
      <c r="G1358" s="182" t="s">
        <v>250</v>
      </c>
      <c r="H1358" s="184" t="s">
        <v>252</v>
      </c>
      <c r="I1358" s="185"/>
      <c r="J1358" s="183"/>
      <c r="K1358" s="203">
        <v>93</v>
      </c>
      <c r="L1358" s="188"/>
      <c r="M1358" s="187"/>
      <c r="N1358" s="187">
        <v>44599</v>
      </c>
      <c r="O1358" s="186">
        <v>3743</v>
      </c>
      <c r="P1358" s="179"/>
      <c r="Q1358" s="747">
        <v>67</v>
      </c>
      <c r="R1358" s="701">
        <v>67</v>
      </c>
      <c r="S1358" s="212">
        <v>5546</v>
      </c>
      <c r="T1358" s="198">
        <v>5546</v>
      </c>
      <c r="U1358" s="335"/>
      <c r="V1358" s="260">
        <v>90</v>
      </c>
    </row>
    <row r="1359" spans="2:22" s="7" customFormat="1" ht="15">
      <c r="B1359" s="12"/>
      <c r="C1359" s="843" t="s">
        <v>2771</v>
      </c>
      <c r="D1359" s="14" t="s">
        <v>2329</v>
      </c>
      <c r="E1359" s="19" t="s">
        <v>2627</v>
      </c>
      <c r="F1359" s="107"/>
      <c r="G1359" s="22"/>
      <c r="H1359" s="108"/>
      <c r="I1359" s="109"/>
      <c r="J1359" s="108"/>
      <c r="K1359" s="29" t="s">
        <v>5</v>
      </c>
      <c r="L1359" s="139"/>
      <c r="M1359" s="33"/>
      <c r="N1359" s="33">
        <v>44552</v>
      </c>
      <c r="O1359" s="32">
        <v>3759</v>
      </c>
      <c r="P1359" s="14"/>
      <c r="Q1359" s="322"/>
      <c r="S1359" s="72"/>
      <c r="U1359" s="14"/>
      <c r="V1359" s="260">
        <v>90</v>
      </c>
    </row>
    <row r="1360" spans="2:22" s="7" customFormat="1" ht="15">
      <c r="B1360" s="12" t="s">
        <v>300</v>
      </c>
      <c r="C1360" s="843" t="s">
        <v>2771</v>
      </c>
      <c r="D1360" s="14" t="s">
        <v>2329</v>
      </c>
      <c r="E1360" s="821" t="s">
        <v>2602</v>
      </c>
      <c r="F1360" s="825">
        <v>25</v>
      </c>
      <c r="G1360" s="22" t="s">
        <v>2772</v>
      </c>
      <c r="H1360" s="108">
        <v>10</v>
      </c>
      <c r="I1360" s="109">
        <v>1</v>
      </c>
      <c r="J1360" s="8">
        <f>H1360*I1360</f>
        <v>10</v>
      </c>
      <c r="K1360" s="39">
        <v>10.34</v>
      </c>
      <c r="L1360" s="39">
        <f>K1360*J1360</f>
        <v>103.4</v>
      </c>
      <c r="M1360" s="91"/>
      <c r="N1360" s="33">
        <v>44552</v>
      </c>
      <c r="O1360" s="32">
        <v>3759</v>
      </c>
      <c r="P1360" s="391">
        <f>ROUNDUP(S1360/V1360/VLOOKUP(B1360,$C$2:$F$6,3,FALSE),2)</f>
        <v>8.86</v>
      </c>
      <c r="Q1360" s="322">
        <v>8.86</v>
      </c>
      <c r="S1360" s="822">
        <v>558</v>
      </c>
      <c r="T1360" s="7">
        <f>S1360*J1360</f>
        <v>5580</v>
      </c>
      <c r="U1360" s="21"/>
      <c r="V1360" s="260">
        <v>90</v>
      </c>
    </row>
    <row r="1361" spans="2:22" s="7" customFormat="1" ht="15">
      <c r="B1361" s="12"/>
      <c r="C1361" s="843" t="s">
        <v>2771</v>
      </c>
      <c r="D1361" s="14" t="s">
        <v>2329</v>
      </c>
      <c r="E1361" s="19" t="s">
        <v>2773</v>
      </c>
      <c r="F1361" s="107"/>
      <c r="G1361" s="22"/>
      <c r="H1361" s="108"/>
      <c r="I1361" s="109"/>
      <c r="J1361" s="108"/>
      <c r="K1361" s="29" t="s">
        <v>5</v>
      </c>
      <c r="L1361" s="139"/>
      <c r="M1361" s="33"/>
      <c r="N1361" s="33">
        <v>44552</v>
      </c>
      <c r="O1361" s="32">
        <v>3759</v>
      </c>
      <c r="P1361" s="14"/>
      <c r="Q1361" s="322"/>
      <c r="S1361" s="72"/>
      <c r="U1361" s="14"/>
      <c r="V1361" s="260">
        <v>90</v>
      </c>
    </row>
    <row r="1362" spans="2:22" s="7" customFormat="1" ht="15">
      <c r="B1362" s="12" t="s">
        <v>300</v>
      </c>
      <c r="C1362" s="843" t="s">
        <v>2771</v>
      </c>
      <c r="D1362" s="14" t="s">
        <v>2329</v>
      </c>
      <c r="E1362" s="821" t="s">
        <v>2774</v>
      </c>
      <c r="F1362" s="825">
        <v>9</v>
      </c>
      <c r="G1362" s="22" t="s">
        <v>2775</v>
      </c>
      <c r="H1362" s="108">
        <v>10</v>
      </c>
      <c r="I1362" s="109">
        <v>3</v>
      </c>
      <c r="J1362" s="8">
        <f>H1362*I1362</f>
        <v>30</v>
      </c>
      <c r="K1362" s="39">
        <v>2.15</v>
      </c>
      <c r="L1362" s="39">
        <f>K1362*J1362</f>
        <v>64.5</v>
      </c>
      <c r="M1362" s="91"/>
      <c r="N1362" s="33">
        <v>44552</v>
      </c>
      <c r="O1362" s="32">
        <v>3759</v>
      </c>
      <c r="P1362" s="391">
        <f>ROUNDUP(S1362/V1362/VLOOKUP(B1362,$C$2:$F$6,3,FALSE),2)</f>
        <v>1.85</v>
      </c>
      <c r="Q1362" s="322">
        <v>1.85</v>
      </c>
      <c r="S1362" s="822">
        <v>116</v>
      </c>
      <c r="T1362" s="7">
        <f>S1362*J1362</f>
        <v>3480</v>
      </c>
      <c r="U1362" s="21"/>
      <c r="V1362" s="260">
        <v>90</v>
      </c>
    </row>
    <row r="1363" spans="2:22" s="7" customFormat="1" ht="15">
      <c r="B1363" s="12"/>
      <c r="C1363" s="843" t="s">
        <v>2771</v>
      </c>
      <c r="D1363" s="14" t="s">
        <v>2329</v>
      </c>
      <c r="E1363" s="22"/>
      <c r="F1363" s="102"/>
      <c r="G1363" s="22" t="s">
        <v>316</v>
      </c>
      <c r="H1363" s="8"/>
      <c r="I1363" s="35"/>
      <c r="J1363" s="38">
        <v>1</v>
      </c>
      <c r="K1363" s="39">
        <v>12</v>
      </c>
      <c r="L1363" s="39">
        <f>K1363*J1363</f>
        <v>12</v>
      </c>
      <c r="M1363" s="91"/>
      <c r="N1363" s="33">
        <v>44552</v>
      </c>
      <c r="O1363" s="32">
        <v>3759</v>
      </c>
      <c r="P1363" s="391">
        <v>12</v>
      </c>
      <c r="Q1363" s="322">
        <v>12</v>
      </c>
      <c r="S1363" s="7">
        <v>400</v>
      </c>
      <c r="T1363" s="7">
        <f>S1363*J1363</f>
        <v>400</v>
      </c>
      <c r="U1363" s="21"/>
      <c r="V1363" s="260">
        <v>90</v>
      </c>
    </row>
    <row r="1364" spans="2:22" s="191" customFormat="1" ht="15">
      <c r="B1364" s="190"/>
      <c r="C1364" s="844" t="s">
        <v>2771</v>
      </c>
      <c r="D1364" s="180" t="s">
        <v>2329</v>
      </c>
      <c r="E1364" s="181"/>
      <c r="F1364" s="182"/>
      <c r="G1364" s="182" t="s">
        <v>250</v>
      </c>
      <c r="H1364" s="184" t="s">
        <v>252</v>
      </c>
      <c r="I1364" s="185"/>
      <c r="J1364" s="183"/>
      <c r="K1364" s="203">
        <v>26</v>
      </c>
      <c r="L1364" s="188"/>
      <c r="M1364" s="187"/>
      <c r="N1364" s="187">
        <v>44552</v>
      </c>
      <c r="O1364" s="186">
        <v>3759</v>
      </c>
      <c r="P1364" s="179"/>
      <c r="Q1364" s="747">
        <v>26</v>
      </c>
      <c r="S1364" s="212">
        <v>2272</v>
      </c>
      <c r="T1364" s="212">
        <v>2272</v>
      </c>
      <c r="U1364" s="335"/>
      <c r="V1364" s="260">
        <v>90</v>
      </c>
    </row>
    <row r="1365" spans="2:22" s="7" customFormat="1" ht="18" customHeight="1">
      <c r="B1365" s="12"/>
      <c r="C1365" s="6" t="s">
        <v>2776</v>
      </c>
      <c r="D1365" s="14" t="s">
        <v>2777</v>
      </c>
      <c r="E1365" s="19" t="s">
        <v>238</v>
      </c>
      <c r="F1365" s="107"/>
      <c r="G1365" s="22"/>
      <c r="H1365" s="108"/>
      <c r="I1365" s="109"/>
      <c r="J1365" s="108"/>
      <c r="K1365" s="29" t="s">
        <v>5</v>
      </c>
      <c r="L1365" s="139"/>
      <c r="M1365" s="33"/>
      <c r="N1365" s="33">
        <v>44551</v>
      </c>
      <c r="O1365" s="32">
        <v>3338</v>
      </c>
      <c r="P1365" s="14"/>
      <c r="Q1365" s="322"/>
      <c r="U1365" s="14"/>
      <c r="V1365" s="260">
        <v>90</v>
      </c>
    </row>
    <row r="1366" spans="2:22" s="7" customFormat="1" ht="18" customHeight="1">
      <c r="B1366" s="12" t="s">
        <v>302</v>
      </c>
      <c r="C1366" s="6" t="s">
        <v>2776</v>
      </c>
      <c r="D1366" s="14" t="s">
        <v>2777</v>
      </c>
      <c r="E1366" s="22" t="s">
        <v>239</v>
      </c>
      <c r="F1366" s="107">
        <v>150</v>
      </c>
      <c r="G1366" s="22" t="s">
        <v>2293</v>
      </c>
      <c r="H1366" s="108"/>
      <c r="I1366" s="109"/>
      <c r="J1366" s="108">
        <v>3</v>
      </c>
      <c r="K1366" s="39">
        <v>6.53</v>
      </c>
      <c r="L1366" s="39">
        <f>K1366*J1366</f>
        <v>19.59</v>
      </c>
      <c r="M1366" s="91"/>
      <c r="N1366" s="33">
        <v>44551</v>
      </c>
      <c r="O1366" s="32">
        <v>3338</v>
      </c>
      <c r="P1366" s="391">
        <f>ROUNDUP(S1366/V1366/VLOOKUP(B1366,$C$2:$F$6,3,FALSE),2)</f>
        <v>5.9399999999999995</v>
      </c>
      <c r="Q1366" s="322">
        <v>5.94</v>
      </c>
      <c r="S1366" s="7">
        <v>470</v>
      </c>
      <c r="T1366" s="7">
        <f>S1366*J1366</f>
        <v>1410</v>
      </c>
      <c r="U1366" s="21"/>
      <c r="V1366" s="260">
        <v>90</v>
      </c>
    </row>
    <row r="1367" spans="2:22" s="7" customFormat="1" ht="15">
      <c r="B1367" s="12"/>
      <c r="C1367" s="6" t="s">
        <v>2776</v>
      </c>
      <c r="D1367" s="14" t="s">
        <v>2777</v>
      </c>
      <c r="E1367" s="49"/>
      <c r="F1367" s="102"/>
      <c r="G1367" s="22" t="s">
        <v>2625</v>
      </c>
      <c r="H1367" s="38"/>
      <c r="I1367" s="35"/>
      <c r="J1367" s="38">
        <v>1</v>
      </c>
      <c r="K1367" s="39">
        <v>15</v>
      </c>
      <c r="L1367" s="39">
        <f>K1367*J1367</f>
        <v>15</v>
      </c>
      <c r="M1367" s="91"/>
      <c r="N1367" s="33">
        <v>44551</v>
      </c>
      <c r="O1367" s="32">
        <v>3338</v>
      </c>
      <c r="P1367" s="722"/>
      <c r="Q1367" s="322">
        <v>12</v>
      </c>
      <c r="S1367" s="7">
        <v>1000</v>
      </c>
      <c r="T1367" s="7">
        <f>S1367*J1367</f>
        <v>1000</v>
      </c>
      <c r="U1367" s="21"/>
      <c r="V1367" s="260">
        <v>90</v>
      </c>
    </row>
    <row r="1368" spans="2:22" s="7" customFormat="1" ht="15">
      <c r="B1368" s="12"/>
      <c r="C1368" s="6" t="s">
        <v>2776</v>
      </c>
      <c r="D1368" s="14" t="s">
        <v>2777</v>
      </c>
      <c r="E1368" s="49"/>
      <c r="F1368" s="102"/>
      <c r="G1368" s="22" t="s">
        <v>316</v>
      </c>
      <c r="H1368" s="38"/>
      <c r="I1368" s="35"/>
      <c r="J1368" s="38">
        <v>1</v>
      </c>
      <c r="K1368" s="39">
        <v>20</v>
      </c>
      <c r="L1368" s="39">
        <f>K1368*J1368</f>
        <v>20</v>
      </c>
      <c r="M1368" s="91"/>
      <c r="N1368" s="33">
        <v>44551</v>
      </c>
      <c r="O1368" s="32">
        <v>3338</v>
      </c>
      <c r="P1368" s="722"/>
      <c r="Q1368" s="322">
        <v>12</v>
      </c>
      <c r="S1368" s="7">
        <v>1000</v>
      </c>
      <c r="T1368" s="7">
        <f>S1368*J1368</f>
        <v>1000</v>
      </c>
      <c r="U1368" s="21"/>
      <c r="V1368" s="260">
        <v>90</v>
      </c>
    </row>
    <row r="1369" spans="2:22" s="191" customFormat="1" ht="15">
      <c r="B1369" s="190"/>
      <c r="C1369" s="179" t="s">
        <v>2776</v>
      </c>
      <c r="D1369" s="180" t="s">
        <v>2777</v>
      </c>
      <c r="E1369" s="181"/>
      <c r="F1369" s="182"/>
      <c r="G1369" s="182" t="s">
        <v>250</v>
      </c>
      <c r="H1369" s="184" t="s">
        <v>252</v>
      </c>
      <c r="I1369" s="185"/>
      <c r="J1369" s="183"/>
      <c r="K1369" s="192">
        <v>26</v>
      </c>
      <c r="L1369" s="188"/>
      <c r="M1369" s="187"/>
      <c r="N1369" s="187">
        <v>44551</v>
      </c>
      <c r="O1369" s="186">
        <v>3338</v>
      </c>
      <c r="P1369" s="796"/>
      <c r="Q1369" s="747">
        <v>26</v>
      </c>
      <c r="S1369" s="212">
        <v>2272</v>
      </c>
      <c r="T1369" s="212">
        <v>2272</v>
      </c>
      <c r="U1369" s="808"/>
      <c r="V1369" s="260">
        <v>90</v>
      </c>
    </row>
    <row r="1370" spans="2:22" s="7" customFormat="1" ht="18" customHeight="1">
      <c r="B1370" s="12"/>
      <c r="C1370" s="6" t="s">
        <v>2778</v>
      </c>
      <c r="D1370" s="14" t="s">
        <v>2608</v>
      </c>
      <c r="E1370" s="19" t="s">
        <v>2270</v>
      </c>
      <c r="F1370" s="37"/>
      <c r="G1370" s="37"/>
      <c r="H1370" s="108"/>
      <c r="I1370" s="108"/>
      <c r="J1370" s="108"/>
      <c r="K1370" s="29" t="s">
        <v>5</v>
      </c>
      <c r="L1370" s="139"/>
      <c r="M1370" s="33"/>
      <c r="N1370" s="33">
        <v>44554</v>
      </c>
      <c r="O1370" s="32">
        <v>3768</v>
      </c>
      <c r="P1370" s="6"/>
      <c r="Q1370" s="339"/>
      <c r="U1370" s="21"/>
      <c r="V1370" s="260">
        <v>90</v>
      </c>
    </row>
    <row r="1371" spans="2:22" s="7" customFormat="1" ht="17.25" customHeight="1">
      <c r="B1371" s="12" t="s">
        <v>300</v>
      </c>
      <c r="C1371" s="6" t="s">
        <v>2778</v>
      </c>
      <c r="D1371" s="14" t="s">
        <v>2608</v>
      </c>
      <c r="E1371" s="22">
        <v>5636</v>
      </c>
      <c r="F1371" s="37" t="s">
        <v>230</v>
      </c>
      <c r="G1371" s="22" t="s">
        <v>2609</v>
      </c>
      <c r="H1371" s="813">
        <v>50</v>
      </c>
      <c r="I1371" s="814">
        <v>4</v>
      </c>
      <c r="J1371" s="8">
        <f>H1371*I1371</f>
        <v>200</v>
      </c>
      <c r="K1371" s="39">
        <v>0.26</v>
      </c>
      <c r="L1371" s="39">
        <f>K1371*J1371</f>
        <v>52</v>
      </c>
      <c r="M1371" s="91"/>
      <c r="N1371" s="33">
        <v>44554</v>
      </c>
      <c r="O1371" s="32">
        <v>3768</v>
      </c>
      <c r="P1371" s="391">
        <f>ROUNDUP(S1371/V1371/VLOOKUP(B1371,$C$2:$F$6,3,FALSE),2)</f>
        <v>0.17</v>
      </c>
      <c r="Q1371" s="322">
        <v>0.17</v>
      </c>
      <c r="S1371" s="752">
        <v>10.4</v>
      </c>
      <c r="T1371" s="7">
        <f>S1371*J1371</f>
        <v>2080</v>
      </c>
      <c r="U1371" s="778" t="s">
        <v>2255</v>
      </c>
      <c r="V1371" s="260">
        <v>90</v>
      </c>
    </row>
    <row r="1372" spans="2:22" s="7" customFormat="1" ht="17.25" customHeight="1">
      <c r="B1372" s="12" t="s">
        <v>300</v>
      </c>
      <c r="C1372" s="6" t="s">
        <v>2778</v>
      </c>
      <c r="D1372" s="14" t="s">
        <v>2608</v>
      </c>
      <c r="E1372" s="22">
        <v>5636</v>
      </c>
      <c r="F1372" s="37" t="s">
        <v>230</v>
      </c>
      <c r="G1372" s="22" t="s">
        <v>2610</v>
      </c>
      <c r="H1372" s="813">
        <v>50</v>
      </c>
      <c r="I1372" s="814">
        <v>3</v>
      </c>
      <c r="J1372" s="8">
        <f>H1372*I1372</f>
        <v>150</v>
      </c>
      <c r="K1372" s="39">
        <v>0.26</v>
      </c>
      <c r="L1372" s="39">
        <f>K1372*J1372</f>
        <v>39</v>
      </c>
      <c r="M1372" s="91"/>
      <c r="N1372" s="33">
        <v>44554</v>
      </c>
      <c r="O1372" s="32">
        <v>3768</v>
      </c>
      <c r="P1372" s="391">
        <f>ROUNDUP(S1372/V1372/VLOOKUP(B1372,$C$2:$F$6,3,FALSE),2)</f>
        <v>0.22</v>
      </c>
      <c r="Q1372" s="322">
        <v>0.22</v>
      </c>
      <c r="S1372" s="752">
        <v>13.8</v>
      </c>
      <c r="T1372" s="7">
        <f>S1372*J1372</f>
        <v>2070</v>
      </c>
      <c r="U1372" s="778" t="s">
        <v>2255</v>
      </c>
      <c r="V1372" s="260">
        <v>90</v>
      </c>
    </row>
    <row r="1373" spans="2:22" s="7" customFormat="1" ht="17.25" customHeight="1">
      <c r="B1373" s="12" t="s">
        <v>300</v>
      </c>
      <c r="C1373" s="6" t="s">
        <v>2779</v>
      </c>
      <c r="D1373" s="14" t="s">
        <v>2608</v>
      </c>
      <c r="E1373" s="22">
        <v>5636</v>
      </c>
      <c r="F1373" s="37" t="s">
        <v>230</v>
      </c>
      <c r="G1373" s="22" t="s">
        <v>2609</v>
      </c>
      <c r="H1373" s="813">
        <v>50</v>
      </c>
      <c r="I1373" s="814">
        <v>1</v>
      </c>
      <c r="J1373" s="8">
        <f>H1373*I1373</f>
        <v>50</v>
      </c>
      <c r="K1373" s="39">
        <v>0.26</v>
      </c>
      <c r="L1373" s="39">
        <f>K1373*J1373</f>
        <v>13</v>
      </c>
      <c r="M1373" s="91"/>
      <c r="N1373" s="33">
        <v>44554</v>
      </c>
      <c r="O1373" s="32">
        <v>3768</v>
      </c>
      <c r="P1373" s="391">
        <f>ROUNDUP(S1373/V1373/VLOOKUP(B1373,$C$2:$F$6,3,FALSE),2)</f>
        <v>0.17</v>
      </c>
      <c r="Q1373" s="322">
        <v>0.17</v>
      </c>
      <c r="S1373" s="752">
        <v>10.4</v>
      </c>
      <c r="T1373" s="7">
        <f>S1373*J1373</f>
        <v>520</v>
      </c>
      <c r="U1373" s="778" t="s">
        <v>2255</v>
      </c>
      <c r="V1373" s="260">
        <v>90</v>
      </c>
    </row>
    <row r="1374" spans="2:22" s="7" customFormat="1" ht="17.25" customHeight="1">
      <c r="B1374" s="12" t="s">
        <v>300</v>
      </c>
      <c r="C1374" s="6" t="s">
        <v>2779</v>
      </c>
      <c r="D1374" s="14" t="s">
        <v>2608</v>
      </c>
      <c r="E1374" s="22">
        <v>5636</v>
      </c>
      <c r="F1374" s="37" t="s">
        <v>230</v>
      </c>
      <c r="G1374" s="22" t="s">
        <v>2610</v>
      </c>
      <c r="H1374" s="813">
        <v>50</v>
      </c>
      <c r="I1374" s="814">
        <v>1</v>
      </c>
      <c r="J1374" s="8">
        <f>H1374*I1374</f>
        <v>50</v>
      </c>
      <c r="K1374" s="39">
        <v>0.26</v>
      </c>
      <c r="L1374" s="39">
        <f>K1374*J1374</f>
        <v>13</v>
      </c>
      <c r="M1374" s="91"/>
      <c r="N1374" s="33">
        <v>44554</v>
      </c>
      <c r="O1374" s="32">
        <v>3768</v>
      </c>
      <c r="P1374" s="391">
        <f>ROUNDUP(S1374/V1374/VLOOKUP(B1374,$C$2:$F$6,3,FALSE),2)</f>
        <v>0.22</v>
      </c>
      <c r="Q1374" s="322">
        <v>0.22</v>
      </c>
      <c r="S1374" s="752">
        <v>13.8</v>
      </c>
      <c r="T1374" s="7">
        <f>S1374*J1374</f>
        <v>690</v>
      </c>
      <c r="U1374" s="778" t="s">
        <v>2255</v>
      </c>
      <c r="V1374" s="260">
        <v>90</v>
      </c>
    </row>
    <row r="1375" spans="2:22" s="7" customFormat="1" ht="15">
      <c r="B1375" s="12"/>
      <c r="C1375" s="6" t="s">
        <v>2780</v>
      </c>
      <c r="D1375" s="14" t="s">
        <v>2608</v>
      </c>
      <c r="E1375" s="22"/>
      <c r="F1375" s="102"/>
      <c r="G1375" s="22" t="s">
        <v>316</v>
      </c>
      <c r="H1375" s="8"/>
      <c r="I1375" s="35"/>
      <c r="J1375" s="38">
        <v>1</v>
      </c>
      <c r="K1375" s="39">
        <v>12</v>
      </c>
      <c r="L1375" s="39">
        <f>K1375*J1375</f>
        <v>12</v>
      </c>
      <c r="M1375" s="91"/>
      <c r="N1375" s="33">
        <v>44554</v>
      </c>
      <c r="O1375" s="32">
        <v>3768</v>
      </c>
      <c r="P1375" s="6"/>
      <c r="Q1375" s="322">
        <v>12</v>
      </c>
      <c r="S1375" s="7">
        <v>1100</v>
      </c>
      <c r="T1375" s="7">
        <f>S1375*J1375</f>
        <v>1100</v>
      </c>
      <c r="U1375" s="21"/>
      <c r="V1375" s="260">
        <v>90</v>
      </c>
    </row>
    <row r="1376" spans="2:22" s="191" customFormat="1" ht="15">
      <c r="B1376" s="190"/>
      <c r="C1376" s="179" t="s">
        <v>2780</v>
      </c>
      <c r="D1376" s="180" t="s">
        <v>2608</v>
      </c>
      <c r="E1376" s="181"/>
      <c r="F1376" s="622"/>
      <c r="G1376" s="182" t="s">
        <v>250</v>
      </c>
      <c r="H1376" s="184" t="s">
        <v>251</v>
      </c>
      <c r="I1376" s="185"/>
      <c r="J1376" s="183"/>
      <c r="K1376" s="192">
        <v>0</v>
      </c>
      <c r="L1376" s="188"/>
      <c r="M1376" s="187"/>
      <c r="N1376" s="187">
        <v>44554</v>
      </c>
      <c r="O1376" s="186">
        <v>3768</v>
      </c>
      <c r="P1376" s="179"/>
      <c r="Q1376" s="725">
        <v>0</v>
      </c>
      <c r="S1376" s="197">
        <v>0</v>
      </c>
      <c r="T1376" s="198">
        <v>0</v>
      </c>
      <c r="U1376" s="335"/>
      <c r="V1376" s="260">
        <v>90</v>
      </c>
    </row>
    <row r="1377" spans="2:22" s="7" customFormat="1" ht="18" customHeight="1">
      <c r="B1377" s="12"/>
      <c r="C1377" s="6" t="s">
        <v>2781</v>
      </c>
      <c r="D1377" s="14" t="s">
        <v>2162</v>
      </c>
      <c r="E1377" s="19" t="s">
        <v>2163</v>
      </c>
      <c r="F1377" s="37"/>
      <c r="G1377" s="37"/>
      <c r="H1377" s="108"/>
      <c r="I1377" s="108"/>
      <c r="J1377" s="108"/>
      <c r="K1377" s="110" t="s">
        <v>5</v>
      </c>
      <c r="L1377" s="139"/>
      <c r="M1377" s="33"/>
      <c r="N1377" s="33">
        <v>44558</v>
      </c>
      <c r="O1377" s="32">
        <v>3770</v>
      </c>
      <c r="P1377" s="6"/>
      <c r="Q1377" s="339"/>
      <c r="U1377" s="21"/>
      <c r="V1377" s="260">
        <v>90</v>
      </c>
    </row>
    <row r="1378" spans="2:22" s="7" customFormat="1" ht="18" customHeight="1">
      <c r="B1378" s="12" t="s">
        <v>300</v>
      </c>
      <c r="C1378" s="6" t="s">
        <v>2781</v>
      </c>
      <c r="D1378" s="14" t="s">
        <v>2162</v>
      </c>
      <c r="E1378" s="22">
        <v>5603</v>
      </c>
      <c r="F1378" s="37"/>
      <c r="G1378" s="37" t="s">
        <v>2164</v>
      </c>
      <c r="H1378" s="108">
        <v>50</v>
      </c>
      <c r="I1378" s="109">
        <v>36</v>
      </c>
      <c r="J1378" s="8">
        <f>I1378*H1378</f>
        <v>1800</v>
      </c>
      <c r="K1378" s="39">
        <v>0.3</v>
      </c>
      <c r="L1378" s="39">
        <f>K1378*J1378</f>
        <v>540</v>
      </c>
      <c r="M1378" s="91"/>
      <c r="N1378" s="33">
        <v>44558</v>
      </c>
      <c r="O1378" s="32">
        <v>3770</v>
      </c>
      <c r="P1378" s="391">
        <f>ROUNDUP(S1378/V1378/VLOOKUP(B1378,$C$2:$F$6,3,FALSE),2)</f>
        <v>0.26</v>
      </c>
      <c r="Q1378" s="322">
        <v>0.26</v>
      </c>
      <c r="S1378" s="7">
        <v>16</v>
      </c>
      <c r="T1378" s="7">
        <f>S1378*J1378</f>
        <v>28800</v>
      </c>
      <c r="U1378" s="21"/>
      <c r="V1378" s="260">
        <v>90</v>
      </c>
    </row>
    <row r="1379" spans="2:22" s="7" customFormat="1" ht="18" customHeight="1">
      <c r="B1379" s="12"/>
      <c r="C1379" s="6" t="s">
        <v>2781</v>
      </c>
      <c r="D1379" s="14" t="s">
        <v>2162</v>
      </c>
      <c r="E1379" s="22"/>
      <c r="F1379" s="102"/>
      <c r="G1379" s="22" t="s">
        <v>363</v>
      </c>
      <c r="H1379" s="8"/>
      <c r="I1379" s="35"/>
      <c r="J1379" s="38">
        <v>1</v>
      </c>
      <c r="K1379" s="39">
        <v>12</v>
      </c>
      <c r="L1379" s="39">
        <f>K1379*J1379</f>
        <v>12</v>
      </c>
      <c r="M1379" s="91"/>
      <c r="N1379" s="33">
        <v>44558</v>
      </c>
      <c r="O1379" s="32">
        <v>3770</v>
      </c>
      <c r="P1379" s="6" t="s">
        <v>3</v>
      </c>
      <c r="Q1379" s="322">
        <v>12</v>
      </c>
      <c r="S1379" s="7">
        <v>1100</v>
      </c>
      <c r="T1379" s="7">
        <f>S1379*J1379</f>
        <v>1100</v>
      </c>
      <c r="U1379" s="21"/>
      <c r="V1379" s="260">
        <v>90</v>
      </c>
    </row>
    <row r="1380" spans="2:22" s="191" customFormat="1" ht="15">
      <c r="B1380" s="190"/>
      <c r="C1380" s="179" t="s">
        <v>2781</v>
      </c>
      <c r="D1380" s="180" t="s">
        <v>2162</v>
      </c>
      <c r="E1380" s="181"/>
      <c r="F1380" s="182"/>
      <c r="G1380" s="182" t="s">
        <v>250</v>
      </c>
      <c r="H1380" s="184" t="s">
        <v>251</v>
      </c>
      <c r="I1380" s="185"/>
      <c r="J1380" s="183"/>
      <c r="K1380" s="192">
        <v>0</v>
      </c>
      <c r="L1380" s="188"/>
      <c r="M1380" s="187"/>
      <c r="N1380" s="187">
        <v>44558</v>
      </c>
      <c r="O1380" s="186">
        <v>3770</v>
      </c>
      <c r="P1380" s="179"/>
      <c r="Q1380" s="725">
        <v>0</v>
      </c>
      <c r="S1380" s="197">
        <v>0</v>
      </c>
      <c r="T1380" s="7">
        <f>S1380*J1380</f>
        <v>0</v>
      </c>
      <c r="U1380" s="335"/>
      <c r="V1380" s="260">
        <v>90</v>
      </c>
    </row>
    <row r="1381" spans="2:22" s="7" customFormat="1" ht="15.95" customHeight="1">
      <c r="B1381" s="12"/>
      <c r="C1381" s="6" t="s">
        <v>2782</v>
      </c>
      <c r="D1381" s="14" t="s">
        <v>2378</v>
      </c>
      <c r="E1381" s="19" t="s">
        <v>63</v>
      </c>
      <c r="F1381" s="107"/>
      <c r="G1381" s="22"/>
      <c r="H1381" s="108"/>
      <c r="I1381" s="109"/>
      <c r="J1381" s="108"/>
      <c r="K1381" s="110" t="s">
        <v>5</v>
      </c>
      <c r="L1381" s="144"/>
      <c r="M1381" s="11"/>
      <c r="N1381" s="33">
        <v>44567</v>
      </c>
      <c r="O1381" s="32">
        <v>3786</v>
      </c>
      <c r="P1381" s="14"/>
      <c r="Q1381" s="322"/>
      <c r="U1381" s="14"/>
      <c r="V1381" s="260">
        <v>90</v>
      </c>
    </row>
    <row r="1382" spans="2:22" s="7" customFormat="1" ht="15.95" customHeight="1">
      <c r="B1382" s="12" t="s">
        <v>300</v>
      </c>
      <c r="C1382" s="6" t="s">
        <v>2782</v>
      </c>
      <c r="D1382" s="14" t="s">
        <v>2378</v>
      </c>
      <c r="E1382" s="22" t="s">
        <v>2783</v>
      </c>
      <c r="F1382" s="37"/>
      <c r="G1382" s="37" t="s">
        <v>2784</v>
      </c>
      <c r="H1382" s="108">
        <v>13.7</v>
      </c>
      <c r="I1382" s="109">
        <v>2</v>
      </c>
      <c r="J1382" s="131">
        <f>H1382*I1382</f>
        <v>27.4</v>
      </c>
      <c r="K1382" s="39">
        <v>2.4700000000000002</v>
      </c>
      <c r="L1382" s="39">
        <f>K1382*J1382</f>
        <v>67.677999999999997</v>
      </c>
      <c r="M1382" s="288" t="s">
        <v>349</v>
      </c>
      <c r="N1382" s="33">
        <v>44567</v>
      </c>
      <c r="O1382" s="32">
        <v>3786</v>
      </c>
      <c r="P1382" s="391">
        <f>ROUNDUP(S1382/V1382/VLOOKUP(B1382,$C$2:$F$6,3,FALSE),2)</f>
        <v>2.1199999999999997</v>
      </c>
      <c r="Q1382" s="322">
        <v>2.12</v>
      </c>
      <c r="S1382" s="7">
        <v>133</v>
      </c>
      <c r="T1382" s="7">
        <f>S1382*J1382</f>
        <v>3644.2</v>
      </c>
      <c r="U1382" s="14"/>
      <c r="V1382" s="260">
        <v>90</v>
      </c>
    </row>
    <row r="1383" spans="2:22" s="7" customFormat="1" ht="15.95" customHeight="1">
      <c r="B1383" s="12" t="s">
        <v>300</v>
      </c>
      <c r="C1383" s="6" t="s">
        <v>2782</v>
      </c>
      <c r="D1383" s="14" t="s">
        <v>2378</v>
      </c>
      <c r="E1383" s="22" t="s">
        <v>2785</v>
      </c>
      <c r="F1383" s="37"/>
      <c r="G1383" s="37" t="s">
        <v>100</v>
      </c>
      <c r="H1383" s="108">
        <v>13.7</v>
      </c>
      <c r="I1383" s="109">
        <v>4</v>
      </c>
      <c r="J1383" s="131">
        <f>H1383*I1383</f>
        <v>54.8</v>
      </c>
      <c r="K1383" s="39">
        <v>2.38</v>
      </c>
      <c r="L1383" s="39">
        <f>K1383*J1383</f>
        <v>130.42399999999998</v>
      </c>
      <c r="M1383" s="288" t="s">
        <v>349</v>
      </c>
      <c r="N1383" s="33">
        <v>44567</v>
      </c>
      <c r="O1383" s="32">
        <v>3786</v>
      </c>
      <c r="P1383" s="391">
        <f>ROUNDUP(S1383/V1383/VLOOKUP(B1383,$C$2:$F$6,3,FALSE),2)</f>
        <v>1.56</v>
      </c>
      <c r="Q1383" s="322">
        <v>1.56</v>
      </c>
      <c r="S1383" s="7">
        <v>98</v>
      </c>
      <c r="T1383" s="7">
        <f>S1383*J1383</f>
        <v>5370.4</v>
      </c>
      <c r="U1383" s="14"/>
      <c r="V1383" s="260">
        <v>90</v>
      </c>
    </row>
    <row r="1384" spans="2:22" s="7" customFormat="1" ht="15.95" customHeight="1">
      <c r="B1384" s="12" t="s">
        <v>300</v>
      </c>
      <c r="C1384" s="6" t="s">
        <v>2782</v>
      </c>
      <c r="D1384" s="14" t="s">
        <v>2378</v>
      </c>
      <c r="E1384" s="22" t="s">
        <v>2786</v>
      </c>
      <c r="F1384" s="37"/>
      <c r="G1384" s="37" t="s">
        <v>126</v>
      </c>
      <c r="H1384" s="108">
        <v>13.7</v>
      </c>
      <c r="I1384" s="109">
        <v>1</v>
      </c>
      <c r="J1384" s="131">
        <f>H1384*I1384</f>
        <v>13.7</v>
      </c>
      <c r="K1384" s="39">
        <v>2.4700000000000002</v>
      </c>
      <c r="L1384" s="39">
        <f>K1384*J1384</f>
        <v>33.838999999999999</v>
      </c>
      <c r="M1384" s="288" t="s">
        <v>349</v>
      </c>
      <c r="N1384" s="33">
        <v>44567</v>
      </c>
      <c r="O1384" s="32">
        <v>3786</v>
      </c>
      <c r="P1384" s="391">
        <f>ROUNDUP(S1384/V1384/VLOOKUP(B1384,$C$2:$F$6,3,FALSE),2)</f>
        <v>2.1199999999999997</v>
      </c>
      <c r="Q1384" s="322">
        <v>2.12</v>
      </c>
      <c r="S1384" s="7">
        <v>133</v>
      </c>
      <c r="T1384" s="7">
        <f>S1384*J1384</f>
        <v>1822.1</v>
      </c>
      <c r="U1384" s="14"/>
      <c r="V1384" s="260">
        <v>90</v>
      </c>
    </row>
    <row r="1385" spans="2:22" s="7" customFormat="1" ht="15" customHeight="1">
      <c r="B1385" s="12"/>
      <c r="C1385" s="6" t="s">
        <v>2782</v>
      </c>
      <c r="D1385" s="14" t="s">
        <v>2378</v>
      </c>
      <c r="E1385" s="19" t="s">
        <v>2787</v>
      </c>
      <c r="F1385" s="24"/>
      <c r="G1385" s="22"/>
      <c r="H1385" s="60"/>
      <c r="I1385" s="61"/>
      <c r="J1385" s="60"/>
      <c r="K1385" s="16" t="s">
        <v>101</v>
      </c>
      <c r="L1385" s="33"/>
      <c r="M1385" s="33"/>
      <c r="N1385" s="33">
        <v>44567</v>
      </c>
      <c r="O1385" s="32">
        <v>3786</v>
      </c>
      <c r="P1385" s="123" t="s">
        <v>8</v>
      </c>
      <c r="Q1385" s="230" t="s">
        <v>226</v>
      </c>
      <c r="S1385" s="257"/>
      <c r="T1385" s="92"/>
      <c r="U1385" s="269"/>
      <c r="V1385" s="260">
        <v>90</v>
      </c>
    </row>
    <row r="1386" spans="2:22" s="7" customFormat="1" ht="18" customHeight="1">
      <c r="B1386" s="12" t="s">
        <v>300</v>
      </c>
      <c r="C1386" s="6" t="s">
        <v>2782</v>
      </c>
      <c r="D1386" s="14" t="s">
        <v>2378</v>
      </c>
      <c r="E1386" s="22">
        <v>3164</v>
      </c>
      <c r="F1386" s="24"/>
      <c r="G1386" s="22" t="s">
        <v>184</v>
      </c>
      <c r="H1386" s="60">
        <v>30</v>
      </c>
      <c r="I1386" s="61">
        <v>2</v>
      </c>
      <c r="J1386" s="8">
        <f>H1386*I1386</f>
        <v>60</v>
      </c>
      <c r="K1386" s="39">
        <v>1.1499999999999999</v>
      </c>
      <c r="L1386" s="39">
        <f>K1386*J1386</f>
        <v>69</v>
      </c>
      <c r="M1386" s="288" t="s">
        <v>349</v>
      </c>
      <c r="N1386" s="33">
        <v>44567</v>
      </c>
      <c r="O1386" s="32">
        <v>3786</v>
      </c>
      <c r="P1386" s="391">
        <f>ROUNDUP(S1386/V1386/VLOOKUP(B1386,$C$2:$F$6,3,FALSE),2)</f>
        <v>0.99</v>
      </c>
      <c r="Q1386" s="124">
        <v>0.99</v>
      </c>
      <c r="S1386" s="257">
        <v>62.1</v>
      </c>
      <c r="T1386" s="7">
        <f>S1386*J1386</f>
        <v>3726</v>
      </c>
      <c r="U1386" s="270"/>
      <c r="V1386" s="260">
        <v>90</v>
      </c>
    </row>
    <row r="1387" spans="2:22" s="7" customFormat="1" ht="18" customHeight="1">
      <c r="B1387" s="12" t="s">
        <v>300</v>
      </c>
      <c r="C1387" s="6" t="s">
        <v>2782</v>
      </c>
      <c r="D1387" s="14" t="s">
        <v>2378</v>
      </c>
      <c r="E1387" s="22">
        <v>3165</v>
      </c>
      <c r="F1387" s="24"/>
      <c r="G1387" s="22" t="s">
        <v>184</v>
      </c>
      <c r="H1387" s="60">
        <v>30</v>
      </c>
      <c r="I1387" s="61">
        <v>2</v>
      </c>
      <c r="J1387" s="8">
        <f>H1387*I1387</f>
        <v>60</v>
      </c>
      <c r="K1387" s="39">
        <v>1.95</v>
      </c>
      <c r="L1387" s="39">
        <f>K1387*J1387</f>
        <v>117</v>
      </c>
      <c r="M1387" s="288" t="s">
        <v>349</v>
      </c>
      <c r="N1387" s="33">
        <v>44567</v>
      </c>
      <c r="O1387" s="32">
        <v>3786</v>
      </c>
      <c r="P1387" s="391">
        <f>ROUNDUP(S1387/V1387/VLOOKUP(B1387,$C$2:$F$6,3,FALSE),2)</f>
        <v>1.67</v>
      </c>
      <c r="Q1387" s="124">
        <v>1.67</v>
      </c>
      <c r="S1387" s="257">
        <v>105</v>
      </c>
      <c r="T1387" s="7">
        <f>S1387*J1387</f>
        <v>6300</v>
      </c>
      <c r="U1387" s="270"/>
      <c r="V1387" s="260">
        <v>90</v>
      </c>
    </row>
    <row r="1388" spans="2:22" customFormat="1" ht="15.95" customHeight="1">
      <c r="B1388" s="26"/>
      <c r="C1388" s="6" t="s">
        <v>2782</v>
      </c>
      <c r="D1388" s="14" t="s">
        <v>2378</v>
      </c>
      <c r="E1388" s="22"/>
      <c r="F1388" s="102"/>
      <c r="G1388" s="37" t="s">
        <v>316</v>
      </c>
      <c r="H1388" s="8"/>
      <c r="I1388" s="35"/>
      <c r="J1388" s="38">
        <v>1</v>
      </c>
      <c r="K1388" s="39">
        <v>12</v>
      </c>
      <c r="L1388" s="39">
        <f>K1388*J1388</f>
        <v>12</v>
      </c>
      <c r="M1388" s="288" t="s">
        <v>349</v>
      </c>
      <c r="N1388" s="33">
        <v>44567</v>
      </c>
      <c r="O1388" s="32">
        <v>3786</v>
      </c>
      <c r="P1388" s="123"/>
      <c r="Q1388" s="124">
        <v>12</v>
      </c>
      <c r="R1388" s="1"/>
      <c r="S1388" s="263">
        <v>900</v>
      </c>
      <c r="T1388" s="7">
        <f>S1388*J1388</f>
        <v>900</v>
      </c>
      <c r="U1388" s="270"/>
      <c r="V1388" s="260">
        <v>90</v>
      </c>
    </row>
    <row r="1389" spans="2:22" s="191" customFormat="1" ht="15.75" customHeight="1">
      <c r="B1389" s="190"/>
      <c r="C1389" s="179" t="s">
        <v>2782</v>
      </c>
      <c r="D1389" s="180" t="s">
        <v>2378</v>
      </c>
      <c r="E1389" s="217"/>
      <c r="F1389" s="182"/>
      <c r="G1389" s="182" t="s">
        <v>2738</v>
      </c>
      <c r="H1389" s="184" t="s">
        <v>252</v>
      </c>
      <c r="I1389" s="185"/>
      <c r="J1389" s="183"/>
      <c r="K1389" s="333">
        <v>36</v>
      </c>
      <c r="L1389" s="188"/>
      <c r="M1389" s="187"/>
      <c r="N1389" s="187">
        <v>44567</v>
      </c>
      <c r="O1389" s="186">
        <v>3786</v>
      </c>
      <c r="P1389" s="179"/>
      <c r="Q1389" s="747">
        <v>36</v>
      </c>
      <c r="S1389" s="197">
        <v>3182</v>
      </c>
      <c r="T1389" s="92">
        <v>3182</v>
      </c>
      <c r="U1389" s="335"/>
      <c r="V1389" s="260">
        <v>90</v>
      </c>
    </row>
    <row r="1390" spans="2:22" s="7" customFormat="1" ht="18" customHeight="1">
      <c r="B1390" s="12"/>
      <c r="C1390" s="6" t="s">
        <v>2788</v>
      </c>
      <c r="D1390" s="14" t="s">
        <v>2676</v>
      </c>
      <c r="E1390" s="19" t="s">
        <v>2677</v>
      </c>
      <c r="F1390" s="37"/>
      <c r="G1390" s="37"/>
      <c r="H1390" s="108"/>
      <c r="I1390" s="108"/>
      <c r="J1390" s="108"/>
      <c r="K1390" s="29" t="s">
        <v>5</v>
      </c>
      <c r="L1390" s="139"/>
      <c r="M1390" s="33"/>
      <c r="N1390" s="33">
        <v>44554</v>
      </c>
      <c r="O1390" s="32">
        <v>3773</v>
      </c>
      <c r="P1390" s="6"/>
      <c r="Q1390" s="339"/>
      <c r="U1390" s="21"/>
      <c r="V1390" s="260">
        <v>90</v>
      </c>
    </row>
    <row r="1391" spans="2:22" s="7" customFormat="1" ht="17.25" customHeight="1">
      <c r="B1391" s="12" t="s">
        <v>300</v>
      </c>
      <c r="C1391" s="6" t="s">
        <v>2788</v>
      </c>
      <c r="D1391" s="14" t="s">
        <v>2676</v>
      </c>
      <c r="E1391" s="22" t="s">
        <v>2678</v>
      </c>
      <c r="F1391" s="812" t="s">
        <v>2679</v>
      </c>
      <c r="G1391" s="834" t="s">
        <v>2680</v>
      </c>
      <c r="H1391" s="835">
        <v>30</v>
      </c>
      <c r="I1391" s="836">
        <v>20</v>
      </c>
      <c r="J1391" s="8">
        <f>H1391*I1391</f>
        <v>600</v>
      </c>
      <c r="K1391" s="837">
        <v>1.76</v>
      </c>
      <c r="L1391" s="39">
        <f>K1391*J1391</f>
        <v>1056</v>
      </c>
      <c r="M1391" s="91"/>
      <c r="N1391" s="33">
        <v>44554</v>
      </c>
      <c r="O1391" s="32">
        <v>3773</v>
      </c>
      <c r="P1391" s="391">
        <f>ROUNDUP(S1391/V1391/VLOOKUP(B1391,$C$2:$F$6,3,FALSE),2)</f>
        <v>1.43</v>
      </c>
      <c r="Q1391" s="322">
        <v>1.43</v>
      </c>
      <c r="S1391" s="7">
        <v>89.5</v>
      </c>
      <c r="T1391" s="7">
        <f>S1391*J1391</f>
        <v>53700</v>
      </c>
      <c r="U1391" s="778"/>
      <c r="V1391" s="260">
        <v>90</v>
      </c>
    </row>
    <row r="1392" spans="2:22" s="7" customFormat="1" ht="15">
      <c r="B1392" s="12"/>
      <c r="C1392" s="6" t="s">
        <v>2788</v>
      </c>
      <c r="D1392" s="14" t="s">
        <v>2676</v>
      </c>
      <c r="E1392" s="22"/>
      <c r="F1392" s="102"/>
      <c r="G1392" s="22" t="s">
        <v>316</v>
      </c>
      <c r="H1392" s="8"/>
      <c r="I1392" s="35"/>
      <c r="J1392" s="38">
        <v>1</v>
      </c>
      <c r="K1392" s="39">
        <v>12</v>
      </c>
      <c r="L1392" s="39">
        <f>K1392*J1392</f>
        <v>12</v>
      </c>
      <c r="M1392" s="91"/>
      <c r="N1392" s="33">
        <v>44554</v>
      </c>
      <c r="O1392" s="32">
        <v>3773</v>
      </c>
      <c r="P1392" s="391">
        <v>12</v>
      </c>
      <c r="Q1392" s="322">
        <f>P1392*J1392</f>
        <v>12</v>
      </c>
      <c r="S1392" s="7">
        <v>0</v>
      </c>
      <c r="T1392" s="7">
        <f>S1392*J1392</f>
        <v>0</v>
      </c>
      <c r="U1392" s="21"/>
      <c r="V1392" s="260">
        <v>90</v>
      </c>
    </row>
    <row r="1393" spans="2:22" s="191" customFormat="1" ht="15">
      <c r="B1393" s="190"/>
      <c r="C1393" s="179" t="s">
        <v>2788</v>
      </c>
      <c r="D1393" s="180" t="s">
        <v>2676</v>
      </c>
      <c r="E1393" s="217"/>
      <c r="F1393" s="182"/>
      <c r="G1393" s="182" t="s">
        <v>250</v>
      </c>
      <c r="H1393" s="184" t="s">
        <v>251</v>
      </c>
      <c r="I1393" s="185"/>
      <c r="J1393" s="183"/>
      <c r="K1393" s="192">
        <v>0</v>
      </c>
      <c r="L1393" s="188"/>
      <c r="M1393" s="187"/>
      <c r="N1393" s="187">
        <v>44554</v>
      </c>
      <c r="O1393" s="186">
        <v>3773</v>
      </c>
      <c r="P1393" s="179"/>
      <c r="Q1393" s="725">
        <v>0</v>
      </c>
      <c r="S1393" s="197">
        <v>0</v>
      </c>
      <c r="T1393" s="198">
        <v>0</v>
      </c>
      <c r="U1393" s="335"/>
      <c r="V1393" s="260">
        <v>90</v>
      </c>
    </row>
    <row r="1394" spans="2:22" s="7" customFormat="1" ht="15">
      <c r="B1394" s="12"/>
      <c r="C1394" s="6" t="s">
        <v>2789</v>
      </c>
      <c r="D1394" s="14" t="s">
        <v>2227</v>
      </c>
      <c r="E1394" s="19" t="s">
        <v>231</v>
      </c>
      <c r="F1394" s="37"/>
      <c r="G1394" s="37"/>
      <c r="H1394" s="108"/>
      <c r="I1394" s="108"/>
      <c r="J1394" s="108"/>
      <c r="K1394" s="29" t="s">
        <v>232</v>
      </c>
      <c r="L1394" s="139"/>
      <c r="M1394" s="33"/>
      <c r="N1394" s="33">
        <v>44575</v>
      </c>
      <c r="O1394" s="32">
        <v>3819</v>
      </c>
      <c r="P1394" s="6"/>
      <c r="Q1394" s="339"/>
      <c r="U1394" s="21"/>
      <c r="V1394" s="260">
        <v>90</v>
      </c>
    </row>
    <row r="1395" spans="2:22" s="7" customFormat="1" ht="15.75">
      <c r="B1395" s="12" t="s">
        <v>300</v>
      </c>
      <c r="C1395" s="6" t="s">
        <v>2789</v>
      </c>
      <c r="D1395" s="14" t="s">
        <v>2227</v>
      </c>
      <c r="E1395" s="22" t="s">
        <v>257</v>
      </c>
      <c r="F1395" s="112">
        <v>145</v>
      </c>
      <c r="G1395" s="165" t="s">
        <v>2061</v>
      </c>
      <c r="H1395" s="166">
        <v>80</v>
      </c>
      <c r="I1395" s="166">
        <v>80</v>
      </c>
      <c r="J1395" s="166">
        <v>80</v>
      </c>
      <c r="K1395" s="39">
        <v>0.87</v>
      </c>
      <c r="L1395" s="39">
        <f>K1395*J1395</f>
        <v>69.599999999999994</v>
      </c>
      <c r="M1395" s="117" t="s">
        <v>349</v>
      </c>
      <c r="N1395" s="33">
        <v>44575</v>
      </c>
      <c r="O1395" s="32">
        <v>3819</v>
      </c>
      <c r="P1395" s="391">
        <f>ROUNDUP(S1395/V1395/VLOOKUP(B1395,$C$2:$F$6,3,FALSE),2)</f>
        <v>0.56000000000000005</v>
      </c>
      <c r="Q1395" s="322">
        <v>0.56000000000000005</v>
      </c>
      <c r="S1395" s="7">
        <v>35.200000000000003</v>
      </c>
      <c r="T1395" s="7">
        <f>S1395*J1395</f>
        <v>2816</v>
      </c>
      <c r="U1395" s="845" t="s">
        <v>2790</v>
      </c>
      <c r="V1395" s="260">
        <v>90</v>
      </c>
    </row>
    <row r="1396" spans="2:22" s="7" customFormat="1" ht="18" customHeight="1">
      <c r="B1396" s="12" t="s">
        <v>306</v>
      </c>
      <c r="C1396" s="6" t="s">
        <v>2789</v>
      </c>
      <c r="D1396" s="14" t="s">
        <v>2227</v>
      </c>
      <c r="E1396" s="22"/>
      <c r="F1396" s="102"/>
      <c r="G1396" s="22" t="s">
        <v>2791</v>
      </c>
      <c r="H1396" s="8"/>
      <c r="I1396" s="35"/>
      <c r="J1396" s="38">
        <v>1</v>
      </c>
      <c r="K1396" s="39">
        <v>10</v>
      </c>
      <c r="L1396" s="39">
        <f>K1396*J1396</f>
        <v>10</v>
      </c>
      <c r="M1396" s="117"/>
      <c r="N1396" s="33">
        <v>44575</v>
      </c>
      <c r="O1396" s="32">
        <v>3819</v>
      </c>
      <c r="P1396" s="391">
        <f>ROUNDUP(S1396/V1396/VLOOKUP(B1396,$C$2:$F$6,3,FALSE),2)</f>
        <v>6.3199999999999994</v>
      </c>
      <c r="Q1396" s="322">
        <v>6.32</v>
      </c>
      <c r="S1396" s="7">
        <v>500</v>
      </c>
      <c r="T1396" s="7">
        <f>S1396*J1396</f>
        <v>500</v>
      </c>
      <c r="U1396" s="21"/>
      <c r="V1396" s="260">
        <v>90</v>
      </c>
    </row>
    <row r="1397" spans="2:22" s="7" customFormat="1" ht="18" customHeight="1">
      <c r="B1397" s="12"/>
      <c r="C1397" s="6" t="s">
        <v>2789</v>
      </c>
      <c r="D1397" s="14" t="s">
        <v>2227</v>
      </c>
      <c r="E1397" s="22"/>
      <c r="F1397" s="102"/>
      <c r="G1397" s="22" t="s">
        <v>316</v>
      </c>
      <c r="H1397" s="8"/>
      <c r="I1397" s="35"/>
      <c r="J1397" s="38">
        <v>1</v>
      </c>
      <c r="K1397" s="39">
        <v>12</v>
      </c>
      <c r="L1397" s="39">
        <f>K1397*J1397</f>
        <v>12</v>
      </c>
      <c r="M1397" s="91"/>
      <c r="N1397" s="33">
        <v>44575</v>
      </c>
      <c r="O1397" s="32">
        <v>3819</v>
      </c>
      <c r="P1397" s="6"/>
      <c r="Q1397" s="322">
        <v>12</v>
      </c>
      <c r="S1397" s="7">
        <v>1100</v>
      </c>
      <c r="T1397" s="92">
        <f>J1397*S1397</f>
        <v>1100</v>
      </c>
      <c r="U1397" s="21"/>
      <c r="V1397" s="260">
        <v>90</v>
      </c>
    </row>
    <row r="1398" spans="2:22" s="191" customFormat="1" ht="15">
      <c r="B1398" s="190"/>
      <c r="C1398" s="179" t="s">
        <v>2789</v>
      </c>
      <c r="D1398" s="180" t="s">
        <v>2227</v>
      </c>
      <c r="E1398" s="217"/>
      <c r="F1398" s="182"/>
      <c r="G1398" s="182" t="s">
        <v>250</v>
      </c>
      <c r="H1398" s="184" t="s">
        <v>251</v>
      </c>
      <c r="I1398" s="185"/>
      <c r="J1398" s="183"/>
      <c r="K1398" s="192">
        <v>0</v>
      </c>
      <c r="L1398" s="188"/>
      <c r="M1398" s="187"/>
      <c r="N1398" s="187">
        <v>44575</v>
      </c>
      <c r="O1398" s="186">
        <v>3819</v>
      </c>
      <c r="P1398" s="179"/>
      <c r="Q1398" s="725">
        <v>0</v>
      </c>
      <c r="S1398" s="197">
        <v>0</v>
      </c>
      <c r="T1398" s="198">
        <v>0</v>
      </c>
      <c r="U1398" s="335"/>
      <c r="V1398" s="260">
        <v>90</v>
      </c>
    </row>
    <row r="1399" spans="2:22" customFormat="1" ht="18" customHeight="1">
      <c r="B1399" s="26"/>
      <c r="C1399" s="6" t="s">
        <v>2792</v>
      </c>
      <c r="D1399" s="14" t="s">
        <v>2723</v>
      </c>
      <c r="E1399" s="19" t="s">
        <v>227</v>
      </c>
      <c r="F1399" s="37"/>
      <c r="G1399" s="37"/>
      <c r="H1399" s="108"/>
      <c r="I1399" s="108"/>
      <c r="J1399" s="108"/>
      <c r="K1399" s="29" t="s">
        <v>101</v>
      </c>
      <c r="L1399" s="139"/>
      <c r="M1399" s="33"/>
      <c r="N1399" s="33">
        <v>44567</v>
      </c>
      <c r="O1399" s="32">
        <v>3784</v>
      </c>
      <c r="P1399" s="6"/>
      <c r="Q1399" s="339"/>
      <c r="R1399" s="1"/>
      <c r="S1399" s="7"/>
      <c r="T1399" s="7"/>
      <c r="U1399" s="21"/>
      <c r="V1399" s="260">
        <v>90</v>
      </c>
    </row>
    <row r="1400" spans="2:22" customFormat="1" ht="18" customHeight="1">
      <c r="B1400" s="26" t="s">
        <v>300</v>
      </c>
      <c r="C1400" s="6" t="s">
        <v>2792</v>
      </c>
      <c r="D1400" s="14" t="s">
        <v>2723</v>
      </c>
      <c r="E1400" s="22">
        <v>2250</v>
      </c>
      <c r="F1400" s="37">
        <v>9</v>
      </c>
      <c r="G1400" s="22" t="s">
        <v>118</v>
      </c>
      <c r="H1400" s="108">
        <v>30</v>
      </c>
      <c r="I1400" s="109">
        <v>7</v>
      </c>
      <c r="J1400" s="8">
        <f>H1400*I1400</f>
        <v>210</v>
      </c>
      <c r="K1400" s="39">
        <v>0.4</v>
      </c>
      <c r="L1400" s="39">
        <f>K1400*J1400</f>
        <v>84</v>
      </c>
      <c r="M1400" s="117" t="s">
        <v>349</v>
      </c>
      <c r="N1400" s="33">
        <v>44567</v>
      </c>
      <c r="O1400" s="32">
        <v>3784</v>
      </c>
      <c r="P1400" s="391">
        <f>ROUNDUP(S1400/V1400/VLOOKUP(B1400,$C$2:$F$6,3,FALSE),2)</f>
        <v>0.23</v>
      </c>
      <c r="Q1400" s="322">
        <v>0.23</v>
      </c>
      <c r="R1400" s="1"/>
      <c r="S1400" s="7">
        <v>14</v>
      </c>
      <c r="T1400" s="7">
        <f>S1400*J1400</f>
        <v>2940</v>
      </c>
      <c r="U1400" s="39"/>
      <c r="V1400" s="260">
        <v>90</v>
      </c>
    </row>
    <row r="1401" spans="2:22" customFormat="1" ht="18" customHeight="1">
      <c r="B1401" s="26" t="s">
        <v>300</v>
      </c>
      <c r="C1401" s="6" t="s">
        <v>2792</v>
      </c>
      <c r="D1401" s="14" t="s">
        <v>2723</v>
      </c>
      <c r="E1401" s="22">
        <v>2250</v>
      </c>
      <c r="F1401" s="37">
        <v>9</v>
      </c>
      <c r="G1401" s="22" t="s">
        <v>2133</v>
      </c>
      <c r="H1401" s="108">
        <v>30</v>
      </c>
      <c r="I1401" s="109">
        <v>3</v>
      </c>
      <c r="J1401" s="8">
        <f>H1401*I1401</f>
        <v>90</v>
      </c>
      <c r="K1401" s="39">
        <v>0.4</v>
      </c>
      <c r="L1401" s="39">
        <f>K1401*J1401</f>
        <v>36</v>
      </c>
      <c r="M1401" s="117" t="s">
        <v>349</v>
      </c>
      <c r="N1401" s="33">
        <v>44567</v>
      </c>
      <c r="O1401" s="32">
        <v>3784</v>
      </c>
      <c r="P1401" s="391">
        <f>ROUNDUP(S1401/V1401/VLOOKUP(B1401,$C$2:$F$6,3,FALSE),2)</f>
        <v>0.23</v>
      </c>
      <c r="Q1401" s="322">
        <v>0.23</v>
      </c>
      <c r="R1401" s="1"/>
      <c r="S1401" s="7">
        <v>14</v>
      </c>
      <c r="T1401" s="7">
        <f>S1401*J1401</f>
        <v>1260</v>
      </c>
      <c r="U1401" s="39"/>
      <c r="V1401" s="260">
        <v>90</v>
      </c>
    </row>
    <row r="1402" spans="2:22" s="7" customFormat="1" ht="15.75">
      <c r="B1402" s="12"/>
      <c r="C1402" s="6" t="s">
        <v>2792</v>
      </c>
      <c r="D1402" s="14" t="s">
        <v>2723</v>
      </c>
      <c r="E1402" s="22"/>
      <c r="F1402" s="102"/>
      <c r="G1402" s="22" t="s">
        <v>316</v>
      </c>
      <c r="H1402" s="8"/>
      <c r="I1402" s="35"/>
      <c r="J1402" s="38">
        <v>1</v>
      </c>
      <c r="K1402" s="39">
        <v>15</v>
      </c>
      <c r="L1402" s="39">
        <f>K1402*J1402</f>
        <v>15</v>
      </c>
      <c r="M1402" s="117"/>
      <c r="N1402" s="33">
        <v>44567</v>
      </c>
      <c r="O1402" s="32">
        <v>3784</v>
      </c>
      <c r="P1402" s="6"/>
      <c r="Q1402" s="322">
        <v>12</v>
      </c>
      <c r="S1402" s="7">
        <v>0</v>
      </c>
      <c r="T1402" s="7">
        <f>S1402*J1402</f>
        <v>0</v>
      </c>
      <c r="U1402" s="21"/>
      <c r="V1402" s="260">
        <v>90</v>
      </c>
    </row>
    <row r="1403" spans="2:22" s="191" customFormat="1" ht="15">
      <c r="B1403" s="190"/>
      <c r="C1403" s="179" t="s">
        <v>2792</v>
      </c>
      <c r="D1403" s="180" t="s">
        <v>2723</v>
      </c>
      <c r="E1403" s="181"/>
      <c r="F1403" s="182"/>
      <c r="G1403" s="182" t="s">
        <v>324</v>
      </c>
      <c r="H1403" s="184" t="s">
        <v>264</v>
      </c>
      <c r="I1403" s="185"/>
      <c r="J1403" s="183"/>
      <c r="K1403" s="203" t="s">
        <v>2724</v>
      </c>
      <c r="L1403" s="188"/>
      <c r="M1403" s="187"/>
      <c r="N1403" s="187">
        <v>44567</v>
      </c>
      <c r="O1403" s="186">
        <v>3784</v>
      </c>
      <c r="P1403" s="179"/>
      <c r="Q1403" s="840">
        <v>29</v>
      </c>
      <c r="S1403" s="212">
        <v>2269</v>
      </c>
      <c r="T1403" s="212">
        <v>2269</v>
      </c>
      <c r="U1403" s="335"/>
      <c r="V1403" s="260">
        <v>90</v>
      </c>
    </row>
    <row r="1404" spans="2:22" s="7" customFormat="1" ht="15">
      <c r="B1404" s="12"/>
      <c r="C1404" s="6" t="s">
        <v>2793</v>
      </c>
      <c r="D1404" s="14" t="s">
        <v>2329</v>
      </c>
      <c r="E1404" s="19" t="s">
        <v>59</v>
      </c>
      <c r="F1404" s="107"/>
      <c r="G1404" s="22"/>
      <c r="H1404" s="108"/>
      <c r="I1404" s="109"/>
      <c r="J1404" s="108"/>
      <c r="K1404" s="110" t="s">
        <v>5</v>
      </c>
      <c r="L1404" s="139"/>
      <c r="M1404" s="33"/>
      <c r="N1404" s="33">
        <v>44573</v>
      </c>
      <c r="O1404" s="32">
        <v>3793</v>
      </c>
      <c r="P1404" s="14"/>
      <c r="Q1404" s="322"/>
      <c r="S1404" s="72"/>
      <c r="U1404" s="14"/>
      <c r="V1404" s="260">
        <v>90</v>
      </c>
    </row>
    <row r="1405" spans="2:22" s="7" customFormat="1" ht="15.75">
      <c r="B1405" s="12" t="s">
        <v>302</v>
      </c>
      <c r="C1405" s="6" t="s">
        <v>2793</v>
      </c>
      <c r="D1405" s="14" t="s">
        <v>2329</v>
      </c>
      <c r="E1405" s="22">
        <v>2440</v>
      </c>
      <c r="F1405" s="107">
        <v>140</v>
      </c>
      <c r="G1405" s="22" t="s">
        <v>2794</v>
      </c>
      <c r="H1405" s="108">
        <v>58</v>
      </c>
      <c r="I1405" s="109">
        <v>1</v>
      </c>
      <c r="J1405" s="8">
        <f t="shared" ref="J1405:J1410" si="65">H1405*I1405</f>
        <v>58</v>
      </c>
      <c r="K1405" s="39">
        <v>3.34</v>
      </c>
      <c r="L1405" s="39">
        <f t="shared" ref="L1405:L1411" si="66">K1405*J1405</f>
        <v>193.72</v>
      </c>
      <c r="M1405" s="117" t="s">
        <v>349</v>
      </c>
      <c r="N1405" s="33">
        <v>44573</v>
      </c>
      <c r="O1405" s="32">
        <v>3793</v>
      </c>
      <c r="P1405" s="391">
        <f t="shared" ref="P1405:P1410" si="67">ROUNDUP(S1405/V1405/VLOOKUP(B1405,$C$2:$F$6,3,FALSE),2)</f>
        <v>3.0399999999999996</v>
      </c>
      <c r="Q1405" s="322">
        <v>3.04</v>
      </c>
      <c r="S1405" s="92">
        <v>240</v>
      </c>
      <c r="T1405" s="7">
        <f t="shared" ref="T1405:T1410" si="68">S1405*J1405</f>
        <v>13920</v>
      </c>
      <c r="U1405" s="21"/>
      <c r="V1405" s="260">
        <v>90</v>
      </c>
    </row>
    <row r="1406" spans="2:22" s="7" customFormat="1" ht="15.75">
      <c r="B1406" s="12" t="s">
        <v>302</v>
      </c>
      <c r="C1406" s="6" t="s">
        <v>2793</v>
      </c>
      <c r="D1406" s="14" t="s">
        <v>2329</v>
      </c>
      <c r="E1406" s="22">
        <v>2440</v>
      </c>
      <c r="F1406" s="107">
        <v>140</v>
      </c>
      <c r="G1406" s="22" t="s">
        <v>2795</v>
      </c>
      <c r="H1406" s="108">
        <v>58</v>
      </c>
      <c r="I1406" s="109">
        <v>1</v>
      </c>
      <c r="J1406" s="8">
        <f t="shared" si="65"/>
        <v>58</v>
      </c>
      <c r="K1406" s="39">
        <v>3.34</v>
      </c>
      <c r="L1406" s="39">
        <f t="shared" si="66"/>
        <v>193.72</v>
      </c>
      <c r="M1406" s="117" t="s">
        <v>349</v>
      </c>
      <c r="N1406" s="33">
        <v>44573</v>
      </c>
      <c r="O1406" s="32">
        <v>3793</v>
      </c>
      <c r="P1406" s="391">
        <f t="shared" si="67"/>
        <v>3.0399999999999996</v>
      </c>
      <c r="Q1406" s="322">
        <v>3.04</v>
      </c>
      <c r="S1406" s="92">
        <v>240</v>
      </c>
      <c r="T1406" s="7">
        <f t="shared" si="68"/>
        <v>13920</v>
      </c>
      <c r="U1406" s="21"/>
      <c r="V1406" s="260">
        <v>90</v>
      </c>
    </row>
    <row r="1407" spans="2:22" s="7" customFormat="1" ht="15.75">
      <c r="B1407" s="12" t="s">
        <v>302</v>
      </c>
      <c r="C1407" s="6" t="s">
        <v>2793</v>
      </c>
      <c r="D1407" s="14" t="s">
        <v>2329</v>
      </c>
      <c r="E1407" s="22">
        <v>2440</v>
      </c>
      <c r="F1407" s="107">
        <v>140</v>
      </c>
      <c r="G1407" s="22" t="s">
        <v>2796</v>
      </c>
      <c r="H1407" s="108">
        <v>58</v>
      </c>
      <c r="I1407" s="109">
        <v>1</v>
      </c>
      <c r="J1407" s="8">
        <f t="shared" si="65"/>
        <v>58</v>
      </c>
      <c r="K1407" s="39">
        <v>3.34</v>
      </c>
      <c r="L1407" s="39">
        <f t="shared" si="66"/>
        <v>193.72</v>
      </c>
      <c r="M1407" s="117" t="s">
        <v>349</v>
      </c>
      <c r="N1407" s="33">
        <v>44573</v>
      </c>
      <c r="O1407" s="32">
        <v>3793</v>
      </c>
      <c r="P1407" s="391">
        <f t="shared" si="67"/>
        <v>3.0399999999999996</v>
      </c>
      <c r="Q1407" s="322">
        <v>3.04</v>
      </c>
      <c r="S1407" s="92">
        <v>240</v>
      </c>
      <c r="T1407" s="7">
        <f t="shared" si="68"/>
        <v>13920</v>
      </c>
      <c r="U1407" s="21"/>
      <c r="V1407" s="260">
        <v>90</v>
      </c>
    </row>
    <row r="1408" spans="2:22" s="7" customFormat="1" ht="15.75">
      <c r="B1408" s="12" t="s">
        <v>302</v>
      </c>
      <c r="C1408" s="6" t="s">
        <v>2793</v>
      </c>
      <c r="D1408" s="14" t="s">
        <v>2329</v>
      </c>
      <c r="E1408" s="22">
        <v>2440</v>
      </c>
      <c r="F1408" s="107">
        <v>140</v>
      </c>
      <c r="G1408" s="22" t="s">
        <v>2797</v>
      </c>
      <c r="H1408" s="108">
        <v>58</v>
      </c>
      <c r="I1408" s="109">
        <v>1</v>
      </c>
      <c r="J1408" s="8">
        <f t="shared" si="65"/>
        <v>58</v>
      </c>
      <c r="K1408" s="39">
        <v>3.34</v>
      </c>
      <c r="L1408" s="39">
        <f t="shared" si="66"/>
        <v>193.72</v>
      </c>
      <c r="M1408" s="117" t="s">
        <v>349</v>
      </c>
      <c r="N1408" s="33">
        <v>44573</v>
      </c>
      <c r="O1408" s="32">
        <v>3793</v>
      </c>
      <c r="P1408" s="391">
        <f t="shared" si="67"/>
        <v>3.0399999999999996</v>
      </c>
      <c r="Q1408" s="322">
        <v>3.04</v>
      </c>
      <c r="S1408" s="92">
        <v>240</v>
      </c>
      <c r="T1408" s="7">
        <f t="shared" si="68"/>
        <v>13920</v>
      </c>
      <c r="U1408" s="21"/>
      <c r="V1408" s="260">
        <v>90</v>
      </c>
    </row>
    <row r="1409" spans="2:22" s="7" customFormat="1" ht="15.75">
      <c r="B1409" s="12" t="s">
        <v>302</v>
      </c>
      <c r="C1409" s="6" t="s">
        <v>2793</v>
      </c>
      <c r="D1409" s="14" t="s">
        <v>2329</v>
      </c>
      <c r="E1409" s="22">
        <v>2440</v>
      </c>
      <c r="F1409" s="107">
        <v>140</v>
      </c>
      <c r="G1409" s="22" t="s">
        <v>2798</v>
      </c>
      <c r="H1409" s="108">
        <v>48</v>
      </c>
      <c r="I1409" s="109">
        <v>1</v>
      </c>
      <c r="J1409" s="8">
        <f t="shared" si="65"/>
        <v>48</v>
      </c>
      <c r="K1409" s="39">
        <v>3.34</v>
      </c>
      <c r="L1409" s="39">
        <f t="shared" si="66"/>
        <v>160.32</v>
      </c>
      <c r="M1409" s="117" t="s">
        <v>349</v>
      </c>
      <c r="N1409" s="33">
        <v>44573</v>
      </c>
      <c r="O1409" s="32">
        <v>3793</v>
      </c>
      <c r="P1409" s="391">
        <f t="shared" si="67"/>
        <v>3.0399999999999996</v>
      </c>
      <c r="Q1409" s="322">
        <v>3.04</v>
      </c>
      <c r="S1409" s="92">
        <v>240</v>
      </c>
      <c r="T1409" s="7">
        <f t="shared" si="68"/>
        <v>11520</v>
      </c>
      <c r="U1409" s="21"/>
      <c r="V1409" s="260">
        <v>90</v>
      </c>
    </row>
    <row r="1410" spans="2:22" s="7" customFormat="1" ht="15.75">
      <c r="B1410" s="12" t="s">
        <v>302</v>
      </c>
      <c r="C1410" s="6" t="s">
        <v>2793</v>
      </c>
      <c r="D1410" s="14" t="s">
        <v>2329</v>
      </c>
      <c r="E1410" s="22">
        <v>2440</v>
      </c>
      <c r="F1410" s="107">
        <v>140</v>
      </c>
      <c r="G1410" s="22" t="s">
        <v>2798</v>
      </c>
      <c r="H1410" s="108">
        <v>52</v>
      </c>
      <c r="I1410" s="109">
        <v>1</v>
      </c>
      <c r="J1410" s="8">
        <f t="shared" si="65"/>
        <v>52</v>
      </c>
      <c r="K1410" s="39">
        <v>3.34</v>
      </c>
      <c r="L1410" s="39">
        <f t="shared" si="66"/>
        <v>173.68</v>
      </c>
      <c r="M1410" s="117" t="s">
        <v>349</v>
      </c>
      <c r="N1410" s="33">
        <v>44573</v>
      </c>
      <c r="O1410" s="32">
        <v>3793</v>
      </c>
      <c r="P1410" s="391">
        <f t="shared" si="67"/>
        <v>3.0399999999999996</v>
      </c>
      <c r="Q1410" s="322">
        <v>3.04</v>
      </c>
      <c r="S1410" s="92">
        <v>240</v>
      </c>
      <c r="T1410" s="7">
        <f t="shared" si="68"/>
        <v>12480</v>
      </c>
      <c r="U1410" s="21"/>
      <c r="V1410" s="260">
        <v>90</v>
      </c>
    </row>
    <row r="1411" spans="2:22" s="7" customFormat="1" ht="15">
      <c r="B1411" s="12"/>
      <c r="C1411" s="6" t="s">
        <v>2793</v>
      </c>
      <c r="D1411" s="14" t="s">
        <v>2329</v>
      </c>
      <c r="E1411" s="82"/>
      <c r="F1411" s="102"/>
      <c r="G1411" s="22" t="s">
        <v>316</v>
      </c>
      <c r="H1411" s="8"/>
      <c r="I1411" s="35"/>
      <c r="J1411" s="38">
        <v>1</v>
      </c>
      <c r="K1411" s="39">
        <v>20</v>
      </c>
      <c r="L1411" s="39">
        <f t="shared" si="66"/>
        <v>20</v>
      </c>
      <c r="M1411" s="91"/>
      <c r="N1411" s="33">
        <v>44573</v>
      </c>
      <c r="O1411" s="32">
        <v>3793</v>
      </c>
      <c r="P1411" s="6"/>
      <c r="Q1411" s="322">
        <v>20</v>
      </c>
      <c r="S1411" s="92">
        <v>1800</v>
      </c>
      <c r="T1411" s="210">
        <v>1800</v>
      </c>
      <c r="U1411" s="21"/>
      <c r="V1411" s="260">
        <v>90</v>
      </c>
    </row>
    <row r="1412" spans="2:22" s="191" customFormat="1" ht="15">
      <c r="B1412" s="190"/>
      <c r="C1412" s="179" t="s">
        <v>2793</v>
      </c>
      <c r="D1412" s="180" t="s">
        <v>2329</v>
      </c>
      <c r="E1412" s="621"/>
      <c r="F1412" s="182"/>
      <c r="G1412" s="182" t="s">
        <v>250</v>
      </c>
      <c r="H1412" s="184" t="s">
        <v>252</v>
      </c>
      <c r="I1412" s="185"/>
      <c r="J1412" s="183"/>
      <c r="K1412" s="203">
        <v>249</v>
      </c>
      <c r="L1412" s="188"/>
      <c r="M1412" s="187"/>
      <c r="N1412" s="187">
        <v>44573</v>
      </c>
      <c r="O1412" s="186">
        <v>3793</v>
      </c>
      <c r="P1412" s="179"/>
      <c r="Q1412" s="747">
        <v>249</v>
      </c>
      <c r="S1412" s="212">
        <v>22303</v>
      </c>
      <c r="T1412" s="212">
        <v>22303</v>
      </c>
      <c r="U1412" s="335"/>
      <c r="V1412" s="260">
        <v>90</v>
      </c>
    </row>
    <row r="1413" spans="2:22" s="310" customFormat="1" ht="15.75">
      <c r="B1413" s="311"/>
      <c r="C1413" s="179" t="s">
        <v>2793</v>
      </c>
      <c r="D1413" s="180" t="s">
        <v>2329</v>
      </c>
      <c r="E1413" s="181"/>
      <c r="F1413" s="182"/>
      <c r="G1413" s="846" t="s">
        <v>325</v>
      </c>
      <c r="H1413" s="184" t="s">
        <v>252</v>
      </c>
      <c r="I1413" s="185"/>
      <c r="J1413" s="183"/>
      <c r="K1413" s="203">
        <v>16</v>
      </c>
      <c r="L1413" s="187"/>
      <c r="M1413" s="187"/>
      <c r="N1413" s="187">
        <v>44573</v>
      </c>
      <c r="O1413" s="186">
        <v>3793</v>
      </c>
      <c r="P1413" s="312"/>
      <c r="Q1413" s="747">
        <v>16</v>
      </c>
      <c r="S1413" s="212">
        <v>1430</v>
      </c>
      <c r="T1413" s="212">
        <v>1430</v>
      </c>
      <c r="U1413" s="314"/>
      <c r="V1413" s="315">
        <v>90</v>
      </c>
    </row>
    <row r="1414" spans="2:22" s="7" customFormat="1" ht="18" customHeight="1">
      <c r="B1414" s="12"/>
      <c r="C1414" s="6" t="s">
        <v>2799</v>
      </c>
      <c r="D1414" s="14" t="s">
        <v>1963</v>
      </c>
      <c r="E1414" s="19" t="s">
        <v>238</v>
      </c>
      <c r="F1414" s="107"/>
      <c r="G1414" s="22"/>
      <c r="H1414" s="108"/>
      <c r="I1414" s="109"/>
      <c r="J1414" s="108"/>
      <c r="K1414" s="29" t="s">
        <v>5</v>
      </c>
      <c r="L1414" s="139"/>
      <c r="M1414" s="33"/>
      <c r="N1414" s="33">
        <v>44573</v>
      </c>
      <c r="O1414" s="32">
        <v>3799</v>
      </c>
      <c r="P1414" s="14"/>
      <c r="Q1414" s="322"/>
      <c r="U1414" s="14"/>
      <c r="V1414" s="260">
        <v>90</v>
      </c>
    </row>
    <row r="1415" spans="2:22" s="7" customFormat="1" ht="18" customHeight="1">
      <c r="B1415" s="12" t="s">
        <v>302</v>
      </c>
      <c r="C1415" s="6" t="s">
        <v>2799</v>
      </c>
      <c r="D1415" s="14" t="s">
        <v>1963</v>
      </c>
      <c r="E1415" s="22" t="s">
        <v>239</v>
      </c>
      <c r="F1415" s="107">
        <v>150</v>
      </c>
      <c r="G1415" s="847" t="s">
        <v>2800</v>
      </c>
      <c r="H1415" s="108">
        <v>10</v>
      </c>
      <c r="I1415" s="109">
        <v>1</v>
      </c>
      <c r="J1415" s="8">
        <f>H1415*I1415</f>
        <v>10</v>
      </c>
      <c r="K1415" s="39">
        <v>6.53</v>
      </c>
      <c r="L1415" s="39">
        <f>K1415*J1415</f>
        <v>65.3</v>
      </c>
      <c r="M1415" s="117" t="s">
        <v>349</v>
      </c>
      <c r="N1415" s="33">
        <v>44573</v>
      </c>
      <c r="O1415" s="32">
        <v>3799</v>
      </c>
      <c r="P1415" s="391">
        <f>ROUNDUP(S1415/V1415/VLOOKUP(B1415,$C$2:$F$6,3,FALSE),2)</f>
        <v>5.9399999999999995</v>
      </c>
      <c r="Q1415" s="322">
        <v>5.94</v>
      </c>
      <c r="S1415" s="7">
        <v>470</v>
      </c>
      <c r="T1415" s="7">
        <f>S1415*J1415</f>
        <v>4700</v>
      </c>
      <c r="U1415" s="21"/>
      <c r="V1415" s="260">
        <v>90</v>
      </c>
    </row>
    <row r="1416" spans="2:22" s="7" customFormat="1" ht="18" customHeight="1">
      <c r="B1416" s="12" t="s">
        <v>302</v>
      </c>
      <c r="C1416" s="6" t="s">
        <v>2799</v>
      </c>
      <c r="D1416" s="14" t="s">
        <v>1963</v>
      </c>
      <c r="E1416" s="22" t="s">
        <v>239</v>
      </c>
      <c r="F1416" s="107">
        <v>150</v>
      </c>
      <c r="G1416" s="847" t="s">
        <v>2801</v>
      </c>
      <c r="H1416" s="108">
        <v>10</v>
      </c>
      <c r="I1416" s="109">
        <v>1</v>
      </c>
      <c r="J1416" s="8">
        <f>H1416*I1416</f>
        <v>10</v>
      </c>
      <c r="K1416" s="39">
        <v>6.53</v>
      </c>
      <c r="L1416" s="39">
        <f>K1416*J1416</f>
        <v>65.3</v>
      </c>
      <c r="M1416" s="117" t="s">
        <v>349</v>
      </c>
      <c r="N1416" s="33">
        <v>44573</v>
      </c>
      <c r="O1416" s="32">
        <v>3799</v>
      </c>
      <c r="P1416" s="391">
        <f>ROUNDUP(S1416/V1416/VLOOKUP(B1416,$C$2:$F$6,3,FALSE),2)</f>
        <v>5.9399999999999995</v>
      </c>
      <c r="Q1416" s="322">
        <v>5.94</v>
      </c>
      <c r="S1416" s="7">
        <v>470</v>
      </c>
      <c r="T1416" s="7">
        <f>S1416*J1416</f>
        <v>4700</v>
      </c>
      <c r="U1416" s="21"/>
      <c r="V1416" s="260">
        <v>90</v>
      </c>
    </row>
    <row r="1417" spans="2:22" s="7" customFormat="1" ht="18" customHeight="1">
      <c r="B1417" s="12" t="s">
        <v>302</v>
      </c>
      <c r="C1417" s="6" t="s">
        <v>2799</v>
      </c>
      <c r="D1417" s="14" t="s">
        <v>1963</v>
      </c>
      <c r="E1417" s="22" t="s">
        <v>239</v>
      </c>
      <c r="F1417" s="107">
        <v>150</v>
      </c>
      <c r="G1417" s="847" t="s">
        <v>2801</v>
      </c>
      <c r="H1417" s="108">
        <v>5</v>
      </c>
      <c r="I1417" s="109">
        <v>1</v>
      </c>
      <c r="J1417" s="8">
        <f>H1417*I1417</f>
        <v>5</v>
      </c>
      <c r="K1417" s="39">
        <v>6.53</v>
      </c>
      <c r="L1417" s="39">
        <f>K1417*J1417</f>
        <v>32.65</v>
      </c>
      <c r="M1417" s="117" t="s">
        <v>349</v>
      </c>
      <c r="N1417" s="33">
        <v>44573</v>
      </c>
      <c r="O1417" s="32">
        <v>3799</v>
      </c>
      <c r="P1417" s="391">
        <f>ROUNDUP(S1417/V1417/VLOOKUP(B1417,$C$2:$F$6,3,FALSE),2)</f>
        <v>5.9399999999999995</v>
      </c>
      <c r="Q1417" s="322">
        <v>5.94</v>
      </c>
      <c r="S1417" s="7">
        <v>470</v>
      </c>
      <c r="T1417" s="7">
        <f>S1417*J1417</f>
        <v>2350</v>
      </c>
      <c r="U1417" s="21"/>
      <c r="V1417" s="260">
        <v>90</v>
      </c>
    </row>
    <row r="1418" spans="2:22" s="7" customFormat="1" ht="15">
      <c r="B1418" s="12"/>
      <c r="C1418" s="6" t="s">
        <v>2799</v>
      </c>
      <c r="D1418" s="14" t="s">
        <v>1963</v>
      </c>
      <c r="E1418" s="49"/>
      <c r="F1418" s="102"/>
      <c r="G1418" s="22" t="s">
        <v>57</v>
      </c>
      <c r="H1418" s="38"/>
      <c r="I1418" s="35"/>
      <c r="J1418" s="38">
        <v>3</v>
      </c>
      <c r="K1418" s="39">
        <v>15</v>
      </c>
      <c r="L1418" s="39">
        <f>K1418*J1418</f>
        <v>45</v>
      </c>
      <c r="M1418" s="91"/>
      <c r="N1418" s="33">
        <v>44573</v>
      </c>
      <c r="O1418" s="32">
        <v>3799</v>
      </c>
      <c r="P1418" s="6"/>
      <c r="Q1418" s="322">
        <v>36</v>
      </c>
      <c r="S1418" s="7">
        <v>1000</v>
      </c>
      <c r="T1418" s="7">
        <f>S1418*J1418</f>
        <v>3000</v>
      </c>
      <c r="U1418" s="21"/>
      <c r="V1418" s="260">
        <v>90</v>
      </c>
    </row>
    <row r="1419" spans="2:22" s="7" customFormat="1" ht="15">
      <c r="B1419" s="12"/>
      <c r="C1419" s="6" t="s">
        <v>2799</v>
      </c>
      <c r="D1419" s="14" t="s">
        <v>1963</v>
      </c>
      <c r="E1419" s="49"/>
      <c r="F1419" s="102"/>
      <c r="G1419" s="22" t="s">
        <v>316</v>
      </c>
      <c r="H1419" s="38"/>
      <c r="I1419" s="35"/>
      <c r="J1419" s="38">
        <v>1</v>
      </c>
      <c r="K1419" s="39">
        <v>20</v>
      </c>
      <c r="L1419" s="39">
        <f>K1419*J1419</f>
        <v>20</v>
      </c>
      <c r="M1419" s="91"/>
      <c r="N1419" s="33">
        <v>44573</v>
      </c>
      <c r="O1419" s="32">
        <v>3799</v>
      </c>
      <c r="P1419" s="722"/>
      <c r="Q1419" s="322">
        <v>20</v>
      </c>
      <c r="S1419" s="7">
        <v>1000</v>
      </c>
      <c r="T1419" s="7">
        <f>S1419*J1419</f>
        <v>1000</v>
      </c>
      <c r="U1419" s="21"/>
      <c r="V1419" s="260">
        <v>90</v>
      </c>
    </row>
    <row r="1420" spans="2:22" s="191" customFormat="1" ht="15">
      <c r="B1420" s="190"/>
      <c r="C1420" s="179" t="s">
        <v>2799</v>
      </c>
      <c r="D1420" s="180" t="s">
        <v>1963</v>
      </c>
      <c r="E1420" s="181"/>
      <c r="F1420" s="182"/>
      <c r="G1420" s="182" t="s">
        <v>250</v>
      </c>
      <c r="H1420" s="184" t="s">
        <v>251</v>
      </c>
      <c r="I1420" s="185"/>
      <c r="J1420" s="183"/>
      <c r="K1420" s="192">
        <v>0</v>
      </c>
      <c r="L1420" s="188"/>
      <c r="M1420" s="187"/>
      <c r="N1420" s="187">
        <v>44573</v>
      </c>
      <c r="O1420" s="186">
        <v>3799</v>
      </c>
      <c r="P1420" s="796"/>
      <c r="Q1420" s="807">
        <v>0</v>
      </c>
      <c r="S1420" s="197">
        <v>0</v>
      </c>
      <c r="T1420" s="198">
        <v>0</v>
      </c>
      <c r="U1420" s="808"/>
      <c r="V1420" s="260">
        <v>90</v>
      </c>
    </row>
    <row r="1421" spans="2:22" s="7" customFormat="1" ht="18" customHeight="1">
      <c r="B1421" s="12"/>
      <c r="C1421" s="6" t="s">
        <v>2802</v>
      </c>
      <c r="D1421" s="14" t="s">
        <v>2156</v>
      </c>
      <c r="E1421" s="19" t="s">
        <v>238</v>
      </c>
      <c r="F1421" s="107"/>
      <c r="G1421" s="22"/>
      <c r="H1421" s="108"/>
      <c r="I1421" s="109"/>
      <c r="J1421" s="108"/>
      <c r="K1421" s="110" t="s">
        <v>5</v>
      </c>
      <c r="L1421" s="139"/>
      <c r="M1421" s="33"/>
      <c r="N1421" s="33">
        <v>44628</v>
      </c>
      <c r="O1421" s="32">
        <v>3844</v>
      </c>
      <c r="P1421" s="14"/>
      <c r="Q1421" s="322"/>
      <c r="U1421" s="14"/>
      <c r="V1421" s="260">
        <v>90</v>
      </c>
    </row>
    <row r="1422" spans="2:22" s="7" customFormat="1" ht="18" customHeight="1">
      <c r="B1422" s="12" t="s">
        <v>302</v>
      </c>
      <c r="C1422" s="6" t="s">
        <v>2802</v>
      </c>
      <c r="D1422" s="14" t="s">
        <v>2156</v>
      </c>
      <c r="E1422" s="22" t="s">
        <v>239</v>
      </c>
      <c r="F1422" s="107">
        <v>150</v>
      </c>
      <c r="G1422" s="22" t="s">
        <v>2584</v>
      </c>
      <c r="H1422" s="125"/>
      <c r="I1422" s="406"/>
      <c r="J1422" s="8">
        <v>283</v>
      </c>
      <c r="K1422" s="39">
        <v>6.53</v>
      </c>
      <c r="L1422" s="39">
        <f t="shared" ref="L1422:L1429" si="69">K1422*J1422</f>
        <v>1847.99</v>
      </c>
      <c r="M1422" s="117" t="s">
        <v>349</v>
      </c>
      <c r="N1422" s="33">
        <v>44628</v>
      </c>
      <c r="O1422" s="32">
        <v>3844</v>
      </c>
      <c r="P1422" s="391">
        <f>ROUNDUP(S1422/V1422/VLOOKUP(B1422,$C$2:$F$6,3,FALSE),2)</f>
        <v>5.9399999999999995</v>
      </c>
      <c r="Q1422" s="322">
        <v>5.94</v>
      </c>
      <c r="R1422" s="322">
        <f t="shared" ref="R1422:R1430" si="70">Q1422*J1422</f>
        <v>1681.0200000000002</v>
      </c>
      <c r="S1422" s="7">
        <v>470</v>
      </c>
      <c r="T1422" s="210">
        <f t="shared" ref="T1422:T1429" si="71">S1422*J1422</f>
        <v>133010</v>
      </c>
      <c r="U1422" s="21"/>
      <c r="V1422" s="260">
        <v>90</v>
      </c>
    </row>
    <row r="1423" spans="2:22" s="7" customFormat="1" ht="18" customHeight="1">
      <c r="B1423" s="12" t="s">
        <v>302</v>
      </c>
      <c r="C1423" s="6" t="s">
        <v>2802</v>
      </c>
      <c r="D1423" s="14" t="s">
        <v>2156</v>
      </c>
      <c r="E1423" s="22" t="s">
        <v>239</v>
      </c>
      <c r="F1423" s="107">
        <v>150</v>
      </c>
      <c r="G1423" s="22" t="s">
        <v>2803</v>
      </c>
      <c r="H1423" s="125"/>
      <c r="I1423" s="406"/>
      <c r="J1423" s="8">
        <v>283</v>
      </c>
      <c r="K1423" s="39"/>
      <c r="L1423" s="39"/>
      <c r="M1423" s="117"/>
      <c r="N1423" s="224" t="s">
        <v>276</v>
      </c>
      <c r="O1423" s="32">
        <v>3844</v>
      </c>
      <c r="P1423" s="391"/>
      <c r="Q1423" s="322"/>
      <c r="R1423" s="322">
        <f t="shared" si="70"/>
        <v>0</v>
      </c>
      <c r="S1423" s="7">
        <v>15</v>
      </c>
      <c r="T1423" s="210">
        <f>S1423*J1423</f>
        <v>4245</v>
      </c>
      <c r="U1423" s="21"/>
      <c r="V1423" s="260">
        <v>90</v>
      </c>
    </row>
    <row r="1424" spans="2:22" s="7" customFormat="1" ht="18" customHeight="1">
      <c r="B1424" s="12" t="s">
        <v>302</v>
      </c>
      <c r="C1424" s="6" t="s">
        <v>2802</v>
      </c>
      <c r="D1424" s="14" t="s">
        <v>2156</v>
      </c>
      <c r="E1424" s="22" t="s">
        <v>239</v>
      </c>
      <c r="F1424" s="107">
        <v>150</v>
      </c>
      <c r="G1424" s="22" t="s">
        <v>2804</v>
      </c>
      <c r="H1424" s="125"/>
      <c r="I1424" s="406"/>
      <c r="J1424" s="131">
        <v>2</v>
      </c>
      <c r="K1424" s="39">
        <v>6.53</v>
      </c>
      <c r="L1424" s="39">
        <f t="shared" si="69"/>
        <v>13.06</v>
      </c>
      <c r="M1424" s="117" t="s">
        <v>349</v>
      </c>
      <c r="N1424" s="33">
        <v>44628</v>
      </c>
      <c r="O1424" s="32">
        <v>3844</v>
      </c>
      <c r="P1424" s="391">
        <f>ROUNDUP(S1424/V1424/VLOOKUP(B1424,$C$2:$F$6,3,FALSE),2)</f>
        <v>5.9399999999999995</v>
      </c>
      <c r="Q1424" s="322">
        <v>5.94</v>
      </c>
      <c r="R1424" s="322">
        <f t="shared" si="70"/>
        <v>11.88</v>
      </c>
      <c r="S1424" s="7">
        <v>470</v>
      </c>
      <c r="T1424" s="210">
        <f t="shared" si="71"/>
        <v>940</v>
      </c>
      <c r="U1424" s="21"/>
      <c r="V1424" s="260">
        <v>90</v>
      </c>
    </row>
    <row r="1425" spans="2:22" s="7" customFormat="1" ht="15.75">
      <c r="B1425" s="12"/>
      <c r="C1425" s="6" t="s">
        <v>2802</v>
      </c>
      <c r="D1425" s="14" t="s">
        <v>2156</v>
      </c>
      <c r="E1425" s="22"/>
      <c r="F1425" s="102"/>
      <c r="G1425" s="22" t="s">
        <v>2640</v>
      </c>
      <c r="H1425" s="38"/>
      <c r="I1425" s="35"/>
      <c r="J1425" s="38">
        <v>1</v>
      </c>
      <c r="K1425" s="39">
        <v>15</v>
      </c>
      <c r="L1425" s="39">
        <f t="shared" si="69"/>
        <v>15</v>
      </c>
      <c r="M1425" s="117"/>
      <c r="N1425" s="33">
        <v>44628</v>
      </c>
      <c r="O1425" s="32">
        <v>3844</v>
      </c>
      <c r="P1425" s="6"/>
      <c r="Q1425" s="322">
        <v>12</v>
      </c>
      <c r="R1425" s="322">
        <f t="shared" si="70"/>
        <v>12</v>
      </c>
      <c r="S1425" s="7">
        <v>1000</v>
      </c>
      <c r="T1425" s="7">
        <f t="shared" si="71"/>
        <v>1000</v>
      </c>
      <c r="U1425" s="21"/>
      <c r="V1425" s="260">
        <v>90</v>
      </c>
    </row>
    <row r="1426" spans="2:22" s="7" customFormat="1" ht="15.75">
      <c r="B1426" s="12"/>
      <c r="C1426" s="6" t="s">
        <v>2802</v>
      </c>
      <c r="D1426" s="14" t="s">
        <v>2156</v>
      </c>
      <c r="E1426" s="22"/>
      <c r="F1426" s="102"/>
      <c r="G1426" s="22" t="s">
        <v>2641</v>
      </c>
      <c r="H1426" s="38"/>
      <c r="I1426" s="35"/>
      <c r="J1426" s="38">
        <v>1</v>
      </c>
      <c r="K1426" s="39">
        <v>20</v>
      </c>
      <c r="L1426" s="39">
        <f t="shared" si="69"/>
        <v>20</v>
      </c>
      <c r="M1426" s="117"/>
      <c r="N1426" s="33">
        <v>44628</v>
      </c>
      <c r="O1426" s="32">
        <v>3844</v>
      </c>
      <c r="P1426" s="6"/>
      <c r="Q1426" s="322">
        <v>12</v>
      </c>
      <c r="R1426" s="322">
        <f t="shared" si="70"/>
        <v>12</v>
      </c>
      <c r="S1426" s="7">
        <v>1000</v>
      </c>
      <c r="T1426" s="7">
        <f t="shared" si="71"/>
        <v>1000</v>
      </c>
      <c r="U1426" s="21"/>
      <c r="V1426" s="260">
        <v>90</v>
      </c>
    </row>
    <row r="1427" spans="2:22" s="7" customFormat="1" ht="15.75">
      <c r="B1427" s="12"/>
      <c r="C1427" s="6" t="s">
        <v>2802</v>
      </c>
      <c r="D1427" s="14" t="s">
        <v>2156</v>
      </c>
      <c r="E1427" s="22"/>
      <c r="F1427" s="102"/>
      <c r="G1427" s="22" t="s">
        <v>2805</v>
      </c>
      <c r="H1427" s="38"/>
      <c r="I1427" s="35"/>
      <c r="J1427" s="38">
        <v>1</v>
      </c>
      <c r="K1427" s="39">
        <v>162.93</v>
      </c>
      <c r="L1427" s="39">
        <f t="shared" si="69"/>
        <v>162.93</v>
      </c>
      <c r="M1427" s="117"/>
      <c r="N1427" s="33">
        <v>44628</v>
      </c>
      <c r="O1427" s="32">
        <v>3844</v>
      </c>
      <c r="P1427" s="6"/>
      <c r="Q1427" s="322">
        <v>0</v>
      </c>
      <c r="R1427" s="322">
        <f t="shared" si="70"/>
        <v>0</v>
      </c>
      <c r="S1427" s="7">
        <v>0</v>
      </c>
      <c r="T1427" s="7">
        <f t="shared" si="71"/>
        <v>0</v>
      </c>
      <c r="U1427" s="21"/>
      <c r="V1427" s="260">
        <v>90</v>
      </c>
    </row>
    <row r="1428" spans="2:22" s="7" customFormat="1" ht="18" customHeight="1">
      <c r="B1428" s="12" t="s">
        <v>302</v>
      </c>
      <c r="C1428" s="6" t="s">
        <v>2802</v>
      </c>
      <c r="D1428" s="14" t="s">
        <v>2156</v>
      </c>
      <c r="E1428" s="22" t="s">
        <v>239</v>
      </c>
      <c r="F1428" s="107">
        <v>150</v>
      </c>
      <c r="G1428" s="22" t="s">
        <v>2638</v>
      </c>
      <c r="H1428" s="125"/>
      <c r="I1428" s="406"/>
      <c r="J1428" s="8">
        <v>1369</v>
      </c>
      <c r="K1428" s="39">
        <v>5.42</v>
      </c>
      <c r="L1428" s="39">
        <f t="shared" si="69"/>
        <v>7419.98</v>
      </c>
      <c r="M1428" s="117" t="s">
        <v>349</v>
      </c>
      <c r="N1428" s="33">
        <v>44628</v>
      </c>
      <c r="O1428" s="32">
        <v>3844</v>
      </c>
      <c r="P1428" s="391">
        <f>ROUNDUP(S1428/V1428/VLOOKUP(B1428,$C$2:$F$6,3,FALSE),2)</f>
        <v>4.93</v>
      </c>
      <c r="Q1428" s="39">
        <v>4.93</v>
      </c>
      <c r="R1428" s="322">
        <f t="shared" si="70"/>
        <v>6749.1699999999992</v>
      </c>
      <c r="S1428" s="7">
        <v>390</v>
      </c>
      <c r="T1428" s="210">
        <f t="shared" si="71"/>
        <v>533910</v>
      </c>
      <c r="U1428" s="21"/>
      <c r="V1428" s="260">
        <v>90</v>
      </c>
    </row>
    <row r="1429" spans="2:22" s="7" customFormat="1" ht="15.75">
      <c r="B1429" s="12"/>
      <c r="C1429" s="6" t="s">
        <v>2802</v>
      </c>
      <c r="D1429" s="14" t="s">
        <v>2156</v>
      </c>
      <c r="E1429" s="22"/>
      <c r="F1429" s="102"/>
      <c r="G1429" s="22" t="s">
        <v>316</v>
      </c>
      <c r="H1429" s="38"/>
      <c r="I1429" s="35"/>
      <c r="J1429" s="38">
        <v>1</v>
      </c>
      <c r="K1429" s="39">
        <v>20</v>
      </c>
      <c r="L1429" s="39">
        <f t="shared" si="69"/>
        <v>20</v>
      </c>
      <c r="M1429" s="117"/>
      <c r="N1429" s="33">
        <v>44628</v>
      </c>
      <c r="O1429" s="32">
        <v>3844</v>
      </c>
      <c r="P1429" s="6"/>
      <c r="Q1429" s="322">
        <v>20</v>
      </c>
      <c r="R1429" s="322">
        <f t="shared" si="70"/>
        <v>20</v>
      </c>
      <c r="S1429" s="7">
        <v>0</v>
      </c>
      <c r="T1429" s="7">
        <f t="shared" si="71"/>
        <v>0</v>
      </c>
      <c r="U1429" s="21"/>
      <c r="V1429" s="260">
        <v>90</v>
      </c>
    </row>
    <row r="1430" spans="2:22" s="143" customFormat="1" ht="15.75">
      <c r="B1430" s="276"/>
      <c r="C1430" s="142" t="s">
        <v>2802</v>
      </c>
      <c r="D1430" s="90" t="s">
        <v>2156</v>
      </c>
      <c r="E1430" s="153"/>
      <c r="F1430" s="116"/>
      <c r="G1430" s="153" t="s">
        <v>2806</v>
      </c>
      <c r="H1430" s="36"/>
      <c r="I1430" s="141"/>
      <c r="J1430" s="36">
        <v>1</v>
      </c>
      <c r="K1430" s="154"/>
      <c r="L1430" s="154">
        <f>K1430*J1430</f>
        <v>0</v>
      </c>
      <c r="M1430" s="848"/>
      <c r="N1430" s="33">
        <v>44628</v>
      </c>
      <c r="O1430" s="32">
        <v>3844</v>
      </c>
      <c r="P1430" s="142"/>
      <c r="Q1430" s="849">
        <v>200</v>
      </c>
      <c r="R1430" s="773">
        <f t="shared" si="70"/>
        <v>200</v>
      </c>
      <c r="S1430" s="143">
        <f>14620+3410</f>
        <v>18030</v>
      </c>
      <c r="T1430" s="143">
        <f>S1430*J1430</f>
        <v>18030</v>
      </c>
      <c r="U1430" s="746"/>
      <c r="V1430" s="279">
        <v>90</v>
      </c>
    </row>
    <row r="1431" spans="2:22" s="191" customFormat="1" ht="15">
      <c r="B1431" s="190"/>
      <c r="C1431" s="179" t="s">
        <v>2802</v>
      </c>
      <c r="D1431" s="180" t="s">
        <v>2156</v>
      </c>
      <c r="E1431" s="181"/>
      <c r="F1431" s="182"/>
      <c r="G1431" s="182" t="s">
        <v>250</v>
      </c>
      <c r="H1431" s="184" t="s">
        <v>251</v>
      </c>
      <c r="I1431" s="185"/>
      <c r="J1431" s="183"/>
      <c r="K1431" s="192">
        <v>0</v>
      </c>
      <c r="L1431" s="188"/>
      <c r="M1431" s="187"/>
      <c r="N1431" s="187"/>
      <c r="O1431" s="186"/>
      <c r="P1431" s="796"/>
      <c r="Q1431" s="807">
        <v>0</v>
      </c>
      <c r="S1431" s="197">
        <v>0</v>
      </c>
      <c r="T1431" s="198">
        <v>0</v>
      </c>
      <c r="U1431" s="808"/>
      <c r="V1431" s="260">
        <v>90</v>
      </c>
    </row>
    <row r="1432" spans="2:22" s="7" customFormat="1" ht="18" customHeight="1">
      <c r="B1432" s="12"/>
      <c r="C1432" s="6" t="s">
        <v>2807</v>
      </c>
      <c r="D1432" s="14" t="s">
        <v>2022</v>
      </c>
      <c r="E1432" s="19" t="s">
        <v>59</v>
      </c>
      <c r="F1432" s="107"/>
      <c r="G1432" s="22"/>
      <c r="H1432" s="108"/>
      <c r="I1432" s="109"/>
      <c r="J1432" s="108"/>
      <c r="K1432" s="29" t="s">
        <v>5</v>
      </c>
      <c r="L1432" s="39"/>
      <c r="M1432" s="91"/>
      <c r="N1432" s="33">
        <v>44587</v>
      </c>
      <c r="O1432" s="32">
        <v>3812</v>
      </c>
      <c r="P1432" s="14"/>
      <c r="Q1432" s="322"/>
      <c r="U1432" s="14"/>
      <c r="V1432" s="260">
        <v>90</v>
      </c>
    </row>
    <row r="1433" spans="2:22" s="7" customFormat="1" ht="18" customHeight="1">
      <c r="B1433" s="12" t="s">
        <v>302</v>
      </c>
      <c r="C1433" s="6" t="s">
        <v>2807</v>
      </c>
      <c r="D1433" s="14" t="s">
        <v>2022</v>
      </c>
      <c r="E1433" s="22" t="s">
        <v>314</v>
      </c>
      <c r="F1433" s="107">
        <v>145</v>
      </c>
      <c r="G1433" s="22" t="s">
        <v>2808</v>
      </c>
      <c r="H1433" s="108">
        <v>30</v>
      </c>
      <c r="I1433" s="109">
        <v>1</v>
      </c>
      <c r="J1433" s="8">
        <f>H1433*I1433</f>
        <v>30</v>
      </c>
      <c r="K1433" s="39">
        <v>8.75</v>
      </c>
      <c r="L1433" s="39">
        <f>K1433*J1433</f>
        <v>262.5</v>
      </c>
      <c r="M1433" s="117" t="s">
        <v>349</v>
      </c>
      <c r="N1433" s="33">
        <v>44587</v>
      </c>
      <c r="O1433" s="32">
        <v>3812</v>
      </c>
      <c r="P1433" s="391">
        <f>ROUNDUP(S1433/V1433/VLOOKUP(B1433,$C$2:$F$6,3,FALSE),2)</f>
        <v>7.96</v>
      </c>
      <c r="Q1433" s="322">
        <v>7.96</v>
      </c>
      <c r="S1433" s="7">
        <v>630</v>
      </c>
      <c r="T1433" s="7">
        <f>S1433*J1433</f>
        <v>18900</v>
      </c>
      <c r="U1433" s="21"/>
      <c r="V1433" s="260">
        <v>90</v>
      </c>
    </row>
    <row r="1434" spans="2:22" s="7" customFormat="1" ht="18" customHeight="1">
      <c r="B1434" s="12" t="s">
        <v>302</v>
      </c>
      <c r="C1434" s="6" t="s">
        <v>2807</v>
      </c>
      <c r="D1434" s="14" t="s">
        <v>2022</v>
      </c>
      <c r="E1434" s="22" t="s">
        <v>314</v>
      </c>
      <c r="F1434" s="107">
        <v>145</v>
      </c>
      <c r="G1434" s="22" t="s">
        <v>2809</v>
      </c>
      <c r="H1434" s="108">
        <v>30</v>
      </c>
      <c r="I1434" s="109">
        <v>1</v>
      </c>
      <c r="J1434" s="8">
        <f>H1434*I1434</f>
        <v>30</v>
      </c>
      <c r="K1434" s="39">
        <v>8.75</v>
      </c>
      <c r="L1434" s="39">
        <f>K1434*J1434</f>
        <v>262.5</v>
      </c>
      <c r="M1434" s="117" t="s">
        <v>349</v>
      </c>
      <c r="N1434" s="33">
        <v>44587</v>
      </c>
      <c r="O1434" s="32">
        <v>3812</v>
      </c>
      <c r="P1434" s="391">
        <f>ROUNDUP(S1434/V1434/VLOOKUP(B1434,$C$2:$F$6,3,FALSE),2)</f>
        <v>7.96</v>
      </c>
      <c r="Q1434" s="322">
        <v>7.96</v>
      </c>
      <c r="S1434" s="7">
        <v>630</v>
      </c>
      <c r="T1434" s="7">
        <f>S1434*J1434</f>
        <v>18900</v>
      </c>
      <c r="U1434" s="21"/>
      <c r="V1434" s="260">
        <v>90</v>
      </c>
    </row>
    <row r="1435" spans="2:22" s="7" customFormat="1" ht="15">
      <c r="B1435" s="12"/>
      <c r="C1435" s="6" t="s">
        <v>2807</v>
      </c>
      <c r="D1435" s="14" t="s">
        <v>2022</v>
      </c>
      <c r="E1435" s="22"/>
      <c r="F1435" s="102"/>
      <c r="G1435" s="22" t="s">
        <v>2625</v>
      </c>
      <c r="H1435" s="8"/>
      <c r="I1435" s="35"/>
      <c r="J1435" s="38">
        <v>2</v>
      </c>
      <c r="K1435" s="39">
        <v>15</v>
      </c>
      <c r="L1435" s="39">
        <f>K1435*J1435</f>
        <v>30</v>
      </c>
      <c r="M1435" s="91"/>
      <c r="N1435" s="33">
        <v>44587</v>
      </c>
      <c r="O1435" s="32">
        <v>3812</v>
      </c>
      <c r="P1435" s="391">
        <v>12</v>
      </c>
      <c r="Q1435" s="322">
        <v>24</v>
      </c>
      <c r="S1435" s="7">
        <v>1000</v>
      </c>
      <c r="T1435" s="7">
        <f>S1435*J1435</f>
        <v>2000</v>
      </c>
      <c r="U1435" s="21"/>
      <c r="V1435" s="260">
        <v>90</v>
      </c>
    </row>
    <row r="1436" spans="2:22" s="7" customFormat="1" ht="15">
      <c r="B1436" s="12"/>
      <c r="C1436" s="6" t="s">
        <v>2807</v>
      </c>
      <c r="D1436" s="14" t="s">
        <v>2022</v>
      </c>
      <c r="E1436" s="22"/>
      <c r="F1436" s="102"/>
      <c r="G1436" s="22" t="s">
        <v>316</v>
      </c>
      <c r="H1436" s="8"/>
      <c r="I1436" s="35"/>
      <c r="J1436" s="38">
        <v>1</v>
      </c>
      <c r="K1436" s="39">
        <v>20</v>
      </c>
      <c r="L1436" s="39">
        <v>20</v>
      </c>
      <c r="M1436" s="91"/>
      <c r="N1436" s="33">
        <v>44587</v>
      </c>
      <c r="O1436" s="32">
        <v>3812</v>
      </c>
      <c r="P1436" s="6" t="s">
        <v>3</v>
      </c>
      <c r="Q1436" s="322">
        <v>20</v>
      </c>
      <c r="S1436" s="7">
        <v>1000</v>
      </c>
      <c r="T1436" s="7">
        <f>S1436*J1436</f>
        <v>1000</v>
      </c>
      <c r="U1436" s="21"/>
      <c r="V1436" s="260">
        <v>90</v>
      </c>
    </row>
    <row r="1437" spans="2:22" s="191" customFormat="1" ht="15">
      <c r="B1437" s="190"/>
      <c r="C1437" s="179" t="s">
        <v>2807</v>
      </c>
      <c r="D1437" s="180" t="s">
        <v>2022</v>
      </c>
      <c r="E1437" s="217"/>
      <c r="F1437" s="182"/>
      <c r="G1437" s="182" t="s">
        <v>2810</v>
      </c>
      <c r="H1437" s="184" t="s">
        <v>251</v>
      </c>
      <c r="I1437" s="185"/>
      <c r="J1437" s="183"/>
      <c r="K1437" s="203">
        <v>0</v>
      </c>
      <c r="L1437" s="188"/>
      <c r="M1437" s="187"/>
      <c r="N1437" s="187">
        <v>44587</v>
      </c>
      <c r="O1437" s="186">
        <v>3812</v>
      </c>
      <c r="P1437" s="179"/>
      <c r="Q1437" s="747">
        <v>0</v>
      </c>
      <c r="S1437" s="197">
        <v>0</v>
      </c>
      <c r="T1437" s="198">
        <v>0</v>
      </c>
      <c r="U1437" s="335"/>
      <c r="V1437" s="260">
        <v>90</v>
      </c>
    </row>
    <row r="1438" spans="2:22" customFormat="1" ht="18" customHeight="1">
      <c r="B1438" s="26"/>
      <c r="C1438" s="6" t="s">
        <v>2811</v>
      </c>
      <c r="D1438" s="14" t="s">
        <v>1970</v>
      </c>
      <c r="E1438" s="19" t="s">
        <v>227</v>
      </c>
      <c r="F1438" s="37"/>
      <c r="G1438" s="37"/>
      <c r="H1438" s="108"/>
      <c r="I1438" s="108"/>
      <c r="J1438" s="108"/>
      <c r="K1438" s="29" t="s">
        <v>101</v>
      </c>
      <c r="L1438" s="139"/>
      <c r="M1438" s="33"/>
      <c r="N1438" s="33">
        <v>44574</v>
      </c>
      <c r="O1438" s="32">
        <v>3809</v>
      </c>
      <c r="P1438" s="6"/>
      <c r="Q1438" s="339"/>
      <c r="R1438" s="1"/>
      <c r="S1438" s="7"/>
      <c r="T1438" s="7"/>
      <c r="U1438" s="21"/>
      <c r="V1438" s="260">
        <v>90</v>
      </c>
    </row>
    <row r="1439" spans="2:22" customFormat="1" ht="18" customHeight="1">
      <c r="B1439" s="26" t="s">
        <v>300</v>
      </c>
      <c r="C1439" s="6" t="s">
        <v>2811</v>
      </c>
      <c r="D1439" s="14" t="s">
        <v>1970</v>
      </c>
      <c r="E1439" s="22">
        <v>2250</v>
      </c>
      <c r="F1439" s="37">
        <v>15</v>
      </c>
      <c r="G1439" s="22" t="s">
        <v>2812</v>
      </c>
      <c r="H1439" s="108">
        <v>30</v>
      </c>
      <c r="I1439" s="109">
        <v>1</v>
      </c>
      <c r="J1439" s="8">
        <f>H1439*I1439</f>
        <v>30</v>
      </c>
      <c r="K1439" s="39">
        <v>0.39</v>
      </c>
      <c r="L1439" s="39">
        <f>K1439*J1439</f>
        <v>11.700000000000001</v>
      </c>
      <c r="M1439" s="117" t="s">
        <v>349</v>
      </c>
      <c r="N1439" s="33">
        <v>44574</v>
      </c>
      <c r="O1439" s="32">
        <v>3809</v>
      </c>
      <c r="P1439" s="391">
        <f>ROUNDUP(S1439/V1439/VLOOKUP(B1439,$C$2:$F$6,3,FALSE),2)</f>
        <v>0.34</v>
      </c>
      <c r="Q1439" s="322">
        <v>0.34</v>
      </c>
      <c r="R1439" s="1"/>
      <c r="S1439" s="7">
        <v>21</v>
      </c>
      <c r="T1439" s="7">
        <f>S1439*J1439</f>
        <v>630</v>
      </c>
      <c r="U1439" s="39"/>
      <c r="V1439" s="260">
        <v>90</v>
      </c>
    </row>
    <row r="1440" spans="2:22" s="7" customFormat="1" ht="15.75">
      <c r="B1440" s="12"/>
      <c r="C1440" s="6" t="s">
        <v>2811</v>
      </c>
      <c r="D1440" s="14" t="s">
        <v>1970</v>
      </c>
      <c r="E1440" s="22"/>
      <c r="F1440" s="102"/>
      <c r="G1440" s="22" t="s">
        <v>316</v>
      </c>
      <c r="H1440" s="8"/>
      <c r="I1440" s="35"/>
      <c r="J1440" s="38">
        <v>1</v>
      </c>
      <c r="K1440" s="39">
        <v>12</v>
      </c>
      <c r="L1440" s="39">
        <f>K1440*J1440</f>
        <v>12</v>
      </c>
      <c r="M1440" s="117"/>
      <c r="N1440" s="33">
        <v>44574</v>
      </c>
      <c r="O1440" s="32">
        <v>3809</v>
      </c>
      <c r="P1440" s="6"/>
      <c r="Q1440" s="322">
        <v>12</v>
      </c>
      <c r="S1440" s="7">
        <v>0</v>
      </c>
      <c r="T1440" s="7">
        <f>S1440*J1440</f>
        <v>0</v>
      </c>
      <c r="U1440" s="21"/>
      <c r="V1440" s="260">
        <v>90</v>
      </c>
    </row>
    <row r="1441" spans="2:22" s="191" customFormat="1" ht="15">
      <c r="B1441" s="190"/>
      <c r="C1441" s="179" t="s">
        <v>2811</v>
      </c>
      <c r="D1441" s="180" t="s">
        <v>1970</v>
      </c>
      <c r="E1441" s="181"/>
      <c r="F1441" s="182"/>
      <c r="G1441" s="182" t="s">
        <v>2813</v>
      </c>
      <c r="H1441" s="184" t="s">
        <v>251</v>
      </c>
      <c r="I1441" s="185"/>
      <c r="J1441" s="183"/>
      <c r="K1441" s="203">
        <v>0</v>
      </c>
      <c r="L1441" s="188"/>
      <c r="M1441" s="187"/>
      <c r="N1441" s="187">
        <v>44574</v>
      </c>
      <c r="O1441" s="186">
        <v>3809</v>
      </c>
      <c r="P1441" s="179"/>
      <c r="Q1441" s="322">
        <v>0</v>
      </c>
      <c r="S1441" s="212">
        <v>0</v>
      </c>
      <c r="T1441" s="212">
        <v>0</v>
      </c>
      <c r="U1441" s="335"/>
      <c r="V1441" s="260">
        <v>90</v>
      </c>
    </row>
    <row r="1442" spans="2:22" s="7" customFormat="1" ht="17.25" customHeight="1">
      <c r="B1442" s="12"/>
      <c r="C1442" s="6" t="s">
        <v>2814</v>
      </c>
      <c r="D1442" s="14" t="s">
        <v>2777</v>
      </c>
      <c r="E1442" s="19" t="s">
        <v>238</v>
      </c>
      <c r="F1442" s="107"/>
      <c r="G1442" s="22"/>
      <c r="H1442" s="108"/>
      <c r="I1442" s="109"/>
      <c r="J1442" s="108"/>
      <c r="K1442" s="29" t="s">
        <v>5</v>
      </c>
      <c r="L1442" s="139"/>
      <c r="M1442" s="33"/>
      <c r="N1442" s="33">
        <v>44573</v>
      </c>
      <c r="O1442" s="32">
        <v>3810</v>
      </c>
      <c r="P1442" s="14"/>
      <c r="Q1442" s="322"/>
      <c r="U1442" s="14"/>
      <c r="V1442" s="260">
        <v>90</v>
      </c>
    </row>
    <row r="1443" spans="2:22" s="7" customFormat="1" ht="18" customHeight="1">
      <c r="B1443" s="12" t="s">
        <v>302</v>
      </c>
      <c r="C1443" s="6" t="s">
        <v>2814</v>
      </c>
      <c r="D1443" s="14" t="s">
        <v>2777</v>
      </c>
      <c r="E1443" s="22" t="s">
        <v>239</v>
      </c>
      <c r="F1443" s="107">
        <v>150</v>
      </c>
      <c r="G1443" s="22" t="s">
        <v>2293</v>
      </c>
      <c r="H1443" s="108">
        <v>10</v>
      </c>
      <c r="I1443" s="109">
        <v>1</v>
      </c>
      <c r="J1443" s="8">
        <f>H1443*I1443</f>
        <v>10</v>
      </c>
      <c r="K1443" s="39">
        <v>6.53</v>
      </c>
      <c r="L1443" s="39">
        <f>K1443*J1443</f>
        <v>65.3</v>
      </c>
      <c r="M1443" s="117" t="s">
        <v>349</v>
      </c>
      <c r="N1443" s="33">
        <v>44573</v>
      </c>
      <c r="O1443" s="32">
        <v>3810</v>
      </c>
      <c r="P1443" s="391">
        <f>ROUNDUP(S1443/V1443/VLOOKUP(B1443,$C$2:$F$6,3,FALSE),2)</f>
        <v>5.9399999999999995</v>
      </c>
      <c r="Q1443" s="322">
        <v>5.94</v>
      </c>
      <c r="S1443" s="7">
        <v>470</v>
      </c>
      <c r="T1443" s="7">
        <f>S1443*J1443</f>
        <v>4700</v>
      </c>
      <c r="U1443" s="21"/>
      <c r="V1443" s="260">
        <v>90</v>
      </c>
    </row>
    <row r="1444" spans="2:22" s="7" customFormat="1" ht="18" customHeight="1">
      <c r="B1444" s="12" t="s">
        <v>302</v>
      </c>
      <c r="C1444" s="6" t="s">
        <v>2814</v>
      </c>
      <c r="D1444" s="14" t="s">
        <v>2777</v>
      </c>
      <c r="E1444" s="22" t="s">
        <v>239</v>
      </c>
      <c r="F1444" s="107">
        <v>150</v>
      </c>
      <c r="G1444" s="22" t="s">
        <v>2293</v>
      </c>
      <c r="H1444" s="108">
        <v>10</v>
      </c>
      <c r="I1444" s="109">
        <v>1</v>
      </c>
      <c r="J1444" s="8">
        <f>H1444*I1444</f>
        <v>10</v>
      </c>
      <c r="K1444" s="39">
        <v>6.53</v>
      </c>
      <c r="L1444" s="39">
        <f>K1444*J1444</f>
        <v>65.3</v>
      </c>
      <c r="M1444" s="117" t="s">
        <v>349</v>
      </c>
      <c r="N1444" s="33">
        <v>44573</v>
      </c>
      <c r="O1444" s="32">
        <v>3810</v>
      </c>
      <c r="P1444" s="391">
        <f>ROUNDUP(S1444/V1444/VLOOKUP(B1444,$C$2:$F$6,3,FALSE),2)</f>
        <v>5.9399999999999995</v>
      </c>
      <c r="Q1444" s="322">
        <v>5.94</v>
      </c>
      <c r="S1444" s="7">
        <v>470</v>
      </c>
      <c r="T1444" s="7">
        <f>S1444*J1444</f>
        <v>4700</v>
      </c>
      <c r="U1444" s="21"/>
      <c r="V1444" s="260">
        <v>90</v>
      </c>
    </row>
    <row r="1445" spans="2:22" s="7" customFormat="1" ht="15">
      <c r="B1445" s="12"/>
      <c r="C1445" s="6" t="s">
        <v>2814</v>
      </c>
      <c r="D1445" s="14" t="s">
        <v>2777</v>
      </c>
      <c r="E1445" s="49"/>
      <c r="F1445" s="102"/>
      <c r="G1445" s="22" t="s">
        <v>2625</v>
      </c>
      <c r="H1445" s="38"/>
      <c r="I1445" s="35"/>
      <c r="J1445" s="38">
        <v>2</v>
      </c>
      <c r="K1445" s="39">
        <v>15</v>
      </c>
      <c r="L1445" s="39">
        <f>K1445*J1445</f>
        <v>30</v>
      </c>
      <c r="M1445" s="91"/>
      <c r="N1445" s="33">
        <v>44573</v>
      </c>
      <c r="O1445" s="32">
        <v>3810</v>
      </c>
      <c r="P1445" s="722"/>
      <c r="Q1445" s="322">
        <v>24</v>
      </c>
      <c r="S1445" s="7">
        <v>1000</v>
      </c>
      <c r="T1445" s="7">
        <f>S1445*J1445</f>
        <v>2000</v>
      </c>
      <c r="U1445" s="21"/>
      <c r="V1445" s="260">
        <v>90</v>
      </c>
    </row>
    <row r="1446" spans="2:22" s="7" customFormat="1" ht="15">
      <c r="B1446" s="12"/>
      <c r="C1446" s="6" t="s">
        <v>2814</v>
      </c>
      <c r="D1446" s="14" t="s">
        <v>2777</v>
      </c>
      <c r="E1446" s="49"/>
      <c r="F1446" s="102"/>
      <c r="G1446" s="22" t="s">
        <v>316</v>
      </c>
      <c r="H1446" s="38"/>
      <c r="I1446" s="35"/>
      <c r="J1446" s="38">
        <v>1</v>
      </c>
      <c r="K1446" s="39">
        <v>20</v>
      </c>
      <c r="L1446" s="39">
        <f>K1446*J1446</f>
        <v>20</v>
      </c>
      <c r="M1446" s="91"/>
      <c r="N1446" s="33">
        <v>44573</v>
      </c>
      <c r="O1446" s="32">
        <v>3810</v>
      </c>
      <c r="P1446" s="722"/>
      <c r="Q1446" s="322">
        <v>12</v>
      </c>
      <c r="S1446" s="7">
        <v>1000</v>
      </c>
      <c r="T1446" s="7">
        <f>S1446*J1446</f>
        <v>1000</v>
      </c>
      <c r="U1446" s="21"/>
      <c r="V1446" s="260">
        <v>90</v>
      </c>
    </row>
    <row r="1447" spans="2:22" s="191" customFormat="1" ht="15">
      <c r="B1447" s="190"/>
      <c r="C1447" s="179" t="s">
        <v>2814</v>
      </c>
      <c r="D1447" s="180" t="s">
        <v>2777</v>
      </c>
      <c r="E1447" s="181"/>
      <c r="F1447" s="182"/>
      <c r="G1447" s="182" t="s">
        <v>250</v>
      </c>
      <c r="H1447" s="184" t="s">
        <v>252</v>
      </c>
      <c r="I1447" s="185"/>
      <c r="J1447" s="183"/>
      <c r="K1447" s="333">
        <v>38</v>
      </c>
      <c r="L1447" s="188"/>
      <c r="M1447" s="187"/>
      <c r="N1447" s="187">
        <v>44573</v>
      </c>
      <c r="O1447" s="186">
        <v>3810</v>
      </c>
      <c r="P1447" s="796"/>
      <c r="Q1447" s="747">
        <v>38</v>
      </c>
      <c r="S1447" s="212">
        <v>3400</v>
      </c>
      <c r="T1447" s="212">
        <v>3400</v>
      </c>
      <c r="U1447" s="808"/>
      <c r="V1447" s="260">
        <v>90</v>
      </c>
    </row>
    <row r="1448" spans="2:22" customFormat="1" ht="18" customHeight="1">
      <c r="B1448" s="26"/>
      <c r="C1448" s="6" t="s">
        <v>2815</v>
      </c>
      <c r="D1448" s="14" t="s">
        <v>2816</v>
      </c>
      <c r="E1448" s="19" t="s">
        <v>227</v>
      </c>
      <c r="F1448" s="37"/>
      <c r="G1448" s="37"/>
      <c r="H1448" s="108"/>
      <c r="I1448" s="108"/>
      <c r="J1448" s="108"/>
      <c r="K1448" s="29" t="s">
        <v>101</v>
      </c>
      <c r="L1448" s="139"/>
      <c r="M1448" s="33"/>
      <c r="N1448" s="33">
        <v>44596</v>
      </c>
      <c r="O1448" s="32">
        <v>3815</v>
      </c>
      <c r="P1448" s="6"/>
      <c r="Q1448" s="339"/>
      <c r="R1448" s="1"/>
      <c r="S1448" s="7"/>
      <c r="T1448" s="7"/>
      <c r="U1448" s="21"/>
      <c r="V1448" s="260">
        <v>90</v>
      </c>
    </row>
    <row r="1449" spans="2:22" customFormat="1" ht="18" customHeight="1">
      <c r="B1449" s="26" t="s">
        <v>300</v>
      </c>
      <c r="C1449" s="6" t="s">
        <v>2815</v>
      </c>
      <c r="D1449" s="14" t="s">
        <v>2816</v>
      </c>
      <c r="E1449" s="22">
        <v>2250</v>
      </c>
      <c r="F1449" s="37">
        <v>12</v>
      </c>
      <c r="G1449" s="22" t="s">
        <v>2817</v>
      </c>
      <c r="H1449" s="108">
        <v>30</v>
      </c>
      <c r="I1449" s="109">
        <v>19</v>
      </c>
      <c r="J1449" s="8">
        <f>H1449*I1449</f>
        <v>570</v>
      </c>
      <c r="K1449" s="39">
        <v>0.33</v>
      </c>
      <c r="L1449" s="39">
        <f>K1449*J1449</f>
        <v>188.10000000000002</v>
      </c>
      <c r="M1449" s="117" t="s">
        <v>349</v>
      </c>
      <c r="N1449" s="33">
        <v>44596</v>
      </c>
      <c r="O1449" s="32">
        <v>3815</v>
      </c>
      <c r="P1449" s="391">
        <f>ROUNDUP(S1449/V1449/VLOOKUP(B1449,$C$2:$F$6,3,FALSE),2)</f>
        <v>0.28000000000000003</v>
      </c>
      <c r="Q1449" s="322">
        <v>0.28000000000000003</v>
      </c>
      <c r="R1449" s="701">
        <f>Q1449*J1449</f>
        <v>159.60000000000002</v>
      </c>
      <c r="S1449" s="7">
        <v>17.5</v>
      </c>
      <c r="T1449" s="7">
        <f>S1449*J1449</f>
        <v>9975</v>
      </c>
      <c r="U1449" s="39"/>
      <c r="V1449" s="260">
        <v>90</v>
      </c>
    </row>
    <row r="1450" spans="2:22" customFormat="1" ht="18" customHeight="1">
      <c r="B1450" s="26" t="s">
        <v>300</v>
      </c>
      <c r="C1450" s="6" t="s">
        <v>2815</v>
      </c>
      <c r="D1450" s="14" t="s">
        <v>2816</v>
      </c>
      <c r="E1450" s="22">
        <v>2250</v>
      </c>
      <c r="F1450" s="37">
        <v>12</v>
      </c>
      <c r="G1450" s="22" t="s">
        <v>2818</v>
      </c>
      <c r="H1450" s="108">
        <v>30</v>
      </c>
      <c r="I1450" s="109">
        <v>4</v>
      </c>
      <c r="J1450" s="8">
        <f>H1450*I1450</f>
        <v>120</v>
      </c>
      <c r="K1450" s="39">
        <v>0.33</v>
      </c>
      <c r="L1450" s="39">
        <f>K1450*J1450</f>
        <v>39.6</v>
      </c>
      <c r="M1450" s="117" t="s">
        <v>349</v>
      </c>
      <c r="N1450" s="33">
        <v>44596</v>
      </c>
      <c r="O1450" s="32">
        <v>3815</v>
      </c>
      <c r="P1450" s="391">
        <f>ROUNDUP(S1450/V1450/VLOOKUP(B1450,$C$2:$F$6,3,FALSE),2)</f>
        <v>0.28000000000000003</v>
      </c>
      <c r="Q1450" s="322">
        <v>0.28000000000000003</v>
      </c>
      <c r="R1450" s="701">
        <f>Q1450*J1450</f>
        <v>33.6</v>
      </c>
      <c r="S1450" s="7">
        <v>17.5</v>
      </c>
      <c r="T1450" s="7">
        <f>S1450*J1450</f>
        <v>2100</v>
      </c>
      <c r="U1450" s="39"/>
      <c r="V1450" s="260">
        <v>90</v>
      </c>
    </row>
    <row r="1451" spans="2:22" s="7" customFormat="1" ht="15.75">
      <c r="B1451" s="12"/>
      <c r="C1451" s="6" t="s">
        <v>2815</v>
      </c>
      <c r="D1451" s="14" t="s">
        <v>2816</v>
      </c>
      <c r="E1451" s="22"/>
      <c r="F1451" s="102"/>
      <c r="G1451" s="22" t="s">
        <v>316</v>
      </c>
      <c r="H1451" s="8"/>
      <c r="I1451" s="35"/>
      <c r="J1451" s="38">
        <v>1</v>
      </c>
      <c r="K1451" s="39">
        <v>12</v>
      </c>
      <c r="L1451" s="39">
        <f>K1451*J1451</f>
        <v>12</v>
      </c>
      <c r="M1451" s="117"/>
      <c r="N1451" s="33">
        <v>44596</v>
      </c>
      <c r="O1451" s="32">
        <v>3815</v>
      </c>
      <c r="P1451" s="6"/>
      <c r="Q1451" s="322">
        <v>12</v>
      </c>
      <c r="S1451" s="7">
        <v>0</v>
      </c>
      <c r="T1451" s="7">
        <f>S1451*J1451</f>
        <v>0</v>
      </c>
      <c r="U1451" s="21"/>
      <c r="V1451" s="260">
        <v>90</v>
      </c>
    </row>
    <row r="1452" spans="2:22" s="191" customFormat="1" ht="15">
      <c r="B1452" s="190"/>
      <c r="C1452" s="179" t="s">
        <v>2815</v>
      </c>
      <c r="D1452" s="180" t="s">
        <v>2816</v>
      </c>
      <c r="E1452" s="181"/>
      <c r="F1452" s="182"/>
      <c r="G1452" s="182" t="s">
        <v>324</v>
      </c>
      <c r="H1452" s="184" t="s">
        <v>251</v>
      </c>
      <c r="I1452" s="185"/>
      <c r="J1452" s="183"/>
      <c r="K1452" s="192">
        <v>0</v>
      </c>
      <c r="L1452" s="188"/>
      <c r="M1452" s="187"/>
      <c r="N1452" s="187">
        <v>44617</v>
      </c>
      <c r="O1452" s="186">
        <v>3821</v>
      </c>
      <c r="P1452" s="179"/>
      <c r="Q1452" s="725">
        <v>0</v>
      </c>
      <c r="S1452" s="197">
        <v>0</v>
      </c>
      <c r="T1452" s="198">
        <v>0</v>
      </c>
      <c r="U1452" s="335"/>
      <c r="V1452" s="260">
        <v>90</v>
      </c>
    </row>
    <row r="1453" spans="2:22" s="7" customFormat="1" ht="18" customHeight="1">
      <c r="B1453" s="12"/>
      <c r="C1453" s="6" t="s">
        <v>2819</v>
      </c>
      <c r="D1453" s="14" t="s">
        <v>2162</v>
      </c>
      <c r="E1453" s="19" t="s">
        <v>2163</v>
      </c>
      <c r="F1453" s="37"/>
      <c r="G1453" s="37"/>
      <c r="H1453" s="108"/>
      <c r="I1453" s="108"/>
      <c r="J1453" s="108"/>
      <c r="K1453" s="110" t="s">
        <v>5</v>
      </c>
      <c r="L1453" s="139"/>
      <c r="M1453" s="33"/>
      <c r="N1453" s="33">
        <v>44578</v>
      </c>
      <c r="O1453" s="32">
        <v>3822</v>
      </c>
      <c r="P1453" s="6"/>
      <c r="Q1453" s="339"/>
      <c r="U1453" s="21"/>
      <c r="V1453" s="260">
        <v>90</v>
      </c>
    </row>
    <row r="1454" spans="2:22" s="7" customFormat="1" ht="18" customHeight="1">
      <c r="B1454" s="12" t="s">
        <v>300</v>
      </c>
      <c r="C1454" s="6" t="s">
        <v>2819</v>
      </c>
      <c r="D1454" s="14" t="s">
        <v>2162</v>
      </c>
      <c r="E1454" s="22">
        <v>5603</v>
      </c>
      <c r="F1454" s="37"/>
      <c r="G1454" s="396" t="s">
        <v>2820</v>
      </c>
      <c r="H1454" s="108">
        <v>50</v>
      </c>
      <c r="I1454" s="109">
        <v>1</v>
      </c>
      <c r="J1454" s="8">
        <f t="shared" ref="J1454:J1459" si="72">I1454*H1454</f>
        <v>50</v>
      </c>
      <c r="K1454" s="39">
        <v>0.3</v>
      </c>
      <c r="L1454" s="39">
        <f t="shared" ref="L1454:L1460" si="73">K1454*J1454</f>
        <v>15</v>
      </c>
      <c r="M1454" s="117" t="s">
        <v>349</v>
      </c>
      <c r="N1454" s="33">
        <v>44578</v>
      </c>
      <c r="O1454" s="32">
        <v>3822</v>
      </c>
      <c r="P1454" s="391">
        <f t="shared" ref="P1454:P1459" si="74">ROUNDUP(S1454/V1454/VLOOKUP(B1454,$C$2:$F$6,3,FALSE),2)</f>
        <v>0.26</v>
      </c>
      <c r="Q1454" s="322">
        <v>0.26</v>
      </c>
      <c r="S1454" s="7">
        <v>16</v>
      </c>
      <c r="T1454" s="7">
        <f t="shared" ref="T1454:T1461" si="75">S1454*J1454</f>
        <v>800</v>
      </c>
      <c r="U1454" s="21"/>
      <c r="V1454" s="260">
        <v>90</v>
      </c>
    </row>
    <row r="1455" spans="2:22" s="7" customFormat="1" ht="18" customHeight="1">
      <c r="B1455" s="12" t="s">
        <v>300</v>
      </c>
      <c r="C1455" s="6" t="s">
        <v>2819</v>
      </c>
      <c r="D1455" s="14" t="s">
        <v>2162</v>
      </c>
      <c r="E1455" s="22">
        <v>5603</v>
      </c>
      <c r="F1455" s="37"/>
      <c r="G1455" s="396" t="s">
        <v>2821</v>
      </c>
      <c r="H1455" s="108">
        <v>50</v>
      </c>
      <c r="I1455" s="109">
        <v>1</v>
      </c>
      <c r="J1455" s="8">
        <f t="shared" si="72"/>
        <v>50</v>
      </c>
      <c r="K1455" s="39">
        <v>0.3</v>
      </c>
      <c r="L1455" s="39">
        <f t="shared" si="73"/>
        <v>15</v>
      </c>
      <c r="M1455" s="117" t="s">
        <v>349</v>
      </c>
      <c r="N1455" s="33">
        <v>44578</v>
      </c>
      <c r="O1455" s="32">
        <v>3822</v>
      </c>
      <c r="P1455" s="391">
        <f t="shared" si="74"/>
        <v>0.26</v>
      </c>
      <c r="Q1455" s="322">
        <v>0.26</v>
      </c>
      <c r="S1455" s="7">
        <v>16</v>
      </c>
      <c r="T1455" s="7">
        <f t="shared" si="75"/>
        <v>800</v>
      </c>
      <c r="U1455" s="21"/>
      <c r="V1455" s="260">
        <v>90</v>
      </c>
    </row>
    <row r="1456" spans="2:22" s="7" customFormat="1" ht="18" customHeight="1">
      <c r="B1456" s="12" t="s">
        <v>300</v>
      </c>
      <c r="C1456" s="6" t="s">
        <v>2819</v>
      </c>
      <c r="D1456" s="14" t="s">
        <v>2162</v>
      </c>
      <c r="E1456" s="22">
        <v>5603</v>
      </c>
      <c r="F1456" s="37"/>
      <c r="G1456" s="396" t="s">
        <v>2822</v>
      </c>
      <c r="H1456" s="108">
        <v>50</v>
      </c>
      <c r="I1456" s="109">
        <v>1</v>
      </c>
      <c r="J1456" s="8">
        <f t="shared" si="72"/>
        <v>50</v>
      </c>
      <c r="K1456" s="39">
        <v>0.3</v>
      </c>
      <c r="L1456" s="39">
        <f t="shared" si="73"/>
        <v>15</v>
      </c>
      <c r="M1456" s="117" t="s">
        <v>349</v>
      </c>
      <c r="N1456" s="33">
        <v>44578</v>
      </c>
      <c r="O1456" s="32">
        <v>3822</v>
      </c>
      <c r="P1456" s="391">
        <f t="shared" si="74"/>
        <v>0.26</v>
      </c>
      <c r="Q1456" s="322">
        <v>0.26</v>
      </c>
      <c r="S1456" s="7">
        <v>16</v>
      </c>
      <c r="T1456" s="7">
        <f t="shared" si="75"/>
        <v>800</v>
      </c>
      <c r="U1456" s="21"/>
      <c r="V1456" s="260">
        <v>90</v>
      </c>
    </row>
    <row r="1457" spans="2:22" s="7" customFormat="1" ht="18" customHeight="1">
      <c r="B1457" s="12" t="s">
        <v>300</v>
      </c>
      <c r="C1457" s="6" t="s">
        <v>2819</v>
      </c>
      <c r="D1457" s="14" t="s">
        <v>2162</v>
      </c>
      <c r="E1457" s="22">
        <v>5603</v>
      </c>
      <c r="F1457" s="37"/>
      <c r="G1457" s="396" t="s">
        <v>2823</v>
      </c>
      <c r="H1457" s="108">
        <v>50</v>
      </c>
      <c r="I1457" s="109">
        <v>1</v>
      </c>
      <c r="J1457" s="8">
        <f t="shared" si="72"/>
        <v>50</v>
      </c>
      <c r="K1457" s="39">
        <v>0.3</v>
      </c>
      <c r="L1457" s="39">
        <f t="shared" si="73"/>
        <v>15</v>
      </c>
      <c r="M1457" s="117" t="s">
        <v>349</v>
      </c>
      <c r="N1457" s="33">
        <v>44578</v>
      </c>
      <c r="O1457" s="32">
        <v>3822</v>
      </c>
      <c r="P1457" s="391">
        <f t="shared" si="74"/>
        <v>0.26</v>
      </c>
      <c r="Q1457" s="322">
        <v>0.26</v>
      </c>
      <c r="S1457" s="7">
        <v>16</v>
      </c>
      <c r="T1457" s="7">
        <f t="shared" si="75"/>
        <v>800</v>
      </c>
      <c r="U1457" s="21"/>
      <c r="V1457" s="260">
        <v>90</v>
      </c>
    </row>
    <row r="1458" spans="2:22" s="7" customFormat="1" ht="18" customHeight="1">
      <c r="B1458" s="12" t="s">
        <v>300</v>
      </c>
      <c r="C1458" s="6" t="s">
        <v>2819</v>
      </c>
      <c r="D1458" s="14" t="s">
        <v>2162</v>
      </c>
      <c r="E1458" s="22">
        <v>5603</v>
      </c>
      <c r="F1458" s="37"/>
      <c r="G1458" s="396" t="s">
        <v>2824</v>
      </c>
      <c r="H1458" s="108">
        <v>50</v>
      </c>
      <c r="I1458" s="109">
        <v>1</v>
      </c>
      <c r="J1458" s="8">
        <f t="shared" si="72"/>
        <v>50</v>
      </c>
      <c r="K1458" s="39">
        <v>0.3</v>
      </c>
      <c r="L1458" s="39">
        <f t="shared" si="73"/>
        <v>15</v>
      </c>
      <c r="M1458" s="117" t="s">
        <v>349</v>
      </c>
      <c r="N1458" s="33">
        <v>44578</v>
      </c>
      <c r="O1458" s="32">
        <v>3822</v>
      </c>
      <c r="P1458" s="391">
        <f t="shared" si="74"/>
        <v>0.26</v>
      </c>
      <c r="Q1458" s="322">
        <v>0.26</v>
      </c>
      <c r="S1458" s="7">
        <v>16</v>
      </c>
      <c r="T1458" s="7">
        <f t="shared" si="75"/>
        <v>800</v>
      </c>
      <c r="U1458" s="21"/>
      <c r="V1458" s="260">
        <v>90</v>
      </c>
    </row>
    <row r="1459" spans="2:22" s="7" customFormat="1" ht="18" customHeight="1">
      <c r="B1459" s="12" t="s">
        <v>300</v>
      </c>
      <c r="C1459" s="6" t="s">
        <v>2819</v>
      </c>
      <c r="D1459" s="14" t="s">
        <v>2162</v>
      </c>
      <c r="E1459" s="22">
        <v>5603</v>
      </c>
      <c r="F1459" s="37"/>
      <c r="G1459" s="396" t="s">
        <v>2825</v>
      </c>
      <c r="H1459" s="108">
        <v>50</v>
      </c>
      <c r="I1459" s="109">
        <v>1</v>
      </c>
      <c r="J1459" s="8">
        <f t="shared" si="72"/>
        <v>50</v>
      </c>
      <c r="K1459" s="39">
        <v>0.3</v>
      </c>
      <c r="L1459" s="39">
        <f t="shared" si="73"/>
        <v>15</v>
      </c>
      <c r="M1459" s="117" t="s">
        <v>349</v>
      </c>
      <c r="N1459" s="33">
        <v>44578</v>
      </c>
      <c r="O1459" s="32">
        <v>3822</v>
      </c>
      <c r="P1459" s="391">
        <f t="shared" si="74"/>
        <v>0.26</v>
      </c>
      <c r="Q1459" s="322">
        <v>0.26</v>
      </c>
      <c r="S1459" s="7">
        <v>16</v>
      </c>
      <c r="T1459" s="7">
        <f t="shared" si="75"/>
        <v>800</v>
      </c>
      <c r="U1459" s="21"/>
      <c r="V1459" s="260">
        <v>90</v>
      </c>
    </row>
    <row r="1460" spans="2:22" s="7" customFormat="1" ht="18" customHeight="1">
      <c r="B1460" s="12"/>
      <c r="C1460" s="6" t="s">
        <v>2819</v>
      </c>
      <c r="D1460" s="14" t="s">
        <v>2162</v>
      </c>
      <c r="E1460" s="22"/>
      <c r="F1460" s="102"/>
      <c r="G1460" s="22" t="s">
        <v>316</v>
      </c>
      <c r="H1460" s="8"/>
      <c r="I1460" s="35"/>
      <c r="J1460" s="38">
        <v>1</v>
      </c>
      <c r="K1460" s="39">
        <v>12</v>
      </c>
      <c r="L1460" s="39">
        <f t="shared" si="73"/>
        <v>12</v>
      </c>
      <c r="M1460" s="117"/>
      <c r="N1460" s="33">
        <v>44578</v>
      </c>
      <c r="O1460" s="32">
        <v>3822</v>
      </c>
      <c r="P1460" s="6" t="s">
        <v>3</v>
      </c>
      <c r="Q1460" s="322">
        <v>12</v>
      </c>
      <c r="S1460" s="7">
        <v>1100</v>
      </c>
      <c r="T1460" s="7">
        <f t="shared" si="75"/>
        <v>1100</v>
      </c>
      <c r="U1460" s="21"/>
      <c r="V1460" s="260">
        <v>90</v>
      </c>
    </row>
    <row r="1461" spans="2:22" s="191" customFormat="1" ht="15">
      <c r="B1461" s="190"/>
      <c r="C1461" s="179" t="s">
        <v>2819</v>
      </c>
      <c r="D1461" s="180" t="s">
        <v>2162</v>
      </c>
      <c r="E1461" s="181"/>
      <c r="F1461" s="182"/>
      <c r="G1461" s="182" t="s">
        <v>250</v>
      </c>
      <c r="H1461" s="184" t="s">
        <v>251</v>
      </c>
      <c r="I1461" s="185"/>
      <c r="J1461" s="183"/>
      <c r="K1461" s="192">
        <v>0</v>
      </c>
      <c r="L1461" s="188"/>
      <c r="M1461" s="187"/>
      <c r="N1461" s="187">
        <v>44578</v>
      </c>
      <c r="O1461" s="186">
        <v>3822</v>
      </c>
      <c r="P1461" s="179"/>
      <c r="Q1461" s="725">
        <v>0</v>
      </c>
      <c r="S1461" s="197">
        <v>0</v>
      </c>
      <c r="T1461" s="7">
        <f t="shared" si="75"/>
        <v>0</v>
      </c>
      <c r="U1461" s="335"/>
      <c r="V1461" s="260">
        <v>90</v>
      </c>
    </row>
    <row r="1462" spans="2:22" s="7" customFormat="1" ht="18" customHeight="1">
      <c r="B1462" s="12"/>
      <c r="C1462" s="6" t="s">
        <v>2826</v>
      </c>
      <c r="D1462" s="14" t="s">
        <v>2608</v>
      </c>
      <c r="E1462" s="19" t="s">
        <v>2270</v>
      </c>
      <c r="F1462" s="37"/>
      <c r="G1462" s="37"/>
      <c r="H1462" s="108"/>
      <c r="I1462" s="108"/>
      <c r="J1462" s="108"/>
      <c r="K1462" s="29" t="s">
        <v>5</v>
      </c>
      <c r="L1462" s="139"/>
      <c r="M1462" s="33"/>
      <c r="N1462" s="33">
        <v>44617</v>
      </c>
      <c r="O1462" s="32">
        <v>3821</v>
      </c>
      <c r="P1462" s="6"/>
      <c r="Q1462" s="339"/>
      <c r="U1462" s="21"/>
      <c r="V1462" s="260">
        <v>90</v>
      </c>
    </row>
    <row r="1463" spans="2:22" s="7" customFormat="1" ht="17.25" customHeight="1">
      <c r="B1463" s="12" t="s">
        <v>300</v>
      </c>
      <c r="C1463" s="6" t="s">
        <v>2826</v>
      </c>
      <c r="D1463" s="14" t="s">
        <v>2608</v>
      </c>
      <c r="E1463" s="22">
        <v>5636</v>
      </c>
      <c r="F1463" s="37" t="s">
        <v>230</v>
      </c>
      <c r="G1463" s="22" t="s">
        <v>2609</v>
      </c>
      <c r="H1463" s="813">
        <v>50</v>
      </c>
      <c r="I1463" s="814">
        <v>15</v>
      </c>
      <c r="J1463" s="8">
        <f>H1463*I1463</f>
        <v>750</v>
      </c>
      <c r="K1463" s="39">
        <v>0.27</v>
      </c>
      <c r="L1463" s="39">
        <f>K1463*J1463</f>
        <v>202.5</v>
      </c>
      <c r="M1463" s="117" t="s">
        <v>349</v>
      </c>
      <c r="N1463" s="33">
        <v>44617</v>
      </c>
      <c r="O1463" s="32">
        <v>3821</v>
      </c>
      <c r="P1463" s="391">
        <f>ROUNDUP(S1463/V1463/VLOOKUP(B1463,$C$2:$F$6,3,FALSE),2)</f>
        <v>0.17</v>
      </c>
      <c r="Q1463" s="322">
        <v>0.17</v>
      </c>
      <c r="R1463" s="322">
        <f>Q1463*J1463</f>
        <v>127.50000000000001</v>
      </c>
      <c r="S1463" s="752">
        <v>10.4</v>
      </c>
      <c r="T1463" s="7">
        <f>S1463*J1463</f>
        <v>7800</v>
      </c>
      <c r="U1463" s="850" t="s">
        <v>2827</v>
      </c>
      <c r="V1463" s="260">
        <v>90</v>
      </c>
    </row>
    <row r="1464" spans="2:22" s="7" customFormat="1" ht="17.25" customHeight="1">
      <c r="B1464" s="12" t="s">
        <v>300</v>
      </c>
      <c r="C1464" s="6" t="s">
        <v>2826</v>
      </c>
      <c r="D1464" s="14" t="s">
        <v>2608</v>
      </c>
      <c r="E1464" s="22">
        <v>5636</v>
      </c>
      <c r="F1464" s="37" t="s">
        <v>230</v>
      </c>
      <c r="G1464" s="22" t="s">
        <v>2828</v>
      </c>
      <c r="H1464" s="813">
        <v>50</v>
      </c>
      <c r="I1464" s="814">
        <v>1</v>
      </c>
      <c r="J1464" s="8">
        <f>H1464*I1464</f>
        <v>50</v>
      </c>
      <c r="K1464" s="39">
        <v>0.27</v>
      </c>
      <c r="L1464" s="39">
        <f>K1464*J1464</f>
        <v>13.5</v>
      </c>
      <c r="M1464" s="117" t="s">
        <v>349</v>
      </c>
      <c r="N1464" s="33">
        <v>44617</v>
      </c>
      <c r="O1464" s="32">
        <v>3821</v>
      </c>
      <c r="P1464" s="391">
        <f>ROUNDUP(S1464/V1464/VLOOKUP(B1464,$C$2:$F$6,3,FALSE),2)</f>
        <v>0.22</v>
      </c>
      <c r="Q1464" s="322">
        <v>0.22</v>
      </c>
      <c r="R1464" s="322">
        <f>Q1464*J1464</f>
        <v>11</v>
      </c>
      <c r="S1464" s="752">
        <v>13.8</v>
      </c>
      <c r="T1464" s="7">
        <f>S1464*J1464</f>
        <v>690</v>
      </c>
      <c r="U1464" s="850" t="s">
        <v>2827</v>
      </c>
      <c r="V1464" s="260">
        <v>90</v>
      </c>
    </row>
    <row r="1465" spans="2:22" s="7" customFormat="1" ht="15">
      <c r="B1465" s="12"/>
      <c r="C1465" s="6" t="s">
        <v>2826</v>
      </c>
      <c r="D1465" s="14" t="s">
        <v>2608</v>
      </c>
      <c r="E1465" s="22"/>
      <c r="F1465" s="102"/>
      <c r="G1465" s="22" t="s">
        <v>316</v>
      </c>
      <c r="H1465" s="8"/>
      <c r="I1465" s="35"/>
      <c r="J1465" s="38">
        <v>1</v>
      </c>
      <c r="K1465" s="39">
        <v>12</v>
      </c>
      <c r="L1465" s="39">
        <f>K1465*J1465</f>
        <v>12</v>
      </c>
      <c r="M1465" s="91"/>
      <c r="N1465" s="33">
        <v>44617</v>
      </c>
      <c r="O1465" s="32">
        <v>3821</v>
      </c>
      <c r="P1465" s="6"/>
      <c r="Q1465" s="322">
        <v>12</v>
      </c>
      <c r="R1465" s="322">
        <f>Q1465*J1465</f>
        <v>12</v>
      </c>
      <c r="S1465" s="7">
        <v>0</v>
      </c>
      <c r="T1465" s="7">
        <f>S1465*J1465</f>
        <v>0</v>
      </c>
      <c r="U1465" s="21"/>
      <c r="V1465" s="260">
        <v>90</v>
      </c>
    </row>
    <row r="1466" spans="2:22" s="191" customFormat="1" ht="15">
      <c r="B1466" s="190"/>
      <c r="C1466" s="179" t="s">
        <v>2826</v>
      </c>
      <c r="D1466" s="180" t="s">
        <v>2608</v>
      </c>
      <c r="E1466" s="217"/>
      <c r="F1466" s="622"/>
      <c r="G1466" s="182" t="s">
        <v>250</v>
      </c>
      <c r="H1466" s="184" t="s">
        <v>251</v>
      </c>
      <c r="I1466" s="185"/>
      <c r="J1466" s="183"/>
      <c r="K1466" s="192">
        <v>0</v>
      </c>
      <c r="L1466" s="188"/>
      <c r="M1466" s="187"/>
      <c r="N1466" s="187">
        <v>44617</v>
      </c>
      <c r="O1466" s="186">
        <v>3821</v>
      </c>
      <c r="P1466" s="179"/>
      <c r="Q1466" s="725">
        <v>0</v>
      </c>
      <c r="S1466" s="197">
        <v>0</v>
      </c>
      <c r="T1466" s="198">
        <v>0</v>
      </c>
      <c r="U1466" s="335"/>
      <c r="V1466" s="260">
        <v>90</v>
      </c>
    </row>
    <row r="1467" spans="2:22" s="7" customFormat="1" ht="18" customHeight="1">
      <c r="B1467" s="12"/>
      <c r="C1467" s="6" t="s">
        <v>2829</v>
      </c>
      <c r="D1467" s="14" t="s">
        <v>2608</v>
      </c>
      <c r="E1467" s="19" t="s">
        <v>2270</v>
      </c>
      <c r="F1467" s="37"/>
      <c r="G1467" s="37"/>
      <c r="H1467" s="108"/>
      <c r="I1467" s="108"/>
      <c r="J1467" s="108"/>
      <c r="K1467" s="29" t="s">
        <v>5</v>
      </c>
      <c r="L1467" s="139"/>
      <c r="M1467" s="33"/>
      <c r="N1467" s="33">
        <v>44617</v>
      </c>
      <c r="O1467" s="32">
        <v>3821</v>
      </c>
      <c r="P1467" s="6"/>
      <c r="Q1467" s="339"/>
      <c r="U1467" s="21"/>
      <c r="V1467" s="260">
        <v>90</v>
      </c>
    </row>
    <row r="1468" spans="2:22" s="7" customFormat="1" ht="17.25" customHeight="1">
      <c r="B1468" s="12" t="s">
        <v>300</v>
      </c>
      <c r="C1468" s="6" t="s">
        <v>2829</v>
      </c>
      <c r="D1468" s="14" t="s">
        <v>2608</v>
      </c>
      <c r="E1468" s="22">
        <v>5636</v>
      </c>
      <c r="F1468" s="37" t="s">
        <v>230</v>
      </c>
      <c r="G1468" s="22" t="s">
        <v>2830</v>
      </c>
      <c r="H1468" s="813">
        <v>50</v>
      </c>
      <c r="I1468" s="814">
        <v>6</v>
      </c>
      <c r="J1468" s="8">
        <f>H1468*I1468</f>
        <v>300</v>
      </c>
      <c r="K1468" s="39">
        <v>0.27</v>
      </c>
      <c r="L1468" s="39">
        <f>K1468*J1468</f>
        <v>81</v>
      </c>
      <c r="M1468" s="117" t="s">
        <v>349</v>
      </c>
      <c r="N1468" s="33">
        <v>44617</v>
      </c>
      <c r="O1468" s="32">
        <v>3821</v>
      </c>
      <c r="P1468" s="391">
        <f>ROUNDUP(S1468/V1468/VLOOKUP(B1468,$C$2:$F$6,3,FALSE),2)</f>
        <v>0.17</v>
      </c>
      <c r="Q1468" s="322">
        <v>0.17</v>
      </c>
      <c r="R1468" s="322">
        <f>Q1468*J1468</f>
        <v>51.000000000000007</v>
      </c>
      <c r="S1468" s="752">
        <v>10.4</v>
      </c>
      <c r="T1468" s="7">
        <f>S1468*J1468</f>
        <v>3120</v>
      </c>
      <c r="U1468" s="850" t="s">
        <v>2827</v>
      </c>
      <c r="V1468" s="260">
        <v>90</v>
      </c>
    </row>
    <row r="1469" spans="2:22" s="7" customFormat="1" ht="17.25" customHeight="1">
      <c r="B1469" s="12" t="s">
        <v>300</v>
      </c>
      <c r="C1469" s="6" t="s">
        <v>2829</v>
      </c>
      <c r="D1469" s="14" t="s">
        <v>2608</v>
      </c>
      <c r="E1469" s="22">
        <v>5636</v>
      </c>
      <c r="F1469" s="37" t="s">
        <v>230</v>
      </c>
      <c r="G1469" s="22" t="s">
        <v>2831</v>
      </c>
      <c r="H1469" s="813">
        <v>50</v>
      </c>
      <c r="I1469" s="814">
        <v>7</v>
      </c>
      <c r="J1469" s="8">
        <f>H1469*I1469</f>
        <v>350</v>
      </c>
      <c r="K1469" s="39">
        <v>0.27</v>
      </c>
      <c r="L1469" s="39">
        <f>K1469*J1469</f>
        <v>94.5</v>
      </c>
      <c r="M1469" s="117" t="s">
        <v>349</v>
      </c>
      <c r="N1469" s="33">
        <v>44617</v>
      </c>
      <c r="O1469" s="32">
        <v>3821</v>
      </c>
      <c r="P1469" s="391">
        <f>ROUNDUP(S1469/V1469/VLOOKUP(B1469,$C$2:$F$6,3,FALSE),2)</f>
        <v>0.22</v>
      </c>
      <c r="Q1469" s="322">
        <v>0.22</v>
      </c>
      <c r="R1469" s="322">
        <f>Q1469*J1469</f>
        <v>77</v>
      </c>
      <c r="S1469" s="752">
        <v>13.8</v>
      </c>
      <c r="T1469" s="7">
        <f>S1469*J1469</f>
        <v>4830</v>
      </c>
      <c r="U1469" s="850" t="s">
        <v>2827</v>
      </c>
      <c r="V1469" s="260">
        <v>90</v>
      </c>
    </row>
    <row r="1470" spans="2:22" s="7" customFormat="1" ht="15">
      <c r="B1470" s="12"/>
      <c r="C1470" s="6" t="s">
        <v>2829</v>
      </c>
      <c r="D1470" s="14" t="s">
        <v>2608</v>
      </c>
      <c r="E1470" s="22"/>
      <c r="F1470" s="102"/>
      <c r="G1470" s="22" t="s">
        <v>316</v>
      </c>
      <c r="H1470" s="8"/>
      <c r="I1470" s="35"/>
      <c r="J1470" s="38">
        <v>1</v>
      </c>
      <c r="K1470" s="39">
        <v>12</v>
      </c>
      <c r="L1470" s="39">
        <f>K1470*J1470</f>
        <v>12</v>
      </c>
      <c r="M1470" s="91"/>
      <c r="N1470" s="33">
        <v>44617</v>
      </c>
      <c r="O1470" s="32">
        <v>3821</v>
      </c>
      <c r="P1470" s="6"/>
      <c r="Q1470" s="322">
        <v>12</v>
      </c>
      <c r="R1470" s="322">
        <f>Q1470*J1470</f>
        <v>12</v>
      </c>
      <c r="S1470" s="7">
        <v>950</v>
      </c>
      <c r="T1470" s="7">
        <f>S1470*J1470</f>
        <v>950</v>
      </c>
      <c r="U1470" s="21"/>
      <c r="V1470" s="260">
        <v>90</v>
      </c>
    </row>
    <row r="1471" spans="2:22" s="191" customFormat="1" ht="15">
      <c r="B1471" s="190"/>
      <c r="C1471" s="179" t="s">
        <v>2829</v>
      </c>
      <c r="D1471" s="180" t="s">
        <v>2608</v>
      </c>
      <c r="E1471" s="217"/>
      <c r="F1471" s="622"/>
      <c r="G1471" s="182" t="s">
        <v>250</v>
      </c>
      <c r="H1471" s="184" t="s">
        <v>251</v>
      </c>
      <c r="I1471" s="185"/>
      <c r="J1471" s="183"/>
      <c r="K1471" s="192">
        <v>0</v>
      </c>
      <c r="L1471" s="188"/>
      <c r="M1471" s="187"/>
      <c r="N1471" s="187">
        <v>44617</v>
      </c>
      <c r="O1471" s="186">
        <v>3821</v>
      </c>
      <c r="P1471" s="179"/>
      <c r="Q1471" s="725">
        <v>0</v>
      </c>
      <c r="S1471" s="197">
        <v>0</v>
      </c>
      <c r="T1471" s="198">
        <v>0</v>
      </c>
      <c r="U1471" s="335"/>
      <c r="V1471" s="260">
        <v>90</v>
      </c>
    </row>
    <row r="1472" spans="2:22" s="7" customFormat="1" ht="18" customHeight="1">
      <c r="B1472" s="12"/>
      <c r="C1472" s="6" t="s">
        <v>2832</v>
      </c>
      <c r="D1472" s="14" t="s">
        <v>2608</v>
      </c>
      <c r="E1472" s="17" t="s">
        <v>2687</v>
      </c>
      <c r="F1472" s="319"/>
      <c r="G1472" s="299"/>
      <c r="H1472" s="300"/>
      <c r="I1472" s="320"/>
      <c r="J1472" s="321"/>
      <c r="K1472" s="110" t="s">
        <v>5</v>
      </c>
      <c r="L1472" s="139"/>
      <c r="M1472" s="33"/>
      <c r="N1472" s="33">
        <v>44617</v>
      </c>
      <c r="O1472" s="32">
        <v>3955</v>
      </c>
      <c r="P1472" s="6"/>
      <c r="Q1472" s="322"/>
      <c r="U1472" s="39"/>
      <c r="V1472" s="260">
        <v>90</v>
      </c>
    </row>
    <row r="1473" spans="1:22" s="7" customFormat="1" ht="18" customHeight="1">
      <c r="B1473" s="12" t="s">
        <v>300</v>
      </c>
      <c r="C1473" s="6" t="s">
        <v>2832</v>
      </c>
      <c r="D1473" s="14" t="s">
        <v>2608</v>
      </c>
      <c r="E1473" s="22">
        <v>5637</v>
      </c>
      <c r="F1473" s="24" t="s">
        <v>311</v>
      </c>
      <c r="G1473" s="22" t="s">
        <v>2609</v>
      </c>
      <c r="H1473" s="813">
        <v>50</v>
      </c>
      <c r="I1473" s="814">
        <v>1</v>
      </c>
      <c r="J1473" s="8">
        <f>H1473*I1473</f>
        <v>50</v>
      </c>
      <c r="K1473" s="137">
        <v>0.23</v>
      </c>
      <c r="L1473" s="39">
        <f>K1473*J1473</f>
        <v>11.5</v>
      </c>
      <c r="M1473" s="117" t="s">
        <v>349</v>
      </c>
      <c r="N1473" s="33">
        <v>44617</v>
      </c>
      <c r="O1473" s="32">
        <v>3955</v>
      </c>
      <c r="P1473" s="391">
        <f>ROUNDUP(S1473/V1473/VLOOKUP(B1473,$C$2:$F$6,3,FALSE),2)</f>
        <v>0.16</v>
      </c>
      <c r="Q1473" s="322">
        <v>0.16</v>
      </c>
      <c r="R1473" s="322">
        <f>Q1473*J1473</f>
        <v>8</v>
      </c>
      <c r="S1473" s="752">
        <v>9.6</v>
      </c>
      <c r="T1473" s="7">
        <f>S1473*J1473</f>
        <v>480</v>
      </c>
      <c r="U1473" s="778" t="s">
        <v>2833</v>
      </c>
      <c r="V1473" s="260">
        <v>90</v>
      </c>
    </row>
    <row r="1474" spans="1:22" s="7" customFormat="1" ht="15">
      <c r="B1474" s="12"/>
      <c r="C1474" s="6" t="s">
        <v>2832</v>
      </c>
      <c r="D1474" s="14" t="s">
        <v>2608</v>
      </c>
      <c r="E1474" s="22"/>
      <c r="F1474" s="102"/>
      <c r="G1474" s="22" t="s">
        <v>316</v>
      </c>
      <c r="H1474" s="8"/>
      <c r="I1474" s="35"/>
      <c r="J1474" s="38">
        <v>1</v>
      </c>
      <c r="K1474" s="39">
        <v>12</v>
      </c>
      <c r="L1474" s="39">
        <f>K1474*J1474</f>
        <v>12</v>
      </c>
      <c r="M1474" s="91"/>
      <c r="N1474" s="33">
        <v>44617</v>
      </c>
      <c r="O1474" s="32">
        <v>3955</v>
      </c>
      <c r="P1474" s="6"/>
      <c r="Q1474" s="322">
        <v>12</v>
      </c>
      <c r="R1474" s="322">
        <f>Q1474*J1474</f>
        <v>12</v>
      </c>
      <c r="S1474" s="7">
        <v>950</v>
      </c>
      <c r="T1474" s="7">
        <f>S1474*J1474</f>
        <v>950</v>
      </c>
      <c r="U1474" s="21"/>
      <c r="V1474" s="260">
        <v>90</v>
      </c>
    </row>
    <row r="1475" spans="1:22" s="191" customFormat="1" ht="15">
      <c r="B1475" s="190"/>
      <c r="C1475" s="179" t="s">
        <v>2832</v>
      </c>
      <c r="D1475" s="180" t="s">
        <v>2608</v>
      </c>
      <c r="E1475" s="181"/>
      <c r="F1475" s="622"/>
      <c r="G1475" s="182" t="s">
        <v>250</v>
      </c>
      <c r="H1475" s="184" t="s">
        <v>251</v>
      </c>
      <c r="I1475" s="185"/>
      <c r="J1475" s="183"/>
      <c r="K1475" s="192">
        <v>0</v>
      </c>
      <c r="L1475" s="188"/>
      <c r="M1475" s="187"/>
      <c r="N1475" s="187">
        <v>44617</v>
      </c>
      <c r="O1475" s="186">
        <v>3955</v>
      </c>
      <c r="P1475" s="179"/>
      <c r="Q1475" s="725">
        <v>0</v>
      </c>
      <c r="S1475" s="197">
        <v>0</v>
      </c>
      <c r="T1475" s="198">
        <v>0</v>
      </c>
      <c r="U1475" s="335"/>
      <c r="V1475" s="260">
        <v>90</v>
      </c>
    </row>
    <row r="1476" spans="1:22" s="7" customFormat="1" ht="17.25" customHeight="1">
      <c r="B1476" s="12"/>
      <c r="C1476" s="6" t="s">
        <v>2834</v>
      </c>
      <c r="D1476" s="851" t="s">
        <v>2835</v>
      </c>
      <c r="E1476" s="19" t="s">
        <v>238</v>
      </c>
      <c r="F1476" s="107"/>
      <c r="G1476" s="22"/>
      <c r="H1476" s="108"/>
      <c r="I1476" s="109"/>
      <c r="J1476" s="108"/>
      <c r="K1476" s="29" t="s">
        <v>5</v>
      </c>
      <c r="L1476" s="139"/>
      <c r="M1476" s="33"/>
      <c r="N1476" s="33">
        <v>44602</v>
      </c>
      <c r="O1476" s="32">
        <v>3826</v>
      </c>
      <c r="P1476" s="14"/>
      <c r="Q1476" s="322"/>
      <c r="U1476" s="14"/>
      <c r="V1476" s="260">
        <v>90</v>
      </c>
    </row>
    <row r="1477" spans="1:22" s="7" customFormat="1" ht="18" customHeight="1">
      <c r="A1477" s="7" t="s">
        <v>355</v>
      </c>
      <c r="B1477" s="12" t="s">
        <v>302</v>
      </c>
      <c r="C1477" s="6" t="s">
        <v>2834</v>
      </c>
      <c r="D1477" s="851" t="s">
        <v>2835</v>
      </c>
      <c r="E1477" s="22" t="s">
        <v>239</v>
      </c>
      <c r="F1477" s="107">
        <v>150</v>
      </c>
      <c r="G1477" s="22" t="s">
        <v>2293</v>
      </c>
      <c r="H1477" s="108">
        <v>52.5</v>
      </c>
      <c r="I1477" s="109">
        <v>1</v>
      </c>
      <c r="J1477" s="131">
        <f>H1477*I1477</f>
        <v>52.5</v>
      </c>
      <c r="K1477" s="39">
        <v>6.53</v>
      </c>
      <c r="L1477" s="39">
        <f>K1477*J1477</f>
        <v>342.82499999999999</v>
      </c>
      <c r="M1477" s="117" t="s">
        <v>349</v>
      </c>
      <c r="N1477" s="33">
        <v>44602</v>
      </c>
      <c r="O1477" s="32">
        <v>3826</v>
      </c>
      <c r="P1477" s="391">
        <f>ROUNDUP(S1477/V1477/VLOOKUP(B1477,$C$2:$F$6,3,FALSE),2)</f>
        <v>5.9399999999999995</v>
      </c>
      <c r="Q1477" s="322">
        <v>5.94</v>
      </c>
      <c r="R1477" s="322">
        <f>Q1477*J1477</f>
        <v>311.85000000000002</v>
      </c>
      <c r="S1477" s="7">
        <v>470</v>
      </c>
      <c r="T1477" s="7">
        <f>S1477*J1477</f>
        <v>24675</v>
      </c>
      <c r="U1477" s="21"/>
      <c r="V1477" s="260">
        <v>90</v>
      </c>
    </row>
    <row r="1478" spans="1:22" s="7" customFormat="1" ht="15">
      <c r="B1478" s="12"/>
      <c r="C1478" s="6" t="s">
        <v>2834</v>
      </c>
      <c r="D1478" s="851" t="s">
        <v>2835</v>
      </c>
      <c r="E1478" s="49"/>
      <c r="F1478" s="102"/>
      <c r="G1478" s="22" t="s">
        <v>316</v>
      </c>
      <c r="H1478" s="38"/>
      <c r="I1478" s="35"/>
      <c r="J1478" s="38">
        <v>1</v>
      </c>
      <c r="K1478" s="39">
        <v>20</v>
      </c>
      <c r="L1478" s="39">
        <f>K1478*J1478</f>
        <v>20</v>
      </c>
      <c r="M1478" s="91"/>
      <c r="N1478" s="33">
        <v>44602</v>
      </c>
      <c r="O1478" s="32">
        <v>3826</v>
      </c>
      <c r="P1478" s="722"/>
      <c r="Q1478" s="322">
        <v>20</v>
      </c>
      <c r="R1478" s="322">
        <f>Q1478*J1478</f>
        <v>20</v>
      </c>
      <c r="S1478" s="7">
        <v>1800</v>
      </c>
      <c r="T1478" s="7">
        <f>S1478*J1478</f>
        <v>1800</v>
      </c>
      <c r="U1478" s="21"/>
      <c r="V1478" s="260">
        <v>90</v>
      </c>
    </row>
    <row r="1479" spans="1:22" s="191" customFormat="1" ht="15">
      <c r="B1479" s="190"/>
      <c r="C1479" s="179" t="s">
        <v>2834</v>
      </c>
      <c r="D1479" s="852" t="s">
        <v>2835</v>
      </c>
      <c r="E1479" s="181"/>
      <c r="F1479" s="182"/>
      <c r="G1479" s="182" t="s">
        <v>250</v>
      </c>
      <c r="H1479" s="184" t="s">
        <v>252</v>
      </c>
      <c r="I1479" s="185"/>
      <c r="J1479" s="183"/>
      <c r="K1479" s="333">
        <v>50</v>
      </c>
      <c r="L1479" s="188"/>
      <c r="M1479" s="187"/>
      <c r="N1479" s="187">
        <v>44602</v>
      </c>
      <c r="O1479" s="186">
        <v>3826</v>
      </c>
      <c r="P1479" s="796"/>
      <c r="Q1479" s="747">
        <v>50</v>
      </c>
      <c r="R1479" s="322">
        <v>50</v>
      </c>
      <c r="S1479" s="212">
        <v>4437</v>
      </c>
      <c r="T1479" s="212">
        <v>4437</v>
      </c>
      <c r="U1479" s="808"/>
      <c r="V1479" s="260">
        <v>90</v>
      </c>
    </row>
    <row r="1480" spans="1:22" s="7" customFormat="1" ht="18" customHeight="1">
      <c r="B1480" s="12"/>
      <c r="C1480" s="6" t="s">
        <v>2836</v>
      </c>
      <c r="D1480" s="14" t="s">
        <v>2022</v>
      </c>
      <c r="E1480" s="19" t="s">
        <v>59</v>
      </c>
      <c r="F1480" s="107"/>
      <c r="G1480" s="22"/>
      <c r="H1480" s="108"/>
      <c r="I1480" s="109"/>
      <c r="J1480" s="108"/>
      <c r="K1480" s="29" t="s">
        <v>5</v>
      </c>
      <c r="L1480" s="39"/>
      <c r="M1480" s="91"/>
      <c r="N1480" s="33">
        <v>44585</v>
      </c>
      <c r="O1480" s="32">
        <v>3837</v>
      </c>
      <c r="P1480" s="14"/>
      <c r="Q1480" s="322"/>
      <c r="U1480" s="14"/>
      <c r="V1480" s="260">
        <v>90</v>
      </c>
    </row>
    <row r="1481" spans="1:22" s="7" customFormat="1" ht="18" customHeight="1">
      <c r="B1481" s="12" t="s">
        <v>302</v>
      </c>
      <c r="C1481" s="6" t="s">
        <v>2836</v>
      </c>
      <c r="D1481" s="14" t="s">
        <v>2022</v>
      </c>
      <c r="E1481" s="22" t="s">
        <v>314</v>
      </c>
      <c r="F1481" s="107">
        <v>145</v>
      </c>
      <c r="G1481" s="22" t="s">
        <v>2837</v>
      </c>
      <c r="H1481" s="108">
        <v>50</v>
      </c>
      <c r="I1481" s="109">
        <v>1</v>
      </c>
      <c r="J1481" s="8">
        <f>H1481*I1481</f>
        <v>50</v>
      </c>
      <c r="K1481" s="39">
        <v>8.75</v>
      </c>
      <c r="L1481" s="39">
        <f>K1481*J1481</f>
        <v>437.5</v>
      </c>
      <c r="M1481" s="117" t="s">
        <v>349</v>
      </c>
      <c r="N1481" s="33">
        <v>44585</v>
      </c>
      <c r="O1481" s="32">
        <v>3837</v>
      </c>
      <c r="P1481" s="391">
        <f>ROUNDUP(S1481/V1481/VLOOKUP(B1481,$C$2:$F$6,3,FALSE),2)</f>
        <v>7.96</v>
      </c>
      <c r="Q1481" s="322">
        <v>7.96</v>
      </c>
      <c r="S1481" s="7">
        <v>630</v>
      </c>
      <c r="T1481" s="7">
        <f>S1481*J1481</f>
        <v>31500</v>
      </c>
      <c r="U1481" s="21"/>
      <c r="V1481" s="260">
        <v>90</v>
      </c>
    </row>
    <row r="1482" spans="1:22" s="7" customFormat="1" ht="15.75">
      <c r="B1482" s="12"/>
      <c r="C1482" s="6" t="s">
        <v>2836</v>
      </c>
      <c r="D1482" s="14" t="s">
        <v>2022</v>
      </c>
      <c r="E1482" s="22"/>
      <c r="F1482" s="102"/>
      <c r="G1482" s="22" t="s">
        <v>316</v>
      </c>
      <c r="H1482" s="8"/>
      <c r="I1482" s="35"/>
      <c r="J1482" s="38">
        <v>1</v>
      </c>
      <c r="K1482" s="39">
        <v>20</v>
      </c>
      <c r="L1482" s="39">
        <f>K1482*J1482</f>
        <v>20</v>
      </c>
      <c r="M1482" s="117"/>
      <c r="N1482" s="33">
        <v>44585</v>
      </c>
      <c r="O1482" s="32">
        <v>3837</v>
      </c>
      <c r="P1482" s="6" t="s">
        <v>3</v>
      </c>
      <c r="Q1482" s="322">
        <v>20</v>
      </c>
      <c r="S1482" s="7">
        <f>1000+1000</f>
        <v>2000</v>
      </c>
      <c r="T1482" s="7">
        <f>S1482*J1482</f>
        <v>2000</v>
      </c>
      <c r="U1482" s="21"/>
      <c r="V1482" s="260">
        <v>90</v>
      </c>
    </row>
    <row r="1483" spans="1:22" s="7" customFormat="1" ht="18" customHeight="1">
      <c r="B1483" s="12" t="s">
        <v>302</v>
      </c>
      <c r="C1483" s="6" t="s">
        <v>2836</v>
      </c>
      <c r="D1483" s="14" t="s">
        <v>2022</v>
      </c>
      <c r="E1483" s="22" t="s">
        <v>314</v>
      </c>
      <c r="F1483" s="107">
        <v>145</v>
      </c>
      <c r="G1483" s="22" t="s">
        <v>353</v>
      </c>
      <c r="H1483" s="108">
        <v>20</v>
      </c>
      <c r="I1483" s="109">
        <v>1</v>
      </c>
      <c r="J1483" s="8">
        <f>H1483*I1483</f>
        <v>20</v>
      </c>
      <c r="K1483" s="39">
        <v>8.75</v>
      </c>
      <c r="L1483" s="39">
        <f>K1483*J1483</f>
        <v>175</v>
      </c>
      <c r="M1483" s="117" t="s">
        <v>349</v>
      </c>
      <c r="N1483" s="33">
        <v>44588</v>
      </c>
      <c r="O1483" s="32">
        <v>3838</v>
      </c>
      <c r="P1483" s="391">
        <f>ROUNDUP(S1483/V1483/VLOOKUP(B1483,$C$2:$F$6,3,FALSE),2)</f>
        <v>7.96</v>
      </c>
      <c r="Q1483" s="322">
        <v>7.96</v>
      </c>
      <c r="S1483" s="7">
        <v>630</v>
      </c>
      <c r="T1483" s="7">
        <f>S1483*J1483</f>
        <v>12600</v>
      </c>
      <c r="U1483" s="21"/>
      <c r="V1483" s="260">
        <v>90</v>
      </c>
    </row>
    <row r="1484" spans="1:22" s="7" customFormat="1" ht="15">
      <c r="B1484" s="12"/>
      <c r="C1484" s="6" t="s">
        <v>2836</v>
      </c>
      <c r="D1484" s="14" t="s">
        <v>2022</v>
      </c>
      <c r="E1484" s="82"/>
      <c r="F1484" s="102"/>
      <c r="G1484" s="22" t="s">
        <v>2625</v>
      </c>
      <c r="H1484" s="8"/>
      <c r="I1484" s="35"/>
      <c r="J1484" s="38">
        <v>1</v>
      </c>
      <c r="K1484" s="39">
        <v>15</v>
      </c>
      <c r="L1484" s="39">
        <f>K1484*J1484</f>
        <v>15</v>
      </c>
      <c r="M1484" s="91"/>
      <c r="N1484" s="33">
        <v>44588</v>
      </c>
      <c r="O1484" s="32">
        <v>3838</v>
      </c>
      <c r="P1484" s="391">
        <v>12</v>
      </c>
      <c r="Q1484" s="322">
        <v>12</v>
      </c>
      <c r="S1484" s="7">
        <v>1000</v>
      </c>
      <c r="T1484" s="7">
        <f>S1484*J1484</f>
        <v>1000</v>
      </c>
      <c r="U1484" s="21"/>
      <c r="V1484" s="260">
        <v>90</v>
      </c>
    </row>
    <row r="1485" spans="1:22" s="7" customFormat="1" ht="15">
      <c r="B1485" s="12"/>
      <c r="C1485" s="6" t="s">
        <v>2836</v>
      </c>
      <c r="D1485" s="14" t="s">
        <v>2022</v>
      </c>
      <c r="E1485" s="22"/>
      <c r="F1485" s="102"/>
      <c r="G1485" s="22" t="s">
        <v>316</v>
      </c>
      <c r="H1485" s="8"/>
      <c r="I1485" s="35"/>
      <c r="J1485" s="38">
        <v>1</v>
      </c>
      <c r="K1485" s="39">
        <v>20</v>
      </c>
      <c r="L1485" s="39">
        <f>K1485*J1485</f>
        <v>20</v>
      </c>
      <c r="M1485" s="91"/>
      <c r="N1485" s="33">
        <v>44588</v>
      </c>
      <c r="O1485" s="32">
        <v>3838</v>
      </c>
      <c r="P1485" s="6" t="s">
        <v>3</v>
      </c>
      <c r="Q1485" s="322">
        <v>20</v>
      </c>
      <c r="S1485" s="7">
        <v>1000</v>
      </c>
      <c r="T1485" s="7">
        <f>S1485*J1485</f>
        <v>1000</v>
      </c>
      <c r="U1485" s="21"/>
      <c r="V1485" s="260">
        <v>90</v>
      </c>
    </row>
    <row r="1486" spans="1:22" s="191" customFormat="1" ht="15">
      <c r="B1486" s="190"/>
      <c r="C1486" s="179" t="s">
        <v>2836</v>
      </c>
      <c r="D1486" s="180" t="s">
        <v>2022</v>
      </c>
      <c r="E1486" s="217"/>
      <c r="F1486" s="182"/>
      <c r="G1486" s="182" t="s">
        <v>324</v>
      </c>
      <c r="H1486" s="184" t="s">
        <v>251</v>
      </c>
      <c r="I1486" s="185"/>
      <c r="J1486" s="183"/>
      <c r="K1486" s="203">
        <v>0</v>
      </c>
      <c r="L1486" s="188"/>
      <c r="M1486" s="187"/>
      <c r="N1486" s="187">
        <v>44588</v>
      </c>
      <c r="O1486" s="186">
        <v>3838</v>
      </c>
      <c r="P1486" s="179"/>
      <c r="Q1486" s="747">
        <v>0</v>
      </c>
      <c r="S1486" s="197">
        <v>0</v>
      </c>
      <c r="T1486" s="198">
        <v>0</v>
      </c>
      <c r="U1486" s="335"/>
      <c r="V1486" s="260">
        <v>90</v>
      </c>
    </row>
    <row r="1487" spans="1:22" s="7" customFormat="1" ht="18" customHeight="1">
      <c r="B1487" s="12"/>
      <c r="C1487" s="6" t="s">
        <v>2838</v>
      </c>
      <c r="D1487" s="14" t="s">
        <v>2022</v>
      </c>
      <c r="E1487" s="19" t="s">
        <v>59</v>
      </c>
      <c r="F1487" s="107"/>
      <c r="G1487" s="22"/>
      <c r="H1487" s="108"/>
      <c r="I1487" s="109"/>
      <c r="J1487" s="108"/>
      <c r="K1487" s="29" t="s">
        <v>5</v>
      </c>
      <c r="L1487" s="39"/>
      <c r="M1487" s="91"/>
      <c r="N1487" s="33">
        <v>44735</v>
      </c>
      <c r="O1487" s="32">
        <v>3836</v>
      </c>
      <c r="P1487" s="14"/>
      <c r="Q1487" s="322"/>
      <c r="U1487" s="14"/>
      <c r="V1487" s="260">
        <v>90</v>
      </c>
    </row>
    <row r="1488" spans="1:22" s="7" customFormat="1" ht="18" customHeight="1">
      <c r="B1488" s="12" t="s">
        <v>302</v>
      </c>
      <c r="C1488" s="6" t="s">
        <v>2838</v>
      </c>
      <c r="D1488" s="14" t="s">
        <v>2022</v>
      </c>
      <c r="E1488" s="22" t="s">
        <v>314</v>
      </c>
      <c r="F1488" s="107">
        <v>145</v>
      </c>
      <c r="G1488" s="22" t="s">
        <v>2664</v>
      </c>
      <c r="H1488" s="108">
        <v>58</v>
      </c>
      <c r="I1488" s="109">
        <v>3</v>
      </c>
      <c r="J1488" s="8">
        <f>H1488*I1488</f>
        <v>174</v>
      </c>
      <c r="K1488" s="39">
        <v>8.75</v>
      </c>
      <c r="L1488" s="39">
        <f t="shared" ref="L1488:L1493" si="76">K1488*J1488</f>
        <v>1522.5</v>
      </c>
      <c r="M1488" s="117" t="s">
        <v>349</v>
      </c>
      <c r="N1488" s="33">
        <v>44735</v>
      </c>
      <c r="O1488" s="32">
        <v>3836</v>
      </c>
      <c r="P1488" s="391">
        <f>ROUNDUP(S1488/V1488/VLOOKUP(B1488,$C$2:$F$6,3,FALSE),2)</f>
        <v>7.96</v>
      </c>
      <c r="Q1488" s="322">
        <v>7.96</v>
      </c>
      <c r="R1488" s="322">
        <f t="shared" ref="R1488:R1493" si="77">Q1488*J1488</f>
        <v>1385.04</v>
      </c>
      <c r="S1488" s="7">
        <v>630</v>
      </c>
      <c r="T1488" s="7">
        <f t="shared" ref="T1488:T1493" si="78">S1488*J1488</f>
        <v>109620</v>
      </c>
      <c r="U1488" s="21"/>
      <c r="V1488" s="260">
        <v>90</v>
      </c>
    </row>
    <row r="1489" spans="2:22" s="7" customFormat="1" ht="18" customHeight="1">
      <c r="B1489" s="12" t="s">
        <v>302</v>
      </c>
      <c r="C1489" s="6" t="s">
        <v>2838</v>
      </c>
      <c r="D1489" s="14" t="s">
        <v>2022</v>
      </c>
      <c r="E1489" s="22" t="s">
        <v>314</v>
      </c>
      <c r="F1489" s="107">
        <v>145</v>
      </c>
      <c r="G1489" s="22" t="s">
        <v>2664</v>
      </c>
      <c r="H1489" s="108">
        <v>11</v>
      </c>
      <c r="I1489" s="109">
        <v>1</v>
      </c>
      <c r="J1489" s="8">
        <f>H1489*I1489</f>
        <v>11</v>
      </c>
      <c r="K1489" s="39">
        <v>8.75</v>
      </c>
      <c r="L1489" s="39">
        <f t="shared" si="76"/>
        <v>96.25</v>
      </c>
      <c r="M1489" s="117" t="s">
        <v>349</v>
      </c>
      <c r="N1489" s="33">
        <v>44735</v>
      </c>
      <c r="O1489" s="32">
        <v>3836</v>
      </c>
      <c r="P1489" s="391">
        <f>ROUNDUP(S1489/V1489/VLOOKUP(B1489,$C$2:$F$6,3,FALSE),2)</f>
        <v>7.96</v>
      </c>
      <c r="Q1489" s="322">
        <v>7.96</v>
      </c>
      <c r="R1489" s="322">
        <f t="shared" si="77"/>
        <v>87.56</v>
      </c>
      <c r="S1489" s="7">
        <v>630</v>
      </c>
      <c r="T1489" s="7">
        <f t="shared" si="78"/>
        <v>6930</v>
      </c>
      <c r="U1489" s="21"/>
      <c r="V1489" s="260">
        <v>90</v>
      </c>
    </row>
    <row r="1490" spans="2:22" s="7" customFormat="1" ht="18" customHeight="1">
      <c r="B1490" s="12" t="s">
        <v>302</v>
      </c>
      <c r="C1490" s="6" t="s">
        <v>2838</v>
      </c>
      <c r="D1490" s="14" t="s">
        <v>2022</v>
      </c>
      <c r="E1490" s="22" t="s">
        <v>314</v>
      </c>
      <c r="F1490" s="107">
        <v>145</v>
      </c>
      <c r="G1490" s="22" t="s">
        <v>2839</v>
      </c>
      <c r="H1490" s="108"/>
      <c r="I1490" s="109"/>
      <c r="J1490" s="8">
        <v>191</v>
      </c>
      <c r="K1490" s="39">
        <v>12.23</v>
      </c>
      <c r="L1490" s="39">
        <f t="shared" si="76"/>
        <v>2335.9300000000003</v>
      </c>
      <c r="M1490" s="117" t="s">
        <v>349</v>
      </c>
      <c r="N1490" s="33">
        <v>44735</v>
      </c>
      <c r="O1490" s="32">
        <v>3836</v>
      </c>
      <c r="P1490" s="391">
        <f>ROUNDUP(S1490/V1490/VLOOKUP(B1490,$C$2:$F$6,3,FALSE),2)</f>
        <v>11.12</v>
      </c>
      <c r="Q1490" s="322">
        <v>11.12</v>
      </c>
      <c r="R1490" s="322">
        <f t="shared" si="77"/>
        <v>2123.92</v>
      </c>
      <c r="S1490" s="7">
        <f>630+250</f>
        <v>880</v>
      </c>
      <c r="T1490" s="7">
        <f t="shared" si="78"/>
        <v>168080</v>
      </c>
      <c r="U1490" s="21"/>
      <c r="V1490" s="260">
        <v>90</v>
      </c>
    </row>
    <row r="1491" spans="2:22" s="7" customFormat="1" ht="18" customHeight="1">
      <c r="B1491" s="12" t="s">
        <v>302</v>
      </c>
      <c r="C1491" s="6" t="s">
        <v>2838</v>
      </c>
      <c r="D1491" s="14" t="s">
        <v>2022</v>
      </c>
      <c r="E1491" s="22" t="s">
        <v>7</v>
      </c>
      <c r="F1491" s="102">
        <v>132</v>
      </c>
      <c r="G1491" s="22" t="s">
        <v>2024</v>
      </c>
      <c r="H1491" s="108"/>
      <c r="I1491" s="109"/>
      <c r="J1491" s="8">
        <v>135</v>
      </c>
      <c r="K1491" s="39">
        <v>4.45</v>
      </c>
      <c r="L1491" s="39">
        <f t="shared" si="76"/>
        <v>600.75</v>
      </c>
      <c r="M1491" s="117" t="s">
        <v>349</v>
      </c>
      <c r="N1491" s="33">
        <v>44735</v>
      </c>
      <c r="O1491" s="32">
        <v>3836</v>
      </c>
      <c r="P1491" s="391">
        <f>ROUNDUP(S1491/V1491/VLOOKUP(B1491,$C$2:$F$6,3,FALSE),2)</f>
        <v>4.05</v>
      </c>
      <c r="Q1491" s="322">
        <v>4.05</v>
      </c>
      <c r="R1491" s="322">
        <f t="shared" si="77"/>
        <v>546.75</v>
      </c>
      <c r="S1491" s="7">
        <v>320</v>
      </c>
      <c r="T1491" s="7">
        <f t="shared" si="78"/>
        <v>43200</v>
      </c>
      <c r="U1491" s="21"/>
      <c r="V1491" s="260">
        <v>90</v>
      </c>
    </row>
    <row r="1492" spans="2:22" s="7" customFormat="1" ht="15.75">
      <c r="B1492" s="12"/>
      <c r="C1492" s="6" t="s">
        <v>2838</v>
      </c>
      <c r="D1492" s="14" t="s">
        <v>2022</v>
      </c>
      <c r="E1492" s="853"/>
      <c r="F1492" s="102"/>
      <c r="G1492" s="22" t="s">
        <v>2840</v>
      </c>
      <c r="H1492" s="8"/>
      <c r="I1492" s="35"/>
      <c r="J1492" s="38">
        <v>1</v>
      </c>
      <c r="K1492" s="39">
        <v>15</v>
      </c>
      <c r="L1492" s="39">
        <f t="shared" si="76"/>
        <v>15</v>
      </c>
      <c r="M1492" s="117"/>
      <c r="N1492" s="33">
        <v>44735</v>
      </c>
      <c r="O1492" s="32">
        <v>3836</v>
      </c>
      <c r="P1492" s="6" t="s">
        <v>3</v>
      </c>
      <c r="Q1492" s="322">
        <v>12</v>
      </c>
      <c r="R1492" s="322">
        <f t="shared" si="77"/>
        <v>12</v>
      </c>
      <c r="S1492" s="7">
        <v>1000</v>
      </c>
      <c r="T1492" s="7">
        <f t="shared" si="78"/>
        <v>1000</v>
      </c>
      <c r="U1492" s="21"/>
      <c r="V1492" s="260">
        <v>90</v>
      </c>
    </row>
    <row r="1493" spans="2:22" s="7" customFormat="1" ht="15">
      <c r="B1493" s="12"/>
      <c r="C1493" s="6" t="s">
        <v>2838</v>
      </c>
      <c r="D1493" s="14" t="s">
        <v>2022</v>
      </c>
      <c r="E1493" s="22"/>
      <c r="F1493" s="102"/>
      <c r="G1493" s="22" t="s">
        <v>316</v>
      </c>
      <c r="H1493" s="8"/>
      <c r="I1493" s="35"/>
      <c r="J1493" s="38">
        <v>1</v>
      </c>
      <c r="K1493" s="39">
        <v>20</v>
      </c>
      <c r="L1493" s="39">
        <f t="shared" si="76"/>
        <v>20</v>
      </c>
      <c r="M1493" s="91"/>
      <c r="N1493" s="33">
        <v>44735</v>
      </c>
      <c r="O1493" s="32">
        <v>3836</v>
      </c>
      <c r="P1493" s="6" t="s">
        <v>3</v>
      </c>
      <c r="Q1493" s="322">
        <v>20</v>
      </c>
      <c r="R1493" s="322">
        <f t="shared" si="77"/>
        <v>20</v>
      </c>
      <c r="S1493" s="7">
        <v>1800</v>
      </c>
      <c r="T1493" s="7">
        <f t="shared" si="78"/>
        <v>1800</v>
      </c>
      <c r="U1493" s="21"/>
      <c r="V1493" s="260">
        <v>90</v>
      </c>
    </row>
    <row r="1494" spans="2:22" s="191" customFormat="1" ht="15">
      <c r="B1494" s="190"/>
      <c r="C1494" s="179" t="s">
        <v>2838</v>
      </c>
      <c r="D1494" s="180" t="s">
        <v>2022</v>
      </c>
      <c r="E1494" s="217"/>
      <c r="F1494" s="182"/>
      <c r="G1494" s="182" t="s">
        <v>324</v>
      </c>
      <c r="H1494" s="184" t="s">
        <v>252</v>
      </c>
      <c r="I1494" s="185"/>
      <c r="J1494" s="183"/>
      <c r="K1494" s="203">
        <v>674</v>
      </c>
      <c r="L1494" s="188"/>
      <c r="M1494" s="187"/>
      <c r="N1494" s="187">
        <v>44735</v>
      </c>
      <c r="O1494" s="186">
        <v>3836</v>
      </c>
      <c r="P1494" s="179"/>
      <c r="Q1494" s="747">
        <v>674</v>
      </c>
      <c r="R1494" s="322">
        <v>674</v>
      </c>
      <c r="S1494" s="212">
        <v>65124</v>
      </c>
      <c r="T1494" s="786">
        <v>65124</v>
      </c>
      <c r="U1494" s="335"/>
      <c r="V1494" s="260">
        <v>90</v>
      </c>
    </row>
    <row r="1495" spans="2:22" s="7" customFormat="1" ht="18" customHeight="1">
      <c r="B1495" s="12"/>
      <c r="C1495" s="6" t="s">
        <v>2841</v>
      </c>
      <c r="D1495" s="14" t="s">
        <v>1970</v>
      </c>
      <c r="E1495" s="17" t="s">
        <v>160</v>
      </c>
      <c r="F1495" s="319"/>
      <c r="G1495" s="299"/>
      <c r="H1495" s="300" t="s">
        <v>355</v>
      </c>
      <c r="I1495" s="320"/>
      <c r="J1495" s="321"/>
      <c r="K1495" s="110" t="s">
        <v>101</v>
      </c>
      <c r="L1495" s="139"/>
      <c r="M1495" s="33"/>
      <c r="N1495" s="33">
        <v>44581</v>
      </c>
      <c r="O1495" s="32">
        <v>3834</v>
      </c>
      <c r="P1495" s="6"/>
      <c r="Q1495" s="322"/>
      <c r="U1495" s="39"/>
      <c r="V1495" s="260">
        <v>90</v>
      </c>
    </row>
    <row r="1496" spans="2:22" s="7" customFormat="1" ht="18" customHeight="1">
      <c r="B1496" s="12" t="s">
        <v>300</v>
      </c>
      <c r="C1496" s="6" t="s">
        <v>2841</v>
      </c>
      <c r="D1496" s="14" t="s">
        <v>1970</v>
      </c>
      <c r="E1496" s="22">
        <v>14552</v>
      </c>
      <c r="F1496" s="24">
        <v>10</v>
      </c>
      <c r="G1496" s="22" t="s">
        <v>2572</v>
      </c>
      <c r="H1496" s="108">
        <v>30</v>
      </c>
      <c r="I1496" s="109">
        <v>1</v>
      </c>
      <c r="J1496" s="8">
        <f>H1496*I1496</f>
        <v>30</v>
      </c>
      <c r="K1496" s="39">
        <v>0.69</v>
      </c>
      <c r="L1496" s="39">
        <f>K1496*J1496</f>
        <v>20.7</v>
      </c>
      <c r="M1496" s="117" t="s">
        <v>349</v>
      </c>
      <c r="N1496" s="33">
        <v>44581</v>
      </c>
      <c r="O1496" s="32">
        <v>3834</v>
      </c>
      <c r="P1496" s="391">
        <f>ROUNDUP(S1496/V1496/VLOOKUP(B1496,$C$2:$F$6,3,FALSE),2)</f>
        <v>0.59</v>
      </c>
      <c r="Q1496" s="358">
        <v>0.59</v>
      </c>
      <c r="S1496" s="7">
        <v>37</v>
      </c>
      <c r="T1496" s="7">
        <f>S1496*J1496</f>
        <v>1110</v>
      </c>
      <c r="U1496" s="267"/>
      <c r="V1496" s="260">
        <v>90</v>
      </c>
    </row>
    <row r="1497" spans="2:22" s="7" customFormat="1" ht="18" customHeight="1">
      <c r="B1497" s="12" t="s">
        <v>300</v>
      </c>
      <c r="C1497" s="6" t="s">
        <v>2841</v>
      </c>
      <c r="D1497" s="14" t="s">
        <v>1970</v>
      </c>
      <c r="E1497" s="22">
        <v>14552</v>
      </c>
      <c r="F1497" s="24">
        <v>38</v>
      </c>
      <c r="G1497" s="22" t="s">
        <v>2572</v>
      </c>
      <c r="H1497" s="108">
        <v>30</v>
      </c>
      <c r="I1497" s="109">
        <v>1</v>
      </c>
      <c r="J1497" s="8">
        <f>H1497*I1497</f>
        <v>30</v>
      </c>
      <c r="K1497" s="39">
        <v>1.78</v>
      </c>
      <c r="L1497" s="39">
        <f>K1497*J1497</f>
        <v>53.4</v>
      </c>
      <c r="M1497" s="117" t="s">
        <v>349</v>
      </c>
      <c r="N1497" s="33">
        <v>44581</v>
      </c>
      <c r="O1497" s="32">
        <v>3834</v>
      </c>
      <c r="P1497" s="391">
        <f>ROUNDUP(S1497/V1497/VLOOKUP(B1497,$C$2:$F$6,3,FALSE),2)</f>
        <v>1.53</v>
      </c>
      <c r="Q1497" s="358">
        <v>1.53</v>
      </c>
      <c r="S1497" s="7">
        <v>96</v>
      </c>
      <c r="T1497" s="7">
        <f>S1497*J1497</f>
        <v>2880</v>
      </c>
      <c r="U1497" s="267"/>
      <c r="V1497" s="260">
        <v>90</v>
      </c>
    </row>
    <row r="1498" spans="2:22" s="7" customFormat="1" ht="18" customHeight="1">
      <c r="B1498" s="12" t="s">
        <v>300</v>
      </c>
      <c r="C1498" s="6" t="s">
        <v>2841</v>
      </c>
      <c r="D1498" s="14" t="s">
        <v>1970</v>
      </c>
      <c r="E1498" s="22">
        <v>14552</v>
      </c>
      <c r="F1498" s="24">
        <v>50</v>
      </c>
      <c r="G1498" s="22" t="s">
        <v>2572</v>
      </c>
      <c r="H1498" s="108">
        <v>30</v>
      </c>
      <c r="I1498" s="109">
        <v>2</v>
      </c>
      <c r="J1498" s="8">
        <f>H1498*I1498</f>
        <v>60</v>
      </c>
      <c r="K1498" s="39">
        <v>2.54</v>
      </c>
      <c r="L1498" s="39">
        <f>K1498*J1498</f>
        <v>152.4</v>
      </c>
      <c r="M1498" s="117" t="s">
        <v>349</v>
      </c>
      <c r="N1498" s="33">
        <v>44581</v>
      </c>
      <c r="O1498" s="32">
        <v>3834</v>
      </c>
      <c r="P1498" s="391">
        <f>ROUNDUP(S1498/V1498/VLOOKUP(B1498,$C$2:$F$6,3,FALSE),2)</f>
        <v>2.1799999999999997</v>
      </c>
      <c r="Q1498" s="358">
        <v>2.1800000000000002</v>
      </c>
      <c r="S1498" s="7">
        <v>137</v>
      </c>
      <c r="T1498" s="7">
        <f>S1498*J1498</f>
        <v>8220</v>
      </c>
      <c r="U1498" s="267"/>
      <c r="V1498" s="260">
        <v>90</v>
      </c>
    </row>
    <row r="1499" spans="2:22" s="7" customFormat="1" ht="18" customHeight="1">
      <c r="B1499" s="12" t="s">
        <v>300</v>
      </c>
      <c r="C1499" s="6" t="s">
        <v>2841</v>
      </c>
      <c r="D1499" s="14" t="s">
        <v>1970</v>
      </c>
      <c r="E1499" s="22">
        <v>14552</v>
      </c>
      <c r="F1499" s="24">
        <v>25</v>
      </c>
      <c r="G1499" s="22" t="s">
        <v>2575</v>
      </c>
      <c r="H1499" s="108">
        <v>30</v>
      </c>
      <c r="I1499" s="109">
        <v>1</v>
      </c>
      <c r="J1499" s="8">
        <f>H1499*I1499</f>
        <v>30</v>
      </c>
      <c r="K1499" s="39">
        <v>1.21</v>
      </c>
      <c r="L1499" s="39">
        <f>K1499*J1499</f>
        <v>36.299999999999997</v>
      </c>
      <c r="M1499" s="117" t="s">
        <v>349</v>
      </c>
      <c r="N1499" s="33">
        <v>44581</v>
      </c>
      <c r="O1499" s="32">
        <v>3834</v>
      </c>
      <c r="P1499" s="391">
        <f>ROUNDUP(S1499/V1499/VLOOKUP(B1499,$C$2:$F$6,3,FALSE),2)</f>
        <v>1.04</v>
      </c>
      <c r="Q1499" s="358">
        <v>1.04</v>
      </c>
      <c r="S1499" s="7">
        <v>65</v>
      </c>
      <c r="T1499" s="7">
        <f>S1499*J1499</f>
        <v>1950</v>
      </c>
      <c r="U1499" s="267"/>
      <c r="V1499" s="260">
        <v>90</v>
      </c>
    </row>
    <row r="1500" spans="2:22" s="7" customFormat="1" ht="18" customHeight="1">
      <c r="B1500" s="12" t="s">
        <v>300</v>
      </c>
      <c r="C1500" s="6" t="s">
        <v>2841</v>
      </c>
      <c r="D1500" s="14" t="s">
        <v>1970</v>
      </c>
      <c r="E1500" s="22">
        <v>14552</v>
      </c>
      <c r="F1500" s="24">
        <v>25</v>
      </c>
      <c r="G1500" s="22" t="s">
        <v>2572</v>
      </c>
      <c r="H1500" s="108">
        <v>30</v>
      </c>
      <c r="I1500" s="109">
        <v>1</v>
      </c>
      <c r="J1500" s="8">
        <f>H1500*I1500</f>
        <v>30</v>
      </c>
      <c r="K1500" s="39">
        <v>1.21</v>
      </c>
      <c r="L1500" s="39">
        <f>K1500*J1500</f>
        <v>36.299999999999997</v>
      </c>
      <c r="M1500" s="117" t="s">
        <v>349</v>
      </c>
      <c r="N1500" s="33">
        <v>44581</v>
      </c>
      <c r="O1500" s="32">
        <v>3834</v>
      </c>
      <c r="P1500" s="391">
        <f>ROUNDUP(S1500/V1500/VLOOKUP(B1500,$C$2:$F$6,3,FALSE),2)</f>
        <v>1.04</v>
      </c>
      <c r="Q1500" s="358">
        <v>1.04</v>
      </c>
      <c r="S1500" s="7">
        <v>65</v>
      </c>
      <c r="T1500" s="7">
        <f>S1500*J1500</f>
        <v>1950</v>
      </c>
      <c r="U1500" s="267"/>
      <c r="V1500" s="260">
        <v>90</v>
      </c>
    </row>
    <row r="1501" spans="2:22" s="191" customFormat="1" ht="15">
      <c r="B1501" s="190"/>
      <c r="C1501" s="179" t="s">
        <v>2841</v>
      </c>
      <c r="D1501" s="180" t="s">
        <v>1970</v>
      </c>
      <c r="E1501" s="181"/>
      <c r="F1501" s="622"/>
      <c r="G1501" s="182" t="s">
        <v>250</v>
      </c>
      <c r="H1501" s="184" t="s">
        <v>251</v>
      </c>
      <c r="I1501" s="185"/>
      <c r="J1501" s="183"/>
      <c r="K1501" s="192">
        <v>0</v>
      </c>
      <c r="L1501" s="188"/>
      <c r="M1501" s="187"/>
      <c r="N1501" s="187">
        <v>44581</v>
      </c>
      <c r="O1501" s="186">
        <v>3834</v>
      </c>
      <c r="P1501" s="179"/>
      <c r="Q1501" s="725">
        <v>0</v>
      </c>
      <c r="S1501" s="197">
        <v>0</v>
      </c>
      <c r="T1501" s="198">
        <v>0</v>
      </c>
      <c r="U1501" s="335"/>
      <c r="V1501" s="260">
        <v>90</v>
      </c>
    </row>
    <row r="1502" spans="2:22" s="7" customFormat="1" ht="18" customHeight="1">
      <c r="B1502" s="12"/>
      <c r="C1502" s="6" t="s">
        <v>2842</v>
      </c>
      <c r="D1502" s="14" t="s">
        <v>1970</v>
      </c>
      <c r="E1502" s="17" t="s">
        <v>160</v>
      </c>
      <c r="F1502" s="319"/>
      <c r="G1502" s="299"/>
      <c r="H1502" s="300" t="s">
        <v>355</v>
      </c>
      <c r="I1502" s="320"/>
      <c r="J1502" s="321"/>
      <c r="K1502" s="110" t="s">
        <v>101</v>
      </c>
      <c r="L1502" s="139"/>
      <c r="M1502" s="33"/>
      <c r="N1502" s="33">
        <v>44581</v>
      </c>
      <c r="O1502" s="32">
        <v>3835</v>
      </c>
      <c r="P1502" s="6"/>
      <c r="Q1502" s="322"/>
      <c r="U1502" s="39"/>
      <c r="V1502" s="260">
        <v>90</v>
      </c>
    </row>
    <row r="1503" spans="2:22" s="7" customFormat="1" ht="18" customHeight="1">
      <c r="B1503" s="12" t="s">
        <v>300</v>
      </c>
      <c r="C1503" s="6" t="s">
        <v>2842</v>
      </c>
      <c r="D1503" s="14" t="s">
        <v>1970</v>
      </c>
      <c r="E1503" s="22">
        <v>14552</v>
      </c>
      <c r="F1503" s="24">
        <v>12</v>
      </c>
      <c r="G1503" s="22" t="s">
        <v>2575</v>
      </c>
      <c r="H1503" s="108">
        <v>30</v>
      </c>
      <c r="I1503" s="109">
        <v>9</v>
      </c>
      <c r="J1503" s="8">
        <f>H1503*I1503</f>
        <v>270</v>
      </c>
      <c r="K1503" s="39">
        <v>0.76</v>
      </c>
      <c r="L1503" s="39">
        <f>K1503*J1503</f>
        <v>205.2</v>
      </c>
      <c r="M1503" s="117" t="s">
        <v>349</v>
      </c>
      <c r="N1503" s="33">
        <v>44581</v>
      </c>
      <c r="O1503" s="32">
        <v>3835</v>
      </c>
      <c r="P1503" s="391">
        <f>ROUNDUP(S1503/V1503/VLOOKUP(B1503,$C$2:$F$6,3,FALSE),2)</f>
        <v>0.66</v>
      </c>
      <c r="Q1503" s="358">
        <v>0.66</v>
      </c>
      <c r="S1503" s="7">
        <v>41</v>
      </c>
      <c r="T1503" s="7">
        <f>S1503*J1503</f>
        <v>11070</v>
      </c>
      <c r="U1503" s="267"/>
      <c r="V1503" s="260">
        <v>90</v>
      </c>
    </row>
    <row r="1504" spans="2:22" s="7" customFormat="1" ht="18" customHeight="1">
      <c r="B1504" s="12" t="s">
        <v>300</v>
      </c>
      <c r="C1504" s="6" t="s">
        <v>2842</v>
      </c>
      <c r="D1504" s="14" t="s">
        <v>1970</v>
      </c>
      <c r="E1504" s="22">
        <v>14552</v>
      </c>
      <c r="F1504" s="24">
        <v>38</v>
      </c>
      <c r="G1504" s="22" t="s">
        <v>2243</v>
      </c>
      <c r="H1504" s="108">
        <v>30</v>
      </c>
      <c r="I1504" s="109">
        <v>9</v>
      </c>
      <c r="J1504" s="8">
        <f>H1504*I1504</f>
        <v>270</v>
      </c>
      <c r="K1504" s="39">
        <v>1.78</v>
      </c>
      <c r="L1504" s="39">
        <f>K1504*J1504</f>
        <v>480.6</v>
      </c>
      <c r="M1504" s="117" t="s">
        <v>349</v>
      </c>
      <c r="N1504" s="33">
        <v>44581</v>
      </c>
      <c r="O1504" s="32">
        <v>3835</v>
      </c>
      <c r="P1504" s="391">
        <f>ROUNDUP(S1504/V1504/VLOOKUP(B1504,$C$2:$F$6,3,FALSE),2)</f>
        <v>1.53</v>
      </c>
      <c r="Q1504" s="358">
        <v>1.53</v>
      </c>
      <c r="S1504" s="7">
        <v>96</v>
      </c>
      <c r="T1504" s="7">
        <f>S1504*J1504</f>
        <v>25920</v>
      </c>
      <c r="U1504" s="267"/>
      <c r="V1504" s="260">
        <v>90</v>
      </c>
    </row>
    <row r="1505" spans="2:22" s="7" customFormat="1" ht="18" customHeight="1">
      <c r="B1505" s="12"/>
      <c r="C1505" s="6" t="s">
        <v>2842</v>
      </c>
      <c r="D1505" s="14" t="s">
        <v>1970</v>
      </c>
      <c r="E1505" s="49"/>
      <c r="F1505" s="37"/>
      <c r="G1505" s="22" t="s">
        <v>316</v>
      </c>
      <c r="H1505" s="8"/>
      <c r="I1505" s="109" ph="1"/>
      <c r="J1505" s="38">
        <v>1</v>
      </c>
      <c r="K1505" s="39">
        <v>12</v>
      </c>
      <c r="L1505" s="39">
        <f>K1505*J1505</f>
        <v>12</v>
      </c>
      <c r="M1505" s="91"/>
      <c r="N1505" s="33">
        <v>44581</v>
      </c>
      <c r="O1505" s="32">
        <v>3835</v>
      </c>
      <c r="P1505" s="6"/>
      <c r="Q1505" s="322">
        <v>12</v>
      </c>
      <c r="S1505" s="7">
        <v>0</v>
      </c>
      <c r="T1505" s="7">
        <f>S1505*J1505</f>
        <v>0</v>
      </c>
      <c r="U1505" s="21"/>
      <c r="V1505" s="260">
        <v>90</v>
      </c>
    </row>
    <row r="1506" spans="2:22" s="191" customFormat="1" ht="15">
      <c r="B1506" s="190"/>
      <c r="C1506" s="179" t="s">
        <v>2842</v>
      </c>
      <c r="D1506" s="180" t="s">
        <v>1970</v>
      </c>
      <c r="E1506" s="181"/>
      <c r="F1506" s="622"/>
      <c r="G1506" s="182" t="s">
        <v>250</v>
      </c>
      <c r="H1506" s="184" t="s">
        <v>251</v>
      </c>
      <c r="I1506" s="185"/>
      <c r="J1506" s="183"/>
      <c r="K1506" s="192">
        <v>0</v>
      </c>
      <c r="L1506" s="188"/>
      <c r="M1506" s="187"/>
      <c r="N1506" s="187">
        <v>44581</v>
      </c>
      <c r="O1506" s="186">
        <v>3835</v>
      </c>
      <c r="P1506" s="179"/>
      <c r="Q1506" s="725">
        <v>0</v>
      </c>
      <c r="S1506" s="197">
        <v>0</v>
      </c>
      <c r="T1506" s="198">
        <v>0</v>
      </c>
      <c r="U1506" s="335"/>
      <c r="V1506" s="260">
        <v>90</v>
      </c>
    </row>
    <row r="1507" spans="2:22" s="7" customFormat="1" ht="18" customHeight="1">
      <c r="B1507" s="12"/>
      <c r="C1507" s="6" t="s">
        <v>2843</v>
      </c>
      <c r="D1507" s="14" t="s">
        <v>2022</v>
      </c>
      <c r="E1507" s="19" t="s">
        <v>59</v>
      </c>
      <c r="F1507" s="107"/>
      <c r="G1507" s="22"/>
      <c r="H1507" s="108"/>
      <c r="I1507" s="109"/>
      <c r="J1507" s="108"/>
      <c r="K1507" s="29" t="s">
        <v>5</v>
      </c>
      <c r="L1507" s="39"/>
      <c r="M1507" s="91"/>
      <c r="N1507" s="33">
        <v>44588</v>
      </c>
      <c r="O1507" s="32">
        <v>3838</v>
      </c>
      <c r="P1507" s="14"/>
      <c r="Q1507" s="322"/>
      <c r="U1507" s="14"/>
      <c r="V1507" s="260">
        <v>90</v>
      </c>
    </row>
    <row r="1508" spans="2:22" s="7" customFormat="1" ht="18" customHeight="1">
      <c r="B1508" s="12" t="s">
        <v>302</v>
      </c>
      <c r="C1508" s="6" t="s">
        <v>2843</v>
      </c>
      <c r="D1508" s="14" t="s">
        <v>2022</v>
      </c>
      <c r="E1508" s="22" t="s">
        <v>314</v>
      </c>
      <c r="F1508" s="107">
        <v>145</v>
      </c>
      <c r="G1508" s="22" t="s">
        <v>208</v>
      </c>
      <c r="H1508" s="108">
        <v>25</v>
      </c>
      <c r="I1508" s="109">
        <v>1</v>
      </c>
      <c r="J1508" s="8">
        <f>H1508*I1508</f>
        <v>25</v>
      </c>
      <c r="K1508" s="39">
        <v>8.75</v>
      </c>
      <c r="L1508" s="39">
        <f>K1508*J1508</f>
        <v>218.75</v>
      </c>
      <c r="M1508" s="91"/>
      <c r="N1508" s="33">
        <v>44588</v>
      </c>
      <c r="O1508" s="32">
        <v>3838</v>
      </c>
      <c r="P1508" s="391">
        <f>ROUNDUP(S1508/V1508/VLOOKUP(B1508,$C$2:$F$6,3,FALSE),2)</f>
        <v>7.96</v>
      </c>
      <c r="Q1508" s="322">
        <v>7.96</v>
      </c>
      <c r="S1508" s="7">
        <v>630</v>
      </c>
      <c r="T1508" s="7">
        <f>S1508*J1508</f>
        <v>15750</v>
      </c>
      <c r="U1508" s="21"/>
      <c r="V1508" s="260">
        <v>90</v>
      </c>
    </row>
    <row r="1509" spans="2:22" s="7" customFormat="1" ht="18" customHeight="1">
      <c r="B1509" s="12"/>
      <c r="C1509" s="6" t="s">
        <v>2843</v>
      </c>
      <c r="D1509" s="14" t="s">
        <v>2022</v>
      </c>
      <c r="E1509" s="49"/>
      <c r="F1509" s="37"/>
      <c r="G1509" s="22" t="s">
        <v>2625</v>
      </c>
      <c r="H1509" s="8"/>
      <c r="I1509" s="109" ph="1"/>
      <c r="J1509" s="38">
        <v>1</v>
      </c>
      <c r="K1509" s="39">
        <v>15</v>
      </c>
      <c r="L1509" s="39">
        <f>K1509*J1509</f>
        <v>15</v>
      </c>
      <c r="M1509" s="91"/>
      <c r="N1509" s="33">
        <v>44588</v>
      </c>
      <c r="O1509" s="32">
        <v>3838</v>
      </c>
      <c r="P1509" s="6"/>
      <c r="Q1509" s="322">
        <v>12</v>
      </c>
      <c r="S1509" s="7">
        <f>1000+0</f>
        <v>1000</v>
      </c>
      <c r="T1509" s="7">
        <f>S1509*J1509</f>
        <v>1000</v>
      </c>
      <c r="U1509" s="21"/>
      <c r="V1509" s="260">
        <v>90</v>
      </c>
    </row>
    <row r="1510" spans="2:22" s="7" customFormat="1" ht="18" customHeight="1">
      <c r="B1510" s="12"/>
      <c r="C1510" s="6" t="s">
        <v>2843</v>
      </c>
      <c r="D1510" s="14" t="s">
        <v>2022</v>
      </c>
      <c r="E1510" s="49"/>
      <c r="F1510" s="37"/>
      <c r="G1510" s="22" t="s">
        <v>316</v>
      </c>
      <c r="H1510" s="8"/>
      <c r="I1510" s="109" ph="1"/>
      <c r="J1510" s="38">
        <v>1</v>
      </c>
      <c r="K1510" s="39">
        <v>20</v>
      </c>
      <c r="L1510" s="39">
        <f>K1510*J1510</f>
        <v>20</v>
      </c>
      <c r="M1510" s="91"/>
      <c r="N1510" s="33">
        <v>44588</v>
      </c>
      <c r="O1510" s="32">
        <v>3838</v>
      </c>
      <c r="P1510" s="6"/>
      <c r="Q1510" s="322">
        <v>20</v>
      </c>
      <c r="S1510" s="7">
        <v>1000</v>
      </c>
      <c r="T1510" s="7">
        <f>S1510*J1510</f>
        <v>1000</v>
      </c>
      <c r="U1510" s="21"/>
      <c r="V1510" s="260">
        <v>90</v>
      </c>
    </row>
    <row r="1511" spans="2:22" s="191" customFormat="1" ht="15">
      <c r="B1511" s="190"/>
      <c r="C1511" s="179" t="s">
        <v>2843</v>
      </c>
      <c r="D1511" s="180" t="s">
        <v>2022</v>
      </c>
      <c r="E1511" s="181"/>
      <c r="F1511" s="622"/>
      <c r="G1511" s="182" t="s">
        <v>250</v>
      </c>
      <c r="H1511" s="184" t="s">
        <v>251</v>
      </c>
      <c r="I1511" s="185"/>
      <c r="J1511" s="183"/>
      <c r="K1511" s="192">
        <v>0</v>
      </c>
      <c r="L1511" s="188"/>
      <c r="M1511" s="187"/>
      <c r="N1511" s="187">
        <v>44588</v>
      </c>
      <c r="O1511" s="186">
        <v>3838</v>
      </c>
      <c r="P1511" s="179"/>
      <c r="Q1511" s="725">
        <v>0</v>
      </c>
      <c r="S1511" s="197">
        <v>0</v>
      </c>
      <c r="T1511" s="198">
        <v>0</v>
      </c>
      <c r="U1511" s="335"/>
      <c r="V1511" s="260">
        <v>90</v>
      </c>
    </row>
    <row r="1512" spans="2:22" s="7" customFormat="1" ht="18" customHeight="1">
      <c r="B1512" s="12"/>
      <c r="C1512" s="6" t="s">
        <v>2844</v>
      </c>
      <c r="D1512" s="14" t="s">
        <v>2211</v>
      </c>
      <c r="E1512" s="19" t="s">
        <v>1950</v>
      </c>
      <c r="F1512" s="37"/>
      <c r="G1512" s="37"/>
      <c r="H1512" s="108"/>
      <c r="I1512" s="108"/>
      <c r="J1512" s="108"/>
      <c r="K1512" s="29" t="s">
        <v>5</v>
      </c>
      <c r="L1512" s="139"/>
      <c r="M1512" s="33"/>
      <c r="N1512" s="33">
        <v>44616</v>
      </c>
      <c r="O1512" s="32">
        <v>3860</v>
      </c>
      <c r="P1512" s="6"/>
      <c r="Q1512" s="339"/>
      <c r="U1512" s="21"/>
      <c r="V1512" s="260">
        <v>90</v>
      </c>
    </row>
    <row r="1513" spans="2:22" s="7" customFormat="1" ht="17.25" customHeight="1">
      <c r="B1513" s="12" t="s">
        <v>300</v>
      </c>
      <c r="C1513" s="6" t="s">
        <v>2844</v>
      </c>
      <c r="D1513" s="14" t="s">
        <v>2211</v>
      </c>
      <c r="E1513" s="22">
        <v>3808</v>
      </c>
      <c r="F1513" s="37">
        <v>9</v>
      </c>
      <c r="G1513" s="812" t="s">
        <v>2557</v>
      </c>
      <c r="H1513" s="108">
        <v>50</v>
      </c>
      <c r="I1513" s="814">
        <v>5</v>
      </c>
      <c r="J1513" s="60">
        <f>H1513*I1513</f>
        <v>250</v>
      </c>
      <c r="K1513" s="39">
        <v>0.56999999999999995</v>
      </c>
      <c r="L1513" s="39">
        <f>K1513*J1513</f>
        <v>142.5</v>
      </c>
      <c r="M1513" s="117" t="s">
        <v>349</v>
      </c>
      <c r="N1513" s="33">
        <v>44616</v>
      </c>
      <c r="O1513" s="32">
        <v>3860</v>
      </c>
      <c r="P1513" s="391">
        <f>ROUNDUP(S1513/V1513/VLOOKUP(B1513,$C$2:$F$6,3,FALSE),2)</f>
        <v>0.32</v>
      </c>
      <c r="Q1513" s="725">
        <v>0.32</v>
      </c>
      <c r="R1513" s="322">
        <f>Q1513*J1513</f>
        <v>80</v>
      </c>
      <c r="S1513" s="7">
        <v>20</v>
      </c>
      <c r="T1513" s="7">
        <f>S1513*J1513</f>
        <v>5000</v>
      </c>
      <c r="U1513" s="267"/>
      <c r="V1513" s="260">
        <v>90</v>
      </c>
    </row>
    <row r="1514" spans="2:22" s="7" customFormat="1" ht="17.25" customHeight="1">
      <c r="B1514" s="12" t="s">
        <v>300</v>
      </c>
      <c r="C1514" s="6" t="s">
        <v>2844</v>
      </c>
      <c r="D1514" s="14" t="s">
        <v>2211</v>
      </c>
      <c r="E1514" s="22">
        <v>3808</v>
      </c>
      <c r="F1514" s="37">
        <v>9</v>
      </c>
      <c r="G1514" s="812" t="s">
        <v>2556</v>
      </c>
      <c r="H1514" s="108">
        <v>50</v>
      </c>
      <c r="I1514" s="814">
        <v>9</v>
      </c>
      <c r="J1514" s="60">
        <f>H1514*I1514</f>
        <v>450</v>
      </c>
      <c r="K1514" s="39">
        <v>0.56999999999999995</v>
      </c>
      <c r="L1514" s="39">
        <f>K1514*J1514</f>
        <v>256.5</v>
      </c>
      <c r="M1514" s="117" t="s">
        <v>349</v>
      </c>
      <c r="N1514" s="33">
        <v>44616</v>
      </c>
      <c r="O1514" s="32">
        <v>3860</v>
      </c>
      <c r="P1514" s="391">
        <f>ROUNDUP(S1514/V1514/VLOOKUP(B1514,$C$2:$F$6,3,FALSE),2)</f>
        <v>0.32</v>
      </c>
      <c r="Q1514" s="725">
        <v>0.32</v>
      </c>
      <c r="R1514" s="322">
        <f>Q1514*J1514</f>
        <v>144</v>
      </c>
      <c r="S1514" s="7">
        <v>20</v>
      </c>
      <c r="T1514" s="7">
        <f>S1514*J1514</f>
        <v>9000</v>
      </c>
      <c r="U1514" s="267"/>
      <c r="V1514" s="260">
        <v>90</v>
      </c>
    </row>
    <row r="1515" spans="2:22" s="7" customFormat="1" ht="17.25" customHeight="1">
      <c r="B1515" s="12" t="s">
        <v>300</v>
      </c>
      <c r="C1515" s="6" t="s">
        <v>2844</v>
      </c>
      <c r="D1515" s="14" t="s">
        <v>2211</v>
      </c>
      <c r="E1515" s="22">
        <v>3808</v>
      </c>
      <c r="F1515" s="37">
        <v>9</v>
      </c>
      <c r="G1515" s="812" t="s">
        <v>2845</v>
      </c>
      <c r="H1515" s="108">
        <v>50</v>
      </c>
      <c r="I1515" s="814">
        <v>2</v>
      </c>
      <c r="J1515" s="60">
        <f>H1515*I1515</f>
        <v>100</v>
      </c>
      <c r="K1515" s="39">
        <v>0.56999999999999995</v>
      </c>
      <c r="L1515" s="39">
        <f>K1515*J1515</f>
        <v>56.999999999999993</v>
      </c>
      <c r="M1515" s="117" t="s">
        <v>349</v>
      </c>
      <c r="N1515" s="33">
        <v>44616</v>
      </c>
      <c r="O1515" s="32">
        <v>3860</v>
      </c>
      <c r="P1515" s="391">
        <f>ROUNDUP(S1515/V1515/VLOOKUP(B1515,$C$2:$F$6,3,FALSE),2)</f>
        <v>0.32</v>
      </c>
      <c r="Q1515" s="725">
        <v>0.32</v>
      </c>
      <c r="R1515" s="322">
        <f>Q1515*J1515</f>
        <v>32</v>
      </c>
      <c r="S1515" s="7">
        <v>20</v>
      </c>
      <c r="T1515" s="7">
        <f>S1515*J1515</f>
        <v>2000</v>
      </c>
      <c r="U1515" s="267"/>
      <c r="V1515" s="260">
        <v>90</v>
      </c>
    </row>
    <row r="1516" spans="2:22" s="7" customFormat="1" ht="15">
      <c r="B1516" s="12"/>
      <c r="C1516" s="6" t="s">
        <v>2844</v>
      </c>
      <c r="D1516" s="14" t="s">
        <v>2211</v>
      </c>
      <c r="E1516" s="22"/>
      <c r="F1516" s="102"/>
      <c r="G1516" s="22" t="s">
        <v>316</v>
      </c>
      <c r="H1516" s="8"/>
      <c r="I1516" s="35"/>
      <c r="J1516" s="38">
        <v>1</v>
      </c>
      <c r="K1516" s="39">
        <v>12</v>
      </c>
      <c r="L1516" s="39">
        <f>K1516*J1516</f>
        <v>12</v>
      </c>
      <c r="M1516" s="91"/>
      <c r="N1516" s="33">
        <v>44616</v>
      </c>
      <c r="O1516" s="32">
        <v>3860</v>
      </c>
      <c r="P1516" s="391" t="e">
        <f>ROUNDUP(S1516/V1516/VLOOKUP(B1516,$C$2:$F$6,3,FALSE),2)</f>
        <v>#N/A</v>
      </c>
      <c r="Q1516" s="322">
        <v>12</v>
      </c>
      <c r="R1516" s="322">
        <f>Q1516*J1516</f>
        <v>12</v>
      </c>
      <c r="S1516" s="7">
        <v>1000</v>
      </c>
      <c r="T1516" s="7">
        <f>S1516*J1516</f>
        <v>1000</v>
      </c>
      <c r="U1516" s="21"/>
      <c r="V1516" s="260">
        <v>90</v>
      </c>
    </row>
    <row r="1517" spans="2:22" s="191" customFormat="1" ht="18" customHeight="1">
      <c r="B1517" s="190"/>
      <c r="C1517" s="179" t="s">
        <v>2844</v>
      </c>
      <c r="D1517" s="180" t="s">
        <v>2211</v>
      </c>
      <c r="E1517" s="736"/>
      <c r="F1517" s="737"/>
      <c r="G1517" s="182" t="s">
        <v>1955</v>
      </c>
      <c r="H1517" s="222"/>
      <c r="I1517" s="222"/>
      <c r="J1517" s="222">
        <v>800</v>
      </c>
      <c r="K1517" s="192">
        <v>0.19</v>
      </c>
      <c r="L1517" s="192"/>
      <c r="M1517" s="331"/>
      <c r="N1517" s="187">
        <v>44616</v>
      </c>
      <c r="O1517" s="186">
        <v>3860</v>
      </c>
      <c r="P1517" s="327"/>
      <c r="Q1517" s="322">
        <v>152</v>
      </c>
      <c r="R1517" s="322">
        <v>152</v>
      </c>
      <c r="S1517" s="786">
        <v>3705</v>
      </c>
      <c r="T1517" s="786">
        <v>3705</v>
      </c>
      <c r="U1517" s="267"/>
      <c r="V1517" s="260">
        <v>90</v>
      </c>
    </row>
    <row r="1518" spans="2:22" s="7" customFormat="1" ht="18" customHeight="1">
      <c r="B1518" s="12"/>
      <c r="C1518" s="6" t="s">
        <v>2846</v>
      </c>
      <c r="D1518" s="14" t="s">
        <v>2034</v>
      </c>
      <c r="E1518" s="19" t="s">
        <v>10</v>
      </c>
      <c r="F1518" s="107"/>
      <c r="G1518" s="22"/>
      <c r="H1518" s="108"/>
      <c r="I1518" s="109"/>
      <c r="J1518" s="108"/>
      <c r="K1518" s="29" t="s">
        <v>5</v>
      </c>
      <c r="L1518" s="39"/>
      <c r="M1518" s="91"/>
      <c r="N1518" s="33">
        <v>44599</v>
      </c>
      <c r="O1518" s="32">
        <v>3885</v>
      </c>
      <c r="P1518" s="14"/>
      <c r="Q1518" s="322"/>
      <c r="U1518" s="14"/>
      <c r="V1518" s="260">
        <v>90</v>
      </c>
    </row>
    <row r="1519" spans="2:22" s="7" customFormat="1" ht="18" customHeight="1">
      <c r="B1519" s="12" t="s">
        <v>302</v>
      </c>
      <c r="C1519" s="6" t="s">
        <v>2846</v>
      </c>
      <c r="D1519" s="14" t="s">
        <v>2034</v>
      </c>
      <c r="E1519" s="22" t="s">
        <v>6</v>
      </c>
      <c r="F1519" s="107">
        <v>160</v>
      </c>
      <c r="G1519" s="22" t="s">
        <v>2613</v>
      </c>
      <c r="H1519" s="108">
        <v>50</v>
      </c>
      <c r="I1519" s="109">
        <v>2</v>
      </c>
      <c r="J1519" s="8">
        <f>H1519*I1519</f>
        <v>100</v>
      </c>
      <c r="K1519" s="39">
        <v>4.45</v>
      </c>
      <c r="L1519" s="39">
        <f>K1519*J1519</f>
        <v>445</v>
      </c>
      <c r="M1519" s="117" t="s">
        <v>377</v>
      </c>
      <c r="N1519" s="33">
        <v>44599</v>
      </c>
      <c r="O1519" s="32">
        <v>3885</v>
      </c>
      <c r="P1519" s="391">
        <v>4.04</v>
      </c>
      <c r="Q1519" s="322">
        <v>4.04</v>
      </c>
      <c r="R1519" s="322">
        <f>Q1519*J1519</f>
        <v>404</v>
      </c>
      <c r="S1519" s="7">
        <v>320</v>
      </c>
      <c r="T1519" s="7">
        <f>S1519*J1519</f>
        <v>32000</v>
      </c>
      <c r="U1519" s="21"/>
      <c r="V1519" s="260">
        <v>90</v>
      </c>
    </row>
    <row r="1520" spans="2:22" s="7" customFormat="1" ht="15">
      <c r="B1520" s="12"/>
      <c r="C1520" s="6" t="s">
        <v>2846</v>
      </c>
      <c r="D1520" s="14" t="s">
        <v>2034</v>
      </c>
      <c r="E1520" s="22"/>
      <c r="F1520" s="102"/>
      <c r="G1520" s="22" t="s">
        <v>316</v>
      </c>
      <c r="H1520" s="8"/>
      <c r="I1520" s="35"/>
      <c r="J1520" s="38">
        <v>1</v>
      </c>
      <c r="K1520" s="39">
        <v>20</v>
      </c>
      <c r="L1520" s="39">
        <f>K1520*J1520</f>
        <v>20</v>
      </c>
      <c r="M1520" s="91"/>
      <c r="N1520" s="33">
        <v>44599</v>
      </c>
      <c r="O1520" s="32">
        <v>3885</v>
      </c>
      <c r="P1520" s="6" t="s">
        <v>3</v>
      </c>
      <c r="Q1520" s="322">
        <v>20</v>
      </c>
      <c r="R1520" s="322">
        <f>Q1520*J1520</f>
        <v>20</v>
      </c>
      <c r="S1520" s="7">
        <v>1800</v>
      </c>
      <c r="T1520" s="7">
        <v>1800</v>
      </c>
      <c r="U1520" s="21"/>
      <c r="V1520" s="260">
        <v>90</v>
      </c>
    </row>
    <row r="1521" spans="2:22" s="191" customFormat="1" ht="15">
      <c r="B1521" s="190"/>
      <c r="C1521" s="179" t="s">
        <v>2846</v>
      </c>
      <c r="D1521" s="180" t="s">
        <v>2034</v>
      </c>
      <c r="E1521" s="217"/>
      <c r="F1521" s="182"/>
      <c r="G1521" s="182" t="s">
        <v>250</v>
      </c>
      <c r="H1521" s="184" t="s">
        <v>252</v>
      </c>
      <c r="I1521" s="185"/>
      <c r="J1521" s="183"/>
      <c r="K1521" s="203">
        <v>95</v>
      </c>
      <c r="L1521" s="188"/>
      <c r="M1521" s="187"/>
      <c r="N1521" s="187">
        <v>44599</v>
      </c>
      <c r="O1521" s="186">
        <v>3885</v>
      </c>
      <c r="P1521" s="179"/>
      <c r="Q1521" s="747">
        <v>95</v>
      </c>
      <c r="R1521" s="322">
        <v>95</v>
      </c>
      <c r="S1521" s="212">
        <v>8500</v>
      </c>
      <c r="T1521" s="198">
        <v>8500</v>
      </c>
      <c r="U1521" s="335"/>
      <c r="V1521" s="260">
        <v>90</v>
      </c>
    </row>
    <row r="1522" spans="2:22" s="7" customFormat="1" ht="18" customHeight="1">
      <c r="B1522" s="12"/>
      <c r="C1522" s="854" t="s">
        <v>2846</v>
      </c>
      <c r="D1522" s="855" t="s">
        <v>2034</v>
      </c>
      <c r="E1522" s="856" t="s">
        <v>352</v>
      </c>
      <c r="F1522" s="857"/>
      <c r="G1522" s="858"/>
      <c r="H1522" s="859"/>
      <c r="I1522" s="860"/>
      <c r="J1522" s="859"/>
      <c r="K1522" s="861" t="s">
        <v>5</v>
      </c>
      <c r="L1522" s="862"/>
      <c r="M1522" s="863"/>
      <c r="N1522" s="863"/>
      <c r="O1522" s="864"/>
      <c r="P1522" s="14"/>
      <c r="Q1522" s="322"/>
      <c r="U1522" s="14"/>
      <c r="V1522" s="260">
        <v>90</v>
      </c>
    </row>
    <row r="1523" spans="2:22" s="7" customFormat="1" ht="18" customHeight="1">
      <c r="B1523" s="12" t="s">
        <v>302</v>
      </c>
      <c r="C1523" s="854" t="s">
        <v>2846</v>
      </c>
      <c r="D1523" s="855" t="s">
        <v>2034</v>
      </c>
      <c r="E1523" s="865" t="s">
        <v>2397</v>
      </c>
      <c r="F1523" s="857">
        <v>150</v>
      </c>
      <c r="G1523" s="858" t="s">
        <v>2847</v>
      </c>
      <c r="H1523" s="859">
        <v>50</v>
      </c>
      <c r="I1523" s="860">
        <v>2</v>
      </c>
      <c r="J1523" s="866">
        <f>H1523*I1523</f>
        <v>100</v>
      </c>
      <c r="K1523" s="867">
        <v>13.48</v>
      </c>
      <c r="L1523" s="867">
        <f>K1523*J1523</f>
        <v>1348</v>
      </c>
      <c r="M1523" s="868" t="s">
        <v>349</v>
      </c>
      <c r="N1523" s="869" t="s">
        <v>72</v>
      </c>
      <c r="O1523" s="864"/>
      <c r="P1523" s="391">
        <f>ROUNDUP(S1523/V1523/VLOOKUP(B1523,$C$2:$F$6,3,FALSE),2)</f>
        <v>12.25</v>
      </c>
      <c r="Q1523" s="322">
        <v>12.25</v>
      </c>
      <c r="S1523" s="7">
        <v>970</v>
      </c>
      <c r="T1523" s="7">
        <f>S1523*J1523</f>
        <v>97000</v>
      </c>
      <c r="U1523" s="21"/>
      <c r="V1523" s="260">
        <v>90</v>
      </c>
    </row>
    <row r="1524" spans="2:22" s="7" customFormat="1" ht="18" customHeight="1">
      <c r="B1524" s="12" t="s">
        <v>302</v>
      </c>
      <c r="C1524" s="854" t="s">
        <v>2846</v>
      </c>
      <c r="D1524" s="855" t="s">
        <v>2034</v>
      </c>
      <c r="E1524" s="865" t="s">
        <v>2397</v>
      </c>
      <c r="F1524" s="857">
        <v>150</v>
      </c>
      <c r="G1524" s="858" t="s">
        <v>2848</v>
      </c>
      <c r="H1524" s="859">
        <v>50</v>
      </c>
      <c r="I1524" s="860">
        <v>2</v>
      </c>
      <c r="J1524" s="866">
        <f>H1524*I1524</f>
        <v>100</v>
      </c>
      <c r="K1524" s="867">
        <v>13.48</v>
      </c>
      <c r="L1524" s="867">
        <f>K1524*J1524</f>
        <v>1348</v>
      </c>
      <c r="M1524" s="868" t="s">
        <v>349</v>
      </c>
      <c r="N1524" s="869" t="s">
        <v>72</v>
      </c>
      <c r="O1524" s="864"/>
      <c r="P1524" s="391">
        <f>ROUNDUP(S1524/V1524/VLOOKUP(B1524,$C$2:$F$6,3,FALSE),2)</f>
        <v>12.25</v>
      </c>
      <c r="Q1524" s="322">
        <v>12.25</v>
      </c>
      <c r="S1524" s="7">
        <v>970</v>
      </c>
      <c r="T1524" s="7">
        <f>S1524*J1524</f>
        <v>97000</v>
      </c>
      <c r="U1524" s="21"/>
      <c r="V1524" s="260">
        <v>90</v>
      </c>
    </row>
    <row r="1525" spans="2:22" s="7" customFormat="1" ht="15">
      <c r="B1525" s="12"/>
      <c r="C1525" s="854" t="s">
        <v>2846</v>
      </c>
      <c r="D1525" s="855" t="s">
        <v>2034</v>
      </c>
      <c r="E1525" s="858"/>
      <c r="F1525" s="870"/>
      <c r="G1525" s="858" t="s">
        <v>316</v>
      </c>
      <c r="H1525" s="866"/>
      <c r="I1525" s="871"/>
      <c r="J1525" s="872">
        <v>1</v>
      </c>
      <c r="K1525" s="867">
        <v>20</v>
      </c>
      <c r="L1525" s="867">
        <f>K1525*J1525</f>
        <v>20</v>
      </c>
      <c r="M1525" s="873"/>
      <c r="N1525" s="863"/>
      <c r="O1525" s="864"/>
      <c r="P1525" s="6" t="s">
        <v>3</v>
      </c>
      <c r="Q1525" s="322">
        <v>20</v>
      </c>
      <c r="S1525" s="745">
        <v>1800</v>
      </c>
      <c r="T1525" s="7">
        <v>1800</v>
      </c>
      <c r="U1525" s="21"/>
      <c r="V1525" s="260">
        <v>90</v>
      </c>
    </row>
    <row r="1526" spans="2:22" s="191" customFormat="1" ht="15">
      <c r="B1526" s="190"/>
      <c r="C1526" s="854" t="s">
        <v>2846</v>
      </c>
      <c r="D1526" s="855" t="s">
        <v>2034</v>
      </c>
      <c r="E1526" s="858"/>
      <c r="F1526" s="874"/>
      <c r="G1526" s="874" t="s">
        <v>250</v>
      </c>
      <c r="H1526" s="872" t="s">
        <v>252</v>
      </c>
      <c r="I1526" s="860"/>
      <c r="J1526" s="859"/>
      <c r="K1526" s="875" t="s">
        <v>216</v>
      </c>
      <c r="L1526" s="862"/>
      <c r="M1526" s="863"/>
      <c r="N1526" s="863"/>
      <c r="O1526" s="864"/>
      <c r="P1526" s="179"/>
      <c r="Q1526" s="747" t="s">
        <v>216</v>
      </c>
      <c r="S1526" s="212" t="s">
        <v>216</v>
      </c>
      <c r="T1526" s="198" t="s">
        <v>216</v>
      </c>
      <c r="U1526" s="335"/>
      <c r="V1526" s="260">
        <v>90</v>
      </c>
    </row>
    <row r="1527" spans="2:22" s="7" customFormat="1" ht="18" customHeight="1">
      <c r="B1527" s="12"/>
      <c r="C1527" s="6" t="s">
        <v>2849</v>
      </c>
      <c r="D1527" s="14" t="s">
        <v>2850</v>
      </c>
      <c r="E1527" s="19" t="s">
        <v>2270</v>
      </c>
      <c r="F1527" s="37"/>
      <c r="G1527" s="37"/>
      <c r="H1527" s="108"/>
      <c r="I1527" s="108"/>
      <c r="J1527" s="108"/>
      <c r="K1527" s="29" t="s">
        <v>5</v>
      </c>
      <c r="L1527" s="139"/>
      <c r="M1527" s="33"/>
      <c r="N1527" s="33">
        <v>44616</v>
      </c>
      <c r="O1527" s="32">
        <v>3864</v>
      </c>
      <c r="P1527" s="6"/>
      <c r="Q1527" s="339" t="s">
        <v>2349</v>
      </c>
      <c r="U1527" s="21"/>
      <c r="V1527" s="260">
        <v>90</v>
      </c>
    </row>
    <row r="1528" spans="2:22" s="7" customFormat="1" ht="17.25" customHeight="1">
      <c r="B1528" s="12" t="s">
        <v>300</v>
      </c>
      <c r="C1528" s="6" t="s">
        <v>2849</v>
      </c>
      <c r="D1528" s="14" t="s">
        <v>2850</v>
      </c>
      <c r="E1528" s="22">
        <v>5636</v>
      </c>
      <c r="F1528" s="37" t="s">
        <v>230</v>
      </c>
      <c r="G1528" s="37" t="s">
        <v>283</v>
      </c>
      <c r="H1528" s="108">
        <v>50</v>
      </c>
      <c r="I1528" s="109">
        <v>20</v>
      </c>
      <c r="J1528" s="8">
        <f>H1528*I1528</f>
        <v>1000</v>
      </c>
      <c r="K1528" s="39">
        <v>0.27</v>
      </c>
      <c r="L1528" s="39">
        <f>K1528*J1528</f>
        <v>270</v>
      </c>
      <c r="M1528" s="117" t="s">
        <v>349</v>
      </c>
      <c r="N1528" s="33">
        <v>44616</v>
      </c>
      <c r="O1528" s="32">
        <v>3864</v>
      </c>
      <c r="P1528" s="391">
        <f>ROUNDUP(S1528/V1528/VLOOKUP(B1528,$C$2:$F$6,3,FALSE),2)</f>
        <v>0.17</v>
      </c>
      <c r="Q1528" s="322">
        <v>0.17</v>
      </c>
      <c r="R1528" s="322">
        <f>Q1528*J1528</f>
        <v>170</v>
      </c>
      <c r="S1528" s="752">
        <v>10.4</v>
      </c>
      <c r="T1528" s="7">
        <f>S1528*J1528</f>
        <v>10400</v>
      </c>
      <c r="U1528" s="876" t="s">
        <v>2851</v>
      </c>
      <c r="V1528" s="260">
        <v>90</v>
      </c>
    </row>
    <row r="1529" spans="2:22" s="7" customFormat="1" ht="17.25" customHeight="1">
      <c r="B1529" s="12" t="s">
        <v>300</v>
      </c>
      <c r="C1529" s="6" t="s">
        <v>2852</v>
      </c>
      <c r="D1529" s="14" t="s">
        <v>2850</v>
      </c>
      <c r="E1529" s="22">
        <v>5636</v>
      </c>
      <c r="F1529" s="37" t="s">
        <v>230</v>
      </c>
      <c r="G1529" s="37" t="s">
        <v>283</v>
      </c>
      <c r="H1529" s="108">
        <v>50</v>
      </c>
      <c r="I1529" s="109">
        <v>1</v>
      </c>
      <c r="J1529" s="8">
        <f>H1529*I1529</f>
        <v>50</v>
      </c>
      <c r="K1529" s="39">
        <v>0.27</v>
      </c>
      <c r="L1529" s="39">
        <f>K1529*J1529</f>
        <v>13.5</v>
      </c>
      <c r="M1529" s="117" t="s">
        <v>349</v>
      </c>
      <c r="N1529" s="33">
        <v>44616</v>
      </c>
      <c r="O1529" s="32">
        <v>3864</v>
      </c>
      <c r="P1529" s="391">
        <f>ROUNDUP(S1529/V1529/VLOOKUP(B1529,$C$2:$F$6,3,FALSE),2)</f>
        <v>0.17</v>
      </c>
      <c r="Q1529" s="322">
        <v>0.17</v>
      </c>
      <c r="R1529" s="322">
        <f>Q1529*J1529</f>
        <v>8.5</v>
      </c>
      <c r="S1529" s="752">
        <v>10.7</v>
      </c>
      <c r="T1529" s="7">
        <f>S1529*J1529</f>
        <v>535</v>
      </c>
      <c r="U1529" s="876" t="s">
        <v>2853</v>
      </c>
      <c r="V1529" s="260">
        <v>90</v>
      </c>
    </row>
    <row r="1530" spans="2:22" s="7" customFormat="1" ht="17.25" customHeight="1">
      <c r="B1530" s="12" t="s">
        <v>300</v>
      </c>
      <c r="C1530" s="6" t="s">
        <v>2849</v>
      </c>
      <c r="D1530" s="14" t="s">
        <v>2850</v>
      </c>
      <c r="E1530" s="22">
        <v>5636</v>
      </c>
      <c r="F1530" s="37" t="s">
        <v>230</v>
      </c>
      <c r="G1530" s="37" t="s">
        <v>2854</v>
      </c>
      <c r="H1530" s="108">
        <v>50</v>
      </c>
      <c r="I1530" s="109">
        <v>20</v>
      </c>
      <c r="J1530" s="8">
        <f>H1530*I1530</f>
        <v>1000</v>
      </c>
      <c r="K1530" s="39">
        <v>0.47</v>
      </c>
      <c r="L1530" s="39">
        <f>K1530*J1530</f>
        <v>470</v>
      </c>
      <c r="M1530" s="117" t="s">
        <v>349</v>
      </c>
      <c r="N1530" s="33">
        <v>44616</v>
      </c>
      <c r="O1530" s="32">
        <v>3864</v>
      </c>
      <c r="P1530" s="391">
        <v>0.39</v>
      </c>
      <c r="Q1530" s="322">
        <v>0.39</v>
      </c>
      <c r="R1530" s="322">
        <f>Q1530*J1530</f>
        <v>390</v>
      </c>
      <c r="S1530" s="7">
        <v>24.6</v>
      </c>
      <c r="T1530" s="7">
        <f>S1530*J1530</f>
        <v>24600</v>
      </c>
      <c r="U1530" s="877" t="s">
        <v>2855</v>
      </c>
      <c r="V1530" s="260">
        <v>90</v>
      </c>
    </row>
    <row r="1531" spans="2:22" s="7" customFormat="1" ht="17.25" customHeight="1">
      <c r="B1531" s="12" t="s">
        <v>300</v>
      </c>
      <c r="C1531" s="6" t="s">
        <v>2849</v>
      </c>
      <c r="D1531" s="14" t="s">
        <v>2850</v>
      </c>
      <c r="E1531" s="22">
        <v>5636</v>
      </c>
      <c r="F1531" s="37" t="s">
        <v>230</v>
      </c>
      <c r="G1531" s="37" t="s">
        <v>2856</v>
      </c>
      <c r="H1531" s="108">
        <v>50</v>
      </c>
      <c r="I1531" s="109">
        <v>11</v>
      </c>
      <c r="J1531" s="8">
        <f>H1531*I1531</f>
        <v>550</v>
      </c>
      <c r="K1531" s="39">
        <v>0.47</v>
      </c>
      <c r="L1531" s="39">
        <f>K1531*J1531</f>
        <v>258.5</v>
      </c>
      <c r="M1531" s="117" t="s">
        <v>349</v>
      </c>
      <c r="N1531" s="33">
        <v>44616</v>
      </c>
      <c r="O1531" s="32">
        <v>3864</v>
      </c>
      <c r="P1531" s="391">
        <v>0.39</v>
      </c>
      <c r="Q1531" s="322">
        <v>0.39</v>
      </c>
      <c r="R1531" s="322">
        <f>Q1531*J1531</f>
        <v>214.5</v>
      </c>
      <c r="S1531" s="7">
        <v>24.6</v>
      </c>
      <c r="T1531" s="7">
        <f>S1531*J1531</f>
        <v>13530</v>
      </c>
      <c r="U1531" s="877" t="s">
        <v>2855</v>
      </c>
      <c r="V1531" s="260">
        <v>90</v>
      </c>
    </row>
    <row r="1532" spans="2:22" s="7" customFormat="1" ht="15.75">
      <c r="B1532" s="12" t="s">
        <v>306</v>
      </c>
      <c r="C1532" s="6" t="s">
        <v>2849</v>
      </c>
      <c r="D1532" s="14" t="s">
        <v>2850</v>
      </c>
      <c r="E1532" s="22"/>
      <c r="F1532" s="102"/>
      <c r="G1532" s="22" t="s">
        <v>2353</v>
      </c>
      <c r="H1532" s="8"/>
      <c r="I1532" s="35"/>
      <c r="J1532" s="38">
        <v>2</v>
      </c>
      <c r="K1532" s="39">
        <v>300</v>
      </c>
      <c r="L1532" s="39">
        <f>K1532*J1532</f>
        <v>600</v>
      </c>
      <c r="M1532" s="117" t="s">
        <v>349</v>
      </c>
      <c r="N1532" s="33">
        <v>44616</v>
      </c>
      <c r="O1532" s="32">
        <v>3864</v>
      </c>
      <c r="P1532" s="391">
        <f>ROUNDUP(S1532/V1532/VLOOKUP(B1532,$C$2:$F$6,3,FALSE),2)</f>
        <v>277.77999999999997</v>
      </c>
      <c r="Q1532" s="322">
        <v>277.77999999999997</v>
      </c>
      <c r="R1532" s="322">
        <f>Q1532*J1532</f>
        <v>555.55999999999995</v>
      </c>
      <c r="S1532" s="7">
        <f>19000+3000</f>
        <v>22000</v>
      </c>
      <c r="T1532" s="7">
        <f>S1532*J1532</f>
        <v>44000</v>
      </c>
      <c r="U1532" s="877" t="s">
        <v>2857</v>
      </c>
      <c r="V1532" s="260">
        <v>90</v>
      </c>
    </row>
    <row r="1533" spans="2:22" s="7" customFormat="1" ht="15">
      <c r="B1533" s="12"/>
      <c r="C1533" s="6" t="s">
        <v>2849</v>
      </c>
      <c r="D1533" s="14" t="s">
        <v>2850</v>
      </c>
      <c r="E1533" s="22"/>
      <c r="F1533" s="102"/>
      <c r="G1533" s="22" t="s">
        <v>316</v>
      </c>
      <c r="H1533" s="8"/>
      <c r="I1533" s="35"/>
      <c r="J1533" s="38">
        <v>2</v>
      </c>
      <c r="K1533" s="39">
        <v>15</v>
      </c>
      <c r="L1533" s="39">
        <v>15</v>
      </c>
      <c r="M1533" s="91"/>
      <c r="N1533" s="33">
        <v>44616</v>
      </c>
      <c r="O1533" s="32">
        <v>3864</v>
      </c>
      <c r="P1533" s="6"/>
      <c r="Q1533" s="322">
        <v>24</v>
      </c>
      <c r="R1533" s="322">
        <v>24</v>
      </c>
      <c r="S1533" s="7">
        <f>1100+950</f>
        <v>2050</v>
      </c>
      <c r="T1533" s="7">
        <v>2050</v>
      </c>
      <c r="U1533" s="21"/>
      <c r="V1533" s="260">
        <v>90</v>
      </c>
    </row>
    <row r="1534" spans="2:22" s="191" customFormat="1" ht="15">
      <c r="B1534" s="190"/>
      <c r="C1534" s="179" t="s">
        <v>2849</v>
      </c>
      <c r="D1534" s="180" t="s">
        <v>2850</v>
      </c>
      <c r="E1534" s="181"/>
      <c r="F1534" s="622"/>
      <c r="G1534" s="182" t="s">
        <v>250</v>
      </c>
      <c r="H1534" s="184" t="s">
        <v>251</v>
      </c>
      <c r="I1534" s="185"/>
      <c r="J1534" s="183"/>
      <c r="K1534" s="203">
        <v>0</v>
      </c>
      <c r="L1534" s="188"/>
      <c r="M1534" s="187"/>
      <c r="N1534" s="187">
        <v>44616</v>
      </c>
      <c r="O1534" s="186">
        <v>3864</v>
      </c>
      <c r="P1534" s="179"/>
      <c r="Q1534" s="747">
        <v>0</v>
      </c>
      <c r="S1534" s="197">
        <v>0</v>
      </c>
      <c r="T1534" s="198">
        <v>0</v>
      </c>
      <c r="U1534" s="335"/>
      <c r="V1534" s="260">
        <v>90</v>
      </c>
    </row>
    <row r="1535" spans="2:22" s="7" customFormat="1" ht="18" customHeight="1">
      <c r="B1535" s="12"/>
      <c r="C1535" s="6" t="s">
        <v>2858</v>
      </c>
      <c r="D1535" s="14" t="s">
        <v>2022</v>
      </c>
      <c r="E1535" s="19" t="s">
        <v>59</v>
      </c>
      <c r="F1535" s="107"/>
      <c r="G1535" s="22"/>
      <c r="H1535" s="108"/>
      <c r="I1535" s="109"/>
      <c r="J1535" s="108"/>
      <c r="K1535" s="29" t="s">
        <v>5</v>
      </c>
      <c r="L1535" s="39"/>
      <c r="M1535" s="91"/>
      <c r="N1535" s="33">
        <v>44588</v>
      </c>
      <c r="O1535" s="32">
        <v>3838</v>
      </c>
      <c r="P1535" s="14"/>
      <c r="Q1535" s="322"/>
      <c r="U1535" s="14"/>
      <c r="V1535" s="260">
        <v>90</v>
      </c>
    </row>
    <row r="1536" spans="2:22" s="7" customFormat="1" ht="18" customHeight="1">
      <c r="B1536" s="12" t="s">
        <v>302</v>
      </c>
      <c r="C1536" s="6" t="s">
        <v>2858</v>
      </c>
      <c r="D1536" s="14" t="s">
        <v>2022</v>
      </c>
      <c r="E1536" s="22" t="s">
        <v>7</v>
      </c>
      <c r="F1536" s="102">
        <v>132</v>
      </c>
      <c r="G1536" s="22" t="s">
        <v>2859</v>
      </c>
      <c r="H1536" s="108">
        <v>30</v>
      </c>
      <c r="I1536" s="109">
        <v>1</v>
      </c>
      <c r="J1536" s="8">
        <f>H1536*I1536</f>
        <v>30</v>
      </c>
      <c r="K1536" s="39">
        <v>4.45</v>
      </c>
      <c r="L1536" s="39">
        <f>K1536*J1536</f>
        <v>133.5</v>
      </c>
      <c r="M1536" s="117" t="s">
        <v>349</v>
      </c>
      <c r="N1536" s="33">
        <v>44588</v>
      </c>
      <c r="O1536" s="32">
        <v>3838</v>
      </c>
      <c r="P1536" s="391">
        <f>ROUNDUP(S1536/V1536/VLOOKUP(B1536,$C$2:$F$6,3,FALSE),2)</f>
        <v>4.05</v>
      </c>
      <c r="Q1536" s="322">
        <v>4.05</v>
      </c>
      <c r="S1536" s="7">
        <v>320</v>
      </c>
      <c r="T1536" s="7">
        <f>S1536*J1536</f>
        <v>9600</v>
      </c>
      <c r="U1536" s="21"/>
      <c r="V1536" s="260">
        <v>90</v>
      </c>
    </row>
    <row r="1537" spans="2:22" s="7" customFormat="1" ht="18" customHeight="1">
      <c r="B1537" s="12"/>
      <c r="C1537" s="6" t="s">
        <v>2858</v>
      </c>
      <c r="D1537" s="14" t="s">
        <v>2022</v>
      </c>
      <c r="E1537" s="49"/>
      <c r="F1537" s="37"/>
      <c r="G1537" s="22" t="s">
        <v>2625</v>
      </c>
      <c r="H1537" s="8"/>
      <c r="I1537" s="109" ph="1"/>
      <c r="J1537" s="38">
        <v>1</v>
      </c>
      <c r="K1537" s="39">
        <v>15</v>
      </c>
      <c r="L1537" s="39">
        <f>K1537*J1537</f>
        <v>15</v>
      </c>
      <c r="M1537" s="117"/>
      <c r="N1537" s="33">
        <v>44588</v>
      </c>
      <c r="O1537" s="32">
        <v>3838</v>
      </c>
      <c r="P1537" s="6"/>
      <c r="Q1537" s="322">
        <v>12</v>
      </c>
      <c r="S1537" s="7">
        <f>1000+0</f>
        <v>1000</v>
      </c>
      <c r="T1537" s="7">
        <f>S1537*J1537</f>
        <v>1000</v>
      </c>
      <c r="U1537" s="21"/>
      <c r="V1537" s="260">
        <v>90</v>
      </c>
    </row>
    <row r="1538" spans="2:22" s="7" customFormat="1" ht="15">
      <c r="B1538" s="12"/>
      <c r="C1538" s="6" t="s">
        <v>2858</v>
      </c>
      <c r="D1538" s="14" t="s">
        <v>2022</v>
      </c>
      <c r="E1538" s="22"/>
      <c r="F1538" s="102"/>
      <c r="G1538" s="22" t="s">
        <v>316</v>
      </c>
      <c r="H1538" s="8"/>
      <c r="I1538" s="35"/>
      <c r="J1538" s="38">
        <v>1</v>
      </c>
      <c r="K1538" s="39">
        <v>20</v>
      </c>
      <c r="L1538" s="39">
        <f>K1538*J1538</f>
        <v>20</v>
      </c>
      <c r="M1538" s="91"/>
      <c r="N1538" s="33">
        <v>44588</v>
      </c>
      <c r="O1538" s="32">
        <v>3838</v>
      </c>
      <c r="P1538" s="6" t="s">
        <v>3</v>
      </c>
      <c r="Q1538" s="322">
        <v>20</v>
      </c>
      <c r="S1538" s="7">
        <v>1000</v>
      </c>
      <c r="T1538" s="7">
        <f>S1538*J1538</f>
        <v>1000</v>
      </c>
      <c r="U1538" s="21"/>
      <c r="V1538" s="260">
        <v>90</v>
      </c>
    </row>
    <row r="1539" spans="2:22" s="7" customFormat="1" ht="15">
      <c r="B1539" s="12"/>
      <c r="C1539" s="6" t="s">
        <v>2858</v>
      </c>
      <c r="D1539" s="14" t="s">
        <v>2022</v>
      </c>
      <c r="E1539" s="22"/>
      <c r="F1539" s="102"/>
      <c r="G1539" s="22" t="s">
        <v>2860</v>
      </c>
      <c r="H1539" s="8"/>
      <c r="I1539" s="35"/>
      <c r="J1539" s="38"/>
      <c r="K1539" s="154">
        <v>-6.25</v>
      </c>
      <c r="L1539" s="39"/>
      <c r="M1539" s="91"/>
      <c r="N1539" s="33">
        <v>44588</v>
      </c>
      <c r="O1539" s="32">
        <v>3838</v>
      </c>
      <c r="P1539" s="6"/>
      <c r="Q1539" s="322"/>
      <c r="S1539" s="92"/>
      <c r="T1539" s="210"/>
      <c r="U1539" s="21"/>
      <c r="V1539" s="260">
        <v>90</v>
      </c>
    </row>
    <row r="1540" spans="2:22" s="191" customFormat="1" ht="15">
      <c r="B1540" s="190"/>
      <c r="C1540" s="179" t="s">
        <v>2858</v>
      </c>
      <c r="D1540" s="180" t="s">
        <v>2022</v>
      </c>
      <c r="E1540" s="217"/>
      <c r="F1540" s="182"/>
      <c r="G1540" s="182" t="s">
        <v>324</v>
      </c>
      <c r="H1540" s="184" t="s">
        <v>251</v>
      </c>
      <c r="I1540" s="185"/>
      <c r="J1540" s="183"/>
      <c r="K1540" s="203">
        <v>0</v>
      </c>
      <c r="L1540" s="188"/>
      <c r="M1540" s="187"/>
      <c r="N1540" s="187">
        <v>44588</v>
      </c>
      <c r="O1540" s="186">
        <v>3838</v>
      </c>
      <c r="P1540" s="179"/>
      <c r="Q1540" s="747">
        <v>0</v>
      </c>
      <c r="S1540" s="197">
        <v>0</v>
      </c>
      <c r="T1540" s="198">
        <v>0</v>
      </c>
      <c r="U1540" s="335"/>
      <c r="V1540" s="260">
        <v>90</v>
      </c>
    </row>
    <row r="1541" spans="2:22" s="7" customFormat="1" ht="18" customHeight="1">
      <c r="B1541" s="12"/>
      <c r="C1541" s="6" t="s">
        <v>2861</v>
      </c>
      <c r="D1541" s="14" t="s">
        <v>2676</v>
      </c>
      <c r="E1541" s="19" t="s">
        <v>2862</v>
      </c>
      <c r="F1541" s="37"/>
      <c r="G1541" s="37"/>
      <c r="H1541" s="108"/>
      <c r="I1541" s="108"/>
      <c r="J1541" s="108"/>
      <c r="K1541" s="29" t="s">
        <v>5</v>
      </c>
      <c r="L1541" s="139"/>
      <c r="M1541" s="33"/>
      <c r="N1541" s="33">
        <v>44594</v>
      </c>
      <c r="O1541" s="32">
        <v>3881</v>
      </c>
      <c r="P1541" s="6"/>
      <c r="Q1541" s="339"/>
      <c r="U1541" s="21"/>
      <c r="V1541" s="260">
        <v>90</v>
      </c>
    </row>
    <row r="1542" spans="2:22" s="7" customFormat="1" ht="18" customHeight="1">
      <c r="B1542" s="12" t="s">
        <v>300</v>
      </c>
      <c r="C1542" s="6" t="s">
        <v>2861</v>
      </c>
      <c r="D1542" s="14" t="s">
        <v>2676</v>
      </c>
      <c r="E1542" s="22">
        <v>1905</v>
      </c>
      <c r="F1542" s="24"/>
      <c r="G1542" s="22" t="s">
        <v>2863</v>
      </c>
      <c r="H1542" s="813">
        <v>30</v>
      </c>
      <c r="I1542" s="814">
        <v>2</v>
      </c>
      <c r="J1542" s="8">
        <f>H1542*I1542</f>
        <v>60</v>
      </c>
      <c r="K1542" s="137">
        <v>0.14000000000000001</v>
      </c>
      <c r="L1542" s="39">
        <f>K1542*J1542</f>
        <v>8.4</v>
      </c>
      <c r="M1542" s="117" t="s">
        <v>349</v>
      </c>
      <c r="N1542" s="33">
        <v>44594</v>
      </c>
      <c r="O1542" s="32">
        <v>3881</v>
      </c>
      <c r="P1542" s="391">
        <f>ROUNDUP(S1542/V1542/VLOOKUP(B1542,$C$2:$F$6,3,FALSE),2)</f>
        <v>0.12</v>
      </c>
      <c r="Q1542" s="322">
        <v>0.12</v>
      </c>
      <c r="R1542" s="322">
        <f>Q1542*J1542</f>
        <v>7.1999999999999993</v>
      </c>
      <c r="S1542" s="92">
        <v>7.27</v>
      </c>
      <c r="T1542" s="7">
        <f>S1542*J1542</f>
        <v>436.2</v>
      </c>
      <c r="U1542" s="120"/>
      <c r="V1542" s="260">
        <v>90</v>
      </c>
    </row>
    <row r="1543" spans="2:22" s="7" customFormat="1" ht="15.75">
      <c r="B1543" s="12"/>
      <c r="C1543" s="6" t="s">
        <v>2861</v>
      </c>
      <c r="D1543" s="14" t="s">
        <v>2676</v>
      </c>
      <c r="E1543" s="22"/>
      <c r="F1543" s="102"/>
      <c r="G1543" s="22" t="s">
        <v>316</v>
      </c>
      <c r="H1543" s="8"/>
      <c r="I1543" s="35"/>
      <c r="J1543" s="38">
        <v>1</v>
      </c>
      <c r="K1543" s="39">
        <v>12</v>
      </c>
      <c r="L1543" s="39">
        <f>K1543*J1543</f>
        <v>12</v>
      </c>
      <c r="M1543" s="117"/>
      <c r="N1543" s="33">
        <v>44594</v>
      </c>
      <c r="O1543" s="32">
        <v>3881</v>
      </c>
      <c r="P1543" s="391">
        <v>12</v>
      </c>
      <c r="Q1543" s="322">
        <f>P1543*J1543</f>
        <v>12</v>
      </c>
      <c r="R1543" s="322">
        <f>Q1543*J1543</f>
        <v>12</v>
      </c>
      <c r="S1543" s="7">
        <v>800</v>
      </c>
      <c r="T1543" s="7">
        <f>S1543*J1543</f>
        <v>800</v>
      </c>
      <c r="U1543" s="21"/>
      <c r="V1543" s="260">
        <v>90</v>
      </c>
    </row>
    <row r="1544" spans="2:22" s="191" customFormat="1" ht="15">
      <c r="B1544" s="190"/>
      <c r="C1544" s="179" t="s">
        <v>2861</v>
      </c>
      <c r="D1544" s="180" t="s">
        <v>2676</v>
      </c>
      <c r="E1544" s="181"/>
      <c r="F1544" s="182"/>
      <c r="G1544" s="182" t="s">
        <v>250</v>
      </c>
      <c r="H1544" s="184" t="s">
        <v>251</v>
      </c>
      <c r="I1544" s="185"/>
      <c r="J1544" s="183"/>
      <c r="K1544" s="192">
        <v>0</v>
      </c>
      <c r="L1544" s="188"/>
      <c r="M1544" s="187"/>
      <c r="N1544" s="187">
        <v>44594</v>
      </c>
      <c r="O1544" s="186">
        <v>3881</v>
      </c>
      <c r="P1544" s="179"/>
      <c r="Q1544" s="725">
        <v>0</v>
      </c>
      <c r="S1544" s="197">
        <v>0</v>
      </c>
      <c r="T1544" s="198">
        <v>0</v>
      </c>
      <c r="U1544" s="335"/>
      <c r="V1544" s="260">
        <v>90</v>
      </c>
    </row>
    <row r="1545" spans="2:22" s="7" customFormat="1" ht="18" customHeight="1">
      <c r="B1545" s="12"/>
      <c r="C1545" s="6" t="s">
        <v>2864</v>
      </c>
      <c r="D1545" s="14" t="s">
        <v>2116</v>
      </c>
      <c r="E1545" s="19" t="s">
        <v>2865</v>
      </c>
      <c r="F1545" s="37"/>
      <c r="G1545" s="37"/>
      <c r="H1545" s="108"/>
      <c r="I1545" s="108"/>
      <c r="J1545" s="108"/>
      <c r="K1545" s="29" t="s">
        <v>5</v>
      </c>
      <c r="L1545" s="139"/>
      <c r="M1545" s="33"/>
      <c r="N1545" s="33">
        <v>44595</v>
      </c>
      <c r="O1545" s="32">
        <v>3883</v>
      </c>
      <c r="P1545" s="6"/>
      <c r="Q1545" s="339"/>
      <c r="U1545" s="21"/>
      <c r="V1545" s="260">
        <v>90</v>
      </c>
    </row>
    <row r="1546" spans="2:22" s="7" customFormat="1" ht="18" customHeight="1">
      <c r="B1546" s="12" t="s">
        <v>300</v>
      </c>
      <c r="C1546" s="6" t="s">
        <v>2864</v>
      </c>
      <c r="D1546" s="14" t="s">
        <v>2116</v>
      </c>
      <c r="E1546" s="22" t="s">
        <v>2866</v>
      </c>
      <c r="F1546" s="24">
        <v>18</v>
      </c>
      <c r="G1546" s="22" t="s">
        <v>2867</v>
      </c>
      <c r="H1546" s="813">
        <v>10</v>
      </c>
      <c r="I1546" s="814">
        <v>9</v>
      </c>
      <c r="J1546" s="8">
        <f>H1546*I1546</f>
        <v>90</v>
      </c>
      <c r="K1546" s="137">
        <v>3.34</v>
      </c>
      <c r="L1546" s="39">
        <f>K1546*J1546</f>
        <v>300.59999999999997</v>
      </c>
      <c r="M1546" s="117" t="s">
        <v>349</v>
      </c>
      <c r="N1546" s="33">
        <v>44595</v>
      </c>
      <c r="O1546" s="32">
        <v>3883</v>
      </c>
      <c r="P1546" s="391">
        <f>ROUNDUP(S1546/V1546/VLOOKUP(B1546,$C$2:$F$6,3,FALSE),2)</f>
        <v>2.86</v>
      </c>
      <c r="Q1546" s="322">
        <v>2.86</v>
      </c>
      <c r="R1546" s="322">
        <f>Q1546*J1546</f>
        <v>257.39999999999998</v>
      </c>
      <c r="S1546" s="92">
        <v>180</v>
      </c>
      <c r="T1546" s="7">
        <f>S1546*J1546</f>
        <v>16200</v>
      </c>
      <c r="U1546" s="120"/>
      <c r="V1546" s="260">
        <v>90</v>
      </c>
    </row>
    <row r="1547" spans="2:22" s="7" customFormat="1" ht="15.75">
      <c r="B1547" s="12"/>
      <c r="C1547" s="6" t="s">
        <v>2864</v>
      </c>
      <c r="D1547" s="14" t="s">
        <v>2116</v>
      </c>
      <c r="E1547" s="22"/>
      <c r="F1547" s="102"/>
      <c r="G1547" s="22" t="s">
        <v>316</v>
      </c>
      <c r="H1547" s="8"/>
      <c r="I1547" s="35"/>
      <c r="J1547" s="38">
        <v>1</v>
      </c>
      <c r="K1547" s="39">
        <v>15</v>
      </c>
      <c r="L1547" s="39">
        <f>K1547*J1547</f>
        <v>15</v>
      </c>
      <c r="M1547" s="117"/>
      <c r="N1547" s="33">
        <v>44595</v>
      </c>
      <c r="O1547" s="32">
        <v>3883</v>
      </c>
      <c r="P1547" s="391">
        <v>12</v>
      </c>
      <c r="Q1547" s="322">
        <f>P1547*J1547</f>
        <v>12</v>
      </c>
      <c r="R1547" s="322">
        <f>Q1547*J1547</f>
        <v>12</v>
      </c>
      <c r="S1547" s="7">
        <v>0</v>
      </c>
      <c r="T1547" s="7">
        <f>S1547*J1547</f>
        <v>0</v>
      </c>
      <c r="U1547" s="21"/>
      <c r="V1547" s="260">
        <v>90</v>
      </c>
    </row>
    <row r="1548" spans="2:22" s="191" customFormat="1" ht="15">
      <c r="B1548" s="190"/>
      <c r="C1548" s="179" t="s">
        <v>2864</v>
      </c>
      <c r="D1548" s="180" t="s">
        <v>2116</v>
      </c>
      <c r="E1548" s="181"/>
      <c r="F1548" s="182"/>
      <c r="G1548" s="182" t="s">
        <v>250</v>
      </c>
      <c r="H1548" s="184" t="s">
        <v>251</v>
      </c>
      <c r="I1548" s="185"/>
      <c r="J1548" s="183"/>
      <c r="K1548" s="192">
        <v>0</v>
      </c>
      <c r="L1548" s="188"/>
      <c r="M1548" s="187"/>
      <c r="N1548" s="187">
        <v>44595</v>
      </c>
      <c r="O1548" s="186">
        <v>3883</v>
      </c>
      <c r="P1548" s="179"/>
      <c r="Q1548" s="725">
        <v>0</v>
      </c>
      <c r="S1548" s="197">
        <v>0</v>
      </c>
      <c r="T1548" s="198">
        <v>0</v>
      </c>
      <c r="U1548" s="335"/>
      <c r="V1548" s="260">
        <v>90</v>
      </c>
    </row>
    <row r="1549" spans="2:22" s="210" customFormat="1" ht="15.75">
      <c r="B1549" s="278"/>
      <c r="C1549" s="204" t="s">
        <v>2868</v>
      </c>
      <c r="D1549" s="205" t="s">
        <v>2022</v>
      </c>
      <c r="E1549" s="206" t="s">
        <v>2869</v>
      </c>
      <c r="F1549" s="342"/>
      <c r="G1549" s="206" t="s">
        <v>2870</v>
      </c>
      <c r="H1549" s="343"/>
      <c r="I1549" s="344"/>
      <c r="J1549" s="207">
        <v>1</v>
      </c>
      <c r="K1549" s="296">
        <v>23</v>
      </c>
      <c r="L1549" s="296">
        <f>K1549*J1549</f>
        <v>23</v>
      </c>
      <c r="M1549" s="345"/>
      <c r="N1549" s="297"/>
      <c r="O1549" s="208"/>
      <c r="P1549" s="346"/>
      <c r="Q1549" s="347">
        <v>23</v>
      </c>
      <c r="S1549" s="210">
        <v>2046</v>
      </c>
      <c r="T1549" s="210">
        <f>S1549*J1549</f>
        <v>2046</v>
      </c>
      <c r="U1549" s="348"/>
      <c r="V1549" s="280">
        <v>90</v>
      </c>
    </row>
    <row r="1550" spans="2:22" s="210" customFormat="1" ht="15.75">
      <c r="B1550" s="278"/>
      <c r="C1550" s="204" t="s">
        <v>2868</v>
      </c>
      <c r="D1550" s="205" t="s">
        <v>2022</v>
      </c>
      <c r="E1550" s="206" t="s">
        <v>2869</v>
      </c>
      <c r="F1550" s="342"/>
      <c r="G1550" s="206" t="s">
        <v>2871</v>
      </c>
      <c r="H1550" s="343"/>
      <c r="I1550" s="344"/>
      <c r="J1550" s="207">
        <v>1</v>
      </c>
      <c r="K1550" s="296">
        <v>29</v>
      </c>
      <c r="L1550" s="296">
        <f>K1550*J1550</f>
        <v>29</v>
      </c>
      <c r="M1550" s="345"/>
      <c r="N1550" s="297"/>
      <c r="O1550" s="208"/>
      <c r="P1550" s="346"/>
      <c r="Q1550" s="347">
        <v>29</v>
      </c>
      <c r="S1550" s="210">
        <v>2526</v>
      </c>
      <c r="T1550" s="210">
        <f>S1550*J1550</f>
        <v>2526</v>
      </c>
      <c r="U1550" s="348"/>
      <c r="V1550" s="280">
        <v>90</v>
      </c>
    </row>
    <row r="1551" spans="2:22" s="210" customFormat="1" ht="15.75">
      <c r="B1551" s="278"/>
      <c r="C1551" s="204" t="s">
        <v>2868</v>
      </c>
      <c r="D1551" s="205" t="s">
        <v>2022</v>
      </c>
      <c r="E1551" s="206" t="s">
        <v>2869</v>
      </c>
      <c r="F1551" s="342"/>
      <c r="G1551" s="206" t="s">
        <v>2872</v>
      </c>
      <c r="H1551" s="343"/>
      <c r="I1551" s="344"/>
      <c r="J1551" s="207">
        <v>1</v>
      </c>
      <c r="K1551" s="296">
        <v>41</v>
      </c>
      <c r="L1551" s="296">
        <f>K1551*J1551</f>
        <v>41</v>
      </c>
      <c r="M1551" s="345"/>
      <c r="N1551" s="297"/>
      <c r="O1551" s="208"/>
      <c r="P1551" s="346"/>
      <c r="Q1551" s="347">
        <v>41</v>
      </c>
      <c r="S1551" s="210">
        <v>3653</v>
      </c>
      <c r="T1551" s="210">
        <f>S1551*J1551</f>
        <v>3653</v>
      </c>
      <c r="U1551" s="348"/>
      <c r="V1551" s="280">
        <v>90</v>
      </c>
    </row>
    <row r="1552" spans="2:22" s="7" customFormat="1" ht="17.25" customHeight="1">
      <c r="B1552" s="12"/>
      <c r="C1552" s="6" t="s">
        <v>2873</v>
      </c>
      <c r="D1552" s="14" t="s">
        <v>2777</v>
      </c>
      <c r="E1552" s="19" t="s">
        <v>238</v>
      </c>
      <c r="F1552" s="107"/>
      <c r="G1552" s="22"/>
      <c r="H1552" s="108"/>
      <c r="I1552" s="109"/>
      <c r="J1552" s="108"/>
      <c r="K1552" s="29" t="s">
        <v>5</v>
      </c>
      <c r="L1552" s="139"/>
      <c r="M1552" s="33"/>
      <c r="N1552" s="33">
        <v>44601</v>
      </c>
      <c r="O1552" s="32">
        <v>3900</v>
      </c>
      <c r="P1552" s="14"/>
      <c r="Q1552" s="322"/>
      <c r="U1552" s="14"/>
      <c r="V1552" s="260">
        <v>90</v>
      </c>
    </row>
    <row r="1553" spans="2:22" s="7" customFormat="1" ht="18" customHeight="1">
      <c r="B1553" s="12" t="s">
        <v>302</v>
      </c>
      <c r="C1553" s="6" t="s">
        <v>2873</v>
      </c>
      <c r="D1553" s="14" t="s">
        <v>2777</v>
      </c>
      <c r="E1553" s="22" t="s">
        <v>239</v>
      </c>
      <c r="F1553" s="107">
        <v>150</v>
      </c>
      <c r="G1553" s="22" t="s">
        <v>2874</v>
      </c>
      <c r="H1553" s="108">
        <v>10</v>
      </c>
      <c r="I1553" s="109">
        <v>2</v>
      </c>
      <c r="J1553" s="8">
        <f>H1553*I1553</f>
        <v>20</v>
      </c>
      <c r="K1553" s="39">
        <v>6.53</v>
      </c>
      <c r="L1553" s="39">
        <f>K1553*J1553</f>
        <v>130.6</v>
      </c>
      <c r="M1553" s="117" t="s">
        <v>349</v>
      </c>
      <c r="N1553" s="33">
        <v>44601</v>
      </c>
      <c r="O1553" s="32">
        <v>3900</v>
      </c>
      <c r="P1553" s="391">
        <f>ROUNDUP(S1553/V1553/VLOOKUP(B1553,$C$2:$F$6,3,FALSE),2)</f>
        <v>5.9399999999999995</v>
      </c>
      <c r="Q1553" s="322">
        <v>5.94</v>
      </c>
      <c r="R1553" s="322">
        <f>Q1553*J1553</f>
        <v>118.80000000000001</v>
      </c>
      <c r="S1553" s="7">
        <v>470</v>
      </c>
      <c r="T1553" s="7">
        <f>S1553*J1553</f>
        <v>9400</v>
      </c>
      <c r="U1553" s="21"/>
      <c r="V1553" s="260">
        <v>90</v>
      </c>
    </row>
    <row r="1554" spans="2:22" s="7" customFormat="1" ht="15">
      <c r="B1554" s="12"/>
      <c r="C1554" s="6" t="s">
        <v>2873</v>
      </c>
      <c r="D1554" s="14" t="s">
        <v>2777</v>
      </c>
      <c r="E1554" s="49"/>
      <c r="F1554" s="102"/>
      <c r="G1554" s="22" t="s">
        <v>2625</v>
      </c>
      <c r="H1554" s="38"/>
      <c r="I1554" s="35"/>
      <c r="J1554" s="38">
        <v>2</v>
      </c>
      <c r="K1554" s="39">
        <v>15</v>
      </c>
      <c r="L1554" s="39">
        <f>K1554*J1554</f>
        <v>30</v>
      </c>
      <c r="M1554" s="91"/>
      <c r="N1554" s="33">
        <v>44601</v>
      </c>
      <c r="O1554" s="32">
        <v>3900</v>
      </c>
      <c r="P1554" s="391">
        <v>12</v>
      </c>
      <c r="Q1554" s="322">
        <f>P1554*J1554</f>
        <v>24</v>
      </c>
      <c r="R1554" s="322">
        <v>24</v>
      </c>
      <c r="S1554" s="7">
        <v>1000</v>
      </c>
      <c r="T1554" s="7">
        <f>S1554*J1554</f>
        <v>2000</v>
      </c>
      <c r="U1554" s="21"/>
      <c r="V1554" s="260">
        <v>90</v>
      </c>
    </row>
    <row r="1555" spans="2:22" s="7" customFormat="1" ht="15">
      <c r="B1555" s="12"/>
      <c r="C1555" s="6" t="s">
        <v>2873</v>
      </c>
      <c r="D1555" s="14" t="s">
        <v>2777</v>
      </c>
      <c r="E1555" s="49"/>
      <c r="F1555" s="102"/>
      <c r="G1555" s="22" t="s">
        <v>316</v>
      </c>
      <c r="H1555" s="38"/>
      <c r="I1555" s="35"/>
      <c r="J1555" s="38">
        <v>1</v>
      </c>
      <c r="K1555" s="39">
        <v>20</v>
      </c>
      <c r="L1555" s="39">
        <f>K1555*J1555</f>
        <v>20</v>
      </c>
      <c r="M1555" s="91"/>
      <c r="N1555" s="33">
        <v>44601</v>
      </c>
      <c r="O1555" s="32">
        <v>3900</v>
      </c>
      <c r="P1555" s="722"/>
      <c r="Q1555" s="322">
        <v>20</v>
      </c>
      <c r="R1555" s="322">
        <f>Q1555*J1555</f>
        <v>20</v>
      </c>
      <c r="S1555" s="7">
        <v>1000</v>
      </c>
      <c r="T1555" s="7">
        <f>S1555*J1555</f>
        <v>1000</v>
      </c>
      <c r="U1555" s="21"/>
      <c r="V1555" s="260">
        <v>90</v>
      </c>
    </row>
    <row r="1556" spans="2:22" s="191" customFormat="1" ht="15">
      <c r="B1556" s="190"/>
      <c r="C1556" s="179" t="s">
        <v>2873</v>
      </c>
      <c r="D1556" s="180" t="s">
        <v>2777</v>
      </c>
      <c r="E1556" s="181"/>
      <c r="F1556" s="182"/>
      <c r="G1556" s="182" t="s">
        <v>250</v>
      </c>
      <c r="H1556" s="184" t="s">
        <v>252</v>
      </c>
      <c r="I1556" s="185"/>
      <c r="J1556" s="183"/>
      <c r="K1556" s="333">
        <v>42</v>
      </c>
      <c r="L1556" s="188"/>
      <c r="M1556" s="187"/>
      <c r="N1556" s="187">
        <v>44601</v>
      </c>
      <c r="O1556" s="186">
        <v>3900</v>
      </c>
      <c r="P1556" s="796"/>
      <c r="Q1556" s="747">
        <v>42</v>
      </c>
      <c r="R1556" s="322">
        <v>42</v>
      </c>
      <c r="S1556" s="212">
        <v>3703</v>
      </c>
      <c r="T1556" s="212">
        <v>3703</v>
      </c>
      <c r="U1556" s="808"/>
      <c r="V1556" s="260">
        <v>90</v>
      </c>
    </row>
    <row r="1557" spans="2:22" s="7" customFormat="1" ht="18" customHeight="1">
      <c r="B1557" s="12"/>
      <c r="C1557" s="6" t="s">
        <v>2875</v>
      </c>
      <c r="D1557" s="14" t="s">
        <v>2676</v>
      </c>
      <c r="E1557" s="19" t="s">
        <v>2862</v>
      </c>
      <c r="F1557" s="37"/>
      <c r="G1557" s="37"/>
      <c r="H1557" s="108"/>
      <c r="I1557" s="108"/>
      <c r="J1557" s="108"/>
      <c r="K1557" s="29" t="s">
        <v>5</v>
      </c>
      <c r="L1557" s="139"/>
      <c r="M1557" s="33"/>
      <c r="N1557" s="33">
        <v>44608</v>
      </c>
      <c r="O1557" s="32">
        <v>3911</v>
      </c>
      <c r="P1557" s="6"/>
      <c r="Q1557" s="339"/>
      <c r="U1557" s="21"/>
      <c r="V1557" s="260">
        <v>90</v>
      </c>
    </row>
    <row r="1558" spans="2:22" s="7" customFormat="1" ht="18" customHeight="1">
      <c r="B1558" s="12" t="s">
        <v>300</v>
      </c>
      <c r="C1558" s="6" t="s">
        <v>2875</v>
      </c>
      <c r="D1558" s="14" t="s">
        <v>2676</v>
      </c>
      <c r="E1558" s="22">
        <v>1905</v>
      </c>
      <c r="F1558" s="24"/>
      <c r="G1558" s="22" t="s">
        <v>2695</v>
      </c>
      <c r="H1558" s="108">
        <v>30</v>
      </c>
      <c r="I1558" s="109">
        <v>16</v>
      </c>
      <c r="J1558" s="8">
        <f>H1558*I1558</f>
        <v>480</v>
      </c>
      <c r="K1558" s="39">
        <v>0.14000000000000001</v>
      </c>
      <c r="L1558" s="39">
        <f>K1558*J1558</f>
        <v>67.2</v>
      </c>
      <c r="M1558" s="117" t="s">
        <v>349</v>
      </c>
      <c r="N1558" s="33">
        <v>44608</v>
      </c>
      <c r="O1558" s="32">
        <v>3911</v>
      </c>
      <c r="P1558" s="391">
        <f>ROUNDUP(S1558/V1558/VLOOKUP(B1558,$C$2:$F$6,3,FALSE),2)</f>
        <v>0.12</v>
      </c>
      <c r="Q1558" s="322">
        <v>0.12</v>
      </c>
      <c r="R1558" s="322">
        <f t="shared" ref="R1558:R1563" si="79">Q1558*J1558</f>
        <v>57.599999999999994</v>
      </c>
      <c r="S1558" s="92">
        <v>7.27</v>
      </c>
      <c r="T1558" s="7">
        <f>S1558*J1558</f>
        <v>3489.6</v>
      </c>
      <c r="U1558" s="120"/>
      <c r="V1558" s="260">
        <v>90</v>
      </c>
    </row>
    <row r="1559" spans="2:22" s="7" customFormat="1" ht="18" customHeight="1">
      <c r="B1559" s="12" t="s">
        <v>300</v>
      </c>
      <c r="C1559" s="6" t="s">
        <v>2875</v>
      </c>
      <c r="D1559" s="14" t="s">
        <v>2676</v>
      </c>
      <c r="E1559" s="22">
        <v>1905</v>
      </c>
      <c r="F1559" s="24"/>
      <c r="G1559" s="22" t="s">
        <v>2876</v>
      </c>
      <c r="H1559" s="108">
        <v>30</v>
      </c>
      <c r="I1559" s="109">
        <v>16</v>
      </c>
      <c r="J1559" s="8">
        <f>H1559*I1559</f>
        <v>480</v>
      </c>
      <c r="K1559" s="39">
        <v>0.14000000000000001</v>
      </c>
      <c r="L1559" s="39">
        <f>K1559*J1559</f>
        <v>67.2</v>
      </c>
      <c r="M1559" s="117" t="s">
        <v>349</v>
      </c>
      <c r="N1559" s="33">
        <v>44608</v>
      </c>
      <c r="O1559" s="32">
        <v>3911</v>
      </c>
      <c r="P1559" s="391">
        <f>ROUNDUP(S1559/V1559/VLOOKUP(B1559,$C$2:$F$6,3,FALSE),2)</f>
        <v>0.12</v>
      </c>
      <c r="Q1559" s="322">
        <v>0.12</v>
      </c>
      <c r="R1559" s="322">
        <f t="shared" si="79"/>
        <v>57.599999999999994</v>
      </c>
      <c r="S1559" s="92">
        <v>7.27</v>
      </c>
      <c r="T1559" s="7">
        <f>S1559*J1559</f>
        <v>3489.6</v>
      </c>
      <c r="U1559" s="120"/>
      <c r="V1559" s="260">
        <v>90</v>
      </c>
    </row>
    <row r="1560" spans="2:22" s="7" customFormat="1" ht="18" customHeight="1">
      <c r="B1560" s="12" t="s">
        <v>300</v>
      </c>
      <c r="C1560" s="6" t="s">
        <v>2875</v>
      </c>
      <c r="D1560" s="14" t="s">
        <v>2676</v>
      </c>
      <c r="E1560" s="22">
        <v>1905</v>
      </c>
      <c r="F1560" s="24"/>
      <c r="G1560" s="22" t="s">
        <v>2877</v>
      </c>
      <c r="H1560" s="8">
        <v>30</v>
      </c>
      <c r="I1560" s="35">
        <v>16</v>
      </c>
      <c r="J1560" s="8">
        <f>H1560*I1560</f>
        <v>480</v>
      </c>
      <c r="K1560" s="39">
        <v>0.14000000000000001</v>
      </c>
      <c r="L1560" s="39">
        <f>K1560*J1560</f>
        <v>67.2</v>
      </c>
      <c r="M1560" s="117" t="s">
        <v>349</v>
      </c>
      <c r="N1560" s="33">
        <v>44608</v>
      </c>
      <c r="O1560" s="32">
        <v>3911</v>
      </c>
      <c r="P1560" s="391">
        <f>ROUNDUP(S1560/V1560/VLOOKUP(B1560,$C$2:$F$6,3,FALSE),2)</f>
        <v>0.12</v>
      </c>
      <c r="Q1560" s="322">
        <v>0.12</v>
      </c>
      <c r="R1560" s="322">
        <f t="shared" si="79"/>
        <v>57.599999999999994</v>
      </c>
      <c r="S1560" s="92">
        <v>7.27</v>
      </c>
      <c r="T1560" s="7">
        <f>S1560*J1560</f>
        <v>3489.6</v>
      </c>
      <c r="U1560" s="120"/>
      <c r="V1560" s="260">
        <v>90</v>
      </c>
    </row>
    <row r="1561" spans="2:22" s="7" customFormat="1" ht="18" customHeight="1">
      <c r="B1561" s="12" t="s">
        <v>300</v>
      </c>
      <c r="C1561" s="6" t="s">
        <v>2875</v>
      </c>
      <c r="D1561" s="14" t="s">
        <v>2676</v>
      </c>
      <c r="E1561" s="22">
        <v>1905</v>
      </c>
      <c r="F1561" s="24"/>
      <c r="G1561" s="37" t="s">
        <v>2701</v>
      </c>
      <c r="H1561" s="8">
        <v>30</v>
      </c>
      <c r="I1561" s="35">
        <v>16</v>
      </c>
      <c r="J1561" s="8">
        <f>H1561*I1561</f>
        <v>480</v>
      </c>
      <c r="K1561" s="39">
        <v>0.14000000000000001</v>
      </c>
      <c r="L1561" s="39">
        <f>K1561*J1561</f>
        <v>67.2</v>
      </c>
      <c r="M1561" s="117" t="s">
        <v>349</v>
      </c>
      <c r="N1561" s="33">
        <v>44608</v>
      </c>
      <c r="O1561" s="32">
        <v>3911</v>
      </c>
      <c r="P1561" s="391">
        <f>ROUNDUP(S1561/V1561/VLOOKUP(B1561,$C$2:$F$6,3,FALSE),2)</f>
        <v>0.12</v>
      </c>
      <c r="Q1561" s="322">
        <v>0.12</v>
      </c>
      <c r="R1561" s="322">
        <f t="shared" si="79"/>
        <v>57.599999999999994</v>
      </c>
      <c r="S1561" s="92">
        <v>7.27</v>
      </c>
      <c r="T1561" s="7">
        <f>S1561*J1561</f>
        <v>3489.6</v>
      </c>
      <c r="U1561" s="120"/>
      <c r="V1561" s="260">
        <v>90</v>
      </c>
    </row>
    <row r="1562" spans="2:22" s="7" customFormat="1" ht="15.75">
      <c r="B1562" s="12"/>
      <c r="C1562" s="6" t="s">
        <v>2875</v>
      </c>
      <c r="D1562" s="14" t="s">
        <v>2676</v>
      </c>
      <c r="E1562" s="22"/>
      <c r="F1562" s="102"/>
      <c r="G1562" s="22" t="s">
        <v>316</v>
      </c>
      <c r="H1562" s="8"/>
      <c r="I1562" s="35"/>
      <c r="J1562" s="38">
        <v>1</v>
      </c>
      <c r="K1562" s="39">
        <v>12</v>
      </c>
      <c r="L1562" s="39">
        <f>K1562*J1562</f>
        <v>12</v>
      </c>
      <c r="M1562" s="117"/>
      <c r="N1562" s="33">
        <v>44608</v>
      </c>
      <c r="O1562" s="32">
        <v>3911</v>
      </c>
      <c r="P1562" s="391">
        <v>12</v>
      </c>
      <c r="Q1562" s="322">
        <f>P1562*J1562</f>
        <v>12</v>
      </c>
      <c r="R1562" s="322">
        <f t="shared" si="79"/>
        <v>12</v>
      </c>
      <c r="S1562" s="7">
        <v>0</v>
      </c>
      <c r="T1562" s="7">
        <f>S1562*J1562</f>
        <v>0</v>
      </c>
      <c r="U1562" s="21"/>
      <c r="V1562" s="260">
        <v>90</v>
      </c>
    </row>
    <row r="1563" spans="2:22" s="191" customFormat="1" ht="15">
      <c r="B1563" s="190"/>
      <c r="C1563" s="179" t="s">
        <v>2875</v>
      </c>
      <c r="D1563" s="180" t="s">
        <v>2676</v>
      </c>
      <c r="E1563" s="181"/>
      <c r="F1563" s="182"/>
      <c r="G1563" s="182" t="s">
        <v>250</v>
      </c>
      <c r="H1563" s="184" t="s">
        <v>251</v>
      </c>
      <c r="I1563" s="185"/>
      <c r="J1563" s="183"/>
      <c r="K1563" s="192">
        <v>0</v>
      </c>
      <c r="L1563" s="188"/>
      <c r="M1563" s="187"/>
      <c r="N1563" s="187">
        <v>44608</v>
      </c>
      <c r="O1563" s="186">
        <v>3911</v>
      </c>
      <c r="P1563" s="179"/>
      <c r="Q1563" s="725">
        <v>0</v>
      </c>
      <c r="R1563" s="322">
        <f t="shared" si="79"/>
        <v>0</v>
      </c>
      <c r="S1563" s="197">
        <v>0</v>
      </c>
      <c r="T1563" s="198">
        <v>0</v>
      </c>
      <c r="U1563" s="335"/>
      <c r="V1563" s="260">
        <v>90</v>
      </c>
    </row>
    <row r="1564" spans="2:22" s="7" customFormat="1" ht="15">
      <c r="B1564" s="12"/>
      <c r="C1564" s="843" t="s">
        <v>2878</v>
      </c>
      <c r="D1564" s="14" t="s">
        <v>2329</v>
      </c>
      <c r="E1564" s="19" t="s">
        <v>2773</v>
      </c>
      <c r="F1564" s="107"/>
      <c r="G1564" s="22"/>
      <c r="H1564" s="108"/>
      <c r="I1564" s="109"/>
      <c r="J1564" s="108"/>
      <c r="K1564" s="29" t="s">
        <v>5</v>
      </c>
      <c r="L1564" s="139"/>
      <c r="M1564" s="33"/>
      <c r="N1564" s="33">
        <v>44602</v>
      </c>
      <c r="O1564" s="32">
        <v>3901</v>
      </c>
      <c r="P1564" s="14"/>
      <c r="Q1564" s="322"/>
      <c r="S1564" s="72"/>
      <c r="U1564" s="14"/>
      <c r="V1564" s="260">
        <v>90</v>
      </c>
    </row>
    <row r="1565" spans="2:22" s="7" customFormat="1" ht="15.75">
      <c r="B1565" s="12" t="s">
        <v>300</v>
      </c>
      <c r="C1565" s="843" t="s">
        <v>2878</v>
      </c>
      <c r="D1565" s="14" t="s">
        <v>2329</v>
      </c>
      <c r="E1565" s="821" t="s">
        <v>2774</v>
      </c>
      <c r="F1565" s="825">
        <v>9</v>
      </c>
      <c r="G1565" s="22" t="s">
        <v>2628</v>
      </c>
      <c r="H1565" s="108">
        <v>10</v>
      </c>
      <c r="I1565" s="109">
        <v>4</v>
      </c>
      <c r="J1565" s="8">
        <f>H1565*I1565</f>
        <v>40</v>
      </c>
      <c r="K1565" s="39">
        <v>2.15</v>
      </c>
      <c r="L1565" s="39">
        <f>K1565*J1565</f>
        <v>86</v>
      </c>
      <c r="M1565" s="117" t="s">
        <v>349</v>
      </c>
      <c r="N1565" s="33">
        <v>44602</v>
      </c>
      <c r="O1565" s="32">
        <v>3901</v>
      </c>
      <c r="P1565" s="391">
        <f>ROUNDUP(S1565/V1565/VLOOKUP(B1565,$C$2:$F$6,3,FALSE),2)</f>
        <v>1.85</v>
      </c>
      <c r="Q1565" s="322">
        <v>1.85</v>
      </c>
      <c r="R1565" s="322">
        <f>Q1565*J1565</f>
        <v>74</v>
      </c>
      <c r="S1565" s="822">
        <v>116</v>
      </c>
      <c r="T1565" s="7">
        <f>S1565*J1565</f>
        <v>4640</v>
      </c>
      <c r="U1565" s="21"/>
      <c r="V1565" s="260">
        <v>90</v>
      </c>
    </row>
    <row r="1566" spans="2:22" s="7" customFormat="1" ht="15">
      <c r="B1566" s="12"/>
      <c r="C1566" s="843" t="s">
        <v>2878</v>
      </c>
      <c r="D1566" s="14" t="s">
        <v>2329</v>
      </c>
      <c r="E1566" s="19" t="s">
        <v>2627</v>
      </c>
      <c r="F1566" s="107"/>
      <c r="G1566" s="22"/>
      <c r="H1566" s="108"/>
      <c r="I1566" s="109"/>
      <c r="J1566" s="108"/>
      <c r="K1566" s="29" t="s">
        <v>5</v>
      </c>
      <c r="L1566" s="139"/>
      <c r="M1566" s="33"/>
      <c r="N1566" s="33">
        <v>44602</v>
      </c>
      <c r="O1566" s="32">
        <v>3901</v>
      </c>
      <c r="P1566" s="14"/>
      <c r="Q1566" s="322"/>
      <c r="S1566" s="72"/>
      <c r="U1566" s="14"/>
      <c r="V1566" s="260">
        <v>90</v>
      </c>
    </row>
    <row r="1567" spans="2:22" s="7" customFormat="1" ht="15.75">
      <c r="B1567" s="12" t="s">
        <v>300</v>
      </c>
      <c r="C1567" s="843" t="s">
        <v>2878</v>
      </c>
      <c r="D1567" s="14" t="s">
        <v>2329</v>
      </c>
      <c r="E1567" s="821" t="s">
        <v>2602</v>
      </c>
      <c r="F1567" s="825">
        <v>75</v>
      </c>
      <c r="G1567" s="22" t="s">
        <v>2772</v>
      </c>
      <c r="H1567" s="108">
        <v>10</v>
      </c>
      <c r="I1567" s="109">
        <v>2</v>
      </c>
      <c r="J1567" s="8">
        <f>H1567*I1567</f>
        <v>20</v>
      </c>
      <c r="K1567" s="39">
        <v>29.34</v>
      </c>
      <c r="L1567" s="39">
        <f>K1567*J1567</f>
        <v>586.79999999999995</v>
      </c>
      <c r="M1567" s="117" t="s">
        <v>349</v>
      </c>
      <c r="N1567" s="33">
        <v>44602</v>
      </c>
      <c r="O1567" s="32">
        <v>3901</v>
      </c>
      <c r="P1567" s="391">
        <f>ROUNDUP(S1567/V1567/VLOOKUP(B1567,$C$2:$F$6,3,FALSE),2)</f>
        <v>25.150000000000002</v>
      </c>
      <c r="Q1567" s="322">
        <v>25.15</v>
      </c>
      <c r="R1567" s="322">
        <f>Q1567*J1567</f>
        <v>503</v>
      </c>
      <c r="S1567" s="822">
        <v>1584</v>
      </c>
      <c r="T1567" s="7">
        <f>S1567*J1567</f>
        <v>31680</v>
      </c>
      <c r="U1567" s="21"/>
      <c r="V1567" s="260">
        <v>90</v>
      </c>
    </row>
    <row r="1568" spans="2:22" s="7" customFormat="1" ht="15">
      <c r="B1568" s="12"/>
      <c r="C1568" s="843" t="s">
        <v>2878</v>
      </c>
      <c r="D1568" s="14" t="s">
        <v>2329</v>
      </c>
      <c r="E1568" s="22"/>
      <c r="F1568" s="102"/>
      <c r="G1568" s="22" t="s">
        <v>316</v>
      </c>
      <c r="H1568" s="8"/>
      <c r="I1568" s="35"/>
      <c r="J1568" s="38">
        <v>1</v>
      </c>
      <c r="K1568" s="39">
        <v>12</v>
      </c>
      <c r="L1568" s="39">
        <f>K1568*J1568</f>
        <v>12</v>
      </c>
      <c r="M1568" s="91"/>
      <c r="N1568" s="33">
        <v>44602</v>
      </c>
      <c r="O1568" s="32">
        <v>3901</v>
      </c>
      <c r="P1568" s="391">
        <v>12</v>
      </c>
      <c r="Q1568" s="322">
        <v>12</v>
      </c>
      <c r="R1568" s="322">
        <f>Q1568*J1568</f>
        <v>12</v>
      </c>
      <c r="S1568" s="7">
        <v>0</v>
      </c>
      <c r="T1568" s="7">
        <f>S1568*J1568</f>
        <v>0</v>
      </c>
      <c r="U1568" s="21"/>
      <c r="V1568" s="260">
        <v>90</v>
      </c>
    </row>
    <row r="1569" spans="1:22" s="191" customFormat="1" ht="15">
      <c r="B1569" s="190"/>
      <c r="C1569" s="844" t="s">
        <v>2878</v>
      </c>
      <c r="D1569" s="180" t="s">
        <v>2329</v>
      </c>
      <c r="E1569" s="181"/>
      <c r="F1569" s="182"/>
      <c r="G1569" s="182" t="s">
        <v>250</v>
      </c>
      <c r="H1569" s="184" t="s">
        <v>252</v>
      </c>
      <c r="I1569" s="185"/>
      <c r="J1569" s="183"/>
      <c r="K1569" s="203">
        <v>27</v>
      </c>
      <c r="L1569" s="188"/>
      <c r="M1569" s="187"/>
      <c r="N1569" s="187">
        <v>44602</v>
      </c>
      <c r="O1569" s="186">
        <v>3901</v>
      </c>
      <c r="P1569" s="179"/>
      <c r="Q1569" s="747">
        <v>27</v>
      </c>
      <c r="R1569" s="322">
        <v>27</v>
      </c>
      <c r="S1569" s="212">
        <v>2380</v>
      </c>
      <c r="T1569" s="212">
        <v>2380</v>
      </c>
      <c r="U1569" s="335"/>
      <c r="V1569" s="260">
        <v>90</v>
      </c>
    </row>
    <row r="1570" spans="1:22" s="7" customFormat="1" ht="17.25" customHeight="1">
      <c r="B1570" s="12"/>
      <c r="C1570" s="6" t="s">
        <v>2879</v>
      </c>
      <c r="D1570" s="14" t="s">
        <v>1963</v>
      </c>
      <c r="E1570" s="19" t="s">
        <v>238</v>
      </c>
      <c r="F1570" s="107"/>
      <c r="G1570" s="22"/>
      <c r="H1570" s="108"/>
      <c r="I1570" s="109"/>
      <c r="J1570" s="108"/>
      <c r="K1570" s="29" t="s">
        <v>5</v>
      </c>
      <c r="L1570" s="139"/>
      <c r="M1570" s="33"/>
      <c r="N1570" s="33">
        <v>44602</v>
      </c>
      <c r="O1570" s="32">
        <v>3903</v>
      </c>
      <c r="P1570" s="14"/>
      <c r="Q1570" s="322"/>
      <c r="U1570" s="14"/>
      <c r="V1570" s="260">
        <v>90</v>
      </c>
    </row>
    <row r="1571" spans="1:22" s="7" customFormat="1" ht="18" customHeight="1">
      <c r="B1571" s="12" t="s">
        <v>302</v>
      </c>
      <c r="C1571" s="6" t="s">
        <v>2879</v>
      </c>
      <c r="D1571" s="14" t="s">
        <v>1963</v>
      </c>
      <c r="E1571" s="22" t="s">
        <v>239</v>
      </c>
      <c r="F1571" s="107">
        <v>150</v>
      </c>
      <c r="G1571" s="22" t="s">
        <v>2880</v>
      </c>
      <c r="H1571" s="108">
        <v>10</v>
      </c>
      <c r="I1571" s="109">
        <v>1</v>
      </c>
      <c r="J1571" s="8">
        <f>H1571*I1571</f>
        <v>10</v>
      </c>
      <c r="K1571" s="39">
        <v>6.53</v>
      </c>
      <c r="L1571" s="39">
        <f>K1571*J1571</f>
        <v>65.3</v>
      </c>
      <c r="M1571" s="117" t="s">
        <v>349</v>
      </c>
      <c r="N1571" s="33">
        <v>44602</v>
      </c>
      <c r="O1571" s="32">
        <v>3903</v>
      </c>
      <c r="P1571" s="391">
        <f>ROUNDUP(S1571/V1571/VLOOKUP(B1571,$C$2:$F$6,3,FALSE),2)</f>
        <v>5.9399999999999995</v>
      </c>
      <c r="Q1571" s="322">
        <v>5.94</v>
      </c>
      <c r="R1571" s="322">
        <f>Q1571*J1571</f>
        <v>59.400000000000006</v>
      </c>
      <c r="S1571" s="7">
        <v>470</v>
      </c>
      <c r="T1571" s="7">
        <f>S1571*J1571</f>
        <v>4700</v>
      </c>
      <c r="U1571" s="21"/>
      <c r="V1571" s="260">
        <v>90</v>
      </c>
    </row>
    <row r="1572" spans="1:22" s="7" customFormat="1" ht="18" customHeight="1">
      <c r="B1572" s="12" t="s">
        <v>302</v>
      </c>
      <c r="C1572" s="6" t="s">
        <v>2879</v>
      </c>
      <c r="D1572" s="14" t="s">
        <v>1963</v>
      </c>
      <c r="E1572" s="22" t="s">
        <v>239</v>
      </c>
      <c r="F1572" s="107">
        <v>150</v>
      </c>
      <c r="G1572" s="22" t="s">
        <v>2880</v>
      </c>
      <c r="H1572" s="108">
        <v>5</v>
      </c>
      <c r="I1572" s="109">
        <v>1</v>
      </c>
      <c r="J1572" s="8">
        <f>H1572*I1572</f>
        <v>5</v>
      </c>
      <c r="K1572" s="39">
        <v>6.53</v>
      </c>
      <c r="L1572" s="39">
        <f>K1572*J1572</f>
        <v>32.65</v>
      </c>
      <c r="M1572" s="117" t="s">
        <v>349</v>
      </c>
      <c r="N1572" s="33">
        <v>44602</v>
      </c>
      <c r="O1572" s="32">
        <v>3903</v>
      </c>
      <c r="P1572" s="391">
        <f>ROUNDUP(S1572/V1572/VLOOKUP(B1572,$C$2:$F$6,3,FALSE),2)</f>
        <v>5.9399999999999995</v>
      </c>
      <c r="Q1572" s="322">
        <v>5.94</v>
      </c>
      <c r="R1572" s="322">
        <f>Q1572*J1572</f>
        <v>29.700000000000003</v>
      </c>
      <c r="S1572" s="7">
        <v>470</v>
      </c>
      <c r="T1572" s="7">
        <f>S1572*J1572</f>
        <v>2350</v>
      </c>
      <c r="U1572" s="21"/>
      <c r="V1572" s="260">
        <v>90</v>
      </c>
    </row>
    <row r="1573" spans="1:22" s="7" customFormat="1" ht="15">
      <c r="B1573" s="12"/>
      <c r="C1573" s="6" t="s">
        <v>2879</v>
      </c>
      <c r="D1573" s="14" t="s">
        <v>1963</v>
      </c>
      <c r="E1573" s="49"/>
      <c r="F1573" s="102"/>
      <c r="G1573" s="22" t="s">
        <v>2625</v>
      </c>
      <c r="H1573" s="38"/>
      <c r="I1573" s="35"/>
      <c r="J1573" s="38">
        <v>2</v>
      </c>
      <c r="K1573" s="39">
        <v>15</v>
      </c>
      <c r="L1573" s="39">
        <f>K1573*J1573</f>
        <v>30</v>
      </c>
      <c r="M1573" s="91"/>
      <c r="N1573" s="33">
        <v>44602</v>
      </c>
      <c r="O1573" s="32">
        <v>3903</v>
      </c>
      <c r="P1573" s="391">
        <v>12</v>
      </c>
      <c r="Q1573" s="322">
        <f>P1573*J1573</f>
        <v>24</v>
      </c>
      <c r="R1573" s="322">
        <v>24</v>
      </c>
      <c r="S1573" s="7">
        <v>1000</v>
      </c>
      <c r="T1573" s="7">
        <f>S1573*J1573</f>
        <v>2000</v>
      </c>
      <c r="U1573" s="21"/>
      <c r="V1573" s="260">
        <v>90</v>
      </c>
    </row>
    <row r="1574" spans="1:22" s="7" customFormat="1" ht="15">
      <c r="B1574" s="12"/>
      <c r="C1574" s="6" t="s">
        <v>2879</v>
      </c>
      <c r="D1574" s="14" t="s">
        <v>1963</v>
      </c>
      <c r="E1574" s="49"/>
      <c r="F1574" s="102"/>
      <c r="G1574" s="22" t="s">
        <v>316</v>
      </c>
      <c r="H1574" s="38"/>
      <c r="I1574" s="35"/>
      <c r="J1574" s="38">
        <v>1</v>
      </c>
      <c r="K1574" s="39">
        <v>20</v>
      </c>
      <c r="L1574" s="39">
        <f>K1574*J1574</f>
        <v>20</v>
      </c>
      <c r="M1574" s="91"/>
      <c r="N1574" s="33">
        <v>44602</v>
      </c>
      <c r="O1574" s="32">
        <v>3903</v>
      </c>
      <c r="P1574" s="722"/>
      <c r="Q1574" s="322">
        <v>20</v>
      </c>
      <c r="R1574" s="322">
        <f>Q1574*J1574</f>
        <v>20</v>
      </c>
      <c r="S1574" s="7">
        <v>1000</v>
      </c>
      <c r="T1574" s="7">
        <f>S1574*J1574</f>
        <v>1000</v>
      </c>
      <c r="U1574" s="21"/>
      <c r="V1574" s="260">
        <v>90</v>
      </c>
    </row>
    <row r="1575" spans="1:22" s="191" customFormat="1" ht="15">
      <c r="B1575" s="190"/>
      <c r="C1575" s="179" t="s">
        <v>2879</v>
      </c>
      <c r="D1575" s="180" t="s">
        <v>1963</v>
      </c>
      <c r="E1575" s="181"/>
      <c r="F1575" s="182"/>
      <c r="G1575" s="182" t="s">
        <v>250</v>
      </c>
      <c r="H1575" s="184" t="s">
        <v>251</v>
      </c>
      <c r="I1575" s="185"/>
      <c r="J1575" s="183"/>
      <c r="K1575" s="192">
        <v>0</v>
      </c>
      <c r="L1575" s="188"/>
      <c r="M1575" s="187"/>
      <c r="N1575" s="187">
        <v>44602</v>
      </c>
      <c r="O1575" s="186">
        <v>3903</v>
      </c>
      <c r="P1575" s="179"/>
      <c r="Q1575" s="725">
        <v>0</v>
      </c>
      <c r="R1575" s="322">
        <f>Q1575*J1575</f>
        <v>0</v>
      </c>
      <c r="S1575" s="197">
        <v>0</v>
      </c>
      <c r="T1575" s="198">
        <v>0</v>
      </c>
      <c r="U1575" s="335"/>
      <c r="V1575" s="260">
        <v>90</v>
      </c>
    </row>
    <row r="1576" spans="1:22" s="7" customFormat="1" ht="18" customHeight="1">
      <c r="B1576" s="12"/>
      <c r="C1576" s="6" t="s">
        <v>2881</v>
      </c>
      <c r="D1576" s="14" t="s">
        <v>2378</v>
      </c>
      <c r="E1576" s="19" t="s">
        <v>2882</v>
      </c>
      <c r="F1576" s="107"/>
      <c r="G1576" s="22"/>
      <c r="H1576" s="108"/>
      <c r="I1576" s="109"/>
      <c r="J1576" s="108"/>
      <c r="K1576" s="29" t="s">
        <v>5</v>
      </c>
      <c r="L1576" s="139"/>
      <c r="M1576" s="33"/>
      <c r="N1576" s="33">
        <v>44602</v>
      </c>
      <c r="O1576" s="32">
        <v>3902</v>
      </c>
      <c r="P1576" s="14"/>
      <c r="Q1576" s="322"/>
      <c r="U1576" s="14"/>
      <c r="V1576" s="260">
        <v>90</v>
      </c>
    </row>
    <row r="1577" spans="1:22" s="7" customFormat="1" ht="18" customHeight="1">
      <c r="B1577" s="12" t="s">
        <v>300</v>
      </c>
      <c r="C1577" s="6" t="s">
        <v>2881</v>
      </c>
      <c r="D1577" s="14" t="s">
        <v>2378</v>
      </c>
      <c r="E1577" s="22" t="s">
        <v>2468</v>
      </c>
      <c r="F1577" s="107"/>
      <c r="G1577" s="22" t="s">
        <v>100</v>
      </c>
      <c r="H1577" s="108">
        <v>13.7</v>
      </c>
      <c r="I1577" s="109">
        <v>8</v>
      </c>
      <c r="J1577" s="131">
        <f>H1577*I1577</f>
        <v>109.6</v>
      </c>
      <c r="K1577" s="39">
        <v>1.75</v>
      </c>
      <c r="L1577" s="39">
        <f>K1577*J1577</f>
        <v>191.79999999999998</v>
      </c>
      <c r="M1577" s="117" t="s">
        <v>349</v>
      </c>
      <c r="N1577" s="33">
        <v>44602</v>
      </c>
      <c r="O1577" s="32">
        <v>3902</v>
      </c>
      <c r="P1577" s="391">
        <f>ROUNDUP(S1577/V1577/VLOOKUP(B1577,$C$2:$F$6,3,FALSE),2)</f>
        <v>1.02</v>
      </c>
      <c r="Q1577" s="611">
        <v>1.02</v>
      </c>
      <c r="R1577" s="322">
        <f>Q1577*J1577</f>
        <v>111.792</v>
      </c>
      <c r="S1577" s="7">
        <v>64</v>
      </c>
      <c r="T1577" s="7">
        <f>S1577*J1577</f>
        <v>7014.4</v>
      </c>
      <c r="U1577" s="21"/>
      <c r="V1577" s="260">
        <v>90</v>
      </c>
    </row>
    <row r="1578" spans="1:22" s="7" customFormat="1" ht="18" customHeight="1">
      <c r="B1578" s="12"/>
      <c r="C1578" s="6" t="s">
        <v>2881</v>
      </c>
      <c r="D1578" s="14" t="s">
        <v>2378</v>
      </c>
      <c r="E1578" s="22"/>
      <c r="F1578" s="102"/>
      <c r="G1578" s="22" t="s">
        <v>316</v>
      </c>
      <c r="H1578" s="8"/>
      <c r="I1578" s="35"/>
      <c r="J1578" s="38">
        <v>1</v>
      </c>
      <c r="K1578" s="39">
        <v>12</v>
      </c>
      <c r="L1578" s="39">
        <f>K1578*J1578</f>
        <v>12</v>
      </c>
      <c r="M1578" s="33"/>
      <c r="N1578" s="33">
        <v>44602</v>
      </c>
      <c r="O1578" s="32">
        <v>3902</v>
      </c>
      <c r="P1578" s="793"/>
      <c r="Q1578" s="322">
        <v>12</v>
      </c>
      <c r="R1578" s="322">
        <f>Q1578*J1578</f>
        <v>12</v>
      </c>
      <c r="S1578" s="7">
        <v>0</v>
      </c>
      <c r="T1578" s="7">
        <f>S1578*J1578</f>
        <v>0</v>
      </c>
      <c r="U1578" s="21"/>
      <c r="V1578" s="260">
        <v>90</v>
      </c>
    </row>
    <row r="1579" spans="1:22" s="191" customFormat="1" ht="15">
      <c r="A1579" s="7"/>
      <c r="B1579" s="12"/>
      <c r="C1579" s="179" t="s">
        <v>2881</v>
      </c>
      <c r="D1579" s="180" t="s">
        <v>2378</v>
      </c>
      <c r="E1579" s="217"/>
      <c r="F1579" s="182"/>
      <c r="G1579" s="182" t="s">
        <v>250</v>
      </c>
      <c r="H1579" s="184" t="s">
        <v>252</v>
      </c>
      <c r="I1579" s="185"/>
      <c r="J1579" s="183"/>
      <c r="K1579" s="333">
        <v>31</v>
      </c>
      <c r="L1579" s="188"/>
      <c r="M1579" s="187"/>
      <c r="N1579" s="187">
        <v>44602</v>
      </c>
      <c r="O1579" s="186">
        <v>3902</v>
      </c>
      <c r="P1579" s="179"/>
      <c r="Q1579" s="334">
        <v>31</v>
      </c>
      <c r="R1579" s="322">
        <v>31</v>
      </c>
      <c r="S1579" s="197">
        <v>2780</v>
      </c>
      <c r="T1579" s="197">
        <v>2780</v>
      </c>
      <c r="U1579" s="335"/>
      <c r="V1579" s="260">
        <v>90</v>
      </c>
    </row>
    <row r="1580" spans="1:22" customFormat="1" ht="18" customHeight="1">
      <c r="A1580" s="1"/>
      <c r="B1580" s="26"/>
      <c r="C1580" s="6" t="s">
        <v>2883</v>
      </c>
      <c r="D1580" s="14" t="s">
        <v>2667</v>
      </c>
      <c r="E1580" s="19" t="s">
        <v>227</v>
      </c>
      <c r="F1580" s="37"/>
      <c r="G1580" s="37"/>
      <c r="H1580" s="108"/>
      <c r="I1580" s="108"/>
      <c r="J1580" s="108"/>
      <c r="K1580" s="29" t="s">
        <v>101</v>
      </c>
      <c r="L1580" s="139"/>
      <c r="M1580" s="33"/>
      <c r="N1580" s="33">
        <v>44610</v>
      </c>
      <c r="O1580" s="32">
        <v>3915</v>
      </c>
      <c r="P1580" s="6"/>
      <c r="Q1580" s="339"/>
      <c r="R1580" s="1"/>
      <c r="S1580" s="7"/>
      <c r="T1580" s="7"/>
      <c r="U1580" s="21"/>
      <c r="V1580" s="260">
        <v>90</v>
      </c>
    </row>
    <row r="1581" spans="1:22" customFormat="1" ht="18" customHeight="1">
      <c r="A1581" s="1"/>
      <c r="B1581" s="26" t="s">
        <v>300</v>
      </c>
      <c r="C1581" s="6" t="s">
        <v>2883</v>
      </c>
      <c r="D1581" s="14" t="s">
        <v>2667</v>
      </c>
      <c r="E1581" s="22">
        <v>2250</v>
      </c>
      <c r="F1581" s="37">
        <v>18</v>
      </c>
      <c r="G1581" s="22" t="s">
        <v>2668</v>
      </c>
      <c r="H1581" s="108">
        <v>30</v>
      </c>
      <c r="I1581" s="109">
        <v>7</v>
      </c>
      <c r="J1581" s="8">
        <f>H1581*I1581</f>
        <v>210</v>
      </c>
      <c r="K1581" s="39">
        <v>0.46</v>
      </c>
      <c r="L1581" s="39">
        <f>K1581*J1581</f>
        <v>96.600000000000009</v>
      </c>
      <c r="M1581" s="117" t="s">
        <v>349</v>
      </c>
      <c r="N1581" s="33">
        <v>44610</v>
      </c>
      <c r="O1581" s="32">
        <v>3915</v>
      </c>
      <c r="P1581" s="391">
        <f>ROUNDUP(S1581/V1581/VLOOKUP(B1581,$C$2:$F$6,3,FALSE),2)</f>
        <v>0.39</v>
      </c>
      <c r="Q1581" s="322">
        <v>0.39</v>
      </c>
      <c r="R1581" s="322">
        <f>Q1581*J1581</f>
        <v>81.900000000000006</v>
      </c>
      <c r="S1581" s="7">
        <v>24.5</v>
      </c>
      <c r="T1581" s="7">
        <f>S1581*J1581</f>
        <v>5145</v>
      </c>
      <c r="U1581" s="39"/>
      <c r="V1581" s="260">
        <v>90</v>
      </c>
    </row>
    <row r="1582" spans="1:22" s="7" customFormat="1" ht="16.899999999999999" customHeight="1">
      <c r="B1582" s="12"/>
      <c r="C1582" s="6" t="s">
        <v>2883</v>
      </c>
      <c r="D1582" s="14" t="s">
        <v>2667</v>
      </c>
      <c r="E1582" s="49"/>
      <c r="F1582" s="340"/>
      <c r="G1582" s="22" t="s">
        <v>316</v>
      </c>
      <c r="H1582" s="8"/>
      <c r="I1582" s="109" ph="1"/>
      <c r="J1582" s="38">
        <v>1</v>
      </c>
      <c r="K1582" s="39">
        <v>12</v>
      </c>
      <c r="L1582" s="39">
        <f>K1582*J1582</f>
        <v>12</v>
      </c>
      <c r="M1582" s="91"/>
      <c r="N1582" s="33">
        <v>44610</v>
      </c>
      <c r="O1582" s="32">
        <v>3915</v>
      </c>
      <c r="P1582" s="6"/>
      <c r="Q1582" s="322">
        <v>12</v>
      </c>
      <c r="R1582" s="322">
        <f>Q1582*J1582</f>
        <v>12</v>
      </c>
      <c r="S1582" s="7">
        <v>800</v>
      </c>
      <c r="T1582" s="7">
        <f>S1582*J1582</f>
        <v>800</v>
      </c>
      <c r="U1582" s="21"/>
      <c r="V1582" s="260">
        <v>90</v>
      </c>
    </row>
    <row r="1583" spans="1:22" s="191" customFormat="1" ht="15">
      <c r="B1583" s="190"/>
      <c r="C1583" s="179" t="s">
        <v>2883</v>
      </c>
      <c r="D1583" s="180" t="s">
        <v>2667</v>
      </c>
      <c r="E1583" s="181"/>
      <c r="F1583" s="182"/>
      <c r="G1583" s="182" t="s">
        <v>250</v>
      </c>
      <c r="H1583" s="184" t="s">
        <v>252</v>
      </c>
      <c r="I1583" s="185"/>
      <c r="J1583" s="183"/>
      <c r="K1583" s="333">
        <v>35</v>
      </c>
      <c r="L1583" s="192"/>
      <c r="M1583" s="331"/>
      <c r="N1583" s="187">
        <v>44610</v>
      </c>
      <c r="O1583" s="186">
        <v>3915</v>
      </c>
      <c r="P1583" s="179"/>
      <c r="Q1583" s="747">
        <v>28</v>
      </c>
      <c r="R1583" s="322">
        <v>28</v>
      </c>
      <c r="S1583" s="212">
        <v>2344</v>
      </c>
      <c r="T1583" s="838">
        <v>2344</v>
      </c>
      <c r="U1583" s="335"/>
      <c r="V1583" s="260">
        <v>90</v>
      </c>
    </row>
    <row r="1584" spans="1:22" customFormat="1" ht="18" customHeight="1">
      <c r="A1584" s="1"/>
      <c r="B1584" s="26"/>
      <c r="C1584" s="6" t="s">
        <v>2884</v>
      </c>
      <c r="D1584" s="14" t="s">
        <v>2723</v>
      </c>
      <c r="E1584" s="19" t="s">
        <v>227</v>
      </c>
      <c r="F1584" s="37"/>
      <c r="G1584" s="37"/>
      <c r="H1584" s="108"/>
      <c r="I1584" s="108"/>
      <c r="J1584" s="108"/>
      <c r="K1584" s="29" t="s">
        <v>101</v>
      </c>
      <c r="L1584" s="139"/>
      <c r="M1584" s="33"/>
      <c r="N1584" s="33">
        <v>44614</v>
      </c>
      <c r="O1584" s="32">
        <v>3914</v>
      </c>
      <c r="P1584" s="6"/>
      <c r="Q1584" s="339"/>
      <c r="R1584" s="1"/>
      <c r="S1584" s="7"/>
      <c r="T1584" s="7"/>
      <c r="U1584" s="21"/>
      <c r="V1584" s="260">
        <v>90</v>
      </c>
    </row>
    <row r="1585" spans="1:22" customFormat="1" ht="18" customHeight="1">
      <c r="A1585" s="1"/>
      <c r="B1585" s="26" t="s">
        <v>300</v>
      </c>
      <c r="C1585" s="6" t="s">
        <v>2884</v>
      </c>
      <c r="D1585" s="14" t="s">
        <v>2723</v>
      </c>
      <c r="E1585" s="22">
        <v>2250</v>
      </c>
      <c r="F1585" s="37">
        <v>9</v>
      </c>
      <c r="G1585" s="22" t="s">
        <v>2133</v>
      </c>
      <c r="H1585" s="108">
        <v>30</v>
      </c>
      <c r="I1585" s="109">
        <v>7</v>
      </c>
      <c r="J1585" s="8">
        <f>H1585*I1585</f>
        <v>210</v>
      </c>
      <c r="K1585" s="39">
        <v>0.32</v>
      </c>
      <c r="L1585" s="39">
        <f>K1585*J1585</f>
        <v>67.2</v>
      </c>
      <c r="M1585" s="117" t="s">
        <v>349</v>
      </c>
      <c r="N1585" s="33">
        <v>44614</v>
      </c>
      <c r="O1585" s="32">
        <v>3914</v>
      </c>
      <c r="P1585" s="391">
        <f>ROUNDUP(S1585/V1585/VLOOKUP(B1585,$C$2:$F$6,3,FALSE),2)</f>
        <v>0.23</v>
      </c>
      <c r="Q1585" s="322">
        <v>0.23</v>
      </c>
      <c r="R1585" s="322">
        <f>Q1585*J1585</f>
        <v>48.300000000000004</v>
      </c>
      <c r="S1585" s="7">
        <v>14</v>
      </c>
      <c r="T1585" s="7">
        <f>S1585*J1585</f>
        <v>2940</v>
      </c>
      <c r="U1585" s="39"/>
      <c r="V1585" s="260">
        <v>90</v>
      </c>
    </row>
    <row r="1586" spans="1:22" s="7" customFormat="1" ht="15.75">
      <c r="B1586" s="12"/>
      <c r="C1586" s="6" t="s">
        <v>2884</v>
      </c>
      <c r="D1586" s="14" t="s">
        <v>2723</v>
      </c>
      <c r="E1586" s="22"/>
      <c r="F1586" s="102"/>
      <c r="G1586" s="22" t="s">
        <v>316</v>
      </c>
      <c r="H1586" s="8"/>
      <c r="I1586" s="35"/>
      <c r="J1586" s="38">
        <v>1</v>
      </c>
      <c r="K1586" s="39">
        <v>15</v>
      </c>
      <c r="L1586" s="39">
        <f>K1586*J1586</f>
        <v>15</v>
      </c>
      <c r="M1586" s="117"/>
      <c r="N1586" s="33">
        <v>44614</v>
      </c>
      <c r="O1586" s="32">
        <v>3914</v>
      </c>
      <c r="P1586" s="6"/>
      <c r="Q1586" s="322">
        <v>12</v>
      </c>
      <c r="R1586" s="322">
        <f>Q1586*J1586</f>
        <v>12</v>
      </c>
      <c r="S1586" s="7">
        <v>0</v>
      </c>
      <c r="T1586" s="7">
        <f>S1586*J1586</f>
        <v>0</v>
      </c>
      <c r="U1586" s="21"/>
      <c r="V1586" s="260">
        <v>90</v>
      </c>
    </row>
    <row r="1587" spans="1:22" s="191" customFormat="1" ht="15">
      <c r="B1587" s="190"/>
      <c r="C1587" s="179" t="s">
        <v>2884</v>
      </c>
      <c r="D1587" s="180" t="s">
        <v>2723</v>
      </c>
      <c r="E1587" s="181"/>
      <c r="F1587" s="182"/>
      <c r="G1587" s="182" t="s">
        <v>324</v>
      </c>
      <c r="H1587" s="184" t="s">
        <v>252</v>
      </c>
      <c r="I1587" s="185"/>
      <c r="J1587" s="183">
        <v>210</v>
      </c>
      <c r="K1587" s="333">
        <v>35</v>
      </c>
      <c r="L1587" s="192"/>
      <c r="M1587" s="331"/>
      <c r="N1587" s="187">
        <v>44614</v>
      </c>
      <c r="O1587" s="186">
        <v>3914</v>
      </c>
      <c r="P1587" s="179"/>
      <c r="Q1587" s="747">
        <v>28</v>
      </c>
      <c r="R1587" s="322">
        <v>28</v>
      </c>
      <c r="S1587" s="197">
        <v>2203</v>
      </c>
      <c r="T1587" s="92">
        <v>2203</v>
      </c>
      <c r="U1587" s="335"/>
      <c r="V1587" s="260">
        <v>90</v>
      </c>
    </row>
    <row r="1588" spans="1:22" s="7" customFormat="1" ht="18" customHeight="1">
      <c r="B1588" s="12"/>
      <c r="C1588" s="6" t="s">
        <v>2885</v>
      </c>
      <c r="D1588" s="14" t="s">
        <v>1975</v>
      </c>
      <c r="E1588" s="19" t="s">
        <v>354</v>
      </c>
      <c r="F1588" s="37"/>
      <c r="G1588" s="37"/>
      <c r="H1588" s="108"/>
      <c r="I1588" s="108"/>
      <c r="J1588" s="108"/>
      <c r="K1588" s="29" t="s">
        <v>4</v>
      </c>
      <c r="L1588" s="139"/>
      <c r="M1588" s="33"/>
      <c r="N1588" s="33">
        <v>44609</v>
      </c>
      <c r="O1588" s="32">
        <v>3924</v>
      </c>
      <c r="P1588" s="6"/>
      <c r="Q1588" s="339"/>
      <c r="U1588" s="21"/>
      <c r="V1588" s="260">
        <v>90</v>
      </c>
    </row>
    <row r="1589" spans="1:22" s="7" customFormat="1" ht="18" customHeight="1">
      <c r="B1589" s="12" t="s">
        <v>300</v>
      </c>
      <c r="C1589" s="6" t="s">
        <v>2885</v>
      </c>
      <c r="D1589" s="14" t="s">
        <v>1975</v>
      </c>
      <c r="E1589" s="22">
        <v>11700</v>
      </c>
      <c r="F1589" s="24">
        <v>24</v>
      </c>
      <c r="G1589" s="22" t="s">
        <v>2886</v>
      </c>
      <c r="H1589" s="108">
        <v>10</v>
      </c>
      <c r="I1589" s="109">
        <v>1</v>
      </c>
      <c r="J1589" s="8">
        <f>H1589*I1589</f>
        <v>10</v>
      </c>
      <c r="K1589" s="39">
        <v>23.6</v>
      </c>
      <c r="L1589" s="39">
        <f>K1589*I1589</f>
        <v>23.6</v>
      </c>
      <c r="M1589" s="117" t="s">
        <v>349</v>
      </c>
      <c r="N1589" s="33">
        <v>44609</v>
      </c>
      <c r="O1589" s="32">
        <v>3924</v>
      </c>
      <c r="P1589" s="391"/>
      <c r="Q1589" s="322"/>
      <c r="S1589" s="92">
        <v>1267</v>
      </c>
      <c r="T1589" s="7">
        <f>S1589*I1589</f>
        <v>1267</v>
      </c>
      <c r="U1589" s="120"/>
      <c r="V1589" s="260">
        <v>90</v>
      </c>
    </row>
    <row r="1590" spans="1:22" s="7" customFormat="1" ht="18" customHeight="1">
      <c r="B1590" s="12" t="s">
        <v>300</v>
      </c>
      <c r="C1590" s="6" t="s">
        <v>2885</v>
      </c>
      <c r="D1590" s="14" t="s">
        <v>1975</v>
      </c>
      <c r="E1590" s="22">
        <v>11700</v>
      </c>
      <c r="F1590" s="24">
        <v>36</v>
      </c>
      <c r="G1590" s="22" t="s">
        <v>2886</v>
      </c>
      <c r="H1590" s="108">
        <v>10</v>
      </c>
      <c r="I1590" s="109">
        <v>1</v>
      </c>
      <c r="J1590" s="8">
        <f>H1590*I1590</f>
        <v>10</v>
      </c>
      <c r="K1590" s="39">
        <v>39.200000000000003</v>
      </c>
      <c r="L1590" s="39">
        <f>K1590*I1590</f>
        <v>39.200000000000003</v>
      </c>
      <c r="M1590" s="117" t="s">
        <v>349</v>
      </c>
      <c r="N1590" s="33">
        <v>44609</v>
      </c>
      <c r="O1590" s="32">
        <v>3924</v>
      </c>
      <c r="P1590" s="391"/>
      <c r="Q1590" s="322"/>
      <c r="S1590" s="92">
        <v>2108</v>
      </c>
      <c r="T1590" s="7">
        <f>S1590*I1590</f>
        <v>2108</v>
      </c>
      <c r="U1590" s="120"/>
      <c r="V1590" s="260">
        <v>90</v>
      </c>
    </row>
    <row r="1591" spans="1:22" s="7" customFormat="1" ht="18" customHeight="1">
      <c r="B1591" s="12"/>
      <c r="C1591" s="6" t="s">
        <v>2885</v>
      </c>
      <c r="D1591" s="14" t="s">
        <v>1975</v>
      </c>
      <c r="E1591" s="17" t="s">
        <v>1976</v>
      </c>
      <c r="F1591" s="37"/>
      <c r="G1591" s="37"/>
      <c r="H1591" s="108"/>
      <c r="I1591" s="108"/>
      <c r="J1591" s="108"/>
      <c r="K1591" s="29" t="s">
        <v>4</v>
      </c>
      <c r="L1591" s="139"/>
      <c r="M1591" s="33"/>
      <c r="N1591" s="33">
        <v>44609</v>
      </c>
      <c r="O1591" s="32">
        <v>3924</v>
      </c>
      <c r="P1591" s="6"/>
      <c r="Q1591" s="339"/>
      <c r="U1591" s="21"/>
      <c r="V1591" s="260">
        <v>90</v>
      </c>
    </row>
    <row r="1592" spans="1:22" s="7" customFormat="1" ht="18" customHeight="1">
      <c r="B1592" s="12" t="s">
        <v>300</v>
      </c>
      <c r="C1592" s="6" t="s">
        <v>2885</v>
      </c>
      <c r="D1592" s="14" t="s">
        <v>1975</v>
      </c>
      <c r="E1592" s="22">
        <v>12701</v>
      </c>
      <c r="F1592" s="24">
        <v>9</v>
      </c>
      <c r="G1592" s="22" t="s">
        <v>1979</v>
      </c>
      <c r="H1592" s="108">
        <v>10</v>
      </c>
      <c r="I1592" s="109">
        <v>1</v>
      </c>
      <c r="J1592" s="8">
        <f t="shared" ref="J1592:J1597" si="80">H1592*I1592</f>
        <v>10</v>
      </c>
      <c r="K1592" s="39">
        <v>7.9</v>
      </c>
      <c r="L1592" s="39">
        <f t="shared" ref="L1592:L1597" si="81">K1592*I1592</f>
        <v>7.9</v>
      </c>
      <c r="M1592" s="117" t="s">
        <v>349</v>
      </c>
      <c r="N1592" s="33">
        <v>44609</v>
      </c>
      <c r="O1592" s="32">
        <v>3924</v>
      </c>
      <c r="P1592" s="391"/>
      <c r="Q1592" s="322"/>
      <c r="S1592" s="92">
        <v>378</v>
      </c>
      <c r="T1592" s="7">
        <f t="shared" ref="T1592:T1597" si="82">S1592*I1592</f>
        <v>378</v>
      </c>
      <c r="U1592" s="120"/>
      <c r="V1592" s="260">
        <v>90</v>
      </c>
    </row>
    <row r="1593" spans="1:22" s="7" customFormat="1" ht="18" customHeight="1">
      <c r="B1593" s="12" t="s">
        <v>300</v>
      </c>
      <c r="C1593" s="6" t="s">
        <v>2885</v>
      </c>
      <c r="D1593" s="14" t="s">
        <v>1975</v>
      </c>
      <c r="E1593" s="22">
        <v>12701</v>
      </c>
      <c r="F1593" s="24">
        <v>9</v>
      </c>
      <c r="G1593" s="22" t="s">
        <v>1978</v>
      </c>
      <c r="H1593" s="108">
        <v>10</v>
      </c>
      <c r="I1593" s="109">
        <v>1</v>
      </c>
      <c r="J1593" s="8">
        <f t="shared" si="80"/>
        <v>10</v>
      </c>
      <c r="K1593" s="39">
        <v>7.9</v>
      </c>
      <c r="L1593" s="39">
        <f t="shared" si="81"/>
        <v>7.9</v>
      </c>
      <c r="M1593" s="117" t="s">
        <v>349</v>
      </c>
      <c r="N1593" s="33">
        <v>44609</v>
      </c>
      <c r="O1593" s="32">
        <v>3924</v>
      </c>
      <c r="P1593" s="391"/>
      <c r="Q1593" s="322"/>
      <c r="S1593" s="92">
        <v>378</v>
      </c>
      <c r="T1593" s="7">
        <f t="shared" si="82"/>
        <v>378</v>
      </c>
      <c r="U1593" s="120"/>
      <c r="V1593" s="260">
        <v>90</v>
      </c>
    </row>
    <row r="1594" spans="1:22" s="7" customFormat="1" ht="18" customHeight="1">
      <c r="B1594" s="12" t="s">
        <v>300</v>
      </c>
      <c r="C1594" s="6" t="s">
        <v>2885</v>
      </c>
      <c r="D1594" s="14" t="s">
        <v>1975</v>
      </c>
      <c r="E1594" s="22">
        <v>12701</v>
      </c>
      <c r="F1594" s="24">
        <v>9</v>
      </c>
      <c r="G1594" s="22" t="s">
        <v>92</v>
      </c>
      <c r="H1594" s="108">
        <v>10</v>
      </c>
      <c r="I1594" s="109">
        <v>1</v>
      </c>
      <c r="J1594" s="8">
        <f t="shared" si="80"/>
        <v>10</v>
      </c>
      <c r="K1594" s="39">
        <v>7.9</v>
      </c>
      <c r="L1594" s="39">
        <f t="shared" si="81"/>
        <v>7.9</v>
      </c>
      <c r="M1594" s="117" t="s">
        <v>349</v>
      </c>
      <c r="N1594" s="33">
        <v>44609</v>
      </c>
      <c r="O1594" s="32">
        <v>3924</v>
      </c>
      <c r="P1594" s="391"/>
      <c r="Q1594" s="322"/>
      <c r="S1594" s="92">
        <v>378</v>
      </c>
      <c r="T1594" s="7">
        <f t="shared" si="82"/>
        <v>378</v>
      </c>
      <c r="U1594" s="120"/>
      <c r="V1594" s="260">
        <v>90</v>
      </c>
    </row>
    <row r="1595" spans="1:22" s="7" customFormat="1" ht="18" customHeight="1">
      <c r="B1595" s="12" t="s">
        <v>300</v>
      </c>
      <c r="C1595" s="6" t="s">
        <v>2885</v>
      </c>
      <c r="D1595" s="14" t="s">
        <v>1975</v>
      </c>
      <c r="E1595" s="22">
        <v>12701</v>
      </c>
      <c r="F1595" s="24">
        <v>12</v>
      </c>
      <c r="G1595" s="22" t="s">
        <v>1978</v>
      </c>
      <c r="H1595" s="108">
        <v>10</v>
      </c>
      <c r="I1595" s="109">
        <v>1</v>
      </c>
      <c r="J1595" s="8">
        <f t="shared" si="80"/>
        <v>10</v>
      </c>
      <c r="K1595" s="39">
        <v>8.8000000000000007</v>
      </c>
      <c r="L1595" s="39">
        <f t="shared" si="81"/>
        <v>8.8000000000000007</v>
      </c>
      <c r="M1595" s="117" t="s">
        <v>349</v>
      </c>
      <c r="N1595" s="33">
        <v>44609</v>
      </c>
      <c r="O1595" s="32">
        <v>3924</v>
      </c>
      <c r="P1595" s="391"/>
      <c r="Q1595" s="322"/>
      <c r="S1595" s="92">
        <v>426</v>
      </c>
      <c r="T1595" s="7">
        <f t="shared" si="82"/>
        <v>426</v>
      </c>
      <c r="U1595" s="120"/>
      <c r="V1595" s="260">
        <v>90</v>
      </c>
    </row>
    <row r="1596" spans="1:22" s="7" customFormat="1" ht="18" customHeight="1">
      <c r="B1596" s="12" t="s">
        <v>300</v>
      </c>
      <c r="C1596" s="6" t="s">
        <v>2885</v>
      </c>
      <c r="D1596" s="14" t="s">
        <v>1975</v>
      </c>
      <c r="E1596" s="22">
        <v>12701</v>
      </c>
      <c r="F1596" s="24">
        <v>18</v>
      </c>
      <c r="G1596" s="22" t="s">
        <v>219</v>
      </c>
      <c r="H1596" s="108">
        <v>10</v>
      </c>
      <c r="I1596" s="109">
        <v>1</v>
      </c>
      <c r="J1596" s="8">
        <f t="shared" si="80"/>
        <v>10</v>
      </c>
      <c r="K1596" s="39">
        <v>11.4</v>
      </c>
      <c r="L1596" s="39">
        <f t="shared" si="81"/>
        <v>11.4</v>
      </c>
      <c r="M1596" s="117" t="s">
        <v>349</v>
      </c>
      <c r="N1596" s="33">
        <v>44609</v>
      </c>
      <c r="O1596" s="32">
        <v>3924</v>
      </c>
      <c r="P1596" s="391"/>
      <c r="Q1596" s="322"/>
      <c r="S1596" s="92">
        <v>550</v>
      </c>
      <c r="T1596" s="7">
        <f t="shared" si="82"/>
        <v>550</v>
      </c>
      <c r="U1596" s="120"/>
      <c r="V1596" s="260">
        <v>90</v>
      </c>
    </row>
    <row r="1597" spans="1:22" s="7" customFormat="1" ht="18" customHeight="1">
      <c r="B1597" s="12" t="s">
        <v>300</v>
      </c>
      <c r="C1597" s="6" t="s">
        <v>2885</v>
      </c>
      <c r="D1597" s="14" t="s">
        <v>1975</v>
      </c>
      <c r="E1597" s="22">
        <v>12701</v>
      </c>
      <c r="F1597" s="24">
        <v>18</v>
      </c>
      <c r="G1597" s="22" t="s">
        <v>177</v>
      </c>
      <c r="H1597" s="108">
        <v>10</v>
      </c>
      <c r="I1597" s="109">
        <v>1</v>
      </c>
      <c r="J1597" s="8">
        <f t="shared" si="80"/>
        <v>10</v>
      </c>
      <c r="K1597" s="39">
        <v>11.4</v>
      </c>
      <c r="L1597" s="39">
        <f t="shared" si="81"/>
        <v>11.4</v>
      </c>
      <c r="M1597" s="117" t="s">
        <v>349</v>
      </c>
      <c r="N1597" s="33">
        <v>44609</v>
      </c>
      <c r="O1597" s="32">
        <v>3924</v>
      </c>
      <c r="P1597" s="391"/>
      <c r="Q1597" s="322"/>
      <c r="S1597" s="92">
        <v>550</v>
      </c>
      <c r="T1597" s="7">
        <f t="shared" si="82"/>
        <v>550</v>
      </c>
      <c r="U1597" s="120"/>
      <c r="V1597" s="260">
        <v>90</v>
      </c>
    </row>
    <row r="1598" spans="1:22" s="7" customFormat="1" ht="15.75">
      <c r="B1598" s="12"/>
      <c r="C1598" s="6" t="s">
        <v>2885</v>
      </c>
      <c r="D1598" s="14" t="s">
        <v>1975</v>
      </c>
      <c r="E1598" s="22"/>
      <c r="F1598" s="102"/>
      <c r="G1598" s="22" t="s">
        <v>316</v>
      </c>
      <c r="H1598" s="8"/>
      <c r="I1598" s="35"/>
      <c r="J1598" s="38">
        <v>1</v>
      </c>
      <c r="K1598" s="39">
        <v>12</v>
      </c>
      <c r="L1598" s="39">
        <f>K1598*J1598</f>
        <v>12</v>
      </c>
      <c r="M1598" s="117"/>
      <c r="N1598" s="33">
        <v>44609</v>
      </c>
      <c r="O1598" s="32">
        <v>3924</v>
      </c>
      <c r="P1598" s="6"/>
      <c r="Q1598" s="322"/>
      <c r="S1598" s="7">
        <v>0</v>
      </c>
      <c r="T1598" s="7">
        <f>S1598*J1598</f>
        <v>0</v>
      </c>
      <c r="U1598" s="21"/>
      <c r="V1598" s="260">
        <v>90</v>
      </c>
    </row>
    <row r="1599" spans="1:22" s="191" customFormat="1" ht="15">
      <c r="B1599" s="190"/>
      <c r="C1599" s="179" t="s">
        <v>2885</v>
      </c>
      <c r="D1599" s="180" t="s">
        <v>1975</v>
      </c>
      <c r="E1599" s="181"/>
      <c r="F1599" s="182"/>
      <c r="G1599" s="182" t="s">
        <v>250</v>
      </c>
      <c r="H1599" s="184" t="s">
        <v>252</v>
      </c>
      <c r="I1599" s="185"/>
      <c r="J1599" s="183"/>
      <c r="K1599" s="333">
        <v>32</v>
      </c>
      <c r="L1599" s="192"/>
      <c r="M1599" s="331"/>
      <c r="N1599" s="187">
        <v>44609</v>
      </c>
      <c r="O1599" s="186">
        <v>3924</v>
      </c>
      <c r="P1599" s="179"/>
      <c r="Q1599" s="322"/>
      <c r="S1599" s="197">
        <v>2798</v>
      </c>
      <c r="T1599" s="92">
        <v>2798</v>
      </c>
      <c r="U1599" s="335"/>
      <c r="V1599" s="260">
        <v>90</v>
      </c>
    </row>
    <row r="1600" spans="1:22" s="7" customFormat="1" ht="18" customHeight="1">
      <c r="B1600" s="12"/>
      <c r="C1600" s="6" t="s">
        <v>2887</v>
      </c>
      <c r="D1600" s="14" t="s">
        <v>2416</v>
      </c>
      <c r="E1600" s="19" t="s">
        <v>2888</v>
      </c>
      <c r="F1600" s="107"/>
      <c r="G1600" s="22"/>
      <c r="H1600" s="108"/>
      <c r="I1600" s="109"/>
      <c r="J1600" s="108"/>
      <c r="K1600" s="29" t="s">
        <v>5</v>
      </c>
      <c r="L1600" s="139"/>
      <c r="M1600" s="33"/>
      <c r="N1600" s="33">
        <v>44642</v>
      </c>
      <c r="O1600" s="32">
        <v>3926</v>
      </c>
      <c r="P1600" s="14"/>
      <c r="Q1600" s="322"/>
      <c r="U1600" s="14"/>
      <c r="V1600" s="260">
        <v>90</v>
      </c>
    </row>
    <row r="1601" spans="1:22" s="7" customFormat="1" ht="18" customHeight="1">
      <c r="B1601" s="12" t="s">
        <v>300</v>
      </c>
      <c r="C1601" s="6" t="s">
        <v>2887</v>
      </c>
      <c r="D1601" s="14" t="s">
        <v>2416</v>
      </c>
      <c r="E1601" s="22" t="s">
        <v>2683</v>
      </c>
      <c r="F1601" s="24">
        <v>40</v>
      </c>
      <c r="G1601" s="22" t="s">
        <v>128</v>
      </c>
      <c r="H1601" s="108">
        <v>30</v>
      </c>
      <c r="I1601" s="109">
        <v>8</v>
      </c>
      <c r="J1601" s="8">
        <f>H1601*I1601</f>
        <v>240</v>
      </c>
      <c r="K1601" s="39">
        <v>2.13</v>
      </c>
      <c r="L1601" s="39">
        <f>K1601*J1601</f>
        <v>511.2</v>
      </c>
      <c r="M1601" s="117" t="s">
        <v>2889</v>
      </c>
      <c r="N1601" s="33">
        <v>44642</v>
      </c>
      <c r="O1601" s="32">
        <v>3926</v>
      </c>
      <c r="P1601" s="391">
        <f>ROUNDUP(S1601/V1601/VLOOKUP(B1601,$C$2:$F$6,3,FALSE),2)</f>
        <v>1.83</v>
      </c>
      <c r="Q1601" s="611">
        <v>1.83</v>
      </c>
      <c r="R1601" s="322">
        <f t="shared" ref="R1601:R1607" si="83">Q1601*J1601</f>
        <v>439.20000000000005</v>
      </c>
      <c r="S1601" s="7">
        <v>115</v>
      </c>
      <c r="T1601" s="7">
        <f>S1601*J1601</f>
        <v>27600</v>
      </c>
      <c r="U1601" s="21"/>
      <c r="V1601" s="260">
        <v>90</v>
      </c>
    </row>
    <row r="1602" spans="1:22" s="7" customFormat="1" ht="18" customHeight="1">
      <c r="B1602" s="12" t="s">
        <v>300</v>
      </c>
      <c r="C1602" s="6" t="s">
        <v>2887</v>
      </c>
      <c r="D1602" s="14" t="s">
        <v>2416</v>
      </c>
      <c r="E1602" s="22" t="s">
        <v>2683</v>
      </c>
      <c r="F1602" s="24">
        <v>40</v>
      </c>
      <c r="G1602" s="22" t="s">
        <v>2890</v>
      </c>
      <c r="H1602" s="108">
        <v>30</v>
      </c>
      <c r="I1602" s="109">
        <v>5</v>
      </c>
      <c r="J1602" s="8">
        <f>H1602*I1602</f>
        <v>150</v>
      </c>
      <c r="K1602" s="39">
        <v>2.13</v>
      </c>
      <c r="L1602" s="39">
        <f>K1602*J1602</f>
        <v>319.5</v>
      </c>
      <c r="M1602" s="117" t="s">
        <v>2889</v>
      </c>
      <c r="N1602" s="33">
        <v>44642</v>
      </c>
      <c r="O1602" s="32">
        <v>3926</v>
      </c>
      <c r="P1602" s="391">
        <f>ROUNDUP(S1602/V1602/VLOOKUP(B1602,$C$2:$F$6,3,FALSE),2)</f>
        <v>1.77</v>
      </c>
      <c r="Q1602" s="611">
        <v>1.77</v>
      </c>
      <c r="R1602" s="322">
        <f t="shared" si="83"/>
        <v>265.5</v>
      </c>
      <c r="S1602" s="7">
        <v>111</v>
      </c>
      <c r="T1602" s="7">
        <f>S1602*J1602</f>
        <v>16650</v>
      </c>
      <c r="U1602" s="21"/>
      <c r="V1602" s="260">
        <v>90</v>
      </c>
    </row>
    <row r="1603" spans="1:22" s="7" customFormat="1" ht="18" customHeight="1">
      <c r="B1603" s="12"/>
      <c r="C1603" s="6" t="s">
        <v>2891</v>
      </c>
      <c r="D1603" s="14" t="s">
        <v>2416</v>
      </c>
      <c r="E1603" s="19" t="s">
        <v>2888</v>
      </c>
      <c r="F1603" s="107"/>
      <c r="G1603" s="22"/>
      <c r="H1603" s="108"/>
      <c r="I1603" s="109"/>
      <c r="J1603" s="108"/>
      <c r="K1603" s="29" t="s">
        <v>5</v>
      </c>
      <c r="L1603" s="139"/>
      <c r="M1603" s="33"/>
      <c r="N1603" s="33">
        <v>44642</v>
      </c>
      <c r="O1603" s="32">
        <v>3926</v>
      </c>
      <c r="P1603" s="14"/>
      <c r="Q1603" s="322"/>
      <c r="R1603" s="322">
        <f t="shared" si="83"/>
        <v>0</v>
      </c>
      <c r="U1603" s="14"/>
      <c r="V1603" s="260">
        <v>90</v>
      </c>
    </row>
    <row r="1604" spans="1:22" s="7" customFormat="1" ht="18" customHeight="1">
      <c r="B1604" s="12" t="s">
        <v>300</v>
      </c>
      <c r="C1604" s="6" t="s">
        <v>2891</v>
      </c>
      <c r="D1604" s="14" t="s">
        <v>2416</v>
      </c>
      <c r="E1604" s="22" t="s">
        <v>2683</v>
      </c>
      <c r="F1604" s="24">
        <v>40</v>
      </c>
      <c r="G1604" s="22" t="s">
        <v>128</v>
      </c>
      <c r="H1604" s="108">
        <v>30</v>
      </c>
      <c r="I1604" s="109">
        <v>5</v>
      </c>
      <c r="J1604" s="8">
        <f>H1604*I1604</f>
        <v>150</v>
      </c>
      <c r="K1604" s="39">
        <v>2.13</v>
      </c>
      <c r="L1604" s="39">
        <f>K1604*J1604</f>
        <v>319.5</v>
      </c>
      <c r="M1604" s="117" t="s">
        <v>2889</v>
      </c>
      <c r="N1604" s="33">
        <v>44642</v>
      </c>
      <c r="O1604" s="32">
        <v>3926</v>
      </c>
      <c r="P1604" s="391">
        <f>ROUNDUP(S1604/V1604/VLOOKUP(B1604,$C$2:$F$6,3,FALSE),2)</f>
        <v>1.83</v>
      </c>
      <c r="Q1604" s="611">
        <v>1.83</v>
      </c>
      <c r="R1604" s="322">
        <f t="shared" si="83"/>
        <v>274.5</v>
      </c>
      <c r="S1604" s="7">
        <v>115</v>
      </c>
      <c r="T1604" s="7">
        <f>S1604*J1604</f>
        <v>17250</v>
      </c>
      <c r="U1604" s="21"/>
      <c r="V1604" s="260">
        <v>90</v>
      </c>
    </row>
    <row r="1605" spans="1:22" s="7" customFormat="1" ht="18" customHeight="1">
      <c r="B1605" s="12" t="s">
        <v>300</v>
      </c>
      <c r="C1605" s="6" t="s">
        <v>2891</v>
      </c>
      <c r="D1605" s="14" t="s">
        <v>2416</v>
      </c>
      <c r="E1605" s="22" t="s">
        <v>2683</v>
      </c>
      <c r="F1605" s="24">
        <v>40</v>
      </c>
      <c r="G1605" s="22" t="s">
        <v>2890</v>
      </c>
      <c r="H1605" s="108">
        <v>30</v>
      </c>
      <c r="I1605" s="109">
        <v>5</v>
      </c>
      <c r="J1605" s="8">
        <f>H1605*I1605</f>
        <v>150</v>
      </c>
      <c r="K1605" s="39">
        <v>2.13</v>
      </c>
      <c r="L1605" s="39">
        <f>K1605*J1605</f>
        <v>319.5</v>
      </c>
      <c r="M1605" s="117" t="s">
        <v>2889</v>
      </c>
      <c r="N1605" s="33">
        <v>44642</v>
      </c>
      <c r="O1605" s="32">
        <v>3926</v>
      </c>
      <c r="P1605" s="391">
        <f>ROUNDUP(S1605/V1605/VLOOKUP(B1605,$C$2:$F$6,3,FALSE),2)</f>
        <v>1.77</v>
      </c>
      <c r="Q1605" s="611">
        <v>1.77</v>
      </c>
      <c r="R1605" s="322">
        <f t="shared" si="83"/>
        <v>265.5</v>
      </c>
      <c r="S1605" s="7">
        <v>111</v>
      </c>
      <c r="T1605" s="7">
        <f>S1605*J1605</f>
        <v>16650</v>
      </c>
      <c r="U1605" s="21"/>
      <c r="V1605" s="260">
        <v>90</v>
      </c>
    </row>
    <row r="1606" spans="1:22" s="7" customFormat="1" ht="18" customHeight="1">
      <c r="B1606" s="12"/>
      <c r="C1606" s="6" t="s">
        <v>2891</v>
      </c>
      <c r="D1606" s="14" t="s">
        <v>2416</v>
      </c>
      <c r="E1606" s="22"/>
      <c r="F1606" s="24"/>
      <c r="G1606" s="22" t="s">
        <v>316</v>
      </c>
      <c r="H1606" s="8"/>
      <c r="I1606" s="35"/>
      <c r="J1606" s="38">
        <v>1</v>
      </c>
      <c r="K1606" s="39">
        <v>12</v>
      </c>
      <c r="L1606" s="39">
        <f>K1606*J1606</f>
        <v>12</v>
      </c>
      <c r="M1606" s="33"/>
      <c r="N1606" s="33">
        <v>44642</v>
      </c>
      <c r="O1606" s="32">
        <v>3926</v>
      </c>
      <c r="P1606" s="793"/>
      <c r="Q1606" s="322">
        <v>12</v>
      </c>
      <c r="R1606" s="322">
        <f t="shared" si="83"/>
        <v>12</v>
      </c>
      <c r="S1606" s="7">
        <v>0</v>
      </c>
      <c r="T1606" s="7">
        <f>S1606*J1606</f>
        <v>0</v>
      </c>
      <c r="U1606" s="21"/>
      <c r="V1606" s="260">
        <v>90</v>
      </c>
    </row>
    <row r="1607" spans="1:22" s="191" customFormat="1" ht="15">
      <c r="A1607" s="7"/>
      <c r="B1607" s="12"/>
      <c r="C1607" s="179" t="s">
        <v>2891</v>
      </c>
      <c r="D1607" s="180" t="s">
        <v>2416</v>
      </c>
      <c r="E1607" s="217"/>
      <c r="F1607" s="182"/>
      <c r="G1607" s="182" t="s">
        <v>250</v>
      </c>
      <c r="H1607" s="184" t="s">
        <v>251</v>
      </c>
      <c r="I1607" s="185"/>
      <c r="J1607" s="183"/>
      <c r="K1607" s="192">
        <v>0</v>
      </c>
      <c r="L1607" s="188"/>
      <c r="M1607" s="187"/>
      <c r="N1607" s="187">
        <v>44642</v>
      </c>
      <c r="O1607" s="186">
        <v>3926</v>
      </c>
      <c r="P1607" s="179"/>
      <c r="Q1607" s="725">
        <v>0</v>
      </c>
      <c r="R1607" s="322">
        <f t="shared" si="83"/>
        <v>0</v>
      </c>
      <c r="S1607" s="197">
        <v>0</v>
      </c>
      <c r="T1607" s="198">
        <v>0</v>
      </c>
      <c r="U1607" s="335"/>
      <c r="V1607" s="260">
        <v>90</v>
      </c>
    </row>
    <row r="1608" spans="1:22" s="7" customFormat="1" ht="18" customHeight="1">
      <c r="B1608" s="12"/>
      <c r="C1608" s="6" t="s">
        <v>2892</v>
      </c>
      <c r="D1608" s="14" t="s">
        <v>2162</v>
      </c>
      <c r="E1608" s="19" t="s">
        <v>2163</v>
      </c>
      <c r="F1608" s="37"/>
      <c r="G1608" s="37"/>
      <c r="H1608" s="108"/>
      <c r="I1608" s="108"/>
      <c r="J1608" s="108"/>
      <c r="K1608" s="110" t="s">
        <v>5</v>
      </c>
      <c r="L1608" s="139"/>
      <c r="M1608" s="33"/>
      <c r="N1608" s="33">
        <v>44631</v>
      </c>
      <c r="O1608" s="32">
        <v>3965</v>
      </c>
      <c r="P1608" s="6"/>
      <c r="Q1608" s="339"/>
      <c r="U1608" s="21"/>
      <c r="V1608" s="260">
        <v>90</v>
      </c>
    </row>
    <row r="1609" spans="1:22" s="7" customFormat="1" ht="18" customHeight="1">
      <c r="B1609" s="12" t="s">
        <v>300</v>
      </c>
      <c r="C1609" s="6" t="s">
        <v>2892</v>
      </c>
      <c r="D1609" s="14" t="s">
        <v>2162</v>
      </c>
      <c r="E1609" s="22">
        <v>5603</v>
      </c>
      <c r="F1609" s="37"/>
      <c r="G1609" s="396" t="s">
        <v>2820</v>
      </c>
      <c r="H1609" s="108">
        <v>50</v>
      </c>
      <c r="I1609" s="109">
        <v>7</v>
      </c>
      <c r="J1609" s="8">
        <f>I1609*H1609</f>
        <v>350</v>
      </c>
      <c r="K1609" s="39">
        <v>0.31</v>
      </c>
      <c r="L1609" s="39">
        <f t="shared" ref="L1609:L1614" si="84">K1609*J1609</f>
        <v>108.5</v>
      </c>
      <c r="M1609" s="117" t="s">
        <v>349</v>
      </c>
      <c r="N1609" s="33">
        <v>44631</v>
      </c>
      <c r="O1609" s="32">
        <v>3965</v>
      </c>
      <c r="P1609" s="391">
        <f>ROUNDUP(S1609/V1609/VLOOKUP(B1609,$C$2:$F$6,3,FALSE),2)</f>
        <v>0.27</v>
      </c>
      <c r="Q1609" s="322">
        <v>0.27</v>
      </c>
      <c r="R1609" s="322">
        <f t="shared" ref="R1609:R1615" si="85">Q1609*J1609</f>
        <v>94.5</v>
      </c>
      <c r="S1609" s="7">
        <v>16.7</v>
      </c>
      <c r="T1609" s="7">
        <f t="shared" ref="T1609:T1615" si="86">S1609*J1609</f>
        <v>5845</v>
      </c>
      <c r="U1609" s="21"/>
      <c r="V1609" s="260">
        <v>90</v>
      </c>
    </row>
    <row r="1610" spans="1:22" s="7" customFormat="1" ht="18" customHeight="1">
      <c r="B1610" s="12" t="s">
        <v>300</v>
      </c>
      <c r="C1610" s="6" t="s">
        <v>2892</v>
      </c>
      <c r="D1610" s="14" t="s">
        <v>2162</v>
      </c>
      <c r="E1610" s="22">
        <v>5603</v>
      </c>
      <c r="F1610" s="37"/>
      <c r="G1610" s="396" t="s">
        <v>2893</v>
      </c>
      <c r="H1610" s="108">
        <v>50</v>
      </c>
      <c r="I1610" s="109">
        <v>1</v>
      </c>
      <c r="J1610" s="8">
        <f>I1610*H1610</f>
        <v>50</v>
      </c>
      <c r="K1610" s="39">
        <v>0.31</v>
      </c>
      <c r="L1610" s="39">
        <f t="shared" si="84"/>
        <v>15.5</v>
      </c>
      <c r="M1610" s="117" t="s">
        <v>349</v>
      </c>
      <c r="N1610" s="33">
        <v>44631</v>
      </c>
      <c r="O1610" s="32">
        <v>3965</v>
      </c>
      <c r="P1610" s="391">
        <f>ROUNDUP(S1610/V1610/VLOOKUP(B1610,$C$2:$F$6,3,FALSE),2)</f>
        <v>0.27</v>
      </c>
      <c r="Q1610" s="322">
        <v>0.27</v>
      </c>
      <c r="R1610" s="322">
        <f t="shared" si="85"/>
        <v>13.5</v>
      </c>
      <c r="S1610" s="7">
        <v>16.7</v>
      </c>
      <c r="T1610" s="7">
        <f t="shared" si="86"/>
        <v>835</v>
      </c>
      <c r="U1610" s="21"/>
      <c r="V1610" s="260">
        <v>90</v>
      </c>
    </row>
    <row r="1611" spans="1:22" s="7" customFormat="1" ht="18" customHeight="1">
      <c r="B1611" s="12" t="s">
        <v>300</v>
      </c>
      <c r="C1611" s="6" t="s">
        <v>2892</v>
      </c>
      <c r="D1611" s="14" t="s">
        <v>2162</v>
      </c>
      <c r="E1611" s="22">
        <v>5603</v>
      </c>
      <c r="F1611" s="37"/>
      <c r="G1611" s="396" t="s">
        <v>2710</v>
      </c>
      <c r="H1611" s="108">
        <v>50</v>
      </c>
      <c r="I1611" s="109">
        <v>2</v>
      </c>
      <c r="J1611" s="8">
        <f>I1611*H1611</f>
        <v>100</v>
      </c>
      <c r="K1611" s="39">
        <v>0.31</v>
      </c>
      <c r="L1611" s="39">
        <f t="shared" si="84"/>
        <v>31</v>
      </c>
      <c r="M1611" s="117" t="s">
        <v>349</v>
      </c>
      <c r="N1611" s="33">
        <v>44631</v>
      </c>
      <c r="O1611" s="32">
        <v>3965</v>
      </c>
      <c r="P1611" s="391">
        <f>ROUNDUP(S1611/V1611/VLOOKUP(B1611,$C$2:$F$6,3,FALSE),2)</f>
        <v>0.27</v>
      </c>
      <c r="Q1611" s="322">
        <v>0.27</v>
      </c>
      <c r="R1611" s="322">
        <f t="shared" si="85"/>
        <v>27</v>
      </c>
      <c r="S1611" s="7">
        <v>16.7</v>
      </c>
      <c r="T1611" s="7">
        <f t="shared" si="86"/>
        <v>1670</v>
      </c>
      <c r="U1611" s="21"/>
      <c r="V1611" s="260">
        <v>90</v>
      </c>
    </row>
    <row r="1612" spans="1:22" s="7" customFormat="1" ht="18" customHeight="1">
      <c r="B1612" s="12" t="s">
        <v>300</v>
      </c>
      <c r="C1612" s="6" t="s">
        <v>2892</v>
      </c>
      <c r="D1612" s="14" t="s">
        <v>2162</v>
      </c>
      <c r="E1612" s="22">
        <v>5603</v>
      </c>
      <c r="F1612" s="37"/>
      <c r="G1612" s="396" t="s">
        <v>2894</v>
      </c>
      <c r="H1612" s="108">
        <v>50</v>
      </c>
      <c r="I1612" s="109">
        <v>1</v>
      </c>
      <c r="J1612" s="8">
        <f>I1612*H1612</f>
        <v>50</v>
      </c>
      <c r="K1612" s="39">
        <v>0.31</v>
      </c>
      <c r="L1612" s="39">
        <f t="shared" si="84"/>
        <v>15.5</v>
      </c>
      <c r="M1612" s="117" t="s">
        <v>349</v>
      </c>
      <c r="N1612" s="33">
        <v>44631</v>
      </c>
      <c r="O1612" s="32">
        <v>3965</v>
      </c>
      <c r="P1612" s="391">
        <f>ROUNDUP(S1612/V1612/VLOOKUP(B1612,$C$2:$F$6,3,FALSE),2)</f>
        <v>0.27</v>
      </c>
      <c r="Q1612" s="322">
        <v>0.27</v>
      </c>
      <c r="R1612" s="322">
        <f t="shared" si="85"/>
        <v>13.5</v>
      </c>
      <c r="S1612" s="7">
        <v>16.7</v>
      </c>
      <c r="T1612" s="7">
        <f t="shared" si="86"/>
        <v>835</v>
      </c>
      <c r="U1612" s="21"/>
      <c r="V1612" s="260">
        <v>90</v>
      </c>
    </row>
    <row r="1613" spans="1:22" s="7" customFormat="1" ht="18" customHeight="1">
      <c r="B1613" s="12" t="s">
        <v>300</v>
      </c>
      <c r="C1613" s="6" t="s">
        <v>2892</v>
      </c>
      <c r="D1613" s="14" t="s">
        <v>2162</v>
      </c>
      <c r="E1613" s="22">
        <v>5603</v>
      </c>
      <c r="F1613" s="37"/>
      <c r="G1613" s="396" t="s">
        <v>2895</v>
      </c>
      <c r="H1613" s="108">
        <v>50</v>
      </c>
      <c r="I1613" s="109">
        <v>2</v>
      </c>
      <c r="J1613" s="8">
        <f>I1613*H1613</f>
        <v>100</v>
      </c>
      <c r="K1613" s="39">
        <v>0.31</v>
      </c>
      <c r="L1613" s="39">
        <f t="shared" si="84"/>
        <v>31</v>
      </c>
      <c r="M1613" s="117" t="s">
        <v>349</v>
      </c>
      <c r="N1613" s="33">
        <v>44631</v>
      </c>
      <c r="O1613" s="32">
        <v>3965</v>
      </c>
      <c r="P1613" s="391">
        <f>ROUNDUP(S1613/V1613/VLOOKUP(B1613,$C$2:$F$6,3,FALSE),2)</f>
        <v>0.27</v>
      </c>
      <c r="Q1613" s="322">
        <v>0.27</v>
      </c>
      <c r="R1613" s="322">
        <f t="shared" si="85"/>
        <v>27</v>
      </c>
      <c r="S1613" s="7">
        <v>16.7</v>
      </c>
      <c r="T1613" s="7">
        <f t="shared" si="86"/>
        <v>1670</v>
      </c>
      <c r="U1613" s="21"/>
      <c r="V1613" s="260">
        <v>90</v>
      </c>
    </row>
    <row r="1614" spans="1:22" s="7" customFormat="1" ht="18" customHeight="1">
      <c r="B1614" s="12"/>
      <c r="C1614" s="6" t="s">
        <v>2892</v>
      </c>
      <c r="D1614" s="14" t="s">
        <v>2162</v>
      </c>
      <c r="E1614" s="22"/>
      <c r="F1614" s="102"/>
      <c r="G1614" s="22" t="s">
        <v>316</v>
      </c>
      <c r="H1614" s="8"/>
      <c r="I1614" s="35"/>
      <c r="J1614" s="38">
        <v>1</v>
      </c>
      <c r="K1614" s="39">
        <v>12</v>
      </c>
      <c r="L1614" s="39">
        <f t="shared" si="84"/>
        <v>12</v>
      </c>
      <c r="M1614" s="117"/>
      <c r="N1614" s="33">
        <v>44631</v>
      </c>
      <c r="O1614" s="32">
        <v>3965</v>
      </c>
      <c r="P1614" s="6" t="s">
        <v>3</v>
      </c>
      <c r="Q1614" s="322">
        <v>12</v>
      </c>
      <c r="R1614" s="322">
        <f t="shared" si="85"/>
        <v>12</v>
      </c>
      <c r="S1614" s="7">
        <v>950</v>
      </c>
      <c r="T1614" s="7">
        <f t="shared" si="86"/>
        <v>950</v>
      </c>
      <c r="U1614" s="21"/>
      <c r="V1614" s="260">
        <v>90</v>
      </c>
    </row>
    <row r="1615" spans="1:22" s="191" customFormat="1" ht="15">
      <c r="B1615" s="190"/>
      <c r="C1615" s="179" t="s">
        <v>2892</v>
      </c>
      <c r="D1615" s="180" t="s">
        <v>2162</v>
      </c>
      <c r="E1615" s="181"/>
      <c r="F1615" s="182"/>
      <c r="G1615" s="182" t="s">
        <v>250</v>
      </c>
      <c r="H1615" s="184" t="s">
        <v>251</v>
      </c>
      <c r="I1615" s="185"/>
      <c r="J1615" s="183"/>
      <c r="K1615" s="192">
        <v>0</v>
      </c>
      <c r="L1615" s="188"/>
      <c r="M1615" s="187"/>
      <c r="N1615" s="187">
        <v>44631</v>
      </c>
      <c r="O1615" s="186">
        <v>3965</v>
      </c>
      <c r="P1615" s="179"/>
      <c r="Q1615" s="725">
        <v>0</v>
      </c>
      <c r="R1615" s="322">
        <f t="shared" si="85"/>
        <v>0</v>
      </c>
      <c r="S1615" s="197">
        <v>0</v>
      </c>
      <c r="T1615" s="7">
        <f t="shared" si="86"/>
        <v>0</v>
      </c>
      <c r="U1615" s="335"/>
      <c r="V1615" s="260">
        <v>90</v>
      </c>
    </row>
    <row r="1616" spans="1:22" s="7" customFormat="1" ht="18" customHeight="1">
      <c r="B1616" s="12"/>
      <c r="C1616" s="6" t="s">
        <v>2896</v>
      </c>
      <c r="D1616" s="14" t="s">
        <v>2897</v>
      </c>
      <c r="E1616" s="19" t="s">
        <v>2270</v>
      </c>
      <c r="F1616" s="37"/>
      <c r="G1616" s="37"/>
      <c r="H1616" s="108"/>
      <c r="I1616" s="108"/>
      <c r="J1616" s="108"/>
      <c r="K1616" s="29" t="s">
        <v>5</v>
      </c>
      <c r="L1616" s="139"/>
      <c r="M1616" s="33"/>
      <c r="N1616" s="33">
        <v>44636</v>
      </c>
      <c r="O1616" s="32">
        <v>3961</v>
      </c>
      <c r="P1616" s="6"/>
      <c r="Q1616" s="339" t="s">
        <v>2349</v>
      </c>
      <c r="U1616" s="21"/>
      <c r="V1616" s="260">
        <v>90</v>
      </c>
    </row>
    <row r="1617" spans="1:22" s="7" customFormat="1" ht="17.25" customHeight="1">
      <c r="B1617" s="12" t="s">
        <v>300</v>
      </c>
      <c r="C1617" s="6" t="s">
        <v>2896</v>
      </c>
      <c r="D1617" s="14" t="s">
        <v>2897</v>
      </c>
      <c r="E1617" s="22">
        <v>5636</v>
      </c>
      <c r="F1617" s="37" t="s">
        <v>230</v>
      </c>
      <c r="G1617" s="37" t="s">
        <v>2305</v>
      </c>
      <c r="H1617" s="108">
        <v>50</v>
      </c>
      <c r="I1617" s="109">
        <v>12</v>
      </c>
      <c r="J1617" s="8">
        <f>H1617*I1617</f>
        <v>600</v>
      </c>
      <c r="K1617" s="39">
        <v>0.27</v>
      </c>
      <c r="L1617" s="39">
        <f>K1617*J1617</f>
        <v>162</v>
      </c>
      <c r="M1617" s="117" t="s">
        <v>349</v>
      </c>
      <c r="N1617" s="33">
        <v>44636</v>
      </c>
      <c r="O1617" s="32">
        <v>3961</v>
      </c>
      <c r="P1617" s="391">
        <f>ROUNDUP(S1617/V1617/VLOOKUP(B1617,$C$2:$F$6,3,FALSE),2)</f>
        <v>0.24000000000000002</v>
      </c>
      <c r="Q1617" s="322">
        <v>0.24</v>
      </c>
      <c r="R1617" s="322">
        <f>Q1617*J1617</f>
        <v>144</v>
      </c>
      <c r="S1617" s="752">
        <v>14.6</v>
      </c>
      <c r="T1617" s="7">
        <f>S1617*J1617</f>
        <v>8760</v>
      </c>
      <c r="U1617" s="850"/>
      <c r="V1617" s="260">
        <v>90</v>
      </c>
    </row>
    <row r="1618" spans="1:22" s="7" customFormat="1" ht="17.25" customHeight="1">
      <c r="B1618" s="12" t="s">
        <v>300</v>
      </c>
      <c r="C1618" s="6" t="s">
        <v>2896</v>
      </c>
      <c r="D1618" s="14" t="s">
        <v>2897</v>
      </c>
      <c r="E1618" s="22">
        <v>5636</v>
      </c>
      <c r="F1618" s="37" t="s">
        <v>230</v>
      </c>
      <c r="G1618" s="37" t="s">
        <v>2898</v>
      </c>
      <c r="H1618" s="108">
        <v>50</v>
      </c>
      <c r="I1618" s="109">
        <v>15</v>
      </c>
      <c r="J1618" s="8">
        <f>H1618*I1618</f>
        <v>750</v>
      </c>
      <c r="K1618" s="39">
        <v>0.27</v>
      </c>
      <c r="L1618" s="39">
        <f>K1618*J1618</f>
        <v>202.5</v>
      </c>
      <c r="M1618" s="117" t="s">
        <v>349</v>
      </c>
      <c r="N1618" s="33">
        <v>44636</v>
      </c>
      <c r="O1618" s="32">
        <v>3961</v>
      </c>
      <c r="P1618" s="391">
        <f>ROUNDUP(S1618/V1618/VLOOKUP(B1618,$C$2:$F$6,3,FALSE),2)</f>
        <v>0.24000000000000002</v>
      </c>
      <c r="Q1618" s="322">
        <v>0.24</v>
      </c>
      <c r="R1618" s="322">
        <f>Q1618*J1618</f>
        <v>180</v>
      </c>
      <c r="S1618" s="752">
        <v>14.6</v>
      </c>
      <c r="T1618" s="7">
        <f>S1618*J1618</f>
        <v>10950</v>
      </c>
      <c r="U1618" s="850"/>
      <c r="V1618" s="260">
        <v>90</v>
      </c>
    </row>
    <row r="1619" spans="1:22" s="7" customFormat="1" ht="15">
      <c r="B1619" s="12"/>
      <c r="C1619" s="6" t="s">
        <v>2896</v>
      </c>
      <c r="D1619" s="14" t="s">
        <v>2897</v>
      </c>
      <c r="E1619" s="22"/>
      <c r="F1619" s="102"/>
      <c r="G1619" s="22" t="s">
        <v>316</v>
      </c>
      <c r="H1619" s="8"/>
      <c r="I1619" s="35"/>
      <c r="J1619" s="38">
        <v>1</v>
      </c>
      <c r="K1619" s="39">
        <v>15</v>
      </c>
      <c r="L1619" s="39">
        <f>K1619*J1619</f>
        <v>15</v>
      </c>
      <c r="M1619" s="91"/>
      <c r="N1619" s="33">
        <v>44636</v>
      </c>
      <c r="O1619" s="32">
        <v>3961</v>
      </c>
      <c r="P1619" s="6"/>
      <c r="Q1619" s="322">
        <v>12</v>
      </c>
      <c r="R1619" s="322">
        <v>12</v>
      </c>
      <c r="S1619" s="7">
        <v>950</v>
      </c>
      <c r="T1619" s="7">
        <f>S1619*J1619</f>
        <v>950</v>
      </c>
      <c r="U1619" s="21"/>
      <c r="V1619" s="260">
        <v>90</v>
      </c>
    </row>
    <row r="1620" spans="1:22" s="191" customFormat="1" ht="15">
      <c r="B1620" s="190"/>
      <c r="C1620" s="179" t="s">
        <v>2896</v>
      </c>
      <c r="D1620" s="180" t="s">
        <v>2897</v>
      </c>
      <c r="E1620" s="181"/>
      <c r="F1620" s="622"/>
      <c r="G1620" s="182" t="s">
        <v>250</v>
      </c>
      <c r="H1620" s="184" t="s">
        <v>251</v>
      </c>
      <c r="I1620" s="185"/>
      <c r="J1620" s="183"/>
      <c r="K1620" s="203">
        <v>0</v>
      </c>
      <c r="L1620" s="188"/>
      <c r="M1620" s="187"/>
      <c r="N1620" s="187">
        <v>44636</v>
      </c>
      <c r="O1620" s="186">
        <v>3961</v>
      </c>
      <c r="P1620" s="179"/>
      <c r="Q1620" s="747">
        <v>0</v>
      </c>
      <c r="S1620" s="197">
        <v>0</v>
      </c>
      <c r="T1620" s="198">
        <v>0</v>
      </c>
      <c r="U1620" s="335"/>
      <c r="V1620" s="260">
        <v>90</v>
      </c>
    </row>
    <row r="1621" spans="1:22" s="7" customFormat="1" ht="18" customHeight="1">
      <c r="B1621" s="12"/>
      <c r="C1621" s="6" t="s">
        <v>2899</v>
      </c>
      <c r="D1621" s="14" t="s">
        <v>2378</v>
      </c>
      <c r="E1621" s="19" t="s">
        <v>2882</v>
      </c>
      <c r="F1621" s="107"/>
      <c r="G1621" s="22"/>
      <c r="H1621" s="108"/>
      <c r="I1621" s="109"/>
      <c r="J1621" s="108"/>
      <c r="K1621" s="29" t="s">
        <v>5</v>
      </c>
      <c r="L1621" s="139"/>
      <c r="M1621" s="33"/>
      <c r="N1621" s="33">
        <v>44627</v>
      </c>
      <c r="O1621" s="32">
        <v>3966</v>
      </c>
      <c r="P1621" s="14"/>
      <c r="Q1621" s="322"/>
      <c r="U1621" s="14"/>
      <c r="V1621" s="260">
        <v>90</v>
      </c>
    </row>
    <row r="1622" spans="1:22" s="7" customFormat="1" ht="18" customHeight="1">
      <c r="B1622" s="12" t="s">
        <v>300</v>
      </c>
      <c r="C1622" s="6" t="s">
        <v>2899</v>
      </c>
      <c r="D1622" s="14" t="s">
        <v>2378</v>
      </c>
      <c r="E1622" s="22" t="s">
        <v>2468</v>
      </c>
      <c r="F1622" s="107"/>
      <c r="G1622" s="22" t="s">
        <v>100</v>
      </c>
      <c r="H1622" s="108">
        <v>13.7</v>
      </c>
      <c r="I1622" s="109">
        <v>15</v>
      </c>
      <c r="J1622" s="131">
        <f>H1622*I1622</f>
        <v>205.5</v>
      </c>
      <c r="K1622" s="39">
        <v>1.75</v>
      </c>
      <c r="L1622" s="39">
        <f>K1622*J1622</f>
        <v>359.625</v>
      </c>
      <c r="M1622" s="117" t="s">
        <v>349</v>
      </c>
      <c r="N1622" s="33">
        <v>44627</v>
      </c>
      <c r="O1622" s="32">
        <v>3966</v>
      </c>
      <c r="P1622" s="391">
        <f>ROUNDUP(S1622/V1622/VLOOKUP(B1622,$C$2:$F$6,3,FALSE),2)</f>
        <v>1.02</v>
      </c>
      <c r="Q1622" s="611">
        <v>1.02</v>
      </c>
      <c r="R1622" s="322">
        <f>Q1622*J1622</f>
        <v>209.61</v>
      </c>
      <c r="S1622" s="7">
        <v>64</v>
      </c>
      <c r="T1622" s="7">
        <f>S1622*J1622</f>
        <v>13152</v>
      </c>
      <c r="U1622" s="21"/>
      <c r="V1622" s="260">
        <v>90</v>
      </c>
    </row>
    <row r="1623" spans="1:22" s="7" customFormat="1" ht="18" customHeight="1">
      <c r="B1623" s="12"/>
      <c r="C1623" s="6" t="s">
        <v>2900</v>
      </c>
      <c r="D1623" s="14" t="s">
        <v>2378</v>
      </c>
      <c r="E1623" s="19" t="s">
        <v>2901</v>
      </c>
      <c r="F1623" s="37"/>
      <c r="G1623" s="37"/>
      <c r="H1623" s="108"/>
      <c r="I1623" s="108"/>
      <c r="J1623" s="108"/>
      <c r="K1623" s="110" t="s">
        <v>5</v>
      </c>
      <c r="L1623" s="139"/>
      <c r="M1623" s="33"/>
      <c r="N1623" s="33">
        <v>44627</v>
      </c>
      <c r="O1623" s="32">
        <v>3966</v>
      </c>
      <c r="P1623" s="6"/>
      <c r="Q1623" s="339"/>
      <c r="U1623" s="21"/>
      <c r="V1623" s="260">
        <v>90</v>
      </c>
    </row>
    <row r="1624" spans="1:22" s="7" customFormat="1" ht="18" customHeight="1">
      <c r="B1624" s="12" t="s">
        <v>300</v>
      </c>
      <c r="C1624" s="6" t="s">
        <v>2900</v>
      </c>
      <c r="D1624" s="14" t="s">
        <v>2378</v>
      </c>
      <c r="E1624" s="22">
        <v>7583</v>
      </c>
      <c r="F1624" s="37"/>
      <c r="G1624" s="37" t="s">
        <v>2437</v>
      </c>
      <c r="H1624" s="108">
        <v>30</v>
      </c>
      <c r="I1624" s="109">
        <v>2</v>
      </c>
      <c r="J1624" s="8">
        <f>I1624*H1624</f>
        <v>60</v>
      </c>
      <c r="K1624" s="39">
        <v>0.45</v>
      </c>
      <c r="L1624" s="39">
        <f>K1624*J1624</f>
        <v>27</v>
      </c>
      <c r="M1624" s="117" t="s">
        <v>349</v>
      </c>
      <c r="N1624" s="33">
        <v>44627</v>
      </c>
      <c r="O1624" s="32">
        <v>3966</v>
      </c>
      <c r="P1624" s="391">
        <f>ROUNDUP(S1624/V1624/VLOOKUP(B1624,$C$2:$F$6,3,FALSE),2)</f>
        <v>0.37</v>
      </c>
      <c r="Q1624" s="322">
        <v>0.37</v>
      </c>
      <c r="R1624" s="322">
        <f>Q1624*J1624</f>
        <v>22.2</v>
      </c>
      <c r="S1624" s="7">
        <v>23</v>
      </c>
      <c r="T1624" s="7">
        <f>S1624*J1624</f>
        <v>1380</v>
      </c>
      <c r="U1624" s="21"/>
      <c r="V1624" s="260">
        <v>90</v>
      </c>
    </row>
    <row r="1625" spans="1:22" s="7" customFormat="1" ht="18" customHeight="1">
      <c r="B1625" s="12"/>
      <c r="C1625" s="6" t="s">
        <v>2900</v>
      </c>
      <c r="D1625" s="14" t="s">
        <v>2378</v>
      </c>
      <c r="E1625" s="22"/>
      <c r="F1625" s="102"/>
      <c r="G1625" s="22" t="s">
        <v>316</v>
      </c>
      <c r="H1625" s="8"/>
      <c r="I1625" s="35"/>
      <c r="J1625" s="38">
        <v>1</v>
      </c>
      <c r="K1625" s="39">
        <v>12</v>
      </c>
      <c r="L1625" s="39">
        <f>K1625*J1625</f>
        <v>12</v>
      </c>
      <c r="M1625" s="33"/>
      <c r="N1625" s="33">
        <v>44627</v>
      </c>
      <c r="O1625" s="32">
        <v>3966</v>
      </c>
      <c r="P1625" s="793"/>
      <c r="Q1625" s="322">
        <v>12</v>
      </c>
      <c r="R1625" s="322">
        <f>Q1625*J1625</f>
        <v>12</v>
      </c>
      <c r="S1625" s="7">
        <v>1100</v>
      </c>
      <c r="T1625" s="7">
        <f>S1625*J1625</f>
        <v>1100</v>
      </c>
      <c r="U1625" s="21"/>
      <c r="V1625" s="260">
        <v>90</v>
      </c>
    </row>
    <row r="1626" spans="1:22" s="191" customFormat="1" ht="15">
      <c r="A1626" s="7"/>
      <c r="B1626" s="12"/>
      <c r="C1626" s="179" t="s">
        <v>2900</v>
      </c>
      <c r="D1626" s="180" t="s">
        <v>2378</v>
      </c>
      <c r="E1626" s="217"/>
      <c r="F1626" s="182"/>
      <c r="G1626" s="182" t="s">
        <v>250</v>
      </c>
      <c r="H1626" s="184" t="s">
        <v>252</v>
      </c>
      <c r="I1626" s="185"/>
      <c r="J1626" s="183"/>
      <c r="K1626" s="333">
        <v>32</v>
      </c>
      <c r="L1626" s="188"/>
      <c r="M1626" s="187"/>
      <c r="N1626" s="187">
        <v>44627</v>
      </c>
      <c r="O1626" s="186">
        <v>3966</v>
      </c>
      <c r="P1626" s="179"/>
      <c r="Q1626" s="334">
        <v>32</v>
      </c>
      <c r="R1626" s="322">
        <v>32</v>
      </c>
      <c r="S1626" s="197">
        <v>2812</v>
      </c>
      <c r="T1626" s="197">
        <v>2812</v>
      </c>
      <c r="U1626" s="335"/>
      <c r="V1626" s="260">
        <v>90</v>
      </c>
    </row>
    <row r="1627" spans="1:22" customFormat="1" ht="15">
      <c r="A1627" s="1"/>
      <c r="B1627" s="26"/>
      <c r="C1627" s="6" t="s">
        <v>2902</v>
      </c>
      <c r="D1627" s="14" t="s">
        <v>2409</v>
      </c>
      <c r="E1627" s="19" t="s">
        <v>2177</v>
      </c>
      <c r="F1627" s="24"/>
      <c r="G1627" s="22"/>
      <c r="H1627" s="15"/>
      <c r="I1627" s="61"/>
      <c r="J1627" s="60"/>
      <c r="K1627" s="16" t="s">
        <v>101</v>
      </c>
      <c r="L1627" s="139"/>
      <c r="M1627" s="33"/>
      <c r="N1627" s="33">
        <v>44630</v>
      </c>
      <c r="O1627" s="32">
        <v>3978</v>
      </c>
      <c r="P1627" s="6" t="s">
        <v>8</v>
      </c>
      <c r="Q1627" s="358"/>
      <c r="R1627" s="1"/>
      <c r="S1627" s="7"/>
      <c r="T1627" s="7"/>
      <c r="U1627" s="120"/>
      <c r="V1627" s="260">
        <v>90</v>
      </c>
    </row>
    <row r="1628" spans="1:22" customFormat="1" ht="15.75">
      <c r="A1628" s="1"/>
      <c r="B1628" s="12" t="s">
        <v>300</v>
      </c>
      <c r="C1628" s="6" t="s">
        <v>2902</v>
      </c>
      <c r="D1628" s="14" t="s">
        <v>2409</v>
      </c>
      <c r="E1628" s="22">
        <v>4141</v>
      </c>
      <c r="F1628" s="24" t="s">
        <v>2178</v>
      </c>
      <c r="G1628" s="22" t="s">
        <v>2903</v>
      </c>
      <c r="H1628" s="60">
        <v>20</v>
      </c>
      <c r="I1628" s="61">
        <v>6</v>
      </c>
      <c r="J1628" s="60">
        <f>H1628*I1628</f>
        <v>120</v>
      </c>
      <c r="K1628" s="23">
        <v>2.4900000000000002</v>
      </c>
      <c r="L1628" s="39">
        <f t="shared" ref="L1628:L1633" si="87">K1628*J1628</f>
        <v>298.8</v>
      </c>
      <c r="M1628" s="117" t="s">
        <v>349</v>
      </c>
      <c r="N1628" s="33">
        <v>44630</v>
      </c>
      <c r="O1628" s="32">
        <v>3978</v>
      </c>
      <c r="P1628" s="391">
        <f>ROUNDUP(S1628/V1628/VLOOKUP(B1628,$C$2:$F$6,3,FALSE),2)</f>
        <v>2.13</v>
      </c>
      <c r="Q1628" s="358">
        <v>2.13</v>
      </c>
      <c r="R1628" s="322">
        <f t="shared" ref="R1628:R1634" si="88">Q1628*J1628</f>
        <v>255.6</v>
      </c>
      <c r="S1628" s="7">
        <v>134</v>
      </c>
      <c r="T1628" s="7">
        <f t="shared" ref="T1628:T1633" si="89">S1628*J1628</f>
        <v>16080</v>
      </c>
      <c r="U1628" s="267"/>
      <c r="V1628" s="260">
        <v>90</v>
      </c>
    </row>
    <row r="1629" spans="1:22" customFormat="1" ht="15.75">
      <c r="A1629" s="1"/>
      <c r="B1629" s="12" t="s">
        <v>300</v>
      </c>
      <c r="C1629" s="6" t="s">
        <v>2902</v>
      </c>
      <c r="D1629" s="14" t="s">
        <v>2409</v>
      </c>
      <c r="E1629" s="22">
        <v>4141</v>
      </c>
      <c r="F1629" s="24">
        <v>24</v>
      </c>
      <c r="G1629" s="22" t="s">
        <v>2903</v>
      </c>
      <c r="H1629" s="60">
        <v>20</v>
      </c>
      <c r="I1629" s="61">
        <v>5</v>
      </c>
      <c r="J1629" s="60">
        <f>H1629*I1629</f>
        <v>100</v>
      </c>
      <c r="K1629" s="23">
        <v>2.4900000000000002</v>
      </c>
      <c r="L1629" s="39">
        <f t="shared" si="87"/>
        <v>249.00000000000003</v>
      </c>
      <c r="M1629" s="117" t="s">
        <v>349</v>
      </c>
      <c r="N1629" s="33">
        <v>44630</v>
      </c>
      <c r="O1629" s="32">
        <v>3978</v>
      </c>
      <c r="P1629" s="391">
        <f>ROUNDUP(S1629/V1629/VLOOKUP(B1629,$C$2:$F$6,3,FALSE),2)</f>
        <v>2.13</v>
      </c>
      <c r="Q1629" s="358">
        <v>2.13</v>
      </c>
      <c r="R1629" s="322">
        <f t="shared" si="88"/>
        <v>213</v>
      </c>
      <c r="S1629" s="7">
        <v>134</v>
      </c>
      <c r="T1629" s="7">
        <f t="shared" si="89"/>
        <v>13400</v>
      </c>
      <c r="U1629" s="267"/>
      <c r="V1629" s="260">
        <v>90</v>
      </c>
    </row>
    <row r="1630" spans="1:22" customFormat="1" ht="15.75">
      <c r="A1630" s="1"/>
      <c r="B1630" s="12" t="s">
        <v>300</v>
      </c>
      <c r="C1630" s="6" t="s">
        <v>2902</v>
      </c>
      <c r="D1630" s="14" t="s">
        <v>2409</v>
      </c>
      <c r="E1630" s="22">
        <v>4141</v>
      </c>
      <c r="F1630" s="24" t="s">
        <v>2178</v>
      </c>
      <c r="G1630" s="22" t="s">
        <v>2904</v>
      </c>
      <c r="H1630" s="60">
        <v>20</v>
      </c>
      <c r="I1630" s="61">
        <v>8</v>
      </c>
      <c r="J1630" s="60">
        <f>H1630*I1630</f>
        <v>160</v>
      </c>
      <c r="K1630" s="23">
        <v>2.4900000000000002</v>
      </c>
      <c r="L1630" s="39">
        <f t="shared" si="87"/>
        <v>398.40000000000003</v>
      </c>
      <c r="M1630" s="117" t="s">
        <v>349</v>
      </c>
      <c r="N1630" s="33">
        <v>44630</v>
      </c>
      <c r="O1630" s="32">
        <v>3978</v>
      </c>
      <c r="P1630" s="391">
        <f>ROUNDUP(S1630/V1630/VLOOKUP(B1630,$C$2:$F$6,3,FALSE),2)</f>
        <v>2.13</v>
      </c>
      <c r="Q1630" s="358">
        <v>2.13</v>
      </c>
      <c r="R1630" s="322">
        <f t="shared" si="88"/>
        <v>340.79999999999995</v>
      </c>
      <c r="S1630" s="7">
        <v>134</v>
      </c>
      <c r="T1630" s="7">
        <f t="shared" si="89"/>
        <v>21440</v>
      </c>
      <c r="U1630" s="267"/>
      <c r="V1630" s="260">
        <v>90</v>
      </c>
    </row>
    <row r="1631" spans="1:22" customFormat="1" ht="15.75">
      <c r="A1631" s="1"/>
      <c r="B1631" s="12" t="s">
        <v>300</v>
      </c>
      <c r="C1631" s="6" t="s">
        <v>2902</v>
      </c>
      <c r="D1631" s="14" t="s">
        <v>2409</v>
      </c>
      <c r="E1631" s="22">
        <v>4141</v>
      </c>
      <c r="F1631" s="24" t="s">
        <v>2178</v>
      </c>
      <c r="G1631" s="22" t="s">
        <v>328</v>
      </c>
      <c r="H1631" s="60">
        <v>20</v>
      </c>
      <c r="I1631" s="61">
        <v>6</v>
      </c>
      <c r="J1631" s="60">
        <f>H1631*I1631</f>
        <v>120</v>
      </c>
      <c r="K1631" s="23">
        <v>2.4900000000000002</v>
      </c>
      <c r="L1631" s="39">
        <f t="shared" si="87"/>
        <v>298.8</v>
      </c>
      <c r="M1631" s="117" t="s">
        <v>349</v>
      </c>
      <c r="N1631" s="33">
        <v>44630</v>
      </c>
      <c r="O1631" s="32">
        <v>3978</v>
      </c>
      <c r="P1631" s="391">
        <f>ROUNDUP(S1631/V1631/VLOOKUP(B1631,$C$2:$F$6,3,FALSE),2)</f>
        <v>2.13</v>
      </c>
      <c r="Q1631" s="358">
        <v>2.13</v>
      </c>
      <c r="R1631" s="322">
        <f t="shared" si="88"/>
        <v>255.6</v>
      </c>
      <c r="S1631" s="7">
        <v>134</v>
      </c>
      <c r="T1631" s="7">
        <f t="shared" si="89"/>
        <v>16080</v>
      </c>
      <c r="U1631" s="267"/>
      <c r="V1631" s="260">
        <v>90</v>
      </c>
    </row>
    <row r="1632" spans="1:22" customFormat="1" ht="15.75">
      <c r="A1632" s="1"/>
      <c r="B1632" s="12" t="s">
        <v>300</v>
      </c>
      <c r="C1632" s="6" t="s">
        <v>2902</v>
      </c>
      <c r="D1632" s="14" t="s">
        <v>2409</v>
      </c>
      <c r="E1632" s="22">
        <v>4141</v>
      </c>
      <c r="F1632" s="24">
        <v>24</v>
      </c>
      <c r="G1632" s="22" t="s">
        <v>328</v>
      </c>
      <c r="H1632" s="60">
        <v>20</v>
      </c>
      <c r="I1632" s="61">
        <v>5</v>
      </c>
      <c r="J1632" s="60">
        <f>H1632*I1632</f>
        <v>100</v>
      </c>
      <c r="K1632" s="23">
        <v>2.4900000000000002</v>
      </c>
      <c r="L1632" s="39">
        <f t="shared" si="87"/>
        <v>249.00000000000003</v>
      </c>
      <c r="M1632" s="117" t="s">
        <v>349</v>
      </c>
      <c r="N1632" s="33">
        <v>44630</v>
      </c>
      <c r="O1632" s="32">
        <v>3978</v>
      </c>
      <c r="P1632" s="391">
        <f>ROUNDUP(S1632/V1632/VLOOKUP(B1632,$C$2:$F$6,3,FALSE),2)</f>
        <v>2.13</v>
      </c>
      <c r="Q1632" s="358">
        <v>2.13</v>
      </c>
      <c r="R1632" s="322">
        <f t="shared" si="88"/>
        <v>213</v>
      </c>
      <c r="S1632" s="7">
        <v>134</v>
      </c>
      <c r="T1632" s="7">
        <f t="shared" si="89"/>
        <v>13400</v>
      </c>
      <c r="U1632" s="267"/>
      <c r="V1632" s="260">
        <v>90</v>
      </c>
    </row>
    <row r="1633" spans="2:22" s="7" customFormat="1" ht="15.75">
      <c r="B1633" s="12"/>
      <c r="C1633" s="6" t="s">
        <v>2902</v>
      </c>
      <c r="D1633" s="14" t="s">
        <v>2409</v>
      </c>
      <c r="E1633" s="22"/>
      <c r="F1633" s="102"/>
      <c r="G1633" s="22" t="s">
        <v>316</v>
      </c>
      <c r="H1633" s="8"/>
      <c r="I1633" s="35"/>
      <c r="J1633" s="38">
        <v>1</v>
      </c>
      <c r="K1633" s="39">
        <v>12</v>
      </c>
      <c r="L1633" s="39">
        <f t="shared" si="87"/>
        <v>12</v>
      </c>
      <c r="M1633" s="117"/>
      <c r="N1633" s="33">
        <v>44630</v>
      </c>
      <c r="O1633" s="32">
        <v>3978</v>
      </c>
      <c r="P1633" s="6" t="s">
        <v>3</v>
      </c>
      <c r="Q1633" s="322">
        <v>12</v>
      </c>
      <c r="R1633" s="322">
        <f t="shared" si="88"/>
        <v>12</v>
      </c>
      <c r="S1633" s="7">
        <v>0</v>
      </c>
      <c r="T1633" s="7">
        <f t="shared" si="89"/>
        <v>0</v>
      </c>
      <c r="U1633" s="21"/>
      <c r="V1633" s="260">
        <v>90</v>
      </c>
    </row>
    <row r="1634" spans="2:22" customFormat="1" ht="15.75">
      <c r="B1634" s="12" t="s">
        <v>300</v>
      </c>
      <c r="C1634" s="6" t="s">
        <v>2902</v>
      </c>
      <c r="D1634" s="14" t="s">
        <v>2409</v>
      </c>
      <c r="E1634" s="22">
        <v>4141</v>
      </c>
      <c r="F1634" s="24">
        <v>24</v>
      </c>
      <c r="G1634" s="22" t="s">
        <v>2904</v>
      </c>
      <c r="H1634" s="60">
        <v>20</v>
      </c>
      <c r="I1634" s="61">
        <v>8</v>
      </c>
      <c r="J1634" s="60">
        <f>H1634*I1634</f>
        <v>160</v>
      </c>
      <c r="K1634" s="23">
        <v>2.4900000000000002</v>
      </c>
      <c r="L1634" s="39">
        <f>K1634*J1634</f>
        <v>398.40000000000003</v>
      </c>
      <c r="M1634" s="117" t="s">
        <v>349</v>
      </c>
      <c r="N1634" s="33">
        <v>44638</v>
      </c>
      <c r="O1634" s="32">
        <v>4019</v>
      </c>
      <c r="P1634" s="391">
        <f>ROUNDUP(S1634/V1634/VLOOKUP(B1634,$C$2:$F$6,3,FALSE),2)</f>
        <v>2.13</v>
      </c>
      <c r="Q1634" s="358">
        <v>2.13</v>
      </c>
      <c r="R1634" s="322">
        <f t="shared" si="88"/>
        <v>340.79999999999995</v>
      </c>
      <c r="S1634" s="7">
        <v>134</v>
      </c>
      <c r="T1634" s="7">
        <f>S1634*J1634</f>
        <v>21440</v>
      </c>
      <c r="U1634" s="267"/>
      <c r="V1634" s="260">
        <v>90</v>
      </c>
    </row>
    <row r="1635" spans="2:22" s="191" customFormat="1" ht="15">
      <c r="B1635" s="190"/>
      <c r="C1635" s="179" t="s">
        <v>2902</v>
      </c>
      <c r="D1635" s="180" t="s">
        <v>2409</v>
      </c>
      <c r="E1635" s="217"/>
      <c r="F1635" s="182"/>
      <c r="G1635" s="182" t="s">
        <v>250</v>
      </c>
      <c r="H1635" s="184" t="s">
        <v>251</v>
      </c>
      <c r="I1635" s="185"/>
      <c r="J1635" s="183"/>
      <c r="K1635" s="192">
        <v>0</v>
      </c>
      <c r="L1635" s="188"/>
      <c r="M1635" s="187"/>
      <c r="N1635" s="187"/>
      <c r="O1635" s="186"/>
      <c r="P1635" s="179"/>
      <c r="Q1635" s="725">
        <v>0</v>
      </c>
      <c r="S1635" s="197">
        <v>0</v>
      </c>
      <c r="T1635" s="198">
        <v>0</v>
      </c>
      <c r="U1635" s="335"/>
      <c r="V1635" s="260">
        <v>90</v>
      </c>
    </row>
    <row r="1636" spans="2:22" s="7" customFormat="1" ht="17.25" customHeight="1">
      <c r="B1636" s="12"/>
      <c r="C1636" s="6" t="s">
        <v>2905</v>
      </c>
      <c r="D1636" s="14" t="s">
        <v>1963</v>
      </c>
      <c r="E1636" s="19" t="s">
        <v>238</v>
      </c>
      <c r="F1636" s="107"/>
      <c r="G1636" s="22"/>
      <c r="H1636" s="108"/>
      <c r="I1636" s="109"/>
      <c r="J1636" s="108"/>
      <c r="K1636" s="29" t="s">
        <v>5</v>
      </c>
      <c r="L1636" s="139"/>
      <c r="M1636" s="33"/>
      <c r="N1636" s="33">
        <v>44631</v>
      </c>
      <c r="O1636" s="32">
        <v>3996</v>
      </c>
      <c r="P1636" s="14"/>
      <c r="Q1636" s="322"/>
      <c r="U1636" s="14"/>
      <c r="V1636" s="260">
        <v>90</v>
      </c>
    </row>
    <row r="1637" spans="2:22" s="7" customFormat="1" ht="18" customHeight="1">
      <c r="B1637" s="12" t="s">
        <v>302</v>
      </c>
      <c r="C1637" s="6" t="s">
        <v>2905</v>
      </c>
      <c r="D1637" s="14" t="s">
        <v>1963</v>
      </c>
      <c r="E1637" s="22" t="s">
        <v>239</v>
      </c>
      <c r="F1637" s="107">
        <v>150</v>
      </c>
      <c r="G1637" s="22" t="s">
        <v>2293</v>
      </c>
      <c r="H1637" s="108">
        <v>10</v>
      </c>
      <c r="I1637" s="109">
        <v>2</v>
      </c>
      <c r="J1637" s="8">
        <f>H1637*I1637</f>
        <v>20</v>
      </c>
      <c r="K1637" s="39">
        <v>6.53</v>
      </c>
      <c r="L1637" s="39">
        <f>K1637*J1637</f>
        <v>130.6</v>
      </c>
      <c r="M1637" s="117" t="s">
        <v>349</v>
      </c>
      <c r="N1637" s="33">
        <v>44631</v>
      </c>
      <c r="O1637" s="32">
        <v>3996</v>
      </c>
      <c r="P1637" s="391">
        <f>ROUNDUP(S1637/V1637/VLOOKUP(B1637,$C$2:$F$6,3,FALSE),2)</f>
        <v>5.9399999999999995</v>
      </c>
      <c r="Q1637" s="322">
        <v>5.94</v>
      </c>
      <c r="R1637" s="322">
        <f>Q1637*J1637</f>
        <v>118.80000000000001</v>
      </c>
      <c r="S1637" s="7">
        <v>470</v>
      </c>
      <c r="T1637" s="7">
        <f>S1637*J1637</f>
        <v>9400</v>
      </c>
      <c r="U1637" s="21"/>
      <c r="V1637" s="260">
        <v>90</v>
      </c>
    </row>
    <row r="1638" spans="2:22" s="7" customFormat="1" ht="15">
      <c r="B1638" s="12"/>
      <c r="C1638" s="6" t="s">
        <v>2905</v>
      </c>
      <c r="D1638" s="14" t="s">
        <v>1963</v>
      </c>
      <c r="E1638" s="49"/>
      <c r="F1638" s="102"/>
      <c r="G1638" s="22" t="s">
        <v>2625</v>
      </c>
      <c r="H1638" s="38"/>
      <c r="I1638" s="35"/>
      <c r="J1638" s="38">
        <v>2</v>
      </c>
      <c r="K1638" s="39">
        <v>15</v>
      </c>
      <c r="L1638" s="39">
        <f>K1638*J1638</f>
        <v>30</v>
      </c>
      <c r="M1638" s="91"/>
      <c r="N1638" s="33">
        <v>44631</v>
      </c>
      <c r="O1638" s="32">
        <v>3996</v>
      </c>
      <c r="P1638" s="391">
        <v>12</v>
      </c>
      <c r="Q1638" s="322">
        <f>P1638*J1638</f>
        <v>24</v>
      </c>
      <c r="R1638" s="322">
        <v>24</v>
      </c>
      <c r="S1638" s="7">
        <v>1000</v>
      </c>
      <c r="T1638" s="7">
        <f>S1638*J1638</f>
        <v>2000</v>
      </c>
      <c r="U1638" s="21"/>
      <c r="V1638" s="260">
        <v>90</v>
      </c>
    </row>
    <row r="1639" spans="2:22" s="7" customFormat="1" ht="15">
      <c r="B1639" s="12"/>
      <c r="C1639" s="6" t="s">
        <v>2905</v>
      </c>
      <c r="D1639" s="14" t="s">
        <v>1963</v>
      </c>
      <c r="E1639" s="49"/>
      <c r="F1639" s="102"/>
      <c r="G1639" s="22" t="s">
        <v>316</v>
      </c>
      <c r="H1639" s="38"/>
      <c r="I1639" s="35"/>
      <c r="J1639" s="38">
        <v>1</v>
      </c>
      <c r="K1639" s="39">
        <v>20</v>
      </c>
      <c r="L1639" s="39">
        <f>K1639*J1639</f>
        <v>20</v>
      </c>
      <c r="M1639" s="91"/>
      <c r="N1639" s="33">
        <v>44631</v>
      </c>
      <c r="O1639" s="32">
        <v>3996</v>
      </c>
      <c r="P1639" s="722"/>
      <c r="Q1639" s="322">
        <v>20</v>
      </c>
      <c r="R1639" s="322">
        <f>Q1639*J1639</f>
        <v>20</v>
      </c>
      <c r="S1639" s="7">
        <v>1000</v>
      </c>
      <c r="T1639" s="7">
        <f>S1639*J1639</f>
        <v>1000</v>
      </c>
      <c r="U1639" s="21"/>
      <c r="V1639" s="260">
        <v>90</v>
      </c>
    </row>
    <row r="1640" spans="2:22" s="191" customFormat="1" ht="15">
      <c r="B1640" s="190"/>
      <c r="C1640" s="179" t="s">
        <v>2905</v>
      </c>
      <c r="D1640" s="180" t="s">
        <v>1963</v>
      </c>
      <c r="E1640" s="181"/>
      <c r="F1640" s="182"/>
      <c r="G1640" s="182" t="s">
        <v>250</v>
      </c>
      <c r="H1640" s="184" t="s">
        <v>251</v>
      </c>
      <c r="I1640" s="185"/>
      <c r="J1640" s="183"/>
      <c r="K1640" s="192">
        <v>0</v>
      </c>
      <c r="L1640" s="188"/>
      <c r="M1640" s="187"/>
      <c r="N1640" s="187">
        <v>44631</v>
      </c>
      <c r="O1640" s="186">
        <v>3996</v>
      </c>
      <c r="P1640" s="179"/>
      <c r="Q1640" s="725">
        <v>0</v>
      </c>
      <c r="R1640" s="322">
        <f>Q1640*J1640</f>
        <v>0</v>
      </c>
      <c r="S1640" s="197">
        <v>0</v>
      </c>
      <c r="T1640" s="198">
        <v>0</v>
      </c>
      <c r="U1640" s="335"/>
      <c r="V1640" s="260">
        <v>90</v>
      </c>
    </row>
    <row r="1641" spans="2:22" s="7" customFormat="1" ht="18" customHeight="1">
      <c r="B1641" s="12"/>
      <c r="C1641" s="6" t="s">
        <v>2906</v>
      </c>
      <c r="D1641" s="14" t="s">
        <v>2608</v>
      </c>
      <c r="E1641" s="17" t="s">
        <v>2687</v>
      </c>
      <c r="F1641" s="319"/>
      <c r="G1641" s="299"/>
      <c r="H1641" s="300"/>
      <c r="I1641" s="320"/>
      <c r="J1641" s="321"/>
      <c r="K1641" s="110" t="s">
        <v>5</v>
      </c>
      <c r="L1641" s="139"/>
      <c r="M1641" s="33"/>
      <c r="N1641" s="33">
        <v>44631</v>
      </c>
      <c r="O1641" s="32">
        <v>3992</v>
      </c>
      <c r="P1641" s="6"/>
      <c r="Q1641" s="322"/>
      <c r="U1641" s="39"/>
      <c r="V1641" s="260">
        <v>90</v>
      </c>
    </row>
    <row r="1642" spans="2:22" s="7" customFormat="1" ht="18" customHeight="1">
      <c r="B1642" s="12" t="s">
        <v>300</v>
      </c>
      <c r="C1642" s="6" t="s">
        <v>2906</v>
      </c>
      <c r="D1642" s="14" t="s">
        <v>2608</v>
      </c>
      <c r="E1642" s="22">
        <v>5637</v>
      </c>
      <c r="F1642" s="24" t="s">
        <v>311</v>
      </c>
      <c r="G1642" s="22" t="s">
        <v>2609</v>
      </c>
      <c r="H1642" s="813">
        <v>50</v>
      </c>
      <c r="I1642" s="814">
        <v>15</v>
      </c>
      <c r="J1642" s="8">
        <f>H1642*I1642</f>
        <v>750</v>
      </c>
      <c r="K1642" s="137">
        <v>0.22</v>
      </c>
      <c r="L1642" s="39">
        <f>K1642*J1642</f>
        <v>165</v>
      </c>
      <c r="M1642" s="117" t="s">
        <v>349</v>
      </c>
      <c r="N1642" s="33">
        <v>44631</v>
      </c>
      <c r="O1642" s="32">
        <v>3992</v>
      </c>
      <c r="P1642" s="391">
        <f>ROUNDUP(S1642/V1642/VLOOKUP(B1642,$C$2:$F$6,3,FALSE),2)</f>
        <v>0.16</v>
      </c>
      <c r="Q1642" s="322">
        <v>0.16</v>
      </c>
      <c r="R1642" s="322">
        <f>Q1642*J1642</f>
        <v>120</v>
      </c>
      <c r="S1642" s="752">
        <v>9.6</v>
      </c>
      <c r="T1642" s="7">
        <f>S1642*J1642</f>
        <v>7200</v>
      </c>
      <c r="U1642" s="778" t="s">
        <v>2833</v>
      </c>
      <c r="V1642" s="260">
        <v>90</v>
      </c>
    </row>
    <row r="1643" spans="2:22" s="7" customFormat="1" ht="18" customHeight="1">
      <c r="B1643" s="12" t="s">
        <v>300</v>
      </c>
      <c r="C1643" s="6" t="s">
        <v>2906</v>
      </c>
      <c r="D1643" s="14" t="s">
        <v>2608</v>
      </c>
      <c r="E1643" s="22">
        <v>5637</v>
      </c>
      <c r="F1643" s="24" t="s">
        <v>311</v>
      </c>
      <c r="G1643" s="22" t="s">
        <v>2828</v>
      </c>
      <c r="H1643" s="813">
        <v>50</v>
      </c>
      <c r="I1643" s="814">
        <v>1</v>
      </c>
      <c r="J1643" s="8">
        <f>H1643*I1643</f>
        <v>50</v>
      </c>
      <c r="K1643" s="137">
        <v>0.22</v>
      </c>
      <c r="L1643" s="39">
        <f>K1643*J1643</f>
        <v>11</v>
      </c>
      <c r="M1643" s="117" t="s">
        <v>349</v>
      </c>
      <c r="N1643" s="33">
        <v>44631</v>
      </c>
      <c r="O1643" s="32">
        <v>3992</v>
      </c>
      <c r="P1643" s="391">
        <f>ROUNDUP(S1643/V1643/VLOOKUP(B1643,$C$2:$F$6,3,FALSE),2)</f>
        <v>0.19</v>
      </c>
      <c r="Q1643" s="322">
        <v>0.19</v>
      </c>
      <c r="R1643" s="322">
        <f>Q1643*J1643</f>
        <v>9.5</v>
      </c>
      <c r="S1643" s="7">
        <v>11.9</v>
      </c>
      <c r="T1643" s="7">
        <f>S1643*J1643</f>
        <v>595</v>
      </c>
      <c r="U1643" s="778" t="s">
        <v>2833</v>
      </c>
      <c r="V1643" s="260">
        <v>90</v>
      </c>
    </row>
    <row r="1644" spans="2:22" s="7" customFormat="1" ht="15">
      <c r="B1644" s="12"/>
      <c r="C1644" s="6" t="s">
        <v>2906</v>
      </c>
      <c r="D1644" s="14" t="s">
        <v>2608</v>
      </c>
      <c r="E1644" s="22"/>
      <c r="F1644" s="102"/>
      <c r="G1644" s="22" t="s">
        <v>316</v>
      </c>
      <c r="H1644" s="8"/>
      <c r="I1644" s="35"/>
      <c r="J1644" s="38">
        <v>1</v>
      </c>
      <c r="K1644" s="39">
        <v>12</v>
      </c>
      <c r="L1644" s="39">
        <f>K1644*J1644</f>
        <v>12</v>
      </c>
      <c r="M1644" s="91"/>
      <c r="N1644" s="33">
        <v>44631</v>
      </c>
      <c r="O1644" s="32">
        <v>3992</v>
      </c>
      <c r="P1644" s="6"/>
      <c r="Q1644" s="322">
        <v>12</v>
      </c>
      <c r="R1644" s="322">
        <f>Q1644*J1644</f>
        <v>12</v>
      </c>
      <c r="S1644" s="7">
        <v>0</v>
      </c>
      <c r="T1644" s="7">
        <f>S1644*J1644</f>
        <v>0</v>
      </c>
      <c r="U1644" s="21"/>
      <c r="V1644" s="260">
        <v>90</v>
      </c>
    </row>
    <row r="1645" spans="2:22" s="191" customFormat="1" ht="15">
      <c r="B1645" s="190"/>
      <c r="C1645" s="179" t="s">
        <v>2906</v>
      </c>
      <c r="D1645" s="180" t="s">
        <v>2608</v>
      </c>
      <c r="E1645" s="181"/>
      <c r="F1645" s="622"/>
      <c r="G1645" s="182" t="s">
        <v>250</v>
      </c>
      <c r="H1645" s="184" t="s">
        <v>251</v>
      </c>
      <c r="I1645" s="185"/>
      <c r="J1645" s="183"/>
      <c r="K1645" s="192">
        <v>0</v>
      </c>
      <c r="L1645" s="188"/>
      <c r="M1645" s="187"/>
      <c r="N1645" s="187">
        <v>44631</v>
      </c>
      <c r="O1645" s="186">
        <v>3992</v>
      </c>
      <c r="P1645" s="179"/>
      <c r="Q1645" s="725">
        <v>0</v>
      </c>
      <c r="S1645" s="197">
        <v>0</v>
      </c>
      <c r="T1645" s="198">
        <v>0</v>
      </c>
      <c r="U1645" s="335"/>
      <c r="V1645" s="260">
        <v>90</v>
      </c>
    </row>
    <row r="1646" spans="2:22" s="7" customFormat="1" ht="15">
      <c r="B1646" s="12"/>
      <c r="C1646" s="6" t="s">
        <v>2907</v>
      </c>
      <c r="D1646" s="14" t="s">
        <v>2227</v>
      </c>
      <c r="E1646" s="19" t="s">
        <v>231</v>
      </c>
      <c r="F1646" s="37"/>
      <c r="G1646" s="37"/>
      <c r="H1646" s="108"/>
      <c r="I1646" s="108"/>
      <c r="J1646" s="108"/>
      <c r="K1646" s="29" t="s">
        <v>232</v>
      </c>
      <c r="L1646" s="139"/>
      <c r="M1646" s="33"/>
      <c r="N1646" s="33">
        <v>44642</v>
      </c>
      <c r="O1646" s="32">
        <v>3927</v>
      </c>
      <c r="P1646" s="6"/>
      <c r="Q1646" s="339"/>
      <c r="U1646" s="21"/>
      <c r="V1646" s="260">
        <v>90</v>
      </c>
    </row>
    <row r="1647" spans="2:22" s="7" customFormat="1" ht="15.75">
      <c r="B1647" s="12" t="s">
        <v>300</v>
      </c>
      <c r="C1647" s="6" t="s">
        <v>2907</v>
      </c>
      <c r="D1647" s="14" t="s">
        <v>2227</v>
      </c>
      <c r="E1647" s="22" t="s">
        <v>257</v>
      </c>
      <c r="F1647" s="112">
        <v>234</v>
      </c>
      <c r="G1647" s="165" t="s">
        <v>2061</v>
      </c>
      <c r="H1647" s="166">
        <v>50</v>
      </c>
      <c r="I1647" s="166">
        <v>50</v>
      </c>
      <c r="J1647" s="166">
        <v>50</v>
      </c>
      <c r="K1647" s="39">
        <v>1.34</v>
      </c>
      <c r="L1647" s="39">
        <f>K1647*J1647</f>
        <v>67</v>
      </c>
      <c r="M1647" s="117" t="s">
        <v>349</v>
      </c>
      <c r="N1647" s="33">
        <v>44642</v>
      </c>
      <c r="O1647" s="32">
        <v>3927</v>
      </c>
      <c r="P1647" s="391">
        <f>ROUNDUP(S1647/V1647/VLOOKUP(B1647,$C$2:$F$6,3,FALSE),2)</f>
        <v>0.9</v>
      </c>
      <c r="Q1647" s="322">
        <v>0.9</v>
      </c>
      <c r="R1647" s="322">
        <f>Q1647*J1647</f>
        <v>45</v>
      </c>
      <c r="S1647" s="7">
        <v>56.1</v>
      </c>
      <c r="T1647" s="7">
        <f>S1647*J1647</f>
        <v>2805</v>
      </c>
      <c r="U1647" s="845"/>
      <c r="V1647" s="260">
        <v>90</v>
      </c>
    </row>
    <row r="1648" spans="2:22" s="7" customFormat="1" ht="15.75">
      <c r="B1648" s="12" t="s">
        <v>300</v>
      </c>
      <c r="C1648" s="6" t="s">
        <v>2907</v>
      </c>
      <c r="D1648" s="14" t="s">
        <v>2227</v>
      </c>
      <c r="E1648" s="22" t="s">
        <v>257</v>
      </c>
      <c r="F1648" s="112">
        <v>206</v>
      </c>
      <c r="G1648" s="165" t="s">
        <v>2064</v>
      </c>
      <c r="H1648" s="166">
        <v>50</v>
      </c>
      <c r="I1648" s="166">
        <v>50</v>
      </c>
      <c r="J1648" s="166">
        <v>50</v>
      </c>
      <c r="K1648" s="39">
        <v>1.35</v>
      </c>
      <c r="L1648" s="39">
        <f>K1648*J1648</f>
        <v>67.5</v>
      </c>
      <c r="M1648" s="117" t="s">
        <v>349</v>
      </c>
      <c r="N1648" s="33">
        <v>44642</v>
      </c>
      <c r="O1648" s="32">
        <v>3927</v>
      </c>
      <c r="P1648" s="391">
        <f>ROUNDUP(S1648/V1648/VLOOKUP(B1648,$C$2:$F$6,3,FALSE),2)</f>
        <v>0.9</v>
      </c>
      <c r="Q1648" s="322">
        <v>0.9</v>
      </c>
      <c r="R1648" s="322">
        <f>Q1648*J1648</f>
        <v>45</v>
      </c>
      <c r="S1648" s="7">
        <v>56.5</v>
      </c>
      <c r="T1648" s="7">
        <f>S1648*J1648</f>
        <v>2825</v>
      </c>
      <c r="U1648" s="845"/>
      <c r="V1648" s="260">
        <v>90</v>
      </c>
    </row>
    <row r="1649" spans="2:22" s="7" customFormat="1" ht="18" customHeight="1">
      <c r="B1649" s="12" t="s">
        <v>306</v>
      </c>
      <c r="C1649" s="6" t="s">
        <v>2907</v>
      </c>
      <c r="D1649" s="14" t="s">
        <v>2227</v>
      </c>
      <c r="E1649" s="22"/>
      <c r="F1649" s="102"/>
      <c r="G1649" s="22" t="s">
        <v>2791</v>
      </c>
      <c r="H1649" s="8"/>
      <c r="I1649" s="35"/>
      <c r="J1649" s="38">
        <v>2</v>
      </c>
      <c r="K1649" s="39">
        <v>10</v>
      </c>
      <c r="L1649" s="39">
        <f>K1649*J1649</f>
        <v>20</v>
      </c>
      <c r="M1649" s="117"/>
      <c r="N1649" s="33">
        <v>44642</v>
      </c>
      <c r="O1649" s="32">
        <v>3927</v>
      </c>
      <c r="P1649" s="391">
        <f>ROUNDUP(S1649/V1649/VLOOKUP(B1649,$C$2:$F$6,3,FALSE),2)</f>
        <v>6.3199999999999994</v>
      </c>
      <c r="Q1649" s="322">
        <v>6.32</v>
      </c>
      <c r="R1649" s="322">
        <f>Q1649*J1649</f>
        <v>12.64</v>
      </c>
      <c r="S1649" s="7">
        <v>500</v>
      </c>
      <c r="T1649" s="7">
        <f>S1649*J1649</f>
        <v>1000</v>
      </c>
      <c r="U1649" s="21"/>
      <c r="V1649" s="260">
        <v>90</v>
      </c>
    </row>
    <row r="1650" spans="2:22" s="7" customFormat="1" ht="18" customHeight="1">
      <c r="B1650" s="12"/>
      <c r="C1650" s="6" t="s">
        <v>2907</v>
      </c>
      <c r="D1650" s="14" t="s">
        <v>2227</v>
      </c>
      <c r="E1650" s="22"/>
      <c r="F1650" s="102"/>
      <c r="G1650" s="22" t="s">
        <v>316</v>
      </c>
      <c r="H1650" s="8"/>
      <c r="I1650" s="35"/>
      <c r="J1650" s="38">
        <v>1</v>
      </c>
      <c r="K1650" s="39">
        <v>12</v>
      </c>
      <c r="L1650" s="39">
        <f>K1650*J1650</f>
        <v>12</v>
      </c>
      <c r="M1650" s="91"/>
      <c r="N1650" s="33">
        <v>44642</v>
      </c>
      <c r="O1650" s="32">
        <v>3927</v>
      </c>
      <c r="P1650" s="6"/>
      <c r="Q1650" s="322">
        <v>12</v>
      </c>
      <c r="R1650" s="322">
        <f>Q1650*J1650</f>
        <v>12</v>
      </c>
      <c r="S1650" s="7">
        <v>1100</v>
      </c>
      <c r="T1650" s="92">
        <f>J1650*S1650</f>
        <v>1100</v>
      </c>
      <c r="U1650" s="21"/>
      <c r="V1650" s="260">
        <v>90</v>
      </c>
    </row>
    <row r="1651" spans="2:22" s="191" customFormat="1" ht="15">
      <c r="B1651" s="190"/>
      <c r="C1651" s="179" t="s">
        <v>2907</v>
      </c>
      <c r="D1651" s="180" t="s">
        <v>2227</v>
      </c>
      <c r="E1651" s="217"/>
      <c r="F1651" s="182"/>
      <c r="G1651" s="182" t="s">
        <v>250</v>
      </c>
      <c r="H1651" s="184" t="s">
        <v>251</v>
      </c>
      <c r="I1651" s="185"/>
      <c r="J1651" s="183"/>
      <c r="K1651" s="192">
        <v>0</v>
      </c>
      <c r="L1651" s="188"/>
      <c r="M1651" s="187"/>
      <c r="N1651" s="187">
        <v>44642</v>
      </c>
      <c r="O1651" s="186">
        <v>3927</v>
      </c>
      <c r="P1651" s="179"/>
      <c r="Q1651" s="725">
        <v>0</v>
      </c>
      <c r="S1651" s="197">
        <v>0</v>
      </c>
      <c r="T1651" s="198">
        <v>0</v>
      </c>
      <c r="U1651" s="335"/>
      <c r="V1651" s="260">
        <v>90</v>
      </c>
    </row>
    <row r="1652" spans="2:22" s="7" customFormat="1" ht="18" customHeight="1">
      <c r="B1652" s="12"/>
      <c r="C1652" s="6" t="s">
        <v>2908</v>
      </c>
      <c r="D1652" s="14" t="s">
        <v>2231</v>
      </c>
      <c r="E1652" s="19" t="s">
        <v>2270</v>
      </c>
      <c r="F1652" s="37"/>
      <c r="G1652" s="37"/>
      <c r="H1652" s="108"/>
      <c r="I1652" s="108"/>
      <c r="J1652" s="108"/>
      <c r="K1652" s="29" t="s">
        <v>5</v>
      </c>
      <c r="L1652" s="139"/>
      <c r="M1652" s="33"/>
      <c r="N1652" s="33">
        <v>44666</v>
      </c>
      <c r="O1652" s="32">
        <v>4003</v>
      </c>
      <c r="P1652" s="6"/>
      <c r="Q1652" s="339"/>
      <c r="U1652" s="21"/>
      <c r="V1652" s="260">
        <v>90</v>
      </c>
    </row>
    <row r="1653" spans="2:22" s="7" customFormat="1" ht="17.25" customHeight="1">
      <c r="B1653" s="12" t="s">
        <v>300</v>
      </c>
      <c r="C1653" s="6" t="s">
        <v>2908</v>
      </c>
      <c r="D1653" s="14" t="s">
        <v>2231</v>
      </c>
      <c r="E1653" s="22">
        <v>5636</v>
      </c>
      <c r="F1653" s="37" t="s">
        <v>230</v>
      </c>
      <c r="G1653" s="839" t="s">
        <v>283</v>
      </c>
      <c r="H1653" s="108">
        <v>50</v>
      </c>
      <c r="I1653" s="109">
        <v>83</v>
      </c>
      <c r="J1653" s="8">
        <f>H1653*I1653</f>
        <v>4150</v>
      </c>
      <c r="K1653" s="39">
        <v>0.27</v>
      </c>
      <c r="L1653" s="39">
        <f>K1653*J1653</f>
        <v>1120.5</v>
      </c>
      <c r="M1653" s="117" t="s">
        <v>349</v>
      </c>
      <c r="N1653" s="33">
        <v>44666</v>
      </c>
      <c r="O1653" s="32">
        <v>4003</v>
      </c>
      <c r="P1653" s="391">
        <f>ROUNDUP(S1653/V1653/VLOOKUP(B1653,$C$2:$F$6,3,FALSE),2)</f>
        <v>0.17</v>
      </c>
      <c r="Q1653" s="322">
        <v>0.17</v>
      </c>
      <c r="R1653" s="322">
        <f>Q1653*J1653</f>
        <v>705.5</v>
      </c>
      <c r="S1653" s="752">
        <v>10.7</v>
      </c>
      <c r="T1653" s="7">
        <f>S1653*J1653</f>
        <v>44405</v>
      </c>
      <c r="U1653" s="876"/>
      <c r="V1653" s="260">
        <v>90</v>
      </c>
    </row>
    <row r="1654" spans="2:22" s="7" customFormat="1" ht="17.25" customHeight="1">
      <c r="B1654" s="12" t="s">
        <v>300</v>
      </c>
      <c r="C1654" s="6" t="s">
        <v>2908</v>
      </c>
      <c r="D1654" s="14" t="s">
        <v>2231</v>
      </c>
      <c r="E1654" s="22">
        <v>5636</v>
      </c>
      <c r="F1654" s="37" t="s">
        <v>230</v>
      </c>
      <c r="G1654" s="839" t="s">
        <v>2909</v>
      </c>
      <c r="H1654" s="108">
        <v>50</v>
      </c>
      <c r="I1654" s="109">
        <v>39</v>
      </c>
      <c r="J1654" s="8">
        <f>H1654*I1654</f>
        <v>1950</v>
      </c>
      <c r="K1654" s="39">
        <v>0.27</v>
      </c>
      <c r="L1654" s="39">
        <f>K1654*J1654</f>
        <v>526.5</v>
      </c>
      <c r="M1654" s="117" t="s">
        <v>349</v>
      </c>
      <c r="N1654" s="33">
        <v>44666</v>
      </c>
      <c r="O1654" s="32">
        <v>4003</v>
      </c>
      <c r="P1654" s="391">
        <f>ROUNDUP(S1654/V1654/VLOOKUP(B1654,$C$2:$F$6,3,FALSE),2)</f>
        <v>0.24000000000000002</v>
      </c>
      <c r="Q1654" s="322">
        <v>0.24</v>
      </c>
      <c r="R1654" s="322">
        <f>Q1654*J1654</f>
        <v>468</v>
      </c>
      <c r="S1654" s="7">
        <v>14.6</v>
      </c>
      <c r="T1654" s="7">
        <f>S1654*J1654</f>
        <v>28470</v>
      </c>
      <c r="U1654" s="778"/>
      <c r="V1654" s="260">
        <v>90</v>
      </c>
    </row>
    <row r="1655" spans="2:22" s="7" customFormat="1" ht="17.25" customHeight="1">
      <c r="B1655" s="12" t="s">
        <v>300</v>
      </c>
      <c r="C1655" s="6" t="s">
        <v>2908</v>
      </c>
      <c r="D1655" s="14" t="s">
        <v>2231</v>
      </c>
      <c r="E1655" s="22">
        <v>5636</v>
      </c>
      <c r="F1655" s="37" t="s">
        <v>230</v>
      </c>
      <c r="G1655" s="839" t="s">
        <v>283</v>
      </c>
      <c r="H1655" s="108">
        <v>50</v>
      </c>
      <c r="I1655" s="109">
        <v>4</v>
      </c>
      <c r="J1655" s="8">
        <f>H1655*I1655</f>
        <v>200</v>
      </c>
      <c r="K1655" s="39">
        <v>0.27</v>
      </c>
      <c r="L1655" s="39">
        <f>K1655*J1655</f>
        <v>54</v>
      </c>
      <c r="M1655" s="117" t="s">
        <v>349</v>
      </c>
      <c r="N1655" s="33">
        <v>44666</v>
      </c>
      <c r="O1655" s="32">
        <v>4003</v>
      </c>
      <c r="P1655" s="391">
        <f>ROUNDUP(S1655/V1655/VLOOKUP(B1655,$C$2:$F$6,3,FALSE),2)</f>
        <v>0.17</v>
      </c>
      <c r="Q1655" s="322">
        <v>0.17</v>
      </c>
      <c r="R1655" s="322">
        <f>Q1655*J1655</f>
        <v>34</v>
      </c>
      <c r="S1655" s="752">
        <v>10.7</v>
      </c>
      <c r="T1655" s="7">
        <f>S1655*J1655</f>
        <v>2140</v>
      </c>
      <c r="U1655" s="876"/>
      <c r="V1655" s="260">
        <v>90</v>
      </c>
    </row>
    <row r="1656" spans="2:22" s="7" customFormat="1" ht="17.25" customHeight="1">
      <c r="B1656" s="12" t="s">
        <v>300</v>
      </c>
      <c r="C1656" s="6" t="s">
        <v>2908</v>
      </c>
      <c r="D1656" s="14" t="s">
        <v>2231</v>
      </c>
      <c r="E1656" s="22">
        <v>5636</v>
      </c>
      <c r="F1656" s="37" t="s">
        <v>230</v>
      </c>
      <c r="G1656" s="839" t="s">
        <v>2101</v>
      </c>
      <c r="H1656" s="108">
        <v>50</v>
      </c>
      <c r="I1656" s="109">
        <v>4</v>
      </c>
      <c r="J1656" s="8">
        <f>H1656*I1656</f>
        <v>200</v>
      </c>
      <c r="K1656" s="39">
        <v>0.27</v>
      </c>
      <c r="L1656" s="39">
        <f>K1656*J1656</f>
        <v>54</v>
      </c>
      <c r="M1656" s="117" t="s">
        <v>349</v>
      </c>
      <c r="N1656" s="33">
        <v>44666</v>
      </c>
      <c r="O1656" s="32">
        <v>4003</v>
      </c>
      <c r="P1656" s="391">
        <f>ROUNDUP(S1656/V1656/VLOOKUP(B1656,$C$2:$F$6,3,FALSE),2)</f>
        <v>0.24000000000000002</v>
      </c>
      <c r="Q1656" s="322">
        <v>0.24</v>
      </c>
      <c r="R1656" s="322">
        <f>Q1656*J1656</f>
        <v>48</v>
      </c>
      <c r="S1656" s="7">
        <v>14.6</v>
      </c>
      <c r="T1656" s="7">
        <f>S1656*J1656</f>
        <v>2920</v>
      </c>
      <c r="U1656" s="778"/>
      <c r="V1656" s="260">
        <v>90</v>
      </c>
    </row>
    <row r="1657" spans="2:22" s="7" customFormat="1" ht="15">
      <c r="B1657" s="12"/>
      <c r="C1657" s="6" t="s">
        <v>2908</v>
      </c>
      <c r="D1657" s="14" t="s">
        <v>2231</v>
      </c>
      <c r="E1657" s="82"/>
      <c r="F1657" s="102"/>
      <c r="G1657" s="22" t="s">
        <v>316</v>
      </c>
      <c r="H1657" s="8"/>
      <c r="I1657" s="35"/>
      <c r="J1657" s="38">
        <v>1</v>
      </c>
      <c r="K1657" s="39">
        <v>12</v>
      </c>
      <c r="L1657" s="39">
        <f>K1657*J1657</f>
        <v>12</v>
      </c>
      <c r="M1657" s="91"/>
      <c r="N1657" s="33">
        <v>44666</v>
      </c>
      <c r="O1657" s="32">
        <v>4003</v>
      </c>
      <c r="P1657" s="6"/>
      <c r="Q1657" s="322">
        <v>12</v>
      </c>
      <c r="R1657" s="322">
        <f>Q1657*J1657</f>
        <v>12</v>
      </c>
      <c r="S1657" s="7">
        <v>1100</v>
      </c>
      <c r="T1657" s="7">
        <v>1100</v>
      </c>
      <c r="U1657" s="21"/>
      <c r="V1657" s="260">
        <v>90</v>
      </c>
    </row>
    <row r="1658" spans="2:22" s="191" customFormat="1" ht="15">
      <c r="B1658" s="190"/>
      <c r="C1658" s="179" t="s">
        <v>2910</v>
      </c>
      <c r="D1658" s="180" t="s">
        <v>2231</v>
      </c>
      <c r="E1658" s="181"/>
      <c r="F1658" s="622"/>
      <c r="G1658" s="182" t="s">
        <v>250</v>
      </c>
      <c r="H1658" s="184" t="s">
        <v>251</v>
      </c>
      <c r="I1658" s="185"/>
      <c r="J1658" s="183"/>
      <c r="K1658" s="192">
        <v>0</v>
      </c>
      <c r="L1658" s="188"/>
      <c r="M1658" s="187"/>
      <c r="N1658" s="187">
        <v>44666</v>
      </c>
      <c r="O1658" s="186">
        <v>4003</v>
      </c>
      <c r="P1658" s="179"/>
      <c r="Q1658" s="725">
        <v>0</v>
      </c>
      <c r="S1658" s="197">
        <v>0</v>
      </c>
      <c r="T1658" s="198">
        <v>0</v>
      </c>
      <c r="U1658" s="335"/>
      <c r="V1658" s="260">
        <v>90</v>
      </c>
    </row>
    <row r="1659" spans="2:22" s="7" customFormat="1" ht="18" customHeight="1">
      <c r="B1659" s="12"/>
      <c r="C1659" s="6" t="s">
        <v>2911</v>
      </c>
      <c r="D1659" s="14" t="s">
        <v>2912</v>
      </c>
      <c r="E1659" s="19" t="s">
        <v>59</v>
      </c>
      <c r="F1659" s="107"/>
      <c r="G1659" s="22"/>
      <c r="H1659" s="108"/>
      <c r="I1659" s="109"/>
      <c r="J1659" s="108"/>
      <c r="K1659" s="29" t="s">
        <v>5</v>
      </c>
      <c r="L1659" s="144"/>
      <c r="M1659" s="11"/>
      <c r="N1659" s="33">
        <v>44643</v>
      </c>
      <c r="O1659" s="32">
        <v>4026</v>
      </c>
      <c r="P1659" s="14"/>
      <c r="Q1659" s="322"/>
      <c r="U1659" s="14"/>
      <c r="V1659" s="260">
        <v>90</v>
      </c>
    </row>
    <row r="1660" spans="2:22" s="7" customFormat="1" ht="18" customHeight="1">
      <c r="B1660" s="12" t="s">
        <v>302</v>
      </c>
      <c r="C1660" s="6" t="s">
        <v>2911</v>
      </c>
      <c r="D1660" s="14" t="s">
        <v>2912</v>
      </c>
      <c r="E1660" s="22" t="s">
        <v>2913</v>
      </c>
      <c r="F1660" s="107">
        <v>146</v>
      </c>
      <c r="G1660" s="22" t="s">
        <v>2914</v>
      </c>
      <c r="H1660" s="108">
        <v>45</v>
      </c>
      <c r="I1660" s="109">
        <v>1</v>
      </c>
      <c r="J1660" s="108">
        <f>H1660*I1660</f>
        <v>45</v>
      </c>
      <c r="K1660" s="39">
        <v>10.7</v>
      </c>
      <c r="L1660" s="39">
        <f>K1660*J1660</f>
        <v>481.49999999999994</v>
      </c>
      <c r="M1660" s="117" t="s">
        <v>349</v>
      </c>
      <c r="N1660" s="33">
        <v>44643</v>
      </c>
      <c r="O1660" s="32">
        <v>4026</v>
      </c>
      <c r="P1660" s="391">
        <f>ROUNDUP(S1660/V1660/VLOOKUP(B1660,$C$2:$F$6,3,FALSE),2)</f>
        <v>9.73</v>
      </c>
      <c r="Q1660" s="322">
        <v>9.73</v>
      </c>
      <c r="R1660" s="322">
        <f>Q1660*J1660</f>
        <v>437.85</v>
      </c>
      <c r="S1660" s="7">
        <v>770</v>
      </c>
      <c r="T1660" s="7">
        <f>S1660*J1660</f>
        <v>34650</v>
      </c>
      <c r="U1660" s="21"/>
      <c r="V1660" s="260">
        <v>90</v>
      </c>
    </row>
    <row r="1661" spans="2:22" s="143" customFormat="1" ht="15">
      <c r="B1661" s="276"/>
      <c r="C1661" s="142" t="s">
        <v>2911</v>
      </c>
      <c r="D1661" s="90" t="s">
        <v>2912</v>
      </c>
      <c r="E1661" s="153"/>
      <c r="F1661" s="116"/>
      <c r="G1661" s="153" t="s">
        <v>316</v>
      </c>
      <c r="H1661" s="140"/>
      <c r="I1661" s="141"/>
      <c r="J1661" s="36">
        <v>1</v>
      </c>
      <c r="K1661" s="154">
        <v>0</v>
      </c>
      <c r="L1661" s="154">
        <f>K1661*J1661</f>
        <v>0</v>
      </c>
      <c r="M1661" s="366"/>
      <c r="N1661" s="878">
        <v>44643</v>
      </c>
      <c r="O1661" s="879">
        <v>4026</v>
      </c>
      <c r="P1661" s="142"/>
      <c r="Q1661" s="154">
        <v>20</v>
      </c>
      <c r="R1661" s="773">
        <f>Q1661*J1661</f>
        <v>20</v>
      </c>
      <c r="S1661" s="143">
        <v>0</v>
      </c>
      <c r="T1661" s="143">
        <f>S1661*J1661</f>
        <v>0</v>
      </c>
      <c r="U1661" s="746"/>
      <c r="V1661" s="279">
        <v>90</v>
      </c>
    </row>
    <row r="1662" spans="2:22" s="191" customFormat="1" ht="15">
      <c r="B1662" s="190"/>
      <c r="C1662" s="179" t="s">
        <v>2911</v>
      </c>
      <c r="D1662" s="180" t="s">
        <v>2912</v>
      </c>
      <c r="E1662" s="181"/>
      <c r="F1662" s="622"/>
      <c r="G1662" s="182" t="s">
        <v>250</v>
      </c>
      <c r="H1662" s="184" t="s">
        <v>251</v>
      </c>
      <c r="I1662" s="185"/>
      <c r="J1662" s="183"/>
      <c r="K1662" s="192">
        <v>0</v>
      </c>
      <c r="L1662" s="188"/>
      <c r="M1662" s="187"/>
      <c r="N1662" s="187">
        <v>44643</v>
      </c>
      <c r="O1662" s="186">
        <v>4026</v>
      </c>
      <c r="P1662" s="179"/>
      <c r="Q1662" s="725">
        <v>0</v>
      </c>
      <c r="S1662" s="197">
        <v>0</v>
      </c>
      <c r="T1662" s="198">
        <v>0</v>
      </c>
      <c r="U1662" s="335"/>
      <c r="V1662" s="260">
        <v>90</v>
      </c>
    </row>
    <row r="1663" spans="2:22" customFormat="1" ht="18" customHeight="1">
      <c r="B1663" s="26"/>
      <c r="C1663" s="6" t="s">
        <v>2915</v>
      </c>
      <c r="D1663" s="14" t="s">
        <v>2723</v>
      </c>
      <c r="E1663" s="19" t="s">
        <v>227</v>
      </c>
      <c r="F1663" s="37"/>
      <c r="G1663" s="37"/>
      <c r="H1663" s="108"/>
      <c r="I1663" s="108"/>
      <c r="J1663" s="108"/>
      <c r="K1663" s="29" t="s">
        <v>101</v>
      </c>
      <c r="L1663" s="139"/>
      <c r="M1663" s="33"/>
      <c r="N1663" s="33">
        <v>44649</v>
      </c>
      <c r="O1663" s="32">
        <v>4020</v>
      </c>
      <c r="P1663" s="6"/>
      <c r="Q1663" s="339"/>
      <c r="R1663" s="1"/>
      <c r="S1663" s="7"/>
      <c r="T1663" s="7"/>
      <c r="U1663" s="21"/>
      <c r="V1663" s="260">
        <v>90</v>
      </c>
    </row>
    <row r="1664" spans="2:22" customFormat="1" ht="18" customHeight="1">
      <c r="B1664" s="26" t="s">
        <v>300</v>
      </c>
      <c r="C1664" s="6" t="s">
        <v>2915</v>
      </c>
      <c r="D1664" s="14" t="s">
        <v>2723</v>
      </c>
      <c r="E1664" s="22">
        <v>2250</v>
      </c>
      <c r="F1664" s="37">
        <v>12</v>
      </c>
      <c r="G1664" s="880" t="s">
        <v>2916</v>
      </c>
      <c r="H1664" s="108">
        <v>30</v>
      </c>
      <c r="I1664" s="881">
        <v>7</v>
      </c>
      <c r="J1664" s="8">
        <f>H1664*I1664</f>
        <v>210</v>
      </c>
      <c r="K1664" s="39">
        <v>0.33</v>
      </c>
      <c r="L1664" s="39">
        <f>K1664*J1664</f>
        <v>69.3</v>
      </c>
      <c r="M1664" s="117" t="s">
        <v>349</v>
      </c>
      <c r="N1664" s="33">
        <v>44649</v>
      </c>
      <c r="O1664" s="32">
        <v>4020</v>
      </c>
      <c r="P1664" s="391">
        <f>ROUNDUP(S1664/V1664/VLOOKUP(B1664,$C$2:$F$6,3,FALSE),2)</f>
        <v>0.28000000000000003</v>
      </c>
      <c r="Q1664" s="322">
        <v>0.28000000000000003</v>
      </c>
      <c r="R1664" s="701">
        <f>Q1664*J1664</f>
        <v>58.800000000000004</v>
      </c>
      <c r="S1664" s="7">
        <v>17.5</v>
      </c>
      <c r="T1664" s="7">
        <f>S1664*J1664</f>
        <v>3675</v>
      </c>
      <c r="U1664" s="39"/>
      <c r="V1664" s="260">
        <v>90</v>
      </c>
    </row>
    <row r="1665" spans="1:22" customFormat="1" ht="18" customHeight="1">
      <c r="A1665" s="1"/>
      <c r="B1665" s="26" t="s">
        <v>300</v>
      </c>
      <c r="C1665" s="6" t="s">
        <v>2915</v>
      </c>
      <c r="D1665" s="14" t="s">
        <v>2723</v>
      </c>
      <c r="E1665" s="22">
        <v>2250</v>
      </c>
      <c r="F1665" s="37">
        <v>12</v>
      </c>
      <c r="G1665" s="880" t="s">
        <v>2917</v>
      </c>
      <c r="H1665" s="108">
        <v>30</v>
      </c>
      <c r="I1665" s="882">
        <v>3</v>
      </c>
      <c r="J1665" s="8">
        <f>H1665*I1665</f>
        <v>90</v>
      </c>
      <c r="K1665" s="39">
        <v>0.33</v>
      </c>
      <c r="L1665" s="39">
        <f>K1665*J1665</f>
        <v>29.700000000000003</v>
      </c>
      <c r="M1665" s="117" t="s">
        <v>349</v>
      </c>
      <c r="N1665" s="33">
        <v>44649</v>
      </c>
      <c r="O1665" s="32">
        <v>4020</v>
      </c>
      <c r="P1665" s="391">
        <f>ROUNDUP(S1665/V1665/VLOOKUP(B1665,$C$2:$F$6,3,FALSE),2)</f>
        <v>0.28000000000000003</v>
      </c>
      <c r="Q1665" s="322">
        <v>0.28000000000000003</v>
      </c>
      <c r="R1665" s="701">
        <f>Q1665*J1665</f>
        <v>25.200000000000003</v>
      </c>
      <c r="S1665" s="7">
        <v>17.5</v>
      </c>
      <c r="T1665" s="7">
        <f>S1665*J1665</f>
        <v>1575</v>
      </c>
      <c r="U1665" s="39"/>
      <c r="V1665" s="260">
        <v>90</v>
      </c>
    </row>
    <row r="1666" spans="1:22" customFormat="1" ht="18" customHeight="1">
      <c r="A1666" s="1"/>
      <c r="B1666" s="26" t="s">
        <v>300</v>
      </c>
      <c r="C1666" s="6" t="s">
        <v>2915</v>
      </c>
      <c r="D1666" s="14" t="s">
        <v>2723</v>
      </c>
      <c r="E1666" s="22">
        <v>2250</v>
      </c>
      <c r="F1666" s="37">
        <v>12</v>
      </c>
      <c r="G1666" s="880" t="s">
        <v>2918</v>
      </c>
      <c r="H1666" s="108">
        <v>30</v>
      </c>
      <c r="I1666" s="881">
        <v>6</v>
      </c>
      <c r="J1666" s="8">
        <f>H1666*I1666</f>
        <v>180</v>
      </c>
      <c r="K1666" s="39">
        <v>0.33</v>
      </c>
      <c r="L1666" s="39">
        <f>K1666*J1666</f>
        <v>59.400000000000006</v>
      </c>
      <c r="M1666" s="117" t="s">
        <v>349</v>
      </c>
      <c r="N1666" s="33">
        <v>44649</v>
      </c>
      <c r="O1666" s="32">
        <v>4020</v>
      </c>
      <c r="P1666" s="391">
        <f>ROUNDUP(S1666/V1666/VLOOKUP(B1666,$C$2:$F$6,3,FALSE),2)</f>
        <v>0.28000000000000003</v>
      </c>
      <c r="Q1666" s="322">
        <v>0.28000000000000003</v>
      </c>
      <c r="R1666" s="701">
        <f>Q1666*J1666</f>
        <v>50.400000000000006</v>
      </c>
      <c r="S1666" s="7">
        <v>17.5</v>
      </c>
      <c r="T1666" s="7">
        <f>S1666*J1666</f>
        <v>3150</v>
      </c>
      <c r="U1666" s="39"/>
      <c r="V1666" s="260">
        <v>90</v>
      </c>
    </row>
    <row r="1667" spans="1:22" s="7" customFormat="1" ht="15.75">
      <c r="B1667" s="12"/>
      <c r="C1667" s="6" t="s">
        <v>2915</v>
      </c>
      <c r="D1667" s="14" t="s">
        <v>2723</v>
      </c>
      <c r="E1667" s="22"/>
      <c r="F1667" s="102"/>
      <c r="G1667" s="22" t="s">
        <v>316</v>
      </c>
      <c r="H1667" s="8"/>
      <c r="I1667" s="35"/>
      <c r="J1667" s="38">
        <v>1</v>
      </c>
      <c r="K1667" s="39">
        <v>15</v>
      </c>
      <c r="L1667" s="39">
        <f>K1667*J1667</f>
        <v>15</v>
      </c>
      <c r="M1667" s="117"/>
      <c r="N1667" s="33">
        <v>44649</v>
      </c>
      <c r="O1667" s="32">
        <v>4020</v>
      </c>
      <c r="P1667" s="6"/>
      <c r="Q1667" s="322">
        <v>12</v>
      </c>
      <c r="R1667" s="701">
        <f>Q1667*J1667</f>
        <v>12</v>
      </c>
      <c r="S1667" s="7">
        <v>0</v>
      </c>
      <c r="T1667" s="7">
        <f>S1667*J1667</f>
        <v>0</v>
      </c>
      <c r="U1667" s="21"/>
      <c r="V1667" s="260">
        <v>90</v>
      </c>
    </row>
    <row r="1668" spans="1:22" s="191" customFormat="1" ht="15">
      <c r="B1668" s="190"/>
      <c r="C1668" s="179" t="s">
        <v>2915</v>
      </c>
      <c r="D1668" s="180" t="s">
        <v>2723</v>
      </c>
      <c r="E1668" s="181"/>
      <c r="F1668" s="182"/>
      <c r="G1668" s="182" t="s">
        <v>324</v>
      </c>
      <c r="H1668" s="184" t="s">
        <v>252</v>
      </c>
      <c r="I1668" s="185"/>
      <c r="J1668" s="183"/>
      <c r="K1668" s="192">
        <v>70</v>
      </c>
      <c r="L1668" s="188"/>
      <c r="M1668" s="187"/>
      <c r="N1668" s="187">
        <v>44649</v>
      </c>
      <c r="O1668" s="186">
        <v>4020</v>
      </c>
      <c r="P1668" s="179"/>
      <c r="Q1668" s="725">
        <v>60</v>
      </c>
      <c r="R1668" s="701">
        <v>60</v>
      </c>
      <c r="S1668" s="197">
        <v>2893</v>
      </c>
      <c r="T1668" s="198">
        <v>2893</v>
      </c>
      <c r="U1668" s="335"/>
      <c r="V1668" s="260">
        <v>90</v>
      </c>
    </row>
    <row r="1669" spans="1:22" s="7" customFormat="1" ht="18" customHeight="1">
      <c r="B1669" s="12"/>
      <c r="C1669" s="6" t="s">
        <v>2919</v>
      </c>
      <c r="D1669" s="14" t="s">
        <v>2378</v>
      </c>
      <c r="E1669" s="19" t="s">
        <v>2901</v>
      </c>
      <c r="F1669" s="37"/>
      <c r="G1669" s="37"/>
      <c r="H1669" s="108"/>
      <c r="I1669" s="108"/>
      <c r="J1669" s="108"/>
      <c r="K1669" s="110" t="s">
        <v>5</v>
      </c>
      <c r="L1669" s="139"/>
      <c r="M1669" s="33"/>
      <c r="N1669" s="33">
        <v>44648</v>
      </c>
      <c r="O1669" s="32">
        <v>4028</v>
      </c>
      <c r="P1669" s="6"/>
      <c r="Q1669" s="339"/>
      <c r="U1669" s="21"/>
      <c r="V1669" s="260">
        <v>90</v>
      </c>
    </row>
    <row r="1670" spans="1:22" s="7" customFormat="1" ht="18" customHeight="1">
      <c r="B1670" s="12" t="s">
        <v>300</v>
      </c>
      <c r="C1670" s="6" t="s">
        <v>2919</v>
      </c>
      <c r="D1670" s="14" t="s">
        <v>2378</v>
      </c>
      <c r="E1670" s="22">
        <v>7583</v>
      </c>
      <c r="F1670" s="37"/>
      <c r="G1670" s="37" t="s">
        <v>2920</v>
      </c>
      <c r="H1670" s="108">
        <v>30</v>
      </c>
      <c r="I1670" s="109">
        <v>2</v>
      </c>
      <c r="J1670" s="8">
        <f>I1670*H1670</f>
        <v>60</v>
      </c>
      <c r="K1670" s="39">
        <v>0.45</v>
      </c>
      <c r="L1670" s="39">
        <f>K1670*J1670</f>
        <v>27</v>
      </c>
      <c r="M1670" s="117" t="s">
        <v>349</v>
      </c>
      <c r="N1670" s="33">
        <v>44648</v>
      </c>
      <c r="O1670" s="32">
        <v>4028</v>
      </c>
      <c r="P1670" s="391">
        <f>ROUNDUP(S1670/V1670/VLOOKUP(B1670,$C$2:$F$6,3,FALSE),2)</f>
        <v>0.37</v>
      </c>
      <c r="Q1670" s="322">
        <v>0.37</v>
      </c>
      <c r="R1670" s="322">
        <f>Q1670*J1670</f>
        <v>22.2</v>
      </c>
      <c r="S1670" s="7">
        <v>23</v>
      </c>
      <c r="T1670" s="7">
        <f>S1670*J1670</f>
        <v>1380</v>
      </c>
      <c r="U1670" s="21"/>
      <c r="V1670" s="260">
        <v>90</v>
      </c>
    </row>
    <row r="1671" spans="1:22" s="7" customFormat="1" ht="18" customHeight="1">
      <c r="B1671" s="12"/>
      <c r="C1671" s="6" t="s">
        <v>2919</v>
      </c>
      <c r="D1671" s="14" t="s">
        <v>2378</v>
      </c>
      <c r="E1671" s="19" t="s">
        <v>2882</v>
      </c>
      <c r="F1671" s="107"/>
      <c r="G1671" s="22"/>
      <c r="H1671" s="108"/>
      <c r="I1671" s="109"/>
      <c r="J1671" s="108"/>
      <c r="K1671" s="29" t="s">
        <v>5</v>
      </c>
      <c r="L1671" s="139"/>
      <c r="M1671" s="33"/>
      <c r="N1671" s="33">
        <v>44648</v>
      </c>
      <c r="O1671" s="32">
        <v>4028</v>
      </c>
      <c r="P1671" s="14"/>
      <c r="Q1671" s="322"/>
      <c r="U1671" s="14"/>
      <c r="V1671" s="260">
        <v>90</v>
      </c>
    </row>
    <row r="1672" spans="1:22" s="7" customFormat="1" ht="18" customHeight="1">
      <c r="B1672" s="12" t="s">
        <v>300</v>
      </c>
      <c r="C1672" s="6" t="s">
        <v>2919</v>
      </c>
      <c r="D1672" s="14" t="s">
        <v>2378</v>
      </c>
      <c r="E1672" s="22" t="s">
        <v>2468</v>
      </c>
      <c r="F1672" s="107"/>
      <c r="G1672" s="22" t="s">
        <v>100</v>
      </c>
      <c r="H1672" s="108">
        <v>13.7</v>
      </c>
      <c r="I1672" s="109">
        <v>15</v>
      </c>
      <c r="J1672" s="131">
        <f>H1672*I1672</f>
        <v>205.5</v>
      </c>
      <c r="K1672" s="39">
        <v>1.75</v>
      </c>
      <c r="L1672" s="39">
        <f>K1672*J1672</f>
        <v>359.625</v>
      </c>
      <c r="M1672" s="117" t="s">
        <v>349</v>
      </c>
      <c r="N1672" s="33">
        <v>44648</v>
      </c>
      <c r="O1672" s="32">
        <v>4028</v>
      </c>
      <c r="P1672" s="391">
        <f>ROUNDUP(S1672/V1672/VLOOKUP(B1672,$C$2:$F$6,3,FALSE),2)</f>
        <v>1.02</v>
      </c>
      <c r="Q1672" s="611">
        <v>1.02</v>
      </c>
      <c r="R1672" s="322">
        <f>Q1672*J1672</f>
        <v>209.61</v>
      </c>
      <c r="S1672" s="7">
        <v>64</v>
      </c>
      <c r="T1672" s="7">
        <f>S1672*J1672</f>
        <v>13152</v>
      </c>
      <c r="U1672" s="21"/>
      <c r="V1672" s="260">
        <v>90</v>
      </c>
    </row>
    <row r="1673" spans="1:22" s="7" customFormat="1" ht="18" customHeight="1">
      <c r="B1673" s="12" t="s">
        <v>300</v>
      </c>
      <c r="C1673" s="6" t="s">
        <v>2921</v>
      </c>
      <c r="D1673" s="14" t="s">
        <v>2378</v>
      </c>
      <c r="E1673" s="22" t="s">
        <v>2468</v>
      </c>
      <c r="F1673" s="107"/>
      <c r="G1673" s="22" t="s">
        <v>100</v>
      </c>
      <c r="H1673" s="108">
        <v>13.7</v>
      </c>
      <c r="I1673" s="109">
        <v>4</v>
      </c>
      <c r="J1673" s="131">
        <f>H1673*I1673</f>
        <v>54.8</v>
      </c>
      <c r="K1673" s="39">
        <v>1.75</v>
      </c>
      <c r="L1673" s="39">
        <f>K1673*J1673</f>
        <v>95.899999999999991</v>
      </c>
      <c r="M1673" s="117" t="s">
        <v>349</v>
      </c>
      <c r="N1673" s="33">
        <v>44648</v>
      </c>
      <c r="O1673" s="32">
        <v>4028</v>
      </c>
      <c r="P1673" s="391">
        <f>ROUNDUP(S1673/V1673/VLOOKUP(B1673,$C$2:$F$6,3,FALSE),2)</f>
        <v>1.02</v>
      </c>
      <c r="Q1673" s="611">
        <v>1.02</v>
      </c>
      <c r="R1673" s="322">
        <f>Q1673*J1673</f>
        <v>55.896000000000001</v>
      </c>
      <c r="S1673" s="7">
        <v>64</v>
      </c>
      <c r="T1673" s="7">
        <f>S1673*J1673</f>
        <v>3507.2</v>
      </c>
      <c r="U1673" s="21"/>
      <c r="V1673" s="260">
        <v>90</v>
      </c>
    </row>
    <row r="1674" spans="1:22" s="7" customFormat="1" ht="18" customHeight="1">
      <c r="B1674" s="12"/>
      <c r="C1674" s="6" t="s">
        <v>2922</v>
      </c>
      <c r="D1674" s="14" t="s">
        <v>2378</v>
      </c>
      <c r="E1674" s="17" t="s">
        <v>160</v>
      </c>
      <c r="F1674" s="319"/>
      <c r="G1674" s="299"/>
      <c r="H1674" s="300" t="s">
        <v>355</v>
      </c>
      <c r="I1674" s="320"/>
      <c r="J1674" s="321"/>
      <c r="K1674" s="110" t="s">
        <v>101</v>
      </c>
      <c r="L1674" s="139"/>
      <c r="M1674" s="33"/>
      <c r="N1674" s="33">
        <v>44648</v>
      </c>
      <c r="O1674" s="32">
        <v>4028</v>
      </c>
      <c r="P1674" s="6"/>
      <c r="Q1674" s="322"/>
      <c r="U1674" s="39"/>
      <c r="V1674" s="260">
        <v>90</v>
      </c>
    </row>
    <row r="1675" spans="1:22" s="7" customFormat="1" ht="18" customHeight="1">
      <c r="B1675" s="12" t="s">
        <v>300</v>
      </c>
      <c r="C1675" s="6" t="s">
        <v>2922</v>
      </c>
      <c r="D1675" s="14" t="s">
        <v>2378</v>
      </c>
      <c r="E1675" s="22">
        <v>14552</v>
      </c>
      <c r="F1675" s="24">
        <v>30</v>
      </c>
      <c r="G1675" s="22" t="s">
        <v>176</v>
      </c>
      <c r="H1675" s="108">
        <v>30</v>
      </c>
      <c r="I1675" s="109">
        <v>3</v>
      </c>
      <c r="J1675" s="8">
        <f>H1675*I1675</f>
        <v>90</v>
      </c>
      <c r="K1675" s="39">
        <v>1.62</v>
      </c>
      <c r="L1675" s="39">
        <f>K1675*J1675</f>
        <v>145.80000000000001</v>
      </c>
      <c r="M1675" s="117" t="s">
        <v>349</v>
      </c>
      <c r="N1675" s="33">
        <v>44648</v>
      </c>
      <c r="O1675" s="32">
        <v>4028</v>
      </c>
      <c r="P1675" s="391">
        <f>ROUNDUP(S1675/V1675/VLOOKUP(B1675,$C$2:$F$6,3,FALSE),2)</f>
        <v>1.39</v>
      </c>
      <c r="Q1675" s="358">
        <v>1.39</v>
      </c>
      <c r="R1675" s="322">
        <f>Q1675*J1675</f>
        <v>125.1</v>
      </c>
      <c r="S1675" s="7">
        <v>87</v>
      </c>
      <c r="T1675" s="7">
        <f>S1675*J1675</f>
        <v>7830</v>
      </c>
      <c r="U1675" s="267"/>
      <c r="V1675" s="260">
        <v>90</v>
      </c>
    </row>
    <row r="1676" spans="1:22" s="7" customFormat="1" ht="18" customHeight="1">
      <c r="B1676" s="12" t="s">
        <v>300</v>
      </c>
      <c r="C1676" s="6" t="s">
        <v>2922</v>
      </c>
      <c r="D1676" s="14" t="s">
        <v>2378</v>
      </c>
      <c r="E1676" s="22">
        <v>14552</v>
      </c>
      <c r="F1676" s="24">
        <v>38</v>
      </c>
      <c r="G1676" s="22" t="s">
        <v>176</v>
      </c>
      <c r="H1676" s="108">
        <v>30</v>
      </c>
      <c r="I1676" s="109">
        <v>3</v>
      </c>
      <c r="J1676" s="8">
        <f>H1676*I1676</f>
        <v>90</v>
      </c>
      <c r="K1676" s="39">
        <v>1.78</v>
      </c>
      <c r="L1676" s="39">
        <f>K1676*J1676</f>
        <v>160.19999999999999</v>
      </c>
      <c r="M1676" s="117" t="s">
        <v>349</v>
      </c>
      <c r="N1676" s="33">
        <v>44648</v>
      </c>
      <c r="O1676" s="32">
        <v>4028</v>
      </c>
      <c r="P1676" s="391">
        <f>ROUNDUP(S1676/V1676/VLOOKUP(B1676,$C$2:$F$6,3,FALSE),2)</f>
        <v>1.53</v>
      </c>
      <c r="Q1676" s="358">
        <v>1.53</v>
      </c>
      <c r="R1676" s="322">
        <f>Q1676*J1676</f>
        <v>137.69999999999999</v>
      </c>
      <c r="S1676" s="7">
        <v>96</v>
      </c>
      <c r="T1676" s="7">
        <f>S1676*J1676</f>
        <v>8640</v>
      </c>
      <c r="U1676" s="267"/>
      <c r="V1676" s="260">
        <v>90</v>
      </c>
    </row>
    <row r="1677" spans="1:22" s="7" customFormat="1" ht="18" customHeight="1">
      <c r="B1677" s="12"/>
      <c r="C1677" s="6" t="s">
        <v>2922</v>
      </c>
      <c r="D1677" s="14" t="s">
        <v>2378</v>
      </c>
      <c r="E1677" s="22"/>
      <c r="F1677" s="102"/>
      <c r="G1677" s="22" t="s">
        <v>316</v>
      </c>
      <c r="H1677" s="8"/>
      <c r="I1677" s="35"/>
      <c r="J1677" s="38">
        <v>4</v>
      </c>
      <c r="K1677" s="39">
        <v>12</v>
      </c>
      <c r="L1677" s="39">
        <f>K1677*J1677</f>
        <v>48</v>
      </c>
      <c r="M1677" s="33"/>
      <c r="N1677" s="33">
        <v>44648</v>
      </c>
      <c r="O1677" s="32">
        <v>4028</v>
      </c>
      <c r="P1677" s="391">
        <v>12</v>
      </c>
      <c r="Q1677" s="322">
        <v>48</v>
      </c>
      <c r="R1677" s="322">
        <v>48</v>
      </c>
      <c r="S1677" s="7">
        <f>1100+900+900+1000</f>
        <v>3900</v>
      </c>
      <c r="T1677" s="7">
        <v>3900</v>
      </c>
      <c r="U1677" s="21"/>
      <c r="V1677" s="260">
        <v>90</v>
      </c>
    </row>
    <row r="1678" spans="1:22" s="191" customFormat="1" ht="15">
      <c r="A1678" s="7"/>
      <c r="B1678" s="12"/>
      <c r="C1678" s="179" t="s">
        <v>2922</v>
      </c>
      <c r="D1678" s="180" t="s">
        <v>2378</v>
      </c>
      <c r="E1678" s="217"/>
      <c r="F1678" s="182"/>
      <c r="G1678" s="182" t="s">
        <v>250</v>
      </c>
      <c r="H1678" s="184" t="s">
        <v>252</v>
      </c>
      <c r="I1678" s="185"/>
      <c r="J1678" s="183"/>
      <c r="K1678" s="333">
        <v>65</v>
      </c>
      <c r="L1678" s="188"/>
      <c r="M1678" s="187"/>
      <c r="N1678" s="187">
        <v>44648</v>
      </c>
      <c r="O1678" s="186">
        <v>4028</v>
      </c>
      <c r="P1678" s="179"/>
      <c r="Q1678" s="334">
        <v>65</v>
      </c>
      <c r="R1678" s="322">
        <v>65</v>
      </c>
      <c r="S1678" s="197">
        <v>5848</v>
      </c>
      <c r="T1678" s="197">
        <v>5848</v>
      </c>
      <c r="U1678" s="335"/>
      <c r="V1678" s="260">
        <v>90</v>
      </c>
    </row>
    <row r="1679" spans="1:22" s="7" customFormat="1" ht="18" customHeight="1">
      <c r="B1679" s="12"/>
      <c r="C1679" s="6" t="s">
        <v>2923</v>
      </c>
      <c r="D1679" s="14" t="s">
        <v>2924</v>
      </c>
      <c r="E1679" s="19" t="s">
        <v>10</v>
      </c>
      <c r="F1679" s="107"/>
      <c r="G1679" s="22"/>
      <c r="H1679" s="108"/>
      <c r="I1679" s="109"/>
      <c r="J1679" s="108"/>
      <c r="K1679" s="29" t="s">
        <v>5</v>
      </c>
      <c r="L1679" s="39"/>
      <c r="M1679" s="91"/>
      <c r="N1679" s="33">
        <v>44648</v>
      </c>
      <c r="O1679" s="32">
        <v>4041</v>
      </c>
      <c r="P1679" s="14"/>
      <c r="Q1679" s="322"/>
      <c r="U1679" s="14"/>
      <c r="V1679" s="260">
        <v>90</v>
      </c>
    </row>
    <row r="1680" spans="1:22" s="7" customFormat="1" ht="18" customHeight="1">
      <c r="B1680" s="12" t="s">
        <v>302</v>
      </c>
      <c r="C1680" s="6" t="s">
        <v>2923</v>
      </c>
      <c r="D1680" s="14" t="s">
        <v>2924</v>
      </c>
      <c r="E1680" s="22" t="s">
        <v>6</v>
      </c>
      <c r="F1680" s="107">
        <v>160</v>
      </c>
      <c r="G1680" s="883" t="s">
        <v>2925</v>
      </c>
      <c r="H1680" s="108"/>
      <c r="I1680" s="109"/>
      <c r="J1680" s="8">
        <v>1</v>
      </c>
      <c r="K1680" s="39">
        <v>4.45</v>
      </c>
      <c r="L1680" s="39">
        <f t="shared" ref="L1680:L1685" si="90">K1680*J1680</f>
        <v>4.45</v>
      </c>
      <c r="M1680" s="117" t="s">
        <v>349</v>
      </c>
      <c r="N1680" s="33">
        <v>44648</v>
      </c>
      <c r="O1680" s="32">
        <v>4041</v>
      </c>
      <c r="P1680" s="391">
        <v>4.04</v>
      </c>
      <c r="Q1680" s="322">
        <v>4.04</v>
      </c>
      <c r="R1680" s="322">
        <f>Q1680*J1680</f>
        <v>4.04</v>
      </c>
      <c r="S1680" s="7">
        <v>320</v>
      </c>
      <c r="T1680" s="7">
        <f t="shared" ref="T1680:T1685" si="91">S1680*J1680</f>
        <v>320</v>
      </c>
      <c r="U1680" s="21"/>
      <c r="V1680" s="260">
        <v>90</v>
      </c>
    </row>
    <row r="1681" spans="2:22" s="7" customFormat="1" ht="18" customHeight="1">
      <c r="B1681" s="12" t="s">
        <v>302</v>
      </c>
      <c r="C1681" s="6" t="s">
        <v>2923</v>
      </c>
      <c r="D1681" s="14" t="s">
        <v>2924</v>
      </c>
      <c r="E1681" s="22" t="s">
        <v>6</v>
      </c>
      <c r="F1681" s="107">
        <v>160</v>
      </c>
      <c r="G1681" s="884" t="s">
        <v>2926</v>
      </c>
      <c r="H1681" s="108"/>
      <c r="I1681" s="109"/>
      <c r="J1681" s="8">
        <v>1</v>
      </c>
      <c r="K1681" s="39">
        <v>4.45</v>
      </c>
      <c r="L1681" s="39">
        <f t="shared" si="90"/>
        <v>4.45</v>
      </c>
      <c r="M1681" s="117" t="s">
        <v>322</v>
      </c>
      <c r="N1681" s="33">
        <v>44648</v>
      </c>
      <c r="O1681" s="32">
        <v>4041</v>
      </c>
      <c r="P1681" s="391">
        <v>4.04</v>
      </c>
      <c r="Q1681" s="322">
        <v>4.04</v>
      </c>
      <c r="R1681" s="322">
        <f>Q1681*J1681</f>
        <v>4.04</v>
      </c>
      <c r="S1681" s="7">
        <v>320</v>
      </c>
      <c r="T1681" s="7">
        <f t="shared" si="91"/>
        <v>320</v>
      </c>
      <c r="U1681" s="21"/>
      <c r="V1681" s="260">
        <v>90</v>
      </c>
    </row>
    <row r="1682" spans="2:22" s="7" customFormat="1" ht="18" customHeight="1">
      <c r="B1682" s="12" t="s">
        <v>302</v>
      </c>
      <c r="C1682" s="6" t="s">
        <v>2923</v>
      </c>
      <c r="D1682" s="14" t="s">
        <v>2924</v>
      </c>
      <c r="E1682" s="22" t="s">
        <v>6</v>
      </c>
      <c r="F1682" s="107">
        <v>160</v>
      </c>
      <c r="G1682" s="883" t="s">
        <v>2927</v>
      </c>
      <c r="H1682" s="108"/>
      <c r="I1682" s="109"/>
      <c r="J1682" s="8">
        <v>1</v>
      </c>
      <c r="K1682" s="39">
        <v>4.45</v>
      </c>
      <c r="L1682" s="39">
        <f t="shared" si="90"/>
        <v>4.45</v>
      </c>
      <c r="M1682" s="117" t="s">
        <v>349</v>
      </c>
      <c r="N1682" s="33">
        <v>44648</v>
      </c>
      <c r="O1682" s="32">
        <v>4041</v>
      </c>
      <c r="P1682" s="391">
        <v>4.04</v>
      </c>
      <c r="Q1682" s="322">
        <v>4.04</v>
      </c>
      <c r="R1682" s="322">
        <f>Q1682*J1682</f>
        <v>4.04</v>
      </c>
      <c r="S1682" s="7">
        <v>320</v>
      </c>
      <c r="T1682" s="7">
        <f t="shared" si="91"/>
        <v>320</v>
      </c>
      <c r="U1682" s="21"/>
      <c r="V1682" s="260">
        <v>90</v>
      </c>
    </row>
    <row r="1683" spans="2:22" s="7" customFormat="1" ht="18" customHeight="1">
      <c r="B1683" s="12" t="s">
        <v>302</v>
      </c>
      <c r="C1683" s="6" t="s">
        <v>2923</v>
      </c>
      <c r="D1683" s="14" t="s">
        <v>2924</v>
      </c>
      <c r="E1683" s="22" t="s">
        <v>6</v>
      </c>
      <c r="F1683" s="107">
        <v>160</v>
      </c>
      <c r="G1683" s="883" t="s">
        <v>2928</v>
      </c>
      <c r="H1683" s="108"/>
      <c r="I1683" s="109"/>
      <c r="J1683" s="8">
        <v>1</v>
      </c>
      <c r="K1683" s="39">
        <v>4.45</v>
      </c>
      <c r="L1683" s="39">
        <f t="shared" si="90"/>
        <v>4.45</v>
      </c>
      <c r="M1683" s="117" t="s">
        <v>322</v>
      </c>
      <c r="N1683" s="33">
        <v>44648</v>
      </c>
      <c r="O1683" s="32">
        <v>4041</v>
      </c>
      <c r="P1683" s="391">
        <v>4.04</v>
      </c>
      <c r="Q1683" s="322">
        <v>4.04</v>
      </c>
      <c r="R1683" s="322">
        <f>Q1683*J1683</f>
        <v>4.04</v>
      </c>
      <c r="S1683" s="7">
        <v>320</v>
      </c>
      <c r="T1683" s="7">
        <f t="shared" si="91"/>
        <v>320</v>
      </c>
      <c r="U1683" s="21"/>
      <c r="V1683" s="260">
        <v>90</v>
      </c>
    </row>
    <row r="1684" spans="2:22" s="7" customFormat="1" ht="15">
      <c r="B1684" s="12"/>
      <c r="C1684" s="6" t="s">
        <v>2923</v>
      </c>
      <c r="D1684" s="14" t="s">
        <v>2924</v>
      </c>
      <c r="E1684" s="22"/>
      <c r="F1684" s="102"/>
      <c r="G1684" s="22" t="s">
        <v>236</v>
      </c>
      <c r="H1684" s="8"/>
      <c r="I1684" s="35"/>
      <c r="J1684" s="38">
        <v>4</v>
      </c>
      <c r="K1684" s="39">
        <v>15</v>
      </c>
      <c r="L1684" s="39">
        <f t="shared" si="90"/>
        <v>60</v>
      </c>
      <c r="M1684" s="91"/>
      <c r="N1684" s="33">
        <v>44648</v>
      </c>
      <c r="O1684" s="32">
        <v>4041</v>
      </c>
      <c r="P1684" s="391">
        <v>12</v>
      </c>
      <c r="Q1684" s="322">
        <v>48</v>
      </c>
      <c r="R1684" s="322">
        <v>48</v>
      </c>
      <c r="S1684" s="7">
        <v>1000</v>
      </c>
      <c r="T1684" s="7">
        <f t="shared" si="91"/>
        <v>4000</v>
      </c>
      <c r="U1684" s="21"/>
      <c r="V1684" s="260">
        <v>90</v>
      </c>
    </row>
    <row r="1685" spans="2:22" s="7" customFormat="1" ht="15">
      <c r="B1685" s="12"/>
      <c r="C1685" s="6" t="s">
        <v>2923</v>
      </c>
      <c r="D1685" s="14" t="s">
        <v>2924</v>
      </c>
      <c r="E1685" s="22"/>
      <c r="F1685" s="102"/>
      <c r="G1685" s="22" t="s">
        <v>316</v>
      </c>
      <c r="H1685" s="8"/>
      <c r="I1685" s="35"/>
      <c r="J1685" s="38">
        <v>1</v>
      </c>
      <c r="K1685" s="39">
        <v>15</v>
      </c>
      <c r="L1685" s="39">
        <f t="shared" si="90"/>
        <v>15</v>
      </c>
      <c r="M1685" s="91"/>
      <c r="N1685" s="33">
        <v>44648</v>
      </c>
      <c r="O1685" s="32">
        <v>4041</v>
      </c>
      <c r="P1685" s="6" t="s">
        <v>3</v>
      </c>
      <c r="Q1685" s="322">
        <v>12</v>
      </c>
      <c r="R1685" s="322">
        <f>Q1685*J1685</f>
        <v>12</v>
      </c>
      <c r="S1685" s="7">
        <v>1000</v>
      </c>
      <c r="T1685" s="7">
        <f t="shared" si="91"/>
        <v>1000</v>
      </c>
      <c r="U1685" s="21"/>
      <c r="V1685" s="260">
        <v>90</v>
      </c>
    </row>
    <row r="1686" spans="2:22" s="191" customFormat="1" ht="15">
      <c r="B1686" s="190"/>
      <c r="C1686" s="179" t="s">
        <v>2923</v>
      </c>
      <c r="D1686" s="180" t="s">
        <v>2924</v>
      </c>
      <c r="E1686" s="217"/>
      <c r="F1686" s="182"/>
      <c r="G1686" s="182" t="s">
        <v>250</v>
      </c>
      <c r="H1686" s="184" t="s">
        <v>252</v>
      </c>
      <c r="I1686" s="185"/>
      <c r="J1686" s="183"/>
      <c r="K1686" s="203">
        <v>28</v>
      </c>
      <c r="L1686" s="188"/>
      <c r="M1686" s="187"/>
      <c r="N1686" s="187">
        <v>44648</v>
      </c>
      <c r="O1686" s="186">
        <v>4041</v>
      </c>
      <c r="P1686" s="179"/>
      <c r="Q1686" s="747">
        <v>28</v>
      </c>
      <c r="R1686" s="322">
        <v>28</v>
      </c>
      <c r="S1686" s="212">
        <v>2515</v>
      </c>
      <c r="T1686" s="198">
        <v>2515</v>
      </c>
      <c r="U1686" s="335"/>
      <c r="V1686" s="260">
        <v>90</v>
      </c>
    </row>
    <row r="1687" spans="2:22" customFormat="1" ht="15">
      <c r="B1687" s="26"/>
      <c r="C1687" s="6" t="s">
        <v>2929</v>
      </c>
      <c r="D1687" s="14" t="s">
        <v>1963</v>
      </c>
      <c r="E1687" s="19" t="s">
        <v>59</v>
      </c>
      <c r="F1687" s="107"/>
      <c r="G1687" s="22"/>
      <c r="H1687" s="108"/>
      <c r="I1687" s="109"/>
      <c r="J1687" s="108"/>
      <c r="K1687" s="110" t="s">
        <v>5</v>
      </c>
      <c r="L1687" s="33"/>
      <c r="M1687" s="33"/>
      <c r="N1687" s="33">
        <v>44645</v>
      </c>
      <c r="O1687" s="32">
        <v>4039</v>
      </c>
      <c r="P1687" s="14"/>
      <c r="Q1687" s="254"/>
      <c r="R1687" s="1"/>
      <c r="S1687" s="261"/>
      <c r="T1687" s="92"/>
      <c r="U1687" s="264"/>
      <c r="V1687" s="260">
        <v>90</v>
      </c>
    </row>
    <row r="1688" spans="2:22" customFormat="1" ht="15.75">
      <c r="B1688" s="12" t="s">
        <v>302</v>
      </c>
      <c r="C1688" s="6" t="s">
        <v>2929</v>
      </c>
      <c r="D1688" s="14" t="s">
        <v>1963</v>
      </c>
      <c r="E1688" s="22">
        <v>2440</v>
      </c>
      <c r="F1688" s="107">
        <v>140</v>
      </c>
      <c r="G1688" s="22" t="s">
        <v>90</v>
      </c>
      <c r="H1688" s="108">
        <v>5</v>
      </c>
      <c r="I1688" s="109">
        <v>1</v>
      </c>
      <c r="J1688" s="8">
        <f>H1688*I1688</f>
        <v>5</v>
      </c>
      <c r="K1688" s="39">
        <v>3.34</v>
      </c>
      <c r="L1688" s="39">
        <f>K1688*J1688</f>
        <v>16.7</v>
      </c>
      <c r="M1688" s="117" t="s">
        <v>323</v>
      </c>
      <c r="N1688" s="33">
        <v>44645</v>
      </c>
      <c r="O1688" s="32">
        <v>4039</v>
      </c>
      <c r="P1688" s="391">
        <v>3.03</v>
      </c>
      <c r="Q1688" s="254">
        <v>3.03</v>
      </c>
      <c r="R1688" s="323">
        <f>Q1688*J1688</f>
        <v>15.149999999999999</v>
      </c>
      <c r="S1688" s="273">
        <v>240</v>
      </c>
      <c r="T1688" s="287">
        <f>S1688*J1688</f>
        <v>1200</v>
      </c>
      <c r="U1688" s="264"/>
      <c r="V1688" s="260">
        <v>90</v>
      </c>
    </row>
    <row r="1689" spans="2:22" s="7" customFormat="1" ht="15">
      <c r="B1689" s="12"/>
      <c r="C1689" s="6" t="s">
        <v>2929</v>
      </c>
      <c r="D1689" s="14" t="s">
        <v>1963</v>
      </c>
      <c r="E1689" s="22"/>
      <c r="F1689" s="102"/>
      <c r="G1689" s="22" t="s">
        <v>2625</v>
      </c>
      <c r="H1689" s="38"/>
      <c r="I1689" s="35"/>
      <c r="J1689" s="38">
        <v>1</v>
      </c>
      <c r="K1689" s="39">
        <v>15</v>
      </c>
      <c r="L1689" s="39">
        <f>K1689*J1689</f>
        <v>15</v>
      </c>
      <c r="M1689" s="91"/>
      <c r="N1689" s="33">
        <v>44645</v>
      </c>
      <c r="O1689" s="32">
        <v>4039</v>
      </c>
      <c r="P1689" s="391">
        <v>12</v>
      </c>
      <c r="Q1689" s="322">
        <f>P1689*J1689</f>
        <v>12</v>
      </c>
      <c r="R1689" s="322">
        <v>12</v>
      </c>
      <c r="S1689" s="7">
        <v>1000</v>
      </c>
      <c r="T1689" s="7">
        <f>S1689*J1689</f>
        <v>1000</v>
      </c>
      <c r="U1689" s="21"/>
      <c r="V1689" s="260">
        <v>90</v>
      </c>
    </row>
    <row r="1690" spans="2:22" s="7" customFormat="1" ht="17.25" customHeight="1">
      <c r="B1690" s="12"/>
      <c r="C1690" s="6" t="s">
        <v>2929</v>
      </c>
      <c r="D1690" s="14" t="s">
        <v>1963</v>
      </c>
      <c r="E1690" s="19" t="s">
        <v>238</v>
      </c>
      <c r="F1690" s="107"/>
      <c r="G1690" s="22"/>
      <c r="H1690" s="108"/>
      <c r="I1690" s="109"/>
      <c r="J1690" s="108"/>
      <c r="K1690" s="29" t="s">
        <v>5</v>
      </c>
      <c r="L1690" s="139"/>
      <c r="M1690" s="33"/>
      <c r="N1690" s="33">
        <v>44645</v>
      </c>
      <c r="O1690" s="32">
        <v>4039</v>
      </c>
      <c r="P1690" s="14"/>
      <c r="Q1690" s="322"/>
      <c r="U1690" s="14"/>
      <c r="V1690" s="260">
        <v>90</v>
      </c>
    </row>
    <row r="1691" spans="2:22" s="7" customFormat="1" ht="18" customHeight="1">
      <c r="B1691" s="12" t="s">
        <v>302</v>
      </c>
      <c r="C1691" s="6" t="s">
        <v>2929</v>
      </c>
      <c r="D1691" s="14" t="s">
        <v>1963</v>
      </c>
      <c r="E1691" s="22" t="s">
        <v>239</v>
      </c>
      <c r="F1691" s="107">
        <v>150</v>
      </c>
      <c r="G1691" s="22" t="s">
        <v>2930</v>
      </c>
      <c r="H1691" s="108">
        <v>10</v>
      </c>
      <c r="I1691" s="109">
        <v>2</v>
      </c>
      <c r="J1691" s="8">
        <f>H1691*I1691</f>
        <v>20</v>
      </c>
      <c r="K1691" s="39">
        <v>6.53</v>
      </c>
      <c r="L1691" s="39">
        <f>K1691*J1691</f>
        <v>130.6</v>
      </c>
      <c r="M1691" s="117" t="s">
        <v>349</v>
      </c>
      <c r="N1691" s="33">
        <v>44645</v>
      </c>
      <c r="O1691" s="32">
        <v>4039</v>
      </c>
      <c r="P1691" s="391">
        <f>ROUNDUP(S1691/V1691/VLOOKUP(B1691,$C$2:$F$6,3,FALSE),2)</f>
        <v>5.9399999999999995</v>
      </c>
      <c r="Q1691" s="322">
        <v>5.94</v>
      </c>
      <c r="R1691" s="322">
        <f>Q1691*J1691</f>
        <v>118.80000000000001</v>
      </c>
      <c r="S1691" s="7">
        <v>470</v>
      </c>
      <c r="T1691" s="7">
        <f>S1691*J1691</f>
        <v>9400</v>
      </c>
      <c r="U1691" s="21"/>
      <c r="V1691" s="260">
        <v>90</v>
      </c>
    </row>
    <row r="1692" spans="2:22" s="7" customFormat="1" ht="18" customHeight="1">
      <c r="B1692" s="12" t="s">
        <v>302</v>
      </c>
      <c r="C1692" s="6" t="s">
        <v>2929</v>
      </c>
      <c r="D1692" s="14" t="s">
        <v>1963</v>
      </c>
      <c r="E1692" s="22" t="s">
        <v>239</v>
      </c>
      <c r="F1692" s="107">
        <v>150</v>
      </c>
      <c r="G1692" s="22" t="s">
        <v>2930</v>
      </c>
      <c r="H1692" s="108">
        <v>5</v>
      </c>
      <c r="I1692" s="109">
        <v>1</v>
      </c>
      <c r="J1692" s="8">
        <f>H1692*I1692</f>
        <v>5</v>
      </c>
      <c r="K1692" s="39">
        <v>6.53</v>
      </c>
      <c r="L1692" s="39">
        <f>K1692*J1692</f>
        <v>32.65</v>
      </c>
      <c r="M1692" s="117" t="s">
        <v>349</v>
      </c>
      <c r="N1692" s="33">
        <v>44645</v>
      </c>
      <c r="O1692" s="32">
        <v>4039</v>
      </c>
      <c r="P1692" s="391">
        <f>ROUNDUP(S1692/V1692/VLOOKUP(B1692,$C$2:$F$6,3,FALSE),2)</f>
        <v>5.9399999999999995</v>
      </c>
      <c r="Q1692" s="322">
        <v>5.94</v>
      </c>
      <c r="R1692" s="322">
        <f>Q1692*J1692</f>
        <v>29.700000000000003</v>
      </c>
      <c r="S1692" s="7">
        <v>470</v>
      </c>
      <c r="T1692" s="7">
        <f>S1692*J1692</f>
        <v>2350</v>
      </c>
      <c r="U1692" s="21"/>
      <c r="V1692" s="260">
        <v>90</v>
      </c>
    </row>
    <row r="1693" spans="2:22" s="7" customFormat="1" ht="15">
      <c r="B1693" s="12"/>
      <c r="C1693" s="6" t="s">
        <v>2929</v>
      </c>
      <c r="D1693" s="14" t="s">
        <v>1963</v>
      </c>
      <c r="E1693" s="22"/>
      <c r="F1693" s="102"/>
      <c r="G1693" s="22" t="s">
        <v>2625</v>
      </c>
      <c r="H1693" s="38"/>
      <c r="I1693" s="35"/>
      <c r="J1693" s="38">
        <v>3</v>
      </c>
      <c r="K1693" s="39">
        <v>15</v>
      </c>
      <c r="L1693" s="39">
        <f>K1693*J1693</f>
        <v>45</v>
      </c>
      <c r="M1693" s="91"/>
      <c r="N1693" s="33">
        <v>44645</v>
      </c>
      <c r="O1693" s="32">
        <v>4039</v>
      </c>
      <c r="P1693" s="391">
        <v>12</v>
      </c>
      <c r="Q1693" s="322">
        <f>P1693*J1693</f>
        <v>36</v>
      </c>
      <c r="R1693" s="322">
        <v>36</v>
      </c>
      <c r="S1693" s="7">
        <v>1000</v>
      </c>
      <c r="T1693" s="7">
        <f>S1693*J1693</f>
        <v>3000</v>
      </c>
      <c r="U1693" s="21"/>
      <c r="V1693" s="260">
        <v>90</v>
      </c>
    </row>
    <row r="1694" spans="2:22" s="7" customFormat="1" ht="15">
      <c r="B1694" s="12"/>
      <c r="C1694" s="6" t="s">
        <v>2929</v>
      </c>
      <c r="D1694" s="14" t="s">
        <v>1963</v>
      </c>
      <c r="E1694" s="49"/>
      <c r="F1694" s="102"/>
      <c r="G1694" s="22" t="s">
        <v>316</v>
      </c>
      <c r="H1694" s="38"/>
      <c r="I1694" s="35"/>
      <c r="J1694" s="38">
        <v>1</v>
      </c>
      <c r="K1694" s="39">
        <v>20</v>
      </c>
      <c r="L1694" s="39">
        <f>K1694*J1694</f>
        <v>20</v>
      </c>
      <c r="M1694" s="91"/>
      <c r="N1694" s="33">
        <v>44645</v>
      </c>
      <c r="O1694" s="32">
        <v>4039</v>
      </c>
      <c r="P1694" s="722"/>
      <c r="Q1694" s="322">
        <v>20</v>
      </c>
      <c r="R1694" s="322">
        <f>Q1694*J1694</f>
        <v>20</v>
      </c>
      <c r="S1694" s="7">
        <v>1000</v>
      </c>
      <c r="T1694" s="7">
        <f>S1694*J1694</f>
        <v>1000</v>
      </c>
      <c r="U1694" s="21"/>
      <c r="V1694" s="260">
        <v>90</v>
      </c>
    </row>
    <row r="1695" spans="2:22" s="191" customFormat="1" ht="15">
      <c r="B1695" s="190"/>
      <c r="C1695" s="179" t="s">
        <v>2929</v>
      </c>
      <c r="D1695" s="180" t="s">
        <v>1963</v>
      </c>
      <c r="E1695" s="181"/>
      <c r="F1695" s="182"/>
      <c r="G1695" s="182" t="s">
        <v>250</v>
      </c>
      <c r="H1695" s="184" t="s">
        <v>251</v>
      </c>
      <c r="I1695" s="185"/>
      <c r="J1695" s="183"/>
      <c r="K1695" s="192">
        <v>0</v>
      </c>
      <c r="L1695" s="188"/>
      <c r="M1695" s="187"/>
      <c r="N1695" s="187">
        <v>44645</v>
      </c>
      <c r="O1695" s="186">
        <v>4039</v>
      </c>
      <c r="P1695" s="179"/>
      <c r="Q1695" s="725">
        <v>0</v>
      </c>
      <c r="R1695" s="322">
        <f>Q1695*J1695</f>
        <v>0</v>
      </c>
      <c r="S1695" s="197">
        <v>0</v>
      </c>
      <c r="T1695" s="198">
        <v>0</v>
      </c>
      <c r="U1695" s="335"/>
      <c r="V1695" s="260">
        <v>90</v>
      </c>
    </row>
    <row r="1696" spans="2:22" s="7" customFormat="1" ht="18" customHeight="1">
      <c r="B1696" s="12"/>
      <c r="C1696" s="6" t="s">
        <v>2931</v>
      </c>
      <c r="D1696" s="14" t="s">
        <v>2231</v>
      </c>
      <c r="E1696" s="19" t="s">
        <v>2270</v>
      </c>
      <c r="F1696" s="37"/>
      <c r="G1696" s="37"/>
      <c r="H1696" s="108"/>
      <c r="I1696" s="108"/>
      <c r="J1696" s="108"/>
      <c r="K1696" s="29" t="s">
        <v>5</v>
      </c>
      <c r="L1696" s="139"/>
      <c r="M1696" s="33"/>
      <c r="N1696" s="33">
        <v>44673</v>
      </c>
      <c r="O1696" s="32">
        <v>4044</v>
      </c>
      <c r="P1696" s="6"/>
      <c r="Q1696" s="339"/>
      <c r="U1696" s="21"/>
      <c r="V1696" s="260">
        <v>90</v>
      </c>
    </row>
    <row r="1697" spans="2:22" s="7" customFormat="1" ht="17.25" customHeight="1">
      <c r="B1697" s="12" t="s">
        <v>300</v>
      </c>
      <c r="C1697" s="6" t="s">
        <v>2931</v>
      </c>
      <c r="D1697" s="14" t="s">
        <v>2231</v>
      </c>
      <c r="E1697" s="22">
        <v>5636</v>
      </c>
      <c r="F1697" s="37" t="s">
        <v>230</v>
      </c>
      <c r="G1697" s="839" t="s">
        <v>283</v>
      </c>
      <c r="H1697" s="108">
        <v>50</v>
      </c>
      <c r="I1697" s="109">
        <v>41</v>
      </c>
      <c r="J1697" s="8">
        <f>H1697*I1697</f>
        <v>2050</v>
      </c>
      <c r="K1697" s="39">
        <v>0.27</v>
      </c>
      <c r="L1697" s="39">
        <f>K1697*J1697</f>
        <v>553.5</v>
      </c>
      <c r="M1697" s="117" t="s">
        <v>349</v>
      </c>
      <c r="N1697" s="33">
        <v>44673</v>
      </c>
      <c r="O1697" s="32">
        <v>4044</v>
      </c>
      <c r="P1697" s="391">
        <f>ROUNDUP(S1697/V1697/VLOOKUP(B1697,$C$2:$F$6,3,FALSE),2)</f>
        <v>0.17</v>
      </c>
      <c r="Q1697" s="322">
        <v>0.17</v>
      </c>
      <c r="R1697" s="322">
        <f>Q1697*J1697</f>
        <v>348.5</v>
      </c>
      <c r="S1697" s="752">
        <v>10.7</v>
      </c>
      <c r="T1697" s="7">
        <f>S1697*J1697</f>
        <v>21935</v>
      </c>
      <c r="U1697" s="876"/>
      <c r="V1697" s="260">
        <v>90</v>
      </c>
    </row>
    <row r="1698" spans="2:22" s="7" customFormat="1" ht="17.25" customHeight="1">
      <c r="B1698" s="12" t="s">
        <v>300</v>
      </c>
      <c r="C1698" s="6" t="s">
        <v>2931</v>
      </c>
      <c r="D1698" s="14" t="s">
        <v>2231</v>
      </c>
      <c r="E1698" s="22">
        <v>5636</v>
      </c>
      <c r="F1698" s="37" t="s">
        <v>230</v>
      </c>
      <c r="G1698" s="839" t="s">
        <v>2932</v>
      </c>
      <c r="H1698" s="108">
        <v>50</v>
      </c>
      <c r="I1698" s="109">
        <v>13</v>
      </c>
      <c r="J1698" s="8">
        <f>H1698*I1698</f>
        <v>650</v>
      </c>
      <c r="K1698" s="39">
        <v>0.27</v>
      </c>
      <c r="L1698" s="39">
        <f>K1698*J1698</f>
        <v>175.5</v>
      </c>
      <c r="M1698" s="117" t="s">
        <v>349</v>
      </c>
      <c r="N1698" s="33">
        <v>44673</v>
      </c>
      <c r="O1698" s="32">
        <v>4044</v>
      </c>
      <c r="P1698" s="391">
        <f>ROUNDUP(S1698/V1698/VLOOKUP(B1698,$C$2:$F$6,3,FALSE),2)</f>
        <v>0.24000000000000002</v>
      </c>
      <c r="Q1698" s="322">
        <v>0.24</v>
      </c>
      <c r="R1698" s="322">
        <f>Q1698*J1698</f>
        <v>156</v>
      </c>
      <c r="S1698" s="7">
        <v>14.6</v>
      </c>
      <c r="T1698" s="7">
        <f>S1698*J1698</f>
        <v>9490</v>
      </c>
      <c r="U1698" s="778"/>
      <c r="V1698" s="260">
        <v>90</v>
      </c>
    </row>
    <row r="1699" spans="2:22" s="7" customFormat="1" ht="17.25" customHeight="1">
      <c r="B1699" s="12" t="s">
        <v>300</v>
      </c>
      <c r="C1699" s="6" t="s">
        <v>2931</v>
      </c>
      <c r="D1699" s="14" t="s">
        <v>2231</v>
      </c>
      <c r="E1699" s="22">
        <v>5636</v>
      </c>
      <c r="F1699" s="37" t="s">
        <v>230</v>
      </c>
      <c r="G1699" s="839" t="s">
        <v>2933</v>
      </c>
      <c r="H1699" s="108">
        <v>50</v>
      </c>
      <c r="I1699" s="109">
        <v>8</v>
      </c>
      <c r="J1699" s="8">
        <f>H1699*I1699</f>
        <v>400</v>
      </c>
      <c r="K1699" s="39">
        <v>0.27</v>
      </c>
      <c r="L1699" s="39">
        <f>K1699*J1699</f>
        <v>108</v>
      </c>
      <c r="M1699" s="117" t="s">
        <v>349</v>
      </c>
      <c r="N1699" s="33">
        <v>44673</v>
      </c>
      <c r="O1699" s="32">
        <v>4044</v>
      </c>
      <c r="P1699" s="391">
        <f>ROUNDUP(S1699/V1699/VLOOKUP(B1699,$C$2:$F$6,3,FALSE),2)</f>
        <v>0.24000000000000002</v>
      </c>
      <c r="Q1699" s="322">
        <v>0.24</v>
      </c>
      <c r="R1699" s="322">
        <f>Q1699*J1699</f>
        <v>96</v>
      </c>
      <c r="S1699" s="7">
        <v>14.6</v>
      </c>
      <c r="T1699" s="7">
        <f>S1699*J1699</f>
        <v>5840</v>
      </c>
      <c r="U1699" s="778"/>
      <c r="V1699" s="260">
        <v>90</v>
      </c>
    </row>
    <row r="1700" spans="2:22" s="7" customFormat="1" ht="17.25" customHeight="1">
      <c r="B1700" s="12" t="s">
        <v>300</v>
      </c>
      <c r="C1700" s="6" t="s">
        <v>2931</v>
      </c>
      <c r="D1700" s="14" t="s">
        <v>2231</v>
      </c>
      <c r="E1700" s="22">
        <v>5636</v>
      </c>
      <c r="F1700" s="37" t="s">
        <v>230</v>
      </c>
      <c r="G1700" s="839" t="s">
        <v>2934</v>
      </c>
      <c r="H1700" s="108">
        <v>50</v>
      </c>
      <c r="I1700" s="109">
        <v>13</v>
      </c>
      <c r="J1700" s="8">
        <f>H1700*I1700</f>
        <v>650</v>
      </c>
      <c r="K1700" s="39">
        <v>0.27</v>
      </c>
      <c r="L1700" s="39">
        <f>K1700*J1700</f>
        <v>175.5</v>
      </c>
      <c r="M1700" s="117" t="s">
        <v>349</v>
      </c>
      <c r="N1700" s="33">
        <v>44673</v>
      </c>
      <c r="O1700" s="32">
        <v>4044</v>
      </c>
      <c r="P1700" s="391">
        <f>ROUNDUP(S1700/V1700/VLOOKUP(B1700,$C$2:$F$6,3,FALSE),2)</f>
        <v>0.24000000000000002</v>
      </c>
      <c r="Q1700" s="322">
        <v>0.24</v>
      </c>
      <c r="R1700" s="322">
        <f>Q1700*J1700</f>
        <v>156</v>
      </c>
      <c r="S1700" s="7">
        <v>14.6</v>
      </c>
      <c r="T1700" s="7">
        <f>S1700*J1700</f>
        <v>9490</v>
      </c>
      <c r="U1700" s="778"/>
      <c r="V1700" s="260">
        <v>90</v>
      </c>
    </row>
    <row r="1701" spans="2:22" s="7" customFormat="1" ht="15">
      <c r="B1701" s="12"/>
      <c r="C1701" s="6" t="s">
        <v>2931</v>
      </c>
      <c r="D1701" s="14" t="s">
        <v>2231</v>
      </c>
      <c r="E1701" s="82"/>
      <c r="F1701" s="102"/>
      <c r="G1701" s="22" t="s">
        <v>316</v>
      </c>
      <c r="H1701" s="8"/>
      <c r="I1701" s="35"/>
      <c r="J1701" s="38">
        <v>1</v>
      </c>
      <c r="K1701" s="39">
        <v>12</v>
      </c>
      <c r="L1701" s="39">
        <f>K1701*J1701</f>
        <v>12</v>
      </c>
      <c r="M1701" s="91"/>
      <c r="N1701" s="33">
        <v>44673</v>
      </c>
      <c r="O1701" s="32">
        <v>4044</v>
      </c>
      <c r="P1701" s="6"/>
      <c r="Q1701" s="322">
        <v>12</v>
      </c>
      <c r="R1701" s="322">
        <f>Q1701*J1701</f>
        <v>12</v>
      </c>
      <c r="S1701" s="7">
        <v>1100</v>
      </c>
      <c r="T1701" s="7">
        <v>1100</v>
      </c>
      <c r="U1701" s="21"/>
      <c r="V1701" s="260">
        <v>90</v>
      </c>
    </row>
    <row r="1702" spans="2:22" s="191" customFormat="1" ht="15">
      <c r="B1702" s="190"/>
      <c r="C1702" s="179" t="s">
        <v>2931</v>
      </c>
      <c r="D1702" s="180" t="s">
        <v>2231</v>
      </c>
      <c r="E1702" s="181"/>
      <c r="F1702" s="622"/>
      <c r="G1702" s="182" t="s">
        <v>250</v>
      </c>
      <c r="H1702" s="184" t="s">
        <v>251</v>
      </c>
      <c r="I1702" s="185"/>
      <c r="J1702" s="183"/>
      <c r="K1702" s="192">
        <v>0</v>
      </c>
      <c r="L1702" s="188"/>
      <c r="M1702" s="187"/>
      <c r="N1702" s="187">
        <v>44673</v>
      </c>
      <c r="O1702" s="186">
        <v>4044</v>
      </c>
      <c r="P1702" s="179"/>
      <c r="Q1702" s="725">
        <v>0</v>
      </c>
      <c r="S1702" s="197">
        <v>0</v>
      </c>
      <c r="T1702" s="198">
        <v>0</v>
      </c>
      <c r="U1702" s="335"/>
      <c r="V1702" s="260">
        <v>90</v>
      </c>
    </row>
    <row r="1703" spans="2:22" s="7" customFormat="1" ht="18" customHeight="1">
      <c r="B1703" s="12"/>
      <c r="C1703" s="6" t="s">
        <v>2935</v>
      </c>
      <c r="D1703" s="14" t="s">
        <v>2231</v>
      </c>
      <c r="E1703" s="19" t="s">
        <v>2270</v>
      </c>
      <c r="F1703" s="37"/>
      <c r="G1703" s="37"/>
      <c r="H1703" s="108"/>
      <c r="I1703" s="108"/>
      <c r="J1703" s="108"/>
      <c r="K1703" s="29" t="s">
        <v>5</v>
      </c>
      <c r="L1703" s="139"/>
      <c r="M1703" s="33"/>
      <c r="N1703" s="33">
        <v>44673</v>
      </c>
      <c r="O1703" s="32">
        <v>4044</v>
      </c>
      <c r="P1703" s="6"/>
      <c r="Q1703" s="339"/>
      <c r="U1703" s="21"/>
      <c r="V1703" s="260">
        <v>90</v>
      </c>
    </row>
    <row r="1704" spans="2:22" s="7" customFormat="1" ht="17.25" customHeight="1">
      <c r="B1704" s="12" t="s">
        <v>300</v>
      </c>
      <c r="C1704" s="6" t="s">
        <v>2935</v>
      </c>
      <c r="D1704" s="14" t="s">
        <v>2231</v>
      </c>
      <c r="E1704" s="22">
        <v>5636</v>
      </c>
      <c r="F1704" s="37" t="s">
        <v>230</v>
      </c>
      <c r="G1704" s="839" t="s">
        <v>2936</v>
      </c>
      <c r="H1704" s="108">
        <v>50</v>
      </c>
      <c r="I1704" s="109">
        <v>13</v>
      </c>
      <c r="J1704" s="8">
        <f>H1704*I1704</f>
        <v>650</v>
      </c>
      <c r="K1704" s="39">
        <v>0.27</v>
      </c>
      <c r="L1704" s="39">
        <f>K1704*J1704</f>
        <v>175.5</v>
      </c>
      <c r="M1704" s="117" t="s">
        <v>349</v>
      </c>
      <c r="N1704" s="33">
        <v>44673</v>
      </c>
      <c r="O1704" s="32">
        <v>4044</v>
      </c>
      <c r="P1704" s="391">
        <f>ROUNDUP(S1704/V1704/VLOOKUP(B1704,$C$2:$F$6,3,FALSE),2)</f>
        <v>0.24000000000000002</v>
      </c>
      <c r="Q1704" s="322">
        <v>0.24</v>
      </c>
      <c r="R1704" s="322">
        <f>Q1704*J1704</f>
        <v>156</v>
      </c>
      <c r="S1704" s="7">
        <v>14.6</v>
      </c>
      <c r="T1704" s="7">
        <f>S1704*J1704</f>
        <v>9490</v>
      </c>
      <c r="U1704" s="778"/>
      <c r="V1704" s="260">
        <v>90</v>
      </c>
    </row>
    <row r="1705" spans="2:22" s="7" customFormat="1" ht="15">
      <c r="B1705" s="12"/>
      <c r="C1705" s="6" t="s">
        <v>2935</v>
      </c>
      <c r="D1705" s="14" t="s">
        <v>2231</v>
      </c>
      <c r="E1705" s="82"/>
      <c r="F1705" s="102"/>
      <c r="G1705" s="22" t="s">
        <v>316</v>
      </c>
      <c r="H1705" s="8"/>
      <c r="I1705" s="35"/>
      <c r="J1705" s="38">
        <v>1</v>
      </c>
      <c r="K1705" s="39">
        <v>12</v>
      </c>
      <c r="L1705" s="39">
        <f>K1705*J1705</f>
        <v>12</v>
      </c>
      <c r="M1705" s="91"/>
      <c r="N1705" s="33">
        <v>44673</v>
      </c>
      <c r="O1705" s="32">
        <v>4044</v>
      </c>
      <c r="P1705" s="6"/>
      <c r="Q1705" s="322">
        <v>12</v>
      </c>
      <c r="R1705" s="322">
        <f>Q1705*J1705</f>
        <v>12</v>
      </c>
      <c r="S1705" s="7">
        <v>1100</v>
      </c>
      <c r="T1705" s="7">
        <v>1100</v>
      </c>
      <c r="U1705" s="21"/>
      <c r="V1705" s="260">
        <v>90</v>
      </c>
    </row>
    <row r="1706" spans="2:22" s="191" customFormat="1" ht="15">
      <c r="B1706" s="190"/>
      <c r="C1706" s="179" t="s">
        <v>2935</v>
      </c>
      <c r="D1706" s="180" t="s">
        <v>2231</v>
      </c>
      <c r="E1706" s="181"/>
      <c r="F1706" s="622"/>
      <c r="G1706" s="182" t="s">
        <v>250</v>
      </c>
      <c r="H1706" s="184" t="s">
        <v>251</v>
      </c>
      <c r="I1706" s="185"/>
      <c r="J1706" s="183"/>
      <c r="K1706" s="192">
        <v>0</v>
      </c>
      <c r="L1706" s="188"/>
      <c r="M1706" s="187"/>
      <c r="N1706" s="187">
        <v>44673</v>
      </c>
      <c r="O1706" s="186">
        <v>4044</v>
      </c>
      <c r="P1706" s="179"/>
      <c r="Q1706" s="725">
        <v>0</v>
      </c>
      <c r="S1706" s="197">
        <v>0</v>
      </c>
      <c r="T1706" s="198">
        <v>0</v>
      </c>
      <c r="U1706" s="335"/>
      <c r="V1706" s="260">
        <v>90</v>
      </c>
    </row>
    <row r="1707" spans="2:22" customFormat="1" ht="18" customHeight="1">
      <c r="B1707" s="26"/>
      <c r="C1707" s="6" t="s">
        <v>2937</v>
      </c>
      <c r="D1707" s="14" t="s">
        <v>2517</v>
      </c>
      <c r="E1707" s="19" t="s">
        <v>227</v>
      </c>
      <c r="F1707" s="37"/>
      <c r="G1707" s="37"/>
      <c r="H1707" s="108"/>
      <c r="I1707" s="108"/>
      <c r="J1707" s="108"/>
      <c r="K1707" s="29" t="s">
        <v>101</v>
      </c>
      <c r="L1707" s="139"/>
      <c r="M1707" s="33"/>
      <c r="N1707" s="33">
        <v>44655</v>
      </c>
      <c r="O1707" s="32">
        <v>4045</v>
      </c>
      <c r="P1707" s="6"/>
      <c r="Q1707" s="339"/>
      <c r="R1707" s="1"/>
      <c r="S1707" s="7"/>
      <c r="T1707" s="7"/>
      <c r="U1707" s="21"/>
      <c r="V1707" s="260">
        <v>90</v>
      </c>
    </row>
    <row r="1708" spans="2:22" customFormat="1" ht="18" customHeight="1">
      <c r="B1708" s="26" t="s">
        <v>300</v>
      </c>
      <c r="C1708" s="6" t="s">
        <v>2937</v>
      </c>
      <c r="D1708" s="14" t="s">
        <v>2517</v>
      </c>
      <c r="E1708" s="22">
        <v>2250</v>
      </c>
      <c r="F1708" s="37">
        <v>12</v>
      </c>
      <c r="G1708" s="880" t="s">
        <v>2938</v>
      </c>
      <c r="H1708" s="108">
        <v>30</v>
      </c>
      <c r="I1708" s="881">
        <v>6</v>
      </c>
      <c r="J1708" s="8">
        <f>H1708*I1708</f>
        <v>180</v>
      </c>
      <c r="K1708" s="39">
        <v>0.33</v>
      </c>
      <c r="L1708" s="39">
        <f>K1708*J1708</f>
        <v>59.400000000000006</v>
      </c>
      <c r="M1708" s="117" t="s">
        <v>349</v>
      </c>
      <c r="N1708" s="33">
        <v>44655</v>
      </c>
      <c r="O1708" s="32">
        <v>4045</v>
      </c>
      <c r="P1708" s="391">
        <f>ROUNDUP(S1708/V1708/VLOOKUP(B1708,$C$2:$F$6,3,FALSE),2)</f>
        <v>0.28000000000000003</v>
      </c>
      <c r="Q1708" s="322">
        <v>0.28000000000000003</v>
      </c>
      <c r="R1708" s="701">
        <f>Q1708*J1708</f>
        <v>50.400000000000006</v>
      </c>
      <c r="S1708" s="7">
        <v>17.5</v>
      </c>
      <c r="T1708" s="7">
        <f>S1708*J1708</f>
        <v>3150</v>
      </c>
      <c r="U1708" s="39"/>
      <c r="V1708" s="260">
        <v>90</v>
      </c>
    </row>
    <row r="1709" spans="2:22" customFormat="1" ht="18" customHeight="1">
      <c r="B1709" s="26" t="s">
        <v>300</v>
      </c>
      <c r="C1709" s="6" t="s">
        <v>2937</v>
      </c>
      <c r="D1709" s="14" t="s">
        <v>2517</v>
      </c>
      <c r="E1709" s="22">
        <v>2250</v>
      </c>
      <c r="F1709" s="37">
        <v>12</v>
      </c>
      <c r="G1709" s="880" t="s">
        <v>2939</v>
      </c>
      <c r="H1709" s="108">
        <v>30</v>
      </c>
      <c r="I1709" s="882">
        <v>15</v>
      </c>
      <c r="J1709" s="8">
        <f>H1709*I1709</f>
        <v>450</v>
      </c>
      <c r="K1709" s="39">
        <v>0.33</v>
      </c>
      <c r="L1709" s="39">
        <f>K1709*J1709</f>
        <v>148.5</v>
      </c>
      <c r="M1709" s="117" t="s">
        <v>349</v>
      </c>
      <c r="N1709" s="33">
        <v>44655</v>
      </c>
      <c r="O1709" s="32">
        <v>4045</v>
      </c>
      <c r="P1709" s="391">
        <f>ROUNDUP(S1709/V1709/VLOOKUP(B1709,$C$2:$F$6,3,FALSE),2)</f>
        <v>0.28000000000000003</v>
      </c>
      <c r="Q1709" s="322">
        <v>0.28000000000000003</v>
      </c>
      <c r="R1709" s="701">
        <f>Q1709*J1709</f>
        <v>126.00000000000001</v>
      </c>
      <c r="S1709" s="7">
        <v>17.5</v>
      </c>
      <c r="T1709" s="7">
        <f>S1709*J1709</f>
        <v>7875</v>
      </c>
      <c r="U1709" s="39"/>
      <c r="V1709" s="260">
        <v>90</v>
      </c>
    </row>
    <row r="1710" spans="2:22" s="7" customFormat="1" ht="15.75">
      <c r="B1710" s="12"/>
      <c r="C1710" s="6" t="s">
        <v>2937</v>
      </c>
      <c r="D1710" s="14" t="s">
        <v>2517</v>
      </c>
      <c r="E1710" s="22"/>
      <c r="F1710" s="102"/>
      <c r="G1710" s="22" t="s">
        <v>316</v>
      </c>
      <c r="H1710" s="8"/>
      <c r="I1710" s="35"/>
      <c r="J1710" s="38">
        <v>1</v>
      </c>
      <c r="K1710" s="39">
        <v>15</v>
      </c>
      <c r="L1710" s="39">
        <f>K1710*J1710</f>
        <v>15</v>
      </c>
      <c r="M1710" s="117"/>
      <c r="N1710" s="33">
        <v>44655</v>
      </c>
      <c r="O1710" s="32">
        <v>4045</v>
      </c>
      <c r="P1710" s="6"/>
      <c r="Q1710" s="322">
        <v>12</v>
      </c>
      <c r="R1710" s="701">
        <f>Q1710*J1710</f>
        <v>12</v>
      </c>
      <c r="S1710" s="7">
        <v>0</v>
      </c>
      <c r="T1710" s="7">
        <f>S1710*J1710</f>
        <v>0</v>
      </c>
      <c r="U1710" s="21"/>
      <c r="V1710" s="260">
        <v>90</v>
      </c>
    </row>
    <row r="1711" spans="2:22" s="191" customFormat="1" ht="15">
      <c r="B1711" s="190"/>
      <c r="C1711" s="179" t="s">
        <v>2937</v>
      </c>
      <c r="D1711" s="180" t="s">
        <v>2517</v>
      </c>
      <c r="E1711" s="181"/>
      <c r="F1711" s="182"/>
      <c r="G1711" s="182" t="s">
        <v>2940</v>
      </c>
      <c r="H1711" s="184" t="s">
        <v>251</v>
      </c>
      <c r="I1711" s="185"/>
      <c r="J1711" s="183"/>
      <c r="K1711" s="192">
        <v>0</v>
      </c>
      <c r="L1711" s="188"/>
      <c r="M1711" s="187"/>
      <c r="N1711" s="187"/>
      <c r="O1711" s="186"/>
      <c r="P1711" s="179"/>
      <c r="Q1711" s="725">
        <v>0</v>
      </c>
      <c r="S1711" s="197">
        <v>0</v>
      </c>
      <c r="T1711" s="198">
        <v>0</v>
      </c>
      <c r="U1711" s="335"/>
      <c r="V1711" s="260">
        <v>90</v>
      </c>
    </row>
    <row r="1712" spans="2:22" s="7" customFormat="1" ht="15">
      <c r="B1712" s="12"/>
      <c r="C1712" s="843" t="s">
        <v>2941</v>
      </c>
      <c r="D1712" s="14" t="s">
        <v>2329</v>
      </c>
      <c r="E1712" s="19" t="s">
        <v>2942</v>
      </c>
      <c r="F1712" s="107"/>
      <c r="G1712" s="22"/>
      <c r="H1712" s="108"/>
      <c r="I1712" s="109"/>
      <c r="J1712" s="108"/>
      <c r="K1712" s="29" t="s">
        <v>5</v>
      </c>
      <c r="L1712" s="139"/>
      <c r="M1712" s="33"/>
      <c r="N1712" s="33">
        <v>44648</v>
      </c>
      <c r="O1712" s="32">
        <v>4046</v>
      </c>
      <c r="P1712" s="14"/>
      <c r="Q1712" s="322"/>
      <c r="S1712" s="72"/>
      <c r="U1712" s="14"/>
      <c r="V1712" s="260">
        <v>90</v>
      </c>
    </row>
    <row r="1713" spans="1:22" s="7" customFormat="1" ht="15.75">
      <c r="B1713" s="12" t="s">
        <v>300</v>
      </c>
      <c r="C1713" s="843" t="s">
        <v>2941</v>
      </c>
      <c r="D1713" s="14" t="s">
        <v>2329</v>
      </c>
      <c r="E1713" s="821">
        <v>2100</v>
      </c>
      <c r="F1713" s="825">
        <v>50</v>
      </c>
      <c r="G1713" s="22" t="s">
        <v>350</v>
      </c>
      <c r="H1713" s="108">
        <v>30</v>
      </c>
      <c r="I1713" s="109">
        <v>10</v>
      </c>
      <c r="J1713" s="8">
        <f>H1713*I1713</f>
        <v>300</v>
      </c>
      <c r="K1713" s="39">
        <v>3.31</v>
      </c>
      <c r="L1713" s="39">
        <f>K1713*J1713</f>
        <v>993</v>
      </c>
      <c r="M1713" s="117" t="s">
        <v>349</v>
      </c>
      <c r="N1713" s="33">
        <v>44648</v>
      </c>
      <c r="O1713" s="32">
        <v>4046</v>
      </c>
      <c r="P1713" s="391">
        <f>ROUNDUP(S1713/V1713/VLOOKUP(B1713,$C$2:$F$6,3,FALSE),2)</f>
        <v>2.84</v>
      </c>
      <c r="Q1713" s="322">
        <v>2.84</v>
      </c>
      <c r="R1713" s="322">
        <f>Q1713*J1713</f>
        <v>852</v>
      </c>
      <c r="S1713" s="822">
        <v>178.57</v>
      </c>
      <c r="T1713" s="7">
        <f>S1713*J1713</f>
        <v>53571</v>
      </c>
      <c r="U1713" s="21"/>
      <c r="V1713" s="260">
        <v>90</v>
      </c>
    </row>
    <row r="1714" spans="1:22" s="7" customFormat="1" ht="15.75">
      <c r="B1714" s="12" t="s">
        <v>300</v>
      </c>
      <c r="C1714" s="843" t="s">
        <v>2941</v>
      </c>
      <c r="D1714" s="14" t="s">
        <v>2329</v>
      </c>
      <c r="E1714" s="821">
        <v>2100</v>
      </c>
      <c r="F1714" s="825">
        <v>12</v>
      </c>
      <c r="G1714" s="22" t="s">
        <v>350</v>
      </c>
      <c r="H1714" s="108">
        <v>30</v>
      </c>
      <c r="I1714" s="109">
        <v>30</v>
      </c>
      <c r="J1714" s="8">
        <f>H1714*I1714</f>
        <v>900</v>
      </c>
      <c r="K1714" s="39">
        <v>0.81</v>
      </c>
      <c r="L1714" s="39">
        <f>K1714*J1714</f>
        <v>729</v>
      </c>
      <c r="M1714" s="117" t="s">
        <v>349</v>
      </c>
      <c r="N1714" s="33">
        <v>44648</v>
      </c>
      <c r="O1714" s="32">
        <v>4046</v>
      </c>
      <c r="P1714" s="391">
        <f>ROUNDUP(S1714/V1714/VLOOKUP(B1714,$C$2:$F$6,3,FALSE),2)</f>
        <v>0.69</v>
      </c>
      <c r="Q1714" s="322">
        <v>0.69</v>
      </c>
      <c r="R1714" s="322">
        <f>Q1714*J1714</f>
        <v>621</v>
      </c>
      <c r="S1714" s="822">
        <v>43.47</v>
      </c>
      <c r="T1714" s="7">
        <f>S1714*J1714</f>
        <v>39123</v>
      </c>
      <c r="U1714" s="21"/>
      <c r="V1714" s="260">
        <v>90</v>
      </c>
    </row>
    <row r="1715" spans="1:22" s="7" customFormat="1" ht="15">
      <c r="B1715" s="12"/>
      <c r="C1715" s="843" t="s">
        <v>2941</v>
      </c>
      <c r="D1715" s="14" t="s">
        <v>2329</v>
      </c>
      <c r="E1715" s="22"/>
      <c r="F1715" s="102"/>
      <c r="G1715" s="22" t="s">
        <v>316</v>
      </c>
      <c r="H1715" s="8"/>
      <c r="I1715" s="35"/>
      <c r="J1715" s="38">
        <v>1</v>
      </c>
      <c r="K1715" s="137">
        <v>12</v>
      </c>
      <c r="L1715" s="39">
        <f>K1715*J1715</f>
        <v>12</v>
      </c>
      <c r="M1715" s="91"/>
      <c r="N1715" s="33">
        <v>44648</v>
      </c>
      <c r="O1715" s="32">
        <v>4046</v>
      </c>
      <c r="P1715" s="391"/>
      <c r="Q1715" s="334">
        <v>12</v>
      </c>
      <c r="R1715" s="322">
        <f>Q1715*J1715</f>
        <v>12</v>
      </c>
      <c r="S1715" s="92">
        <v>0</v>
      </c>
      <c r="T1715" s="7">
        <f>S1715*J1715</f>
        <v>0</v>
      </c>
      <c r="U1715" s="21"/>
      <c r="V1715" s="260">
        <v>90</v>
      </c>
    </row>
    <row r="1716" spans="1:22" s="191" customFormat="1" ht="15">
      <c r="B1716" s="190"/>
      <c r="C1716" s="844" t="s">
        <v>2941</v>
      </c>
      <c r="D1716" s="180" t="s">
        <v>2329</v>
      </c>
      <c r="E1716" s="181"/>
      <c r="F1716" s="182"/>
      <c r="G1716" s="182" t="s">
        <v>250</v>
      </c>
      <c r="H1716" s="184" t="s">
        <v>252</v>
      </c>
      <c r="I1716" s="185"/>
      <c r="J1716" s="183"/>
      <c r="K1716" s="203">
        <v>77</v>
      </c>
      <c r="L1716" s="188"/>
      <c r="M1716" s="187"/>
      <c r="N1716" s="187">
        <v>44648</v>
      </c>
      <c r="O1716" s="186">
        <v>4046</v>
      </c>
      <c r="P1716" s="179"/>
      <c r="Q1716" s="747">
        <v>77</v>
      </c>
      <c r="R1716" s="322">
        <v>77</v>
      </c>
      <c r="S1716" s="212">
        <v>6886</v>
      </c>
      <c r="T1716" s="212">
        <v>6886</v>
      </c>
      <c r="U1716" s="335"/>
      <c r="V1716" s="260">
        <v>90</v>
      </c>
    </row>
    <row r="1717" spans="1:22" s="7" customFormat="1" ht="18" customHeight="1">
      <c r="B1717" s="12"/>
      <c r="C1717" s="6" t="s">
        <v>2943</v>
      </c>
      <c r="D1717" s="14" t="s">
        <v>2944</v>
      </c>
      <c r="E1717" s="19" t="s">
        <v>2599</v>
      </c>
      <c r="F1717" s="37"/>
      <c r="G1717" s="37"/>
      <c r="H1717" s="108"/>
      <c r="I1717" s="108"/>
      <c r="J1717" s="108"/>
      <c r="K1717" s="29" t="s">
        <v>102</v>
      </c>
      <c r="L1717" s="139"/>
      <c r="M1717" s="33"/>
      <c r="N1717" s="33">
        <v>44645</v>
      </c>
      <c r="O1717" s="32">
        <v>4047</v>
      </c>
      <c r="P1717" s="6"/>
      <c r="Q1717" s="339"/>
      <c r="U1717" s="21"/>
      <c r="V1717" s="260">
        <v>90</v>
      </c>
    </row>
    <row r="1718" spans="1:22" s="7" customFormat="1" ht="17.25" customHeight="1">
      <c r="B1718" s="12" t="s">
        <v>300</v>
      </c>
      <c r="C1718" s="6" t="s">
        <v>2943</v>
      </c>
      <c r="D1718" s="14" t="s">
        <v>2162</v>
      </c>
      <c r="E1718" s="22" t="s">
        <v>2599</v>
      </c>
      <c r="F1718" s="37"/>
      <c r="G1718" s="839"/>
      <c r="H1718" s="108"/>
      <c r="I1718" s="109"/>
      <c r="J1718" s="38">
        <v>1</v>
      </c>
      <c r="K1718" s="39">
        <v>30</v>
      </c>
      <c r="L1718" s="39">
        <f>K1718*J1718</f>
        <v>30</v>
      </c>
      <c r="M1718" s="117" t="s">
        <v>349</v>
      </c>
      <c r="N1718" s="33">
        <v>44645</v>
      </c>
      <c r="O1718" s="32">
        <v>4047</v>
      </c>
      <c r="P1718" s="391"/>
      <c r="Q1718" s="322">
        <v>30</v>
      </c>
      <c r="R1718" s="322">
        <f>Q1718*J1718</f>
        <v>30</v>
      </c>
      <c r="S1718" s="7">
        <f>1750+237+372+300+550+900</f>
        <v>4109</v>
      </c>
      <c r="T1718" s="7">
        <f>S1718*J1718</f>
        <v>4109</v>
      </c>
      <c r="U1718" s="876"/>
      <c r="V1718" s="260">
        <v>90</v>
      </c>
    </row>
    <row r="1719" spans="1:22" s="191" customFormat="1" ht="15">
      <c r="B1719" s="190"/>
      <c r="C1719" s="179" t="s">
        <v>2943</v>
      </c>
      <c r="D1719" s="180" t="s">
        <v>2162</v>
      </c>
      <c r="E1719" s="181"/>
      <c r="F1719" s="622"/>
      <c r="G1719" s="182" t="s">
        <v>250</v>
      </c>
      <c r="H1719" s="184" t="s">
        <v>2945</v>
      </c>
      <c r="I1719" s="185"/>
      <c r="J1719" s="183"/>
      <c r="K1719" s="192">
        <v>0</v>
      </c>
      <c r="L1719" s="188"/>
      <c r="M1719" s="187"/>
      <c r="N1719" s="187">
        <v>44645</v>
      </c>
      <c r="O1719" s="186">
        <v>4047</v>
      </c>
      <c r="P1719" s="179"/>
      <c r="Q1719" s="725">
        <v>0</v>
      </c>
      <c r="S1719" s="197">
        <v>0</v>
      </c>
      <c r="T1719" s="198">
        <v>0</v>
      </c>
      <c r="U1719" s="335"/>
      <c r="V1719" s="260">
        <v>90</v>
      </c>
    </row>
    <row r="1720" spans="1:22" s="7" customFormat="1" ht="18" customHeight="1">
      <c r="B1720" s="12"/>
      <c r="C1720" s="6" t="s">
        <v>2946</v>
      </c>
      <c r="D1720" s="14" t="s">
        <v>2676</v>
      </c>
      <c r="E1720" s="19" t="s">
        <v>2888</v>
      </c>
      <c r="F1720" s="107"/>
      <c r="G1720" s="22"/>
      <c r="H1720" s="108"/>
      <c r="I1720" s="109"/>
      <c r="J1720" s="108"/>
      <c r="K1720" s="29" t="s">
        <v>5</v>
      </c>
      <c r="L1720" s="139"/>
      <c r="M1720" s="33"/>
      <c r="N1720" s="33">
        <v>44649</v>
      </c>
      <c r="O1720" s="32">
        <v>4048</v>
      </c>
      <c r="P1720" s="14"/>
      <c r="Q1720" s="322"/>
      <c r="U1720" s="14"/>
      <c r="V1720" s="260">
        <v>90</v>
      </c>
    </row>
    <row r="1721" spans="1:22" s="7" customFormat="1" ht="18" customHeight="1">
      <c r="B1721" s="12" t="s">
        <v>300</v>
      </c>
      <c r="C1721" s="6" t="s">
        <v>2946</v>
      </c>
      <c r="D1721" s="14" t="s">
        <v>2676</v>
      </c>
      <c r="E1721" s="22" t="s">
        <v>2683</v>
      </c>
      <c r="F1721" s="24">
        <v>40</v>
      </c>
      <c r="G1721" s="22" t="s">
        <v>2890</v>
      </c>
      <c r="H1721" s="108">
        <v>30</v>
      </c>
      <c r="I1721" s="109">
        <v>10</v>
      </c>
      <c r="J1721" s="8">
        <f>H1721*I1721</f>
        <v>300</v>
      </c>
      <c r="K1721" s="39">
        <v>2.13</v>
      </c>
      <c r="L1721" s="39">
        <f>K1721*J1721</f>
        <v>639</v>
      </c>
      <c r="M1721" s="117" t="s">
        <v>2889</v>
      </c>
      <c r="N1721" s="33">
        <v>44649</v>
      </c>
      <c r="O1721" s="32">
        <v>4048</v>
      </c>
      <c r="P1721" s="391">
        <f>ROUNDUP(S1721/V1721/VLOOKUP(B1721,$C$2:$F$6,3,FALSE),2)</f>
        <v>1.77</v>
      </c>
      <c r="Q1721" s="611">
        <v>1.77</v>
      </c>
      <c r="R1721" s="322">
        <f>Q1721*J1721</f>
        <v>531</v>
      </c>
      <c r="S1721" s="7">
        <v>111</v>
      </c>
      <c r="T1721" s="7">
        <f>S1721*J1721</f>
        <v>33300</v>
      </c>
      <c r="U1721" s="21"/>
      <c r="V1721" s="260">
        <v>90</v>
      </c>
    </row>
    <row r="1722" spans="1:22" s="7" customFormat="1" ht="18" customHeight="1">
      <c r="B1722" s="12" t="s">
        <v>300</v>
      </c>
      <c r="C1722" s="6" t="s">
        <v>2946</v>
      </c>
      <c r="D1722" s="14" t="s">
        <v>2676</v>
      </c>
      <c r="E1722" s="22" t="s">
        <v>2683</v>
      </c>
      <c r="F1722" s="24">
        <v>40</v>
      </c>
      <c r="G1722" s="22" t="s">
        <v>128</v>
      </c>
      <c r="H1722" s="108">
        <v>30</v>
      </c>
      <c r="I1722" s="109">
        <v>10</v>
      </c>
      <c r="J1722" s="8">
        <f>H1722*I1722</f>
        <v>300</v>
      </c>
      <c r="K1722" s="39">
        <v>2.13</v>
      </c>
      <c r="L1722" s="39">
        <f>K1722*J1722</f>
        <v>639</v>
      </c>
      <c r="M1722" s="117" t="s">
        <v>2889</v>
      </c>
      <c r="N1722" s="33">
        <v>44649</v>
      </c>
      <c r="O1722" s="32">
        <v>4048</v>
      </c>
      <c r="P1722" s="391">
        <f>ROUNDUP(S1722/V1722/VLOOKUP(B1722,$C$2:$F$6,3,FALSE),2)</f>
        <v>1.83</v>
      </c>
      <c r="Q1722" s="611">
        <v>1.83</v>
      </c>
      <c r="R1722" s="322">
        <f>Q1722*J1722</f>
        <v>549</v>
      </c>
      <c r="S1722" s="7">
        <v>115</v>
      </c>
      <c r="T1722" s="7">
        <f>S1722*J1722</f>
        <v>34500</v>
      </c>
      <c r="U1722" s="21"/>
      <c r="V1722" s="260">
        <v>90</v>
      </c>
    </row>
    <row r="1723" spans="1:22" s="7" customFormat="1" ht="18" customHeight="1">
      <c r="B1723" s="12"/>
      <c r="C1723" s="6" t="s">
        <v>2946</v>
      </c>
      <c r="D1723" s="14" t="s">
        <v>2676</v>
      </c>
      <c r="E1723" s="22"/>
      <c r="F1723" s="24"/>
      <c r="G1723" s="22" t="s">
        <v>316</v>
      </c>
      <c r="H1723" s="8"/>
      <c r="I1723" s="35"/>
      <c r="J1723" s="38">
        <v>1</v>
      </c>
      <c r="K1723" s="39">
        <v>12</v>
      </c>
      <c r="L1723" s="39">
        <f>K1723*J1723</f>
        <v>12</v>
      </c>
      <c r="M1723" s="33"/>
      <c r="N1723" s="33">
        <v>44649</v>
      </c>
      <c r="O1723" s="32">
        <v>4048</v>
      </c>
      <c r="P1723" s="793"/>
      <c r="Q1723" s="322">
        <v>12</v>
      </c>
      <c r="R1723" s="322">
        <f>Q1723*J1723</f>
        <v>12</v>
      </c>
      <c r="S1723" s="7">
        <v>0</v>
      </c>
      <c r="T1723" s="7">
        <f>S1723*J1723</f>
        <v>0</v>
      </c>
      <c r="U1723" s="21"/>
      <c r="V1723" s="260">
        <v>90</v>
      </c>
    </row>
    <row r="1724" spans="1:22" s="191" customFormat="1" ht="15">
      <c r="A1724" s="7"/>
      <c r="B1724" s="12"/>
      <c r="C1724" s="179" t="s">
        <v>2946</v>
      </c>
      <c r="D1724" s="180" t="s">
        <v>2676</v>
      </c>
      <c r="E1724" s="217"/>
      <c r="F1724" s="182"/>
      <c r="G1724" s="182" t="s">
        <v>250</v>
      </c>
      <c r="H1724" s="184" t="s">
        <v>251</v>
      </c>
      <c r="I1724" s="185"/>
      <c r="J1724" s="183"/>
      <c r="K1724" s="192">
        <v>0</v>
      </c>
      <c r="L1724" s="188"/>
      <c r="M1724" s="187"/>
      <c r="N1724" s="187">
        <v>44649</v>
      </c>
      <c r="O1724" s="186">
        <v>4048</v>
      </c>
      <c r="P1724" s="179"/>
      <c r="Q1724" s="725">
        <v>0</v>
      </c>
      <c r="R1724" s="322">
        <f>Q1724*J1724</f>
        <v>0</v>
      </c>
      <c r="S1724" s="197">
        <v>0</v>
      </c>
      <c r="T1724" s="198">
        <v>0</v>
      </c>
      <c r="U1724" s="335"/>
      <c r="V1724" s="260">
        <v>90</v>
      </c>
    </row>
    <row r="1725" spans="1:22" s="7" customFormat="1" ht="17.25" customHeight="1">
      <c r="B1725" s="12"/>
      <c r="C1725" s="6" t="s">
        <v>2947</v>
      </c>
      <c r="D1725" s="14" t="s">
        <v>1963</v>
      </c>
      <c r="E1725" s="19" t="s">
        <v>238</v>
      </c>
      <c r="F1725" s="107"/>
      <c r="G1725" s="22"/>
      <c r="H1725" s="108"/>
      <c r="I1725" s="109"/>
      <c r="J1725" s="108"/>
      <c r="K1725" s="29" t="s">
        <v>5</v>
      </c>
      <c r="L1725" s="139"/>
      <c r="M1725" s="33"/>
      <c r="N1725" s="33">
        <v>44649</v>
      </c>
      <c r="O1725" s="32">
        <v>4049</v>
      </c>
      <c r="P1725" s="14"/>
      <c r="Q1725" s="322"/>
      <c r="U1725" s="14"/>
      <c r="V1725" s="260">
        <v>90</v>
      </c>
    </row>
    <row r="1726" spans="1:22" s="7" customFormat="1" ht="18" customHeight="1">
      <c r="B1726" s="12" t="s">
        <v>302</v>
      </c>
      <c r="C1726" s="6" t="s">
        <v>2947</v>
      </c>
      <c r="D1726" s="14" t="s">
        <v>1963</v>
      </c>
      <c r="E1726" s="22" t="s">
        <v>239</v>
      </c>
      <c r="F1726" s="107">
        <v>150</v>
      </c>
      <c r="G1726" s="22" t="s">
        <v>2930</v>
      </c>
      <c r="H1726" s="108">
        <v>10</v>
      </c>
      <c r="I1726" s="109">
        <v>1</v>
      </c>
      <c r="J1726" s="8">
        <f>H1726*I1726</f>
        <v>10</v>
      </c>
      <c r="K1726" s="39">
        <v>6.53</v>
      </c>
      <c r="L1726" s="39">
        <f>K1726*J1726</f>
        <v>65.3</v>
      </c>
      <c r="M1726" s="117" t="s">
        <v>349</v>
      </c>
      <c r="N1726" s="33">
        <v>44649</v>
      </c>
      <c r="O1726" s="32">
        <v>4049</v>
      </c>
      <c r="P1726" s="391">
        <f>ROUNDUP(S1726/V1726/VLOOKUP(B1726,$C$2:$F$6,3,FALSE),2)</f>
        <v>5.9399999999999995</v>
      </c>
      <c r="Q1726" s="322">
        <v>5.94</v>
      </c>
      <c r="R1726" s="322">
        <f>Q1726*J1726</f>
        <v>59.400000000000006</v>
      </c>
      <c r="S1726" s="7">
        <v>470</v>
      </c>
      <c r="T1726" s="7">
        <f>S1726*J1726</f>
        <v>4700</v>
      </c>
      <c r="U1726" s="21"/>
      <c r="V1726" s="260">
        <v>90</v>
      </c>
    </row>
    <row r="1727" spans="1:22" s="7" customFormat="1" ht="15">
      <c r="B1727" s="12"/>
      <c r="C1727" s="6" t="s">
        <v>2947</v>
      </c>
      <c r="D1727" s="14" t="s">
        <v>1963</v>
      </c>
      <c r="E1727" s="49"/>
      <c r="F1727" s="102"/>
      <c r="G1727" s="22" t="s">
        <v>2625</v>
      </c>
      <c r="H1727" s="38"/>
      <c r="I1727" s="35"/>
      <c r="J1727" s="38">
        <v>1</v>
      </c>
      <c r="K1727" s="39">
        <v>15</v>
      </c>
      <c r="L1727" s="39">
        <f>K1727*J1727</f>
        <v>15</v>
      </c>
      <c r="M1727" s="91"/>
      <c r="N1727" s="33">
        <v>44649</v>
      </c>
      <c r="O1727" s="32">
        <v>4049</v>
      </c>
      <c r="P1727" s="391">
        <v>12</v>
      </c>
      <c r="Q1727" s="322">
        <f>P1727*J1727</f>
        <v>12</v>
      </c>
      <c r="R1727" s="322">
        <v>12</v>
      </c>
      <c r="S1727" s="7">
        <v>1000</v>
      </c>
      <c r="T1727" s="7">
        <f>S1727*J1727</f>
        <v>1000</v>
      </c>
      <c r="U1727" s="21"/>
      <c r="V1727" s="260">
        <v>90</v>
      </c>
    </row>
    <row r="1728" spans="1:22" s="7" customFormat="1" ht="15">
      <c r="B1728" s="12"/>
      <c r="C1728" s="6" t="s">
        <v>2947</v>
      </c>
      <c r="D1728" s="14" t="s">
        <v>1963</v>
      </c>
      <c r="E1728" s="49"/>
      <c r="F1728" s="102"/>
      <c r="G1728" s="22" t="s">
        <v>316</v>
      </c>
      <c r="H1728" s="38"/>
      <c r="I1728" s="35"/>
      <c r="J1728" s="38">
        <v>1</v>
      </c>
      <c r="K1728" s="39">
        <v>20</v>
      </c>
      <c r="L1728" s="39">
        <f>K1728*J1728</f>
        <v>20</v>
      </c>
      <c r="M1728" s="91"/>
      <c r="N1728" s="33">
        <v>44649</v>
      </c>
      <c r="O1728" s="32">
        <v>4049</v>
      </c>
      <c r="P1728" s="722"/>
      <c r="Q1728" s="322">
        <v>20</v>
      </c>
      <c r="R1728" s="322">
        <f>Q1728*J1728</f>
        <v>20</v>
      </c>
      <c r="S1728" s="7">
        <v>1000</v>
      </c>
      <c r="T1728" s="7">
        <f>S1728*J1728</f>
        <v>1000</v>
      </c>
      <c r="U1728" s="21"/>
      <c r="V1728" s="260">
        <v>90</v>
      </c>
    </row>
    <row r="1729" spans="2:22" s="191" customFormat="1" ht="15">
      <c r="B1729" s="190"/>
      <c r="C1729" s="179" t="s">
        <v>2947</v>
      </c>
      <c r="D1729" s="180" t="s">
        <v>1963</v>
      </c>
      <c r="E1729" s="181"/>
      <c r="F1729" s="182"/>
      <c r="G1729" s="182" t="s">
        <v>250</v>
      </c>
      <c r="H1729" s="184" t="s">
        <v>251</v>
      </c>
      <c r="I1729" s="185"/>
      <c r="J1729" s="183"/>
      <c r="K1729" s="192">
        <v>0</v>
      </c>
      <c r="L1729" s="188"/>
      <c r="M1729" s="187"/>
      <c r="N1729" s="187">
        <v>44649</v>
      </c>
      <c r="O1729" s="186">
        <v>4049</v>
      </c>
      <c r="P1729" s="179"/>
      <c r="Q1729" s="725">
        <v>0</v>
      </c>
      <c r="R1729" s="322">
        <f>Q1729*J1729</f>
        <v>0</v>
      </c>
      <c r="S1729" s="197">
        <v>0</v>
      </c>
      <c r="T1729" s="198">
        <v>0</v>
      </c>
      <c r="U1729" s="335"/>
      <c r="V1729" s="260">
        <v>90</v>
      </c>
    </row>
    <row r="1730" spans="2:22" s="7" customFormat="1" ht="18" customHeight="1">
      <c r="B1730" s="12"/>
      <c r="C1730" s="6" t="s">
        <v>2948</v>
      </c>
      <c r="D1730" s="14" t="s">
        <v>2162</v>
      </c>
      <c r="E1730" s="19" t="s">
        <v>2949</v>
      </c>
      <c r="F1730" s="37"/>
      <c r="G1730" s="37"/>
      <c r="H1730" s="108"/>
      <c r="I1730" s="108"/>
      <c r="J1730" s="108"/>
      <c r="K1730" s="29" t="s">
        <v>5</v>
      </c>
      <c r="L1730" s="139"/>
      <c r="M1730" s="33"/>
      <c r="N1730" s="33">
        <v>44651</v>
      </c>
      <c r="O1730" s="32">
        <v>4051</v>
      </c>
      <c r="P1730" s="6"/>
      <c r="Q1730" s="339"/>
      <c r="U1730" s="21"/>
      <c r="V1730" s="260">
        <v>90</v>
      </c>
    </row>
    <row r="1731" spans="2:22" s="7" customFormat="1" ht="17.25" customHeight="1">
      <c r="B1731" s="12" t="s">
        <v>300</v>
      </c>
      <c r="C1731" s="6" t="s">
        <v>2948</v>
      </c>
      <c r="D1731" s="14" t="s">
        <v>2162</v>
      </c>
      <c r="E1731" s="22" t="s">
        <v>2950</v>
      </c>
      <c r="F1731" s="37"/>
      <c r="G1731" s="839" t="s">
        <v>2951</v>
      </c>
      <c r="H1731" s="108">
        <v>30</v>
      </c>
      <c r="I1731" s="109">
        <v>10</v>
      </c>
      <c r="J1731" s="8">
        <f>H1731*I1731</f>
        <v>300</v>
      </c>
      <c r="K1731" s="39">
        <v>0.73</v>
      </c>
      <c r="L1731" s="39">
        <f>K1731*J1731</f>
        <v>219</v>
      </c>
      <c r="M1731" s="117" t="s">
        <v>349</v>
      </c>
      <c r="N1731" s="33">
        <v>44651</v>
      </c>
      <c r="O1731" s="32">
        <v>4051</v>
      </c>
      <c r="P1731" s="391">
        <f>ROUNDUP(S1731/V1731/VLOOKUP(B1731,$C$2:$F$6,3,FALSE),2)</f>
        <v>0.62</v>
      </c>
      <c r="Q1731" s="322">
        <v>0.62</v>
      </c>
      <c r="R1731" s="322">
        <f>Q1731*J1731</f>
        <v>186</v>
      </c>
      <c r="S1731" s="7">
        <v>39</v>
      </c>
      <c r="T1731" s="7">
        <f>S1731*J1731</f>
        <v>11700</v>
      </c>
      <c r="U1731" s="876"/>
      <c r="V1731" s="260">
        <v>90</v>
      </c>
    </row>
    <row r="1732" spans="2:22" s="7" customFormat="1" ht="15">
      <c r="B1732" s="12"/>
      <c r="C1732" s="6" t="s">
        <v>2948</v>
      </c>
      <c r="D1732" s="14" t="s">
        <v>2162</v>
      </c>
      <c r="E1732" s="22"/>
      <c r="F1732" s="102"/>
      <c r="G1732" s="22" t="s">
        <v>316</v>
      </c>
      <c r="H1732" s="8"/>
      <c r="I1732" s="35"/>
      <c r="J1732" s="38">
        <v>1</v>
      </c>
      <c r="K1732" s="39">
        <v>12</v>
      </c>
      <c r="L1732" s="39">
        <f>K1732*J1732</f>
        <v>12</v>
      </c>
      <c r="M1732" s="91"/>
      <c r="N1732" s="33">
        <v>44651</v>
      </c>
      <c r="O1732" s="32">
        <v>4051</v>
      </c>
      <c r="P1732" s="6"/>
      <c r="Q1732" s="322">
        <v>12</v>
      </c>
      <c r="R1732" s="322">
        <f>Q1732*J1732</f>
        <v>12</v>
      </c>
      <c r="S1732" s="7">
        <v>900</v>
      </c>
      <c r="T1732" s="7">
        <f>S1732*J1732</f>
        <v>900</v>
      </c>
      <c r="U1732" s="21"/>
      <c r="V1732" s="260">
        <v>90</v>
      </c>
    </row>
    <row r="1733" spans="2:22" s="191" customFormat="1" ht="15">
      <c r="B1733" s="190"/>
      <c r="C1733" s="179" t="s">
        <v>2948</v>
      </c>
      <c r="D1733" s="180" t="s">
        <v>2162</v>
      </c>
      <c r="E1733" s="217"/>
      <c r="F1733" s="622"/>
      <c r="G1733" s="182" t="s">
        <v>250</v>
      </c>
      <c r="H1733" s="184" t="s">
        <v>251</v>
      </c>
      <c r="I1733" s="185"/>
      <c r="J1733" s="183"/>
      <c r="K1733" s="192">
        <v>0</v>
      </c>
      <c r="L1733" s="188"/>
      <c r="M1733" s="187"/>
      <c r="N1733" s="187">
        <v>44651</v>
      </c>
      <c r="O1733" s="186">
        <v>4051</v>
      </c>
      <c r="P1733" s="179"/>
      <c r="Q1733" s="725">
        <v>0</v>
      </c>
      <c r="S1733" s="197">
        <v>0</v>
      </c>
      <c r="T1733" s="198">
        <v>0</v>
      </c>
      <c r="U1733" s="335"/>
      <c r="V1733" s="260">
        <v>90</v>
      </c>
    </row>
    <row r="1734" spans="2:22" s="7" customFormat="1" ht="18" customHeight="1">
      <c r="B1734" s="12"/>
      <c r="C1734" s="6" t="s">
        <v>2952</v>
      </c>
      <c r="D1734" s="14" t="s">
        <v>2162</v>
      </c>
      <c r="E1734" s="19" t="s">
        <v>2949</v>
      </c>
      <c r="F1734" s="37"/>
      <c r="G1734" s="37"/>
      <c r="H1734" s="108"/>
      <c r="I1734" s="108"/>
      <c r="J1734" s="108"/>
      <c r="K1734" s="29" t="s">
        <v>5</v>
      </c>
      <c r="L1734" s="139"/>
      <c r="M1734" s="33"/>
      <c r="N1734" s="33">
        <v>44651</v>
      </c>
      <c r="O1734" s="32">
        <v>4052</v>
      </c>
      <c r="P1734" s="6"/>
      <c r="Q1734" s="339"/>
      <c r="U1734" s="21"/>
      <c r="V1734" s="260">
        <v>90</v>
      </c>
    </row>
    <row r="1735" spans="2:22" s="7" customFormat="1" ht="17.25" customHeight="1">
      <c r="B1735" s="12" t="s">
        <v>300</v>
      </c>
      <c r="C1735" s="6" t="s">
        <v>2952</v>
      </c>
      <c r="D1735" s="14" t="s">
        <v>2162</v>
      </c>
      <c r="E1735" s="22" t="s">
        <v>2950</v>
      </c>
      <c r="F1735" s="37"/>
      <c r="G1735" s="839" t="s">
        <v>2951</v>
      </c>
      <c r="H1735" s="108">
        <v>30</v>
      </c>
      <c r="I1735" s="109">
        <v>1</v>
      </c>
      <c r="J1735" s="8">
        <f>H1735*I1735</f>
        <v>30</v>
      </c>
      <c r="K1735" s="39">
        <v>0.73</v>
      </c>
      <c r="L1735" s="39">
        <f>K1735*J1735</f>
        <v>21.9</v>
      </c>
      <c r="M1735" s="117" t="s">
        <v>349</v>
      </c>
      <c r="N1735" s="33">
        <v>44651</v>
      </c>
      <c r="O1735" s="32">
        <v>4052</v>
      </c>
      <c r="P1735" s="391">
        <f>ROUNDUP(S1735/V1735/VLOOKUP(B1735,$C$2:$F$6,3,FALSE),2)</f>
        <v>0.62</v>
      </c>
      <c r="Q1735" s="322">
        <v>0.62</v>
      </c>
      <c r="R1735" s="322">
        <f>Q1735*J1735</f>
        <v>18.600000000000001</v>
      </c>
      <c r="S1735" s="7">
        <v>39</v>
      </c>
      <c r="T1735" s="7">
        <f>S1735*J1735</f>
        <v>1170</v>
      </c>
      <c r="U1735" s="876"/>
      <c r="V1735" s="260">
        <v>90</v>
      </c>
    </row>
    <row r="1736" spans="2:22" s="7" customFormat="1" ht="15">
      <c r="B1736" s="12"/>
      <c r="C1736" s="6" t="s">
        <v>2952</v>
      </c>
      <c r="D1736" s="14" t="s">
        <v>2162</v>
      </c>
      <c r="E1736" s="82"/>
      <c r="F1736" s="102"/>
      <c r="G1736" s="22" t="s">
        <v>316</v>
      </c>
      <c r="H1736" s="8"/>
      <c r="I1736" s="35"/>
      <c r="J1736" s="38">
        <v>1</v>
      </c>
      <c r="K1736" s="39">
        <v>12</v>
      </c>
      <c r="L1736" s="39">
        <f>K1736*J1736</f>
        <v>12</v>
      </c>
      <c r="M1736" s="91"/>
      <c r="N1736" s="33">
        <v>44651</v>
      </c>
      <c r="O1736" s="32">
        <v>4052</v>
      </c>
      <c r="P1736" s="6"/>
      <c r="Q1736" s="322">
        <v>12</v>
      </c>
      <c r="R1736" s="322">
        <f>Q1736*J1736</f>
        <v>12</v>
      </c>
      <c r="S1736" s="7">
        <v>0</v>
      </c>
      <c r="T1736" s="7">
        <f>S1736*J1736</f>
        <v>0</v>
      </c>
      <c r="U1736" s="21"/>
      <c r="V1736" s="260">
        <v>90</v>
      </c>
    </row>
    <row r="1737" spans="2:22" s="191" customFormat="1" ht="15">
      <c r="B1737" s="190"/>
      <c r="C1737" s="179" t="s">
        <v>2952</v>
      </c>
      <c r="D1737" s="180" t="s">
        <v>2162</v>
      </c>
      <c r="E1737" s="181"/>
      <c r="F1737" s="622"/>
      <c r="G1737" s="182" t="s">
        <v>250</v>
      </c>
      <c r="H1737" s="184" t="s">
        <v>251</v>
      </c>
      <c r="I1737" s="185"/>
      <c r="J1737" s="183"/>
      <c r="K1737" s="192">
        <v>0</v>
      </c>
      <c r="L1737" s="188"/>
      <c r="M1737" s="187"/>
      <c r="N1737" s="187">
        <v>44651</v>
      </c>
      <c r="O1737" s="186">
        <v>4052</v>
      </c>
      <c r="P1737" s="179"/>
      <c r="Q1737" s="725">
        <v>0</v>
      </c>
      <c r="S1737" s="197">
        <v>0</v>
      </c>
      <c r="T1737" s="198">
        <v>0</v>
      </c>
      <c r="U1737" s="335"/>
      <c r="V1737" s="260">
        <v>90</v>
      </c>
    </row>
    <row r="1738" spans="2:22" s="7" customFormat="1" ht="18" customHeight="1">
      <c r="B1738" s="12"/>
      <c r="C1738" s="6" t="s">
        <v>2953</v>
      </c>
      <c r="D1738" s="14" t="s">
        <v>2231</v>
      </c>
      <c r="E1738" s="19" t="s">
        <v>2270</v>
      </c>
      <c r="F1738" s="37"/>
      <c r="G1738" s="37"/>
      <c r="H1738" s="108"/>
      <c r="I1738" s="108"/>
      <c r="J1738" s="108"/>
      <c r="K1738" s="29" t="s">
        <v>5</v>
      </c>
      <c r="L1738" s="139"/>
      <c r="M1738" s="33"/>
      <c r="N1738" s="33">
        <v>44673</v>
      </c>
      <c r="O1738" s="32">
        <v>4054</v>
      </c>
      <c r="P1738" s="6"/>
      <c r="Q1738" s="339"/>
      <c r="U1738" s="21"/>
      <c r="V1738" s="260">
        <v>90</v>
      </c>
    </row>
    <row r="1739" spans="2:22" s="7" customFormat="1" ht="17.25" customHeight="1">
      <c r="B1739" s="12" t="s">
        <v>300</v>
      </c>
      <c r="C1739" s="6" t="s">
        <v>2953</v>
      </c>
      <c r="D1739" s="14" t="s">
        <v>2231</v>
      </c>
      <c r="E1739" s="22">
        <v>5636</v>
      </c>
      <c r="F1739" s="37" t="s">
        <v>230</v>
      </c>
      <c r="G1739" s="839" t="s">
        <v>283</v>
      </c>
      <c r="H1739" s="108">
        <v>50</v>
      </c>
      <c r="I1739" s="109">
        <v>86</v>
      </c>
      <c r="J1739" s="8">
        <f>H1739*I1739</f>
        <v>4300</v>
      </c>
      <c r="K1739" s="39">
        <v>0.27</v>
      </c>
      <c r="L1739" s="39">
        <f>K1739*J1739</f>
        <v>1161</v>
      </c>
      <c r="M1739" s="117" t="s">
        <v>349</v>
      </c>
      <c r="N1739" s="33">
        <v>44673</v>
      </c>
      <c r="O1739" s="32">
        <v>4054</v>
      </c>
      <c r="P1739" s="391">
        <f>ROUNDUP(S1739/V1739/VLOOKUP(B1739,$C$2:$F$6,3,FALSE),2)</f>
        <v>0.17</v>
      </c>
      <c r="Q1739" s="322">
        <v>0.17</v>
      </c>
      <c r="R1739" s="322">
        <f>Q1739*J1739</f>
        <v>731</v>
      </c>
      <c r="S1739" s="752">
        <v>10.7</v>
      </c>
      <c r="T1739" s="7">
        <f>S1739*J1739</f>
        <v>46010</v>
      </c>
      <c r="U1739" s="876"/>
      <c r="V1739" s="260">
        <v>90</v>
      </c>
    </row>
    <row r="1740" spans="2:22" s="7" customFormat="1" ht="17.25" customHeight="1">
      <c r="B1740" s="12" t="s">
        <v>300</v>
      </c>
      <c r="C1740" s="6" t="s">
        <v>2953</v>
      </c>
      <c r="D1740" s="14" t="s">
        <v>2231</v>
      </c>
      <c r="E1740" s="22">
        <v>5636</v>
      </c>
      <c r="F1740" s="37" t="s">
        <v>230</v>
      </c>
      <c r="G1740" s="839" t="s">
        <v>2934</v>
      </c>
      <c r="H1740" s="108">
        <v>50</v>
      </c>
      <c r="I1740" s="109">
        <v>20</v>
      </c>
      <c r="J1740" s="8">
        <f>H1740*I1740</f>
        <v>1000</v>
      </c>
      <c r="K1740" s="39">
        <v>0.27</v>
      </c>
      <c r="L1740" s="39">
        <f>K1740*J1740</f>
        <v>270</v>
      </c>
      <c r="M1740" s="117" t="s">
        <v>349</v>
      </c>
      <c r="N1740" s="33">
        <v>44673</v>
      </c>
      <c r="O1740" s="32">
        <v>4054</v>
      </c>
      <c r="P1740" s="391">
        <f>ROUNDUP(S1740/V1740/VLOOKUP(B1740,$C$2:$F$6,3,FALSE),2)</f>
        <v>0.24000000000000002</v>
      </c>
      <c r="Q1740" s="322">
        <v>0.24</v>
      </c>
      <c r="R1740" s="322">
        <f>Q1740*J1740</f>
        <v>240</v>
      </c>
      <c r="S1740" s="7">
        <v>14.6</v>
      </c>
      <c r="T1740" s="7">
        <f>S1740*J1740</f>
        <v>14600</v>
      </c>
      <c r="U1740" s="778"/>
      <c r="V1740" s="260">
        <v>90</v>
      </c>
    </row>
    <row r="1741" spans="2:22" s="7" customFormat="1" ht="15">
      <c r="B1741" s="12"/>
      <c r="C1741" s="6" t="s">
        <v>2953</v>
      </c>
      <c r="D1741" s="14" t="s">
        <v>2231</v>
      </c>
      <c r="E1741" s="82"/>
      <c r="F1741" s="102"/>
      <c r="G1741" s="22" t="s">
        <v>316</v>
      </c>
      <c r="H1741" s="8"/>
      <c r="I1741" s="35"/>
      <c r="J1741" s="38">
        <v>1</v>
      </c>
      <c r="K1741" s="39">
        <v>12</v>
      </c>
      <c r="L1741" s="39">
        <f>K1741*J1741</f>
        <v>12</v>
      </c>
      <c r="M1741" s="91"/>
      <c r="N1741" s="33">
        <v>44673</v>
      </c>
      <c r="O1741" s="32">
        <v>4054</v>
      </c>
      <c r="P1741" s="6"/>
      <c r="Q1741" s="322">
        <v>12</v>
      </c>
      <c r="R1741" s="322">
        <f>Q1741*J1741</f>
        <v>12</v>
      </c>
      <c r="S1741" s="7">
        <v>1100</v>
      </c>
      <c r="T1741" s="7">
        <v>1100</v>
      </c>
      <c r="U1741" s="21"/>
      <c r="V1741" s="260">
        <v>90</v>
      </c>
    </row>
    <row r="1742" spans="2:22" s="191" customFormat="1" ht="15">
      <c r="B1742" s="190"/>
      <c r="C1742" s="179" t="s">
        <v>2953</v>
      </c>
      <c r="D1742" s="180" t="s">
        <v>2231</v>
      </c>
      <c r="E1742" s="181"/>
      <c r="F1742" s="622"/>
      <c r="G1742" s="182" t="s">
        <v>250</v>
      </c>
      <c r="H1742" s="184" t="s">
        <v>251</v>
      </c>
      <c r="I1742" s="185"/>
      <c r="J1742" s="183"/>
      <c r="K1742" s="192">
        <v>0</v>
      </c>
      <c r="L1742" s="188"/>
      <c r="M1742" s="187"/>
      <c r="N1742" s="187">
        <v>44673</v>
      </c>
      <c r="O1742" s="186">
        <v>4054</v>
      </c>
      <c r="P1742" s="179"/>
      <c r="Q1742" s="725">
        <v>0</v>
      </c>
      <c r="S1742" s="197">
        <v>0</v>
      </c>
      <c r="T1742" s="198">
        <v>0</v>
      </c>
      <c r="U1742" s="335"/>
      <c r="V1742" s="260">
        <v>90</v>
      </c>
    </row>
    <row r="1743" spans="2:22" s="7" customFormat="1" ht="18" customHeight="1">
      <c r="B1743" s="12"/>
      <c r="C1743" s="6" t="s">
        <v>2954</v>
      </c>
      <c r="D1743" s="14" t="s">
        <v>2231</v>
      </c>
      <c r="E1743" s="19" t="s">
        <v>2270</v>
      </c>
      <c r="F1743" s="37"/>
      <c r="G1743" s="37"/>
      <c r="H1743" s="108"/>
      <c r="I1743" s="108"/>
      <c r="J1743" s="108"/>
      <c r="K1743" s="29" t="s">
        <v>5</v>
      </c>
      <c r="L1743" s="139"/>
      <c r="M1743" s="33"/>
      <c r="N1743" s="33">
        <v>44673</v>
      </c>
      <c r="O1743" s="32">
        <v>4067</v>
      </c>
      <c r="P1743" s="6"/>
      <c r="Q1743" s="339"/>
      <c r="U1743" s="21"/>
      <c r="V1743" s="260">
        <v>90</v>
      </c>
    </row>
    <row r="1744" spans="2:22" s="7" customFormat="1" ht="17.25" customHeight="1">
      <c r="B1744" s="12" t="s">
        <v>300</v>
      </c>
      <c r="C1744" s="6" t="s">
        <v>2954</v>
      </c>
      <c r="D1744" s="14" t="s">
        <v>2231</v>
      </c>
      <c r="E1744" s="22">
        <v>5636</v>
      </c>
      <c r="F1744" s="37" t="s">
        <v>230</v>
      </c>
      <c r="G1744" s="839" t="s">
        <v>283</v>
      </c>
      <c r="H1744" s="108">
        <v>50</v>
      </c>
      <c r="I1744" s="109">
        <v>39</v>
      </c>
      <c r="J1744" s="8">
        <f>H1744*I1744</f>
        <v>1950</v>
      </c>
      <c r="K1744" s="39">
        <v>0.27</v>
      </c>
      <c r="L1744" s="39">
        <f>K1744*J1744</f>
        <v>526.5</v>
      </c>
      <c r="M1744" s="117" t="s">
        <v>349</v>
      </c>
      <c r="N1744" s="33">
        <v>44673</v>
      </c>
      <c r="O1744" s="32">
        <v>4067</v>
      </c>
      <c r="P1744" s="391">
        <f>ROUNDUP(S1744/V1744/VLOOKUP(B1744,$C$2:$F$6,3,FALSE),2)</f>
        <v>0.17</v>
      </c>
      <c r="Q1744" s="322">
        <v>0.17</v>
      </c>
      <c r="R1744" s="322">
        <f>Q1744*J1744</f>
        <v>331.5</v>
      </c>
      <c r="S1744" s="752">
        <v>10.7</v>
      </c>
      <c r="T1744" s="7">
        <f>S1744*J1744</f>
        <v>20865</v>
      </c>
      <c r="U1744" s="876"/>
      <c r="V1744" s="260">
        <v>90</v>
      </c>
    </row>
    <row r="1745" spans="2:22" s="7" customFormat="1" ht="17.25" customHeight="1">
      <c r="B1745" s="12" t="s">
        <v>300</v>
      </c>
      <c r="C1745" s="6" t="s">
        <v>2954</v>
      </c>
      <c r="D1745" s="14" t="s">
        <v>2231</v>
      </c>
      <c r="E1745" s="22">
        <v>5636</v>
      </c>
      <c r="F1745" s="37" t="s">
        <v>230</v>
      </c>
      <c r="G1745" s="839" t="s">
        <v>2955</v>
      </c>
      <c r="H1745" s="108">
        <v>50</v>
      </c>
      <c r="I1745" s="109">
        <v>12</v>
      </c>
      <c r="J1745" s="8">
        <f>H1745*I1745</f>
        <v>600</v>
      </c>
      <c r="K1745" s="39">
        <v>0.27</v>
      </c>
      <c r="L1745" s="39">
        <f>K1745*J1745</f>
        <v>162</v>
      </c>
      <c r="M1745" s="117" t="s">
        <v>349</v>
      </c>
      <c r="N1745" s="33">
        <v>44673</v>
      </c>
      <c r="O1745" s="32">
        <v>4067</v>
      </c>
      <c r="P1745" s="391">
        <f>ROUNDUP(S1745/V1745/VLOOKUP(B1745,$C$2:$F$6,3,FALSE),2)</f>
        <v>0.24000000000000002</v>
      </c>
      <c r="Q1745" s="322">
        <v>0.24</v>
      </c>
      <c r="R1745" s="322">
        <f>Q1745*J1745</f>
        <v>144</v>
      </c>
      <c r="S1745" s="7">
        <v>14.6</v>
      </c>
      <c r="T1745" s="7">
        <f>S1745*J1745</f>
        <v>8760</v>
      </c>
      <c r="U1745" s="778"/>
      <c r="V1745" s="260">
        <v>90</v>
      </c>
    </row>
    <row r="1746" spans="2:22" s="7" customFormat="1" ht="17.25" customHeight="1">
      <c r="B1746" s="12" t="s">
        <v>300</v>
      </c>
      <c r="C1746" s="6" t="s">
        <v>2954</v>
      </c>
      <c r="D1746" s="14" t="s">
        <v>2231</v>
      </c>
      <c r="E1746" s="22">
        <v>5636</v>
      </c>
      <c r="F1746" s="37" t="s">
        <v>230</v>
      </c>
      <c r="G1746" s="839" t="s">
        <v>2956</v>
      </c>
      <c r="H1746" s="108">
        <v>50</v>
      </c>
      <c r="I1746" s="109">
        <v>16</v>
      </c>
      <c r="J1746" s="8">
        <f>H1746*I1746</f>
        <v>800</v>
      </c>
      <c r="K1746" s="39">
        <v>0.27</v>
      </c>
      <c r="L1746" s="39">
        <f>K1746*J1746</f>
        <v>216</v>
      </c>
      <c r="M1746" s="117" t="s">
        <v>349</v>
      </c>
      <c r="N1746" s="33">
        <v>44673</v>
      </c>
      <c r="O1746" s="32">
        <v>4067</v>
      </c>
      <c r="P1746" s="391">
        <f>ROUNDUP(S1746/V1746/VLOOKUP(B1746,$C$2:$F$6,3,FALSE),2)</f>
        <v>0.24000000000000002</v>
      </c>
      <c r="Q1746" s="322">
        <v>0.24</v>
      </c>
      <c r="R1746" s="322">
        <f>Q1746*J1746</f>
        <v>192</v>
      </c>
      <c r="S1746" s="7">
        <v>14.6</v>
      </c>
      <c r="T1746" s="7">
        <f>S1746*J1746</f>
        <v>11680</v>
      </c>
      <c r="U1746" s="778"/>
      <c r="V1746" s="260">
        <v>90</v>
      </c>
    </row>
    <row r="1747" spans="2:22" s="7" customFormat="1" ht="15">
      <c r="B1747" s="12"/>
      <c r="C1747" s="6" t="s">
        <v>2954</v>
      </c>
      <c r="D1747" s="14" t="s">
        <v>2231</v>
      </c>
      <c r="E1747" s="22"/>
      <c r="F1747" s="102"/>
      <c r="G1747" s="22" t="s">
        <v>316</v>
      </c>
      <c r="H1747" s="8"/>
      <c r="I1747" s="35"/>
      <c r="J1747" s="38">
        <v>1</v>
      </c>
      <c r="K1747" s="39">
        <v>12</v>
      </c>
      <c r="L1747" s="39">
        <f>K1747*J1747</f>
        <v>12</v>
      </c>
      <c r="M1747" s="91"/>
      <c r="N1747" s="33">
        <v>44673</v>
      </c>
      <c r="O1747" s="32">
        <v>4067</v>
      </c>
      <c r="P1747" s="6"/>
      <c r="Q1747" s="322">
        <v>12</v>
      </c>
      <c r="R1747" s="322">
        <f>Q1747*J1747</f>
        <v>12</v>
      </c>
      <c r="S1747" s="7">
        <v>1100</v>
      </c>
      <c r="T1747" s="7">
        <v>1100</v>
      </c>
      <c r="U1747" s="21"/>
      <c r="V1747" s="260">
        <v>90</v>
      </c>
    </row>
    <row r="1748" spans="2:22" s="191" customFormat="1" ht="15">
      <c r="B1748" s="190"/>
      <c r="C1748" s="179" t="s">
        <v>2954</v>
      </c>
      <c r="D1748" s="180" t="s">
        <v>2231</v>
      </c>
      <c r="E1748" s="181"/>
      <c r="F1748" s="622"/>
      <c r="G1748" s="182" t="s">
        <v>250</v>
      </c>
      <c r="H1748" s="184" t="s">
        <v>251</v>
      </c>
      <c r="I1748" s="185"/>
      <c r="J1748" s="183"/>
      <c r="K1748" s="192">
        <v>0</v>
      </c>
      <c r="L1748" s="188"/>
      <c r="M1748" s="187"/>
      <c r="N1748" s="187">
        <v>44673</v>
      </c>
      <c r="O1748" s="186">
        <v>4067</v>
      </c>
      <c r="P1748" s="179"/>
      <c r="Q1748" s="725">
        <v>0</v>
      </c>
      <c r="S1748" s="197">
        <v>0</v>
      </c>
      <c r="T1748" s="198">
        <v>0</v>
      </c>
      <c r="U1748" s="335"/>
      <c r="V1748" s="260">
        <v>90</v>
      </c>
    </row>
    <row r="1749" spans="2:22" s="7" customFormat="1" ht="18" customHeight="1">
      <c r="B1749" s="12"/>
      <c r="C1749" s="6" t="s">
        <v>2957</v>
      </c>
      <c r="D1749" s="14" t="s">
        <v>2924</v>
      </c>
      <c r="E1749" s="19" t="s">
        <v>10</v>
      </c>
      <c r="F1749" s="107"/>
      <c r="G1749" s="22"/>
      <c r="H1749" s="108"/>
      <c r="I1749" s="109"/>
      <c r="J1749" s="108"/>
      <c r="K1749" s="29" t="s">
        <v>5</v>
      </c>
      <c r="L1749" s="39"/>
      <c r="M1749" s="91"/>
      <c r="N1749" s="33">
        <v>44657</v>
      </c>
      <c r="O1749" s="32">
        <v>4072</v>
      </c>
      <c r="P1749" s="14"/>
      <c r="Q1749" s="322"/>
      <c r="U1749" s="14"/>
      <c r="V1749" s="260">
        <v>90</v>
      </c>
    </row>
    <row r="1750" spans="2:22" s="7" customFormat="1" ht="18" customHeight="1">
      <c r="B1750" s="12" t="s">
        <v>302</v>
      </c>
      <c r="C1750" s="6" t="s">
        <v>2957</v>
      </c>
      <c r="D1750" s="14" t="s">
        <v>2924</v>
      </c>
      <c r="E1750" s="22" t="s">
        <v>6</v>
      </c>
      <c r="F1750" s="107">
        <v>160</v>
      </c>
      <c r="G1750" s="885" t="s">
        <v>2958</v>
      </c>
      <c r="H1750" s="108">
        <v>5</v>
      </c>
      <c r="I1750" s="109">
        <v>1</v>
      </c>
      <c r="J1750" s="8">
        <f>H1750*I1750</f>
        <v>5</v>
      </c>
      <c r="K1750" s="39">
        <v>5</v>
      </c>
      <c r="L1750" s="39">
        <f>K1750*J1750</f>
        <v>25</v>
      </c>
      <c r="M1750" s="117" t="s">
        <v>322</v>
      </c>
      <c r="N1750" s="33">
        <v>44657</v>
      </c>
      <c r="O1750" s="32">
        <v>4072</v>
      </c>
      <c r="P1750" s="391">
        <f>ROUNDUP(S1750/V1750/VLOOKUP(B1750,$C$2:$F$6,3,FALSE),2)</f>
        <v>4.55</v>
      </c>
      <c r="Q1750" s="322">
        <v>4.55</v>
      </c>
      <c r="R1750" s="322">
        <f>Q1750*J1750</f>
        <v>22.75</v>
      </c>
      <c r="S1750" s="7">
        <v>360</v>
      </c>
      <c r="T1750" s="7">
        <f>S1750*J1750</f>
        <v>1800</v>
      </c>
      <c r="U1750" s="21"/>
      <c r="V1750" s="260">
        <v>90</v>
      </c>
    </row>
    <row r="1751" spans="2:22" s="7" customFormat="1" ht="18" customHeight="1">
      <c r="B1751" s="12" t="s">
        <v>302</v>
      </c>
      <c r="C1751" s="6" t="s">
        <v>2957</v>
      </c>
      <c r="D1751" s="14" t="s">
        <v>2924</v>
      </c>
      <c r="E1751" s="22" t="s">
        <v>6</v>
      </c>
      <c r="F1751" s="107">
        <v>160</v>
      </c>
      <c r="G1751" s="885" t="s">
        <v>2959</v>
      </c>
      <c r="H1751" s="108">
        <v>50</v>
      </c>
      <c r="I1751" s="109">
        <v>1</v>
      </c>
      <c r="J1751" s="8">
        <f>H1751*I1751</f>
        <v>50</v>
      </c>
      <c r="K1751" s="39">
        <v>5</v>
      </c>
      <c r="L1751" s="39">
        <f>K1751*J1751</f>
        <v>250</v>
      </c>
      <c r="M1751" s="117" t="s">
        <v>322</v>
      </c>
      <c r="N1751" s="33">
        <v>44657</v>
      </c>
      <c r="O1751" s="32">
        <v>4072</v>
      </c>
      <c r="P1751" s="391">
        <f>ROUNDUP(S1751/V1751/VLOOKUP(B1751,$C$2:$F$6,3,FALSE),2)</f>
        <v>4.55</v>
      </c>
      <c r="Q1751" s="322">
        <v>4.55</v>
      </c>
      <c r="R1751" s="322">
        <f>Q1751*J1751</f>
        <v>227.5</v>
      </c>
      <c r="S1751" s="7">
        <v>360</v>
      </c>
      <c r="T1751" s="7">
        <f>S1751*J1751</f>
        <v>18000</v>
      </c>
      <c r="U1751" s="21"/>
      <c r="V1751" s="260">
        <v>90</v>
      </c>
    </row>
    <row r="1752" spans="2:22" s="7" customFormat="1" ht="18" customHeight="1">
      <c r="B1752" s="12" t="s">
        <v>302</v>
      </c>
      <c r="C1752" s="6" t="s">
        <v>2957</v>
      </c>
      <c r="D1752" s="14" t="s">
        <v>2924</v>
      </c>
      <c r="E1752" s="22" t="s">
        <v>6</v>
      </c>
      <c r="F1752" s="107">
        <v>160</v>
      </c>
      <c r="G1752" s="885" t="s">
        <v>2960</v>
      </c>
      <c r="H1752" s="108">
        <v>50</v>
      </c>
      <c r="I1752" s="109">
        <v>1</v>
      </c>
      <c r="J1752" s="8">
        <f>H1752*I1752</f>
        <v>50</v>
      </c>
      <c r="K1752" s="39">
        <v>5</v>
      </c>
      <c r="L1752" s="39">
        <f>K1752*J1752</f>
        <v>250</v>
      </c>
      <c r="M1752" s="117" t="s">
        <v>322</v>
      </c>
      <c r="N1752" s="33">
        <v>44657</v>
      </c>
      <c r="O1752" s="32">
        <v>4072</v>
      </c>
      <c r="P1752" s="391">
        <f>ROUNDUP(S1752/V1752/VLOOKUP(B1752,$C$2:$F$6,3,FALSE),2)</f>
        <v>4.55</v>
      </c>
      <c r="Q1752" s="322">
        <v>4.55</v>
      </c>
      <c r="R1752" s="322">
        <f>Q1752*J1752</f>
        <v>227.5</v>
      </c>
      <c r="S1752" s="7">
        <v>360</v>
      </c>
      <c r="T1752" s="7">
        <f>S1752*J1752</f>
        <v>18000</v>
      </c>
      <c r="U1752" s="21"/>
      <c r="V1752" s="260">
        <v>90</v>
      </c>
    </row>
    <row r="1753" spans="2:22" s="7" customFormat="1" ht="15">
      <c r="B1753" s="12"/>
      <c r="C1753" s="6" t="s">
        <v>2957</v>
      </c>
      <c r="D1753" s="14" t="s">
        <v>2924</v>
      </c>
      <c r="E1753" s="22"/>
      <c r="F1753" s="102"/>
      <c r="G1753" s="22" t="s">
        <v>236</v>
      </c>
      <c r="H1753" s="8"/>
      <c r="I1753" s="35"/>
      <c r="J1753" s="38">
        <v>1</v>
      </c>
      <c r="K1753" s="39">
        <v>15</v>
      </c>
      <c r="L1753" s="39">
        <f>K1753*J1753</f>
        <v>15</v>
      </c>
      <c r="M1753" s="91"/>
      <c r="N1753" s="33">
        <v>44657</v>
      </c>
      <c r="O1753" s="32">
        <v>4072</v>
      </c>
      <c r="P1753" s="391">
        <v>12</v>
      </c>
      <c r="Q1753" s="322">
        <v>12</v>
      </c>
      <c r="R1753" s="322">
        <v>12</v>
      </c>
      <c r="S1753" s="7">
        <v>1000</v>
      </c>
      <c r="T1753" s="7">
        <f>S1753*J1753</f>
        <v>1000</v>
      </c>
      <c r="U1753" s="21"/>
      <c r="V1753" s="260">
        <v>90</v>
      </c>
    </row>
    <row r="1754" spans="2:22" s="7" customFormat="1" ht="15">
      <c r="B1754" s="12"/>
      <c r="C1754" s="6" t="s">
        <v>2957</v>
      </c>
      <c r="D1754" s="14" t="s">
        <v>2924</v>
      </c>
      <c r="E1754" s="22"/>
      <c r="F1754" s="102"/>
      <c r="G1754" s="22" t="s">
        <v>316</v>
      </c>
      <c r="H1754" s="8"/>
      <c r="I1754" s="35"/>
      <c r="J1754" s="38">
        <v>1</v>
      </c>
      <c r="K1754" s="39">
        <v>20</v>
      </c>
      <c r="L1754" s="39">
        <f>K1754*J1754</f>
        <v>20</v>
      </c>
      <c r="M1754" s="91"/>
      <c r="N1754" s="33">
        <v>44657</v>
      </c>
      <c r="O1754" s="32">
        <v>4072</v>
      </c>
      <c r="P1754" s="391"/>
      <c r="Q1754" s="322">
        <v>20</v>
      </c>
      <c r="R1754" s="322">
        <v>20</v>
      </c>
      <c r="S1754" s="7">
        <v>1800</v>
      </c>
      <c r="T1754" s="7">
        <f>S1754*J1754</f>
        <v>1800</v>
      </c>
      <c r="U1754" s="21"/>
      <c r="V1754" s="260">
        <v>90</v>
      </c>
    </row>
    <row r="1755" spans="2:22" s="191" customFormat="1" ht="15">
      <c r="B1755" s="190"/>
      <c r="C1755" s="179" t="s">
        <v>2957</v>
      </c>
      <c r="D1755" s="180" t="s">
        <v>2924</v>
      </c>
      <c r="E1755" s="217"/>
      <c r="F1755" s="182"/>
      <c r="G1755" s="182" t="s">
        <v>250</v>
      </c>
      <c r="H1755" s="184" t="s">
        <v>252</v>
      </c>
      <c r="I1755" s="185"/>
      <c r="J1755" s="183"/>
      <c r="K1755" s="203">
        <v>252</v>
      </c>
      <c r="L1755" s="188"/>
      <c r="M1755" s="187"/>
      <c r="N1755" s="187">
        <v>44657</v>
      </c>
      <c r="O1755" s="186">
        <v>4072</v>
      </c>
      <c r="P1755" s="179"/>
      <c r="Q1755" s="747">
        <v>252</v>
      </c>
      <c r="R1755" s="334">
        <v>252</v>
      </c>
      <c r="S1755" s="212">
        <v>21954</v>
      </c>
      <c r="T1755" s="198">
        <v>21954</v>
      </c>
      <c r="U1755" s="335"/>
      <c r="V1755" s="260">
        <v>90</v>
      </c>
    </row>
    <row r="1756" spans="2:22" s="7" customFormat="1" ht="18" customHeight="1">
      <c r="B1756" s="12" t="s">
        <v>302</v>
      </c>
      <c r="C1756" s="6" t="s">
        <v>2961</v>
      </c>
      <c r="D1756" s="14" t="s">
        <v>2924</v>
      </c>
      <c r="E1756" s="22" t="s">
        <v>6</v>
      </c>
      <c r="F1756" s="107">
        <v>160</v>
      </c>
      <c r="G1756" s="885" t="s">
        <v>2958</v>
      </c>
      <c r="H1756" s="108">
        <v>45</v>
      </c>
      <c r="I1756" s="109">
        <v>1</v>
      </c>
      <c r="J1756" s="8">
        <f>H1756*I1756</f>
        <v>45</v>
      </c>
      <c r="K1756" s="39">
        <v>5</v>
      </c>
      <c r="L1756" s="39">
        <f>K1756*J1756</f>
        <v>225</v>
      </c>
      <c r="M1756" s="117" t="s">
        <v>322</v>
      </c>
      <c r="N1756" s="33">
        <v>44657</v>
      </c>
      <c r="O1756" s="32">
        <v>4073</v>
      </c>
      <c r="P1756" s="391">
        <f>ROUNDUP(S1756/V1756/VLOOKUP(B1756,$C$2:$F$6,3,FALSE),2)</f>
        <v>4.55</v>
      </c>
      <c r="Q1756" s="322">
        <v>4.55</v>
      </c>
      <c r="R1756" s="322">
        <f>Q1756*J1756</f>
        <v>204.75</v>
      </c>
      <c r="S1756" s="7">
        <v>360</v>
      </c>
      <c r="T1756" s="7">
        <f>S1756*J1756</f>
        <v>16200</v>
      </c>
      <c r="U1756" s="21"/>
      <c r="V1756" s="260">
        <v>90</v>
      </c>
    </row>
    <row r="1757" spans="2:22" s="7" customFormat="1" ht="15">
      <c r="B1757" s="12"/>
      <c r="C1757" s="6" t="s">
        <v>2961</v>
      </c>
      <c r="D1757" s="14" t="s">
        <v>2924</v>
      </c>
      <c r="E1757" s="22"/>
      <c r="F1757" s="102"/>
      <c r="G1757" s="22" t="s">
        <v>316</v>
      </c>
      <c r="H1757" s="8"/>
      <c r="I1757" s="35"/>
      <c r="J1757" s="38">
        <v>1</v>
      </c>
      <c r="K1757" s="39">
        <v>20</v>
      </c>
      <c r="L1757" s="39">
        <f>K1757*J1757</f>
        <v>20</v>
      </c>
      <c r="M1757" s="91"/>
      <c r="N1757" s="33">
        <v>44657</v>
      </c>
      <c r="O1757" s="32">
        <v>4073</v>
      </c>
      <c r="P1757" s="6" t="s">
        <v>3</v>
      </c>
      <c r="Q1757" s="322">
        <v>20</v>
      </c>
      <c r="R1757" s="322">
        <v>20</v>
      </c>
      <c r="S1757" s="7">
        <v>1000</v>
      </c>
      <c r="T1757" s="7">
        <f>S1757*J1757</f>
        <v>1000</v>
      </c>
      <c r="U1757" s="21"/>
      <c r="V1757" s="260">
        <v>90</v>
      </c>
    </row>
    <row r="1758" spans="2:22" s="191" customFormat="1" ht="15">
      <c r="B1758" s="190"/>
      <c r="C1758" s="179" t="s">
        <v>2961</v>
      </c>
      <c r="D1758" s="180" t="s">
        <v>2924</v>
      </c>
      <c r="E1758" s="217"/>
      <c r="F1758" s="182"/>
      <c r="G1758" s="182" t="s">
        <v>250</v>
      </c>
      <c r="H1758" s="184" t="s">
        <v>252</v>
      </c>
      <c r="I1758" s="185"/>
      <c r="J1758" s="183"/>
      <c r="K1758" s="203">
        <v>173</v>
      </c>
      <c r="L1758" s="188"/>
      <c r="M1758" s="187"/>
      <c r="N1758" s="187">
        <v>44657</v>
      </c>
      <c r="O1758" s="186">
        <v>4073</v>
      </c>
      <c r="P1758" s="179"/>
      <c r="Q1758" s="747">
        <v>173</v>
      </c>
      <c r="R1758" s="334">
        <v>173</v>
      </c>
      <c r="S1758" s="212">
        <v>15489</v>
      </c>
      <c r="T1758" s="197">
        <v>15489</v>
      </c>
      <c r="U1758" s="335"/>
      <c r="V1758" s="260">
        <v>90</v>
      </c>
    </row>
    <row r="1759" spans="2:22" s="7" customFormat="1" ht="17.25" customHeight="1">
      <c r="B1759" s="12"/>
      <c r="C1759" s="886" t="s">
        <v>2962</v>
      </c>
      <c r="D1759" s="14" t="s">
        <v>2963</v>
      </c>
      <c r="E1759" s="19" t="s">
        <v>2530</v>
      </c>
      <c r="F1759" s="820"/>
      <c r="G1759" s="22"/>
      <c r="H1759" s="8"/>
      <c r="I1759" s="35"/>
      <c r="J1759" s="8"/>
      <c r="K1759" s="29" t="s">
        <v>5</v>
      </c>
      <c r="L1759" s="39"/>
      <c r="M1759" s="91"/>
      <c r="N1759" s="33">
        <v>44662</v>
      </c>
      <c r="O1759" s="32">
        <v>4068</v>
      </c>
      <c r="P1759" s="391"/>
      <c r="Q1759" s="322"/>
      <c r="U1759" s="778"/>
      <c r="V1759" s="260">
        <v>90</v>
      </c>
    </row>
    <row r="1760" spans="2:22" s="7" customFormat="1" ht="16.899999999999999" customHeight="1">
      <c r="B1760" s="12" t="s">
        <v>300</v>
      </c>
      <c r="C1760" s="6" t="s">
        <v>2962</v>
      </c>
      <c r="D1760" s="14" t="s">
        <v>2963</v>
      </c>
      <c r="E1760" s="22">
        <v>1901</v>
      </c>
      <c r="F1760" s="820"/>
      <c r="G1760" s="22" t="s">
        <v>2531</v>
      </c>
      <c r="H1760" s="8">
        <v>30</v>
      </c>
      <c r="I1760" s="35">
        <v>29</v>
      </c>
      <c r="J1760" s="8">
        <f>H1760*I1760</f>
        <v>870</v>
      </c>
      <c r="K1760" s="39">
        <v>0.59</v>
      </c>
      <c r="L1760" s="39">
        <f>K1760*J1760</f>
        <v>513.29999999999995</v>
      </c>
      <c r="M1760" s="117" t="s">
        <v>349</v>
      </c>
      <c r="N1760" s="33">
        <v>44662</v>
      </c>
      <c r="O1760" s="32">
        <v>4068</v>
      </c>
      <c r="P1760" s="391">
        <f>ROUNDUP(S1760/V1760/VLOOKUP(B1760,$C$2:$F$6,3,FALSE),2)</f>
        <v>0.51</v>
      </c>
      <c r="Q1760" s="322">
        <v>0.51</v>
      </c>
      <c r="R1760" s="322">
        <f>Q1760*J1760</f>
        <v>443.7</v>
      </c>
      <c r="S1760" s="7">
        <v>31.67</v>
      </c>
      <c r="T1760" s="7">
        <f>S1760*J1760</f>
        <v>27552.9</v>
      </c>
      <c r="U1760" s="778"/>
      <c r="V1760" s="260">
        <v>90</v>
      </c>
    </row>
    <row r="1761" spans="2:22" s="7" customFormat="1" ht="15.75">
      <c r="B1761" s="12"/>
      <c r="C1761" s="6" t="s">
        <v>2962</v>
      </c>
      <c r="D1761" s="14" t="s">
        <v>2963</v>
      </c>
      <c r="E1761" s="22"/>
      <c r="F1761" s="102"/>
      <c r="G1761" s="22" t="s">
        <v>14</v>
      </c>
      <c r="H1761" s="8"/>
      <c r="I1761" s="35"/>
      <c r="J1761" s="38">
        <v>1</v>
      </c>
      <c r="K1761" s="39">
        <v>12</v>
      </c>
      <c r="L1761" s="39">
        <f>K1761*J1761</f>
        <v>12</v>
      </c>
      <c r="M1761" s="117"/>
      <c r="N1761" s="33">
        <v>44662</v>
      </c>
      <c r="O1761" s="32">
        <v>4068</v>
      </c>
      <c r="P1761" s="6" t="s">
        <v>3</v>
      </c>
      <c r="Q1761" s="322">
        <v>12</v>
      </c>
      <c r="R1761" s="322">
        <f>Q1761*J1761</f>
        <v>12</v>
      </c>
      <c r="S1761" s="7">
        <v>1100</v>
      </c>
      <c r="T1761" s="7">
        <f>S1761*J1761</f>
        <v>1100</v>
      </c>
      <c r="U1761" s="21"/>
      <c r="V1761" s="260">
        <v>90</v>
      </c>
    </row>
    <row r="1762" spans="2:22" s="191" customFormat="1" ht="15">
      <c r="B1762" s="190"/>
      <c r="C1762" s="179" t="s">
        <v>2962</v>
      </c>
      <c r="D1762" s="180" t="s">
        <v>2963</v>
      </c>
      <c r="E1762" s="181"/>
      <c r="F1762" s="622"/>
      <c r="G1762" s="182" t="s">
        <v>250</v>
      </c>
      <c r="H1762" s="184" t="s">
        <v>252</v>
      </c>
      <c r="I1762" s="185"/>
      <c r="J1762" s="183"/>
      <c r="K1762" s="192">
        <v>45</v>
      </c>
      <c r="L1762" s="188"/>
      <c r="M1762" s="187"/>
      <c r="N1762" s="187">
        <v>44662</v>
      </c>
      <c r="O1762" s="186">
        <v>4068</v>
      </c>
      <c r="P1762" s="179"/>
      <c r="Q1762" s="725">
        <v>45</v>
      </c>
      <c r="R1762" s="322">
        <v>45</v>
      </c>
      <c r="S1762" s="197">
        <v>3617</v>
      </c>
      <c r="T1762" s="198">
        <v>3617</v>
      </c>
      <c r="U1762" s="335"/>
      <c r="V1762" s="260">
        <v>90</v>
      </c>
    </row>
    <row r="1763" spans="2:22" s="7" customFormat="1" ht="18" customHeight="1">
      <c r="B1763" s="12"/>
      <c r="C1763" s="6" t="s">
        <v>2964</v>
      </c>
      <c r="D1763" s="14" t="s">
        <v>2162</v>
      </c>
      <c r="E1763" s="19" t="s">
        <v>2163</v>
      </c>
      <c r="F1763" s="37"/>
      <c r="G1763" s="37"/>
      <c r="H1763" s="108"/>
      <c r="I1763" s="108"/>
      <c r="J1763" s="108"/>
      <c r="K1763" s="110" t="s">
        <v>5</v>
      </c>
      <c r="L1763" s="139"/>
      <c r="M1763" s="33"/>
      <c r="N1763" s="33">
        <v>44658</v>
      </c>
      <c r="O1763" s="32">
        <v>4077</v>
      </c>
      <c r="P1763" s="6"/>
      <c r="Q1763" s="339"/>
      <c r="U1763" s="21"/>
      <c r="V1763" s="260">
        <v>90</v>
      </c>
    </row>
    <row r="1764" spans="2:22" s="7" customFormat="1" ht="18" customHeight="1">
      <c r="B1764" s="12" t="s">
        <v>300</v>
      </c>
      <c r="C1764" s="6" t="s">
        <v>2964</v>
      </c>
      <c r="D1764" s="14" t="s">
        <v>2162</v>
      </c>
      <c r="E1764" s="22">
        <v>5603</v>
      </c>
      <c r="F1764" s="37"/>
      <c r="G1764" s="396" t="s">
        <v>2820</v>
      </c>
      <c r="H1764" s="108">
        <v>50</v>
      </c>
      <c r="I1764" s="109">
        <v>1</v>
      </c>
      <c r="J1764" s="8">
        <f>I1764*H1764</f>
        <v>50</v>
      </c>
      <c r="K1764" s="39">
        <v>0.31</v>
      </c>
      <c r="L1764" s="39">
        <f>K1764*J1764</f>
        <v>15.5</v>
      </c>
      <c r="M1764" s="117" t="s">
        <v>349</v>
      </c>
      <c r="N1764" s="33">
        <v>44658</v>
      </c>
      <c r="O1764" s="32">
        <v>4077</v>
      </c>
      <c r="P1764" s="391">
        <f>ROUNDUP(S1764/V1764/VLOOKUP(B1764,$C$2:$F$6,3,FALSE),2)</f>
        <v>0.27</v>
      </c>
      <c r="Q1764" s="322">
        <v>0.27</v>
      </c>
      <c r="R1764" s="322">
        <f>Q1764*J1764</f>
        <v>13.5</v>
      </c>
      <c r="S1764" s="7">
        <v>16.7</v>
      </c>
      <c r="T1764" s="7">
        <f>S1764*J1764</f>
        <v>835</v>
      </c>
      <c r="U1764" s="21"/>
      <c r="V1764" s="260">
        <v>90</v>
      </c>
    </row>
    <row r="1765" spans="2:22" s="7" customFormat="1" ht="18" customHeight="1">
      <c r="B1765" s="12"/>
      <c r="C1765" s="6" t="s">
        <v>2964</v>
      </c>
      <c r="D1765" s="14" t="s">
        <v>2162</v>
      </c>
      <c r="E1765" s="22"/>
      <c r="F1765" s="102"/>
      <c r="G1765" s="22" t="s">
        <v>316</v>
      </c>
      <c r="H1765" s="8"/>
      <c r="I1765" s="35"/>
      <c r="J1765" s="38">
        <v>1</v>
      </c>
      <c r="K1765" s="39">
        <v>12</v>
      </c>
      <c r="L1765" s="39">
        <f>K1765*J1765</f>
        <v>12</v>
      </c>
      <c r="M1765" s="117"/>
      <c r="N1765" s="33">
        <v>44658</v>
      </c>
      <c r="O1765" s="32">
        <v>4077</v>
      </c>
      <c r="P1765" s="6" t="s">
        <v>3</v>
      </c>
      <c r="Q1765" s="322">
        <v>12</v>
      </c>
      <c r="R1765" s="322">
        <f>Q1765*J1765</f>
        <v>12</v>
      </c>
      <c r="S1765" s="7">
        <v>0</v>
      </c>
      <c r="T1765" s="7">
        <f>S1765*J1765</f>
        <v>0</v>
      </c>
      <c r="U1765" s="21"/>
      <c r="V1765" s="260">
        <v>90</v>
      </c>
    </row>
    <row r="1766" spans="2:22" s="191" customFormat="1" ht="15">
      <c r="B1766" s="190"/>
      <c r="C1766" s="179" t="s">
        <v>2964</v>
      </c>
      <c r="D1766" s="180" t="s">
        <v>2162</v>
      </c>
      <c r="E1766" s="181"/>
      <c r="F1766" s="182"/>
      <c r="G1766" s="182" t="s">
        <v>250</v>
      </c>
      <c r="H1766" s="184" t="s">
        <v>251</v>
      </c>
      <c r="I1766" s="185"/>
      <c r="J1766" s="183"/>
      <c r="K1766" s="192">
        <v>0</v>
      </c>
      <c r="L1766" s="188"/>
      <c r="M1766" s="187"/>
      <c r="N1766" s="187">
        <v>44658</v>
      </c>
      <c r="O1766" s="186">
        <v>4077</v>
      </c>
      <c r="P1766" s="179"/>
      <c r="Q1766" s="725">
        <v>0</v>
      </c>
      <c r="R1766" s="322">
        <f>Q1766*J1766</f>
        <v>0</v>
      </c>
      <c r="S1766" s="197">
        <v>0</v>
      </c>
      <c r="T1766" s="7">
        <f>S1766*J1766</f>
        <v>0</v>
      </c>
      <c r="U1766" s="335"/>
      <c r="V1766" s="260">
        <v>90</v>
      </c>
    </row>
    <row r="1767" spans="2:22" s="7" customFormat="1" ht="17.25" customHeight="1">
      <c r="B1767" s="12"/>
      <c r="C1767" s="6" t="s">
        <v>2965</v>
      </c>
      <c r="D1767" s="14" t="s">
        <v>1963</v>
      </c>
      <c r="E1767" s="19" t="s">
        <v>238</v>
      </c>
      <c r="F1767" s="107"/>
      <c r="G1767" s="22"/>
      <c r="H1767" s="108"/>
      <c r="I1767" s="109"/>
      <c r="J1767" s="108"/>
      <c r="K1767" s="29" t="s">
        <v>5</v>
      </c>
      <c r="L1767" s="139"/>
      <c r="M1767" s="33"/>
      <c r="N1767" s="33">
        <v>44657</v>
      </c>
      <c r="O1767" s="32">
        <v>4078</v>
      </c>
      <c r="P1767" s="14"/>
      <c r="Q1767" s="322"/>
      <c r="U1767" s="14"/>
      <c r="V1767" s="260">
        <v>90</v>
      </c>
    </row>
    <row r="1768" spans="2:22" s="7" customFormat="1" ht="18" customHeight="1">
      <c r="B1768" s="12" t="s">
        <v>302</v>
      </c>
      <c r="C1768" s="6" t="s">
        <v>2965</v>
      </c>
      <c r="D1768" s="14" t="s">
        <v>1963</v>
      </c>
      <c r="E1768" s="22" t="s">
        <v>239</v>
      </c>
      <c r="F1768" s="107">
        <v>150</v>
      </c>
      <c r="G1768" s="22" t="s">
        <v>2966</v>
      </c>
      <c r="H1768" s="108">
        <v>10</v>
      </c>
      <c r="I1768" s="109">
        <v>1</v>
      </c>
      <c r="J1768" s="8">
        <f>H1768*I1768</f>
        <v>10</v>
      </c>
      <c r="K1768" s="39">
        <v>7.09</v>
      </c>
      <c r="L1768" s="39">
        <f>K1768*J1768</f>
        <v>70.900000000000006</v>
      </c>
      <c r="M1768" s="117" t="s">
        <v>349</v>
      </c>
      <c r="N1768" s="33">
        <v>44657</v>
      </c>
      <c r="O1768" s="32">
        <v>4078</v>
      </c>
      <c r="P1768" s="391">
        <f>ROUNDUP(S1768/V1768/VLOOKUP(B1768,$C$2:$F$6,3,FALSE),2)</f>
        <v>6.4399999999999995</v>
      </c>
      <c r="Q1768" s="322">
        <v>6.44</v>
      </c>
      <c r="R1768" s="322">
        <f>Q1768*J1768</f>
        <v>64.400000000000006</v>
      </c>
      <c r="S1768" s="7">
        <v>510</v>
      </c>
      <c r="T1768" s="7">
        <f>S1768*J1768</f>
        <v>5100</v>
      </c>
      <c r="U1768" s="21"/>
      <c r="V1768" s="260">
        <v>90</v>
      </c>
    </row>
    <row r="1769" spans="2:22" s="7" customFormat="1" ht="18" customHeight="1">
      <c r="B1769" s="12" t="s">
        <v>302</v>
      </c>
      <c r="C1769" s="6" t="s">
        <v>2965</v>
      </c>
      <c r="D1769" s="14" t="s">
        <v>1963</v>
      </c>
      <c r="E1769" s="22" t="s">
        <v>239</v>
      </c>
      <c r="F1769" s="107">
        <v>150</v>
      </c>
      <c r="G1769" s="22" t="s">
        <v>2966</v>
      </c>
      <c r="H1769" s="108">
        <v>5</v>
      </c>
      <c r="I1769" s="109">
        <v>1</v>
      </c>
      <c r="J1769" s="8">
        <f>H1769*I1769</f>
        <v>5</v>
      </c>
      <c r="K1769" s="39">
        <v>7.09</v>
      </c>
      <c r="L1769" s="39">
        <f>K1769*J1769</f>
        <v>35.450000000000003</v>
      </c>
      <c r="M1769" s="117" t="s">
        <v>349</v>
      </c>
      <c r="N1769" s="33">
        <v>44657</v>
      </c>
      <c r="O1769" s="32">
        <v>4078</v>
      </c>
      <c r="P1769" s="391">
        <f>ROUNDUP(S1769/V1769/VLOOKUP(B1769,$C$2:$F$6,3,FALSE),2)</f>
        <v>6.4399999999999995</v>
      </c>
      <c r="Q1769" s="322">
        <v>6.44</v>
      </c>
      <c r="R1769" s="322">
        <f>Q1769*J1769</f>
        <v>32.200000000000003</v>
      </c>
      <c r="S1769" s="7">
        <v>510</v>
      </c>
      <c r="T1769" s="7">
        <f>S1769*J1769</f>
        <v>2550</v>
      </c>
      <c r="U1769" s="21"/>
      <c r="V1769" s="260">
        <v>90</v>
      </c>
    </row>
    <row r="1770" spans="2:22" s="7" customFormat="1" ht="15">
      <c r="B1770" s="12"/>
      <c r="C1770" s="6" t="s">
        <v>2965</v>
      </c>
      <c r="D1770" s="14" t="s">
        <v>1963</v>
      </c>
      <c r="E1770" s="49"/>
      <c r="F1770" s="102"/>
      <c r="G1770" s="22" t="s">
        <v>2625</v>
      </c>
      <c r="H1770" s="38"/>
      <c r="I1770" s="35"/>
      <c r="J1770" s="38">
        <v>2</v>
      </c>
      <c r="K1770" s="39">
        <v>15</v>
      </c>
      <c r="L1770" s="39">
        <f>K1770*J1770</f>
        <v>30</v>
      </c>
      <c r="M1770" s="91"/>
      <c r="N1770" s="33">
        <v>44657</v>
      </c>
      <c r="O1770" s="32">
        <v>4078</v>
      </c>
      <c r="P1770" s="391">
        <v>12</v>
      </c>
      <c r="Q1770" s="322">
        <f>P1770*J1770</f>
        <v>24</v>
      </c>
      <c r="R1770" s="322">
        <v>24</v>
      </c>
      <c r="S1770" s="7">
        <v>1000</v>
      </c>
      <c r="T1770" s="7">
        <f>S1770*J1770</f>
        <v>2000</v>
      </c>
      <c r="U1770" s="21"/>
      <c r="V1770" s="260">
        <v>90</v>
      </c>
    </row>
    <row r="1771" spans="2:22" s="7" customFormat="1" ht="15">
      <c r="B1771" s="12"/>
      <c r="C1771" s="6" t="s">
        <v>2965</v>
      </c>
      <c r="D1771" s="14" t="s">
        <v>1963</v>
      </c>
      <c r="E1771" s="49"/>
      <c r="F1771" s="102"/>
      <c r="G1771" s="22" t="s">
        <v>316</v>
      </c>
      <c r="H1771" s="38"/>
      <c r="I1771" s="35"/>
      <c r="J1771" s="38">
        <v>1</v>
      </c>
      <c r="K1771" s="39">
        <v>20</v>
      </c>
      <c r="L1771" s="39">
        <f>K1771*J1771</f>
        <v>20</v>
      </c>
      <c r="M1771" s="91"/>
      <c r="N1771" s="33">
        <v>44657</v>
      </c>
      <c r="O1771" s="32">
        <v>4078</v>
      </c>
      <c r="P1771" s="722"/>
      <c r="Q1771" s="322">
        <v>20</v>
      </c>
      <c r="R1771" s="322">
        <f>Q1771*J1771</f>
        <v>20</v>
      </c>
      <c r="S1771" s="7">
        <v>1000</v>
      </c>
      <c r="T1771" s="7">
        <f>S1771*J1771</f>
        <v>1000</v>
      </c>
      <c r="U1771" s="21"/>
      <c r="V1771" s="260">
        <v>90</v>
      </c>
    </row>
    <row r="1772" spans="2:22" s="191" customFormat="1" ht="15">
      <c r="B1772" s="190"/>
      <c r="C1772" s="179" t="s">
        <v>2965</v>
      </c>
      <c r="D1772" s="180" t="s">
        <v>1963</v>
      </c>
      <c r="E1772" s="181"/>
      <c r="F1772" s="182"/>
      <c r="G1772" s="182" t="s">
        <v>250</v>
      </c>
      <c r="H1772" s="184" t="s">
        <v>251</v>
      </c>
      <c r="I1772" s="185"/>
      <c r="J1772" s="183"/>
      <c r="K1772" s="192">
        <v>0</v>
      </c>
      <c r="L1772" s="188"/>
      <c r="M1772" s="187"/>
      <c r="N1772" s="187">
        <v>44657</v>
      </c>
      <c r="O1772" s="186">
        <v>4078</v>
      </c>
      <c r="P1772" s="179"/>
      <c r="Q1772" s="725">
        <v>0</v>
      </c>
      <c r="R1772" s="322">
        <f>Q1772*J1772</f>
        <v>0</v>
      </c>
      <c r="S1772" s="197">
        <v>0</v>
      </c>
      <c r="T1772" s="198">
        <v>0</v>
      </c>
      <c r="U1772" s="335"/>
      <c r="V1772" s="260">
        <v>90</v>
      </c>
    </row>
    <row r="1773" spans="2:22" s="7" customFormat="1" ht="18" customHeight="1">
      <c r="B1773" s="12"/>
      <c r="C1773" s="6" t="s">
        <v>2967</v>
      </c>
      <c r="D1773" s="14" t="s">
        <v>1970</v>
      </c>
      <c r="E1773" s="17" t="s">
        <v>160</v>
      </c>
      <c r="F1773" s="319"/>
      <c r="G1773" s="299"/>
      <c r="H1773" s="300" t="s">
        <v>355</v>
      </c>
      <c r="I1773" s="320"/>
      <c r="J1773" s="321"/>
      <c r="K1773" s="110" t="s">
        <v>101</v>
      </c>
      <c r="L1773" s="139"/>
      <c r="M1773" s="33"/>
      <c r="N1773" s="33">
        <v>44657</v>
      </c>
      <c r="O1773" s="32">
        <v>4079</v>
      </c>
      <c r="P1773" s="6"/>
      <c r="Q1773" s="322"/>
      <c r="U1773" s="39"/>
      <c r="V1773" s="260">
        <v>90</v>
      </c>
    </row>
    <row r="1774" spans="2:22" s="7" customFormat="1" ht="18" customHeight="1">
      <c r="B1774" s="12" t="s">
        <v>300</v>
      </c>
      <c r="C1774" s="6" t="s">
        <v>2967</v>
      </c>
      <c r="D1774" s="14" t="s">
        <v>1970</v>
      </c>
      <c r="E1774" s="22">
        <v>14552</v>
      </c>
      <c r="F1774" s="24">
        <v>25</v>
      </c>
      <c r="G1774" s="22" t="s">
        <v>176</v>
      </c>
      <c r="H1774" s="108">
        <v>30</v>
      </c>
      <c r="I1774" s="109">
        <v>1</v>
      </c>
      <c r="J1774" s="8">
        <f>H1774*I1774</f>
        <v>30</v>
      </c>
      <c r="K1774" s="39">
        <v>1.21</v>
      </c>
      <c r="L1774" s="39">
        <f>K1774*J1774</f>
        <v>36.299999999999997</v>
      </c>
      <c r="M1774" s="117" t="s">
        <v>349</v>
      </c>
      <c r="N1774" s="33">
        <v>44657</v>
      </c>
      <c r="O1774" s="32">
        <v>4079</v>
      </c>
      <c r="P1774" s="391">
        <f>ROUNDUP(S1774/V1774/VLOOKUP(B1774,$C$2:$F$6,3,FALSE),2)</f>
        <v>1.04</v>
      </c>
      <c r="Q1774" s="358">
        <v>1.04</v>
      </c>
      <c r="R1774" s="322">
        <f>Q1774*J1774</f>
        <v>31.200000000000003</v>
      </c>
      <c r="S1774" s="7">
        <v>65</v>
      </c>
      <c r="T1774" s="7">
        <f>S1774*J1774</f>
        <v>1950</v>
      </c>
      <c r="U1774" s="267"/>
      <c r="V1774" s="260">
        <v>90</v>
      </c>
    </row>
    <row r="1775" spans="2:22" s="7" customFormat="1" ht="18" customHeight="1">
      <c r="B1775" s="12"/>
      <c r="C1775" s="6" t="s">
        <v>2967</v>
      </c>
      <c r="D1775" s="14" t="s">
        <v>1970</v>
      </c>
      <c r="E1775" s="17" t="s">
        <v>2968</v>
      </c>
      <c r="F1775" s="319"/>
      <c r="G1775" s="299"/>
      <c r="H1775" s="300" t="s">
        <v>355</v>
      </c>
      <c r="I1775" s="320"/>
      <c r="J1775" s="321"/>
      <c r="K1775" s="110" t="s">
        <v>101</v>
      </c>
      <c r="L1775" s="139"/>
      <c r="M1775" s="33"/>
      <c r="N1775" s="33">
        <v>44657</v>
      </c>
      <c r="O1775" s="32">
        <v>4079</v>
      </c>
      <c r="P1775" s="6"/>
      <c r="Q1775" s="322"/>
      <c r="U1775" s="39"/>
      <c r="V1775" s="260">
        <v>90</v>
      </c>
    </row>
    <row r="1776" spans="2:22" s="7" customFormat="1" ht="18" customHeight="1">
      <c r="B1776" s="12" t="s">
        <v>300</v>
      </c>
      <c r="C1776" s="6" t="s">
        <v>2967</v>
      </c>
      <c r="D1776" s="14" t="s">
        <v>1970</v>
      </c>
      <c r="E1776" s="22">
        <v>4064</v>
      </c>
      <c r="F1776" s="24">
        <v>25</v>
      </c>
      <c r="G1776" s="22" t="s">
        <v>2969</v>
      </c>
      <c r="H1776" s="108">
        <v>30</v>
      </c>
      <c r="I1776" s="109">
        <v>1</v>
      </c>
      <c r="J1776" s="8">
        <f>H1776*I1776</f>
        <v>30</v>
      </c>
      <c r="K1776" s="39">
        <v>1.54</v>
      </c>
      <c r="L1776" s="39">
        <f>K1776*J1776</f>
        <v>46.2</v>
      </c>
      <c r="M1776" s="117" t="s">
        <v>349</v>
      </c>
      <c r="N1776" s="33">
        <v>44657</v>
      </c>
      <c r="O1776" s="32">
        <v>4079</v>
      </c>
      <c r="P1776" s="391">
        <f>ROUNDUP(S1776/V1776/VLOOKUP(B1776,$C$2:$F$6,3,FALSE),2)</f>
        <v>1.32</v>
      </c>
      <c r="Q1776" s="358">
        <v>1.32</v>
      </c>
      <c r="R1776" s="322">
        <f>Q1776*J1776</f>
        <v>39.6</v>
      </c>
      <c r="S1776" s="7">
        <v>83</v>
      </c>
      <c r="T1776" s="7">
        <f>S1776*J1776</f>
        <v>2490</v>
      </c>
      <c r="U1776" s="267"/>
      <c r="V1776" s="260">
        <v>90</v>
      </c>
    </row>
    <row r="1777" spans="2:22" s="7" customFormat="1" ht="15">
      <c r="B1777" s="12"/>
      <c r="C1777" s="6" t="s">
        <v>2967</v>
      </c>
      <c r="D1777" s="14" t="s">
        <v>1970</v>
      </c>
      <c r="E1777" s="22"/>
      <c r="F1777" s="102"/>
      <c r="G1777" s="22" t="s">
        <v>316</v>
      </c>
      <c r="H1777" s="8"/>
      <c r="I1777" s="35"/>
      <c r="J1777" s="38">
        <v>2</v>
      </c>
      <c r="K1777" s="39">
        <v>12</v>
      </c>
      <c r="L1777" s="39">
        <f>K1777*J1777</f>
        <v>24</v>
      </c>
      <c r="M1777" s="91"/>
      <c r="N1777" s="33">
        <v>44657</v>
      </c>
      <c r="O1777" s="32">
        <v>4079</v>
      </c>
      <c r="P1777" s="391">
        <v>12</v>
      </c>
      <c r="Q1777" s="322">
        <v>24</v>
      </c>
      <c r="R1777" s="322">
        <v>24</v>
      </c>
      <c r="S1777" s="7">
        <v>0</v>
      </c>
      <c r="T1777" s="7">
        <f>S1777*J1777</f>
        <v>0</v>
      </c>
      <c r="U1777" s="21"/>
      <c r="V1777" s="260">
        <v>90</v>
      </c>
    </row>
    <row r="1778" spans="2:22" s="191" customFormat="1" ht="15">
      <c r="B1778" s="190"/>
      <c r="C1778" s="179" t="s">
        <v>2967</v>
      </c>
      <c r="D1778" s="180" t="s">
        <v>1970</v>
      </c>
      <c r="E1778" s="181"/>
      <c r="F1778" s="622"/>
      <c r="G1778" s="182" t="s">
        <v>250</v>
      </c>
      <c r="H1778" s="184" t="s">
        <v>251</v>
      </c>
      <c r="I1778" s="185"/>
      <c r="J1778" s="183"/>
      <c r="K1778" s="192">
        <v>0</v>
      </c>
      <c r="L1778" s="188"/>
      <c r="M1778" s="187"/>
      <c r="N1778" s="187">
        <v>44657</v>
      </c>
      <c r="O1778" s="186">
        <v>4079</v>
      </c>
      <c r="P1778" s="179"/>
      <c r="Q1778" s="725">
        <v>0</v>
      </c>
      <c r="S1778" s="197">
        <v>0</v>
      </c>
      <c r="T1778" s="198">
        <v>0</v>
      </c>
      <c r="U1778" s="335"/>
      <c r="V1778" s="260">
        <v>90</v>
      </c>
    </row>
    <row r="1779" spans="2:22" s="7" customFormat="1" ht="15">
      <c r="B1779" s="12"/>
      <c r="C1779" s="6" t="s">
        <v>2970</v>
      </c>
      <c r="D1779" s="14" t="s">
        <v>1970</v>
      </c>
      <c r="E1779" s="19" t="s">
        <v>2244</v>
      </c>
      <c r="F1779" s="24"/>
      <c r="G1779" s="22"/>
      <c r="H1779" s="60"/>
      <c r="I1779" s="61"/>
      <c r="J1779" s="8"/>
      <c r="K1779" s="110" t="s">
        <v>5</v>
      </c>
      <c r="L1779" s="139"/>
      <c r="M1779" s="33"/>
      <c r="N1779" s="33">
        <v>44657</v>
      </c>
      <c r="O1779" s="32">
        <v>4080</v>
      </c>
      <c r="P1779" s="6" t="s">
        <v>8</v>
      </c>
      <c r="Q1779" s="358"/>
      <c r="U1779" s="120"/>
      <c r="V1779" s="260">
        <v>90</v>
      </c>
    </row>
    <row r="1780" spans="2:22" s="7" customFormat="1" ht="18" customHeight="1">
      <c r="B1780" s="12" t="s">
        <v>300</v>
      </c>
      <c r="C1780" s="6" t="s">
        <v>2970</v>
      </c>
      <c r="D1780" s="14" t="s">
        <v>1970</v>
      </c>
      <c r="E1780" s="22">
        <v>11700</v>
      </c>
      <c r="F1780" s="37">
        <v>36</v>
      </c>
      <c r="G1780" s="22" t="s">
        <v>157</v>
      </c>
      <c r="H1780" s="8">
        <v>10</v>
      </c>
      <c r="I1780" s="35">
        <v>3</v>
      </c>
      <c r="J1780" s="108">
        <f>H1780*I1780</f>
        <v>30</v>
      </c>
      <c r="K1780" s="39">
        <v>3.91</v>
      </c>
      <c r="L1780" s="39">
        <f>K1780*J1780</f>
        <v>117.30000000000001</v>
      </c>
      <c r="M1780" s="117" t="s">
        <v>349</v>
      </c>
      <c r="N1780" s="33">
        <v>44657</v>
      </c>
      <c r="O1780" s="32">
        <v>4080</v>
      </c>
      <c r="P1780" s="391">
        <f>ROUNDUP(S1780/V1780/VLOOKUP(B1780,$C$2:$F$6,3,FALSE),2)</f>
        <v>3.3499999999999996</v>
      </c>
      <c r="Q1780" s="322">
        <v>3.35</v>
      </c>
      <c r="R1780" s="322">
        <f>Q1780*J1780</f>
        <v>100.5</v>
      </c>
      <c r="S1780" s="7">
        <v>210.8</v>
      </c>
      <c r="T1780" s="7">
        <f>S1780*J1780</f>
        <v>6324</v>
      </c>
      <c r="U1780" s="39"/>
      <c r="V1780" s="260">
        <v>90</v>
      </c>
    </row>
    <row r="1781" spans="2:22" s="7" customFormat="1" ht="18" customHeight="1">
      <c r="B1781" s="12" t="s">
        <v>300</v>
      </c>
      <c r="C1781" s="6" t="s">
        <v>2970</v>
      </c>
      <c r="D1781" s="14" t="s">
        <v>1970</v>
      </c>
      <c r="E1781" s="22">
        <v>11700</v>
      </c>
      <c r="F1781" s="37">
        <v>36</v>
      </c>
      <c r="G1781" s="22" t="s">
        <v>118</v>
      </c>
      <c r="H1781" s="8">
        <v>10</v>
      </c>
      <c r="I1781" s="35">
        <v>3</v>
      </c>
      <c r="J1781" s="108">
        <f>H1781*I1781</f>
        <v>30</v>
      </c>
      <c r="K1781" s="39">
        <v>3.91</v>
      </c>
      <c r="L1781" s="39">
        <f>K1781*J1781</f>
        <v>117.30000000000001</v>
      </c>
      <c r="M1781" s="117" t="s">
        <v>349</v>
      </c>
      <c r="N1781" s="33">
        <v>44657</v>
      </c>
      <c r="O1781" s="32">
        <v>4080</v>
      </c>
      <c r="P1781" s="391">
        <f>ROUNDUP(S1781/V1781/VLOOKUP(B1781,$C$2:$F$6,3,FALSE),2)</f>
        <v>3.3499999999999996</v>
      </c>
      <c r="Q1781" s="322">
        <v>3.35</v>
      </c>
      <c r="R1781" s="322">
        <f>Q1781*J1781</f>
        <v>100.5</v>
      </c>
      <c r="S1781" s="7">
        <v>210.8</v>
      </c>
      <c r="T1781" s="7">
        <f>S1781*J1781</f>
        <v>6324</v>
      </c>
      <c r="U1781" s="39"/>
      <c r="V1781" s="260">
        <v>90</v>
      </c>
    </row>
    <row r="1782" spans="2:22" s="191" customFormat="1" ht="15">
      <c r="B1782" s="190"/>
      <c r="C1782" s="179" t="s">
        <v>2970</v>
      </c>
      <c r="D1782" s="180" t="s">
        <v>1970</v>
      </c>
      <c r="E1782" s="181"/>
      <c r="F1782" s="622"/>
      <c r="G1782" s="182" t="s">
        <v>250</v>
      </c>
      <c r="H1782" s="184" t="s">
        <v>251</v>
      </c>
      <c r="I1782" s="185"/>
      <c r="J1782" s="183"/>
      <c r="K1782" s="192">
        <v>0</v>
      </c>
      <c r="L1782" s="188"/>
      <c r="M1782" s="187"/>
      <c r="N1782" s="187">
        <v>44657</v>
      </c>
      <c r="O1782" s="186">
        <v>4080</v>
      </c>
      <c r="P1782" s="179"/>
      <c r="Q1782" s="725">
        <v>0</v>
      </c>
      <c r="S1782" s="197">
        <v>0</v>
      </c>
      <c r="T1782" s="198">
        <v>0</v>
      </c>
      <c r="U1782" s="335"/>
      <c r="V1782" s="260">
        <v>90</v>
      </c>
    </row>
    <row r="1783" spans="2:22" s="7" customFormat="1" ht="18" customHeight="1">
      <c r="B1783" s="12"/>
      <c r="C1783" s="6" t="s">
        <v>2971</v>
      </c>
      <c r="D1783" s="14" t="s">
        <v>1970</v>
      </c>
      <c r="E1783" s="17" t="s">
        <v>2968</v>
      </c>
      <c r="F1783" s="319"/>
      <c r="G1783" s="299"/>
      <c r="H1783" s="300" t="s">
        <v>355</v>
      </c>
      <c r="I1783" s="320"/>
      <c r="J1783" s="321"/>
      <c r="K1783" s="110" t="s">
        <v>101</v>
      </c>
      <c r="L1783" s="139"/>
      <c r="M1783" s="33"/>
      <c r="N1783" s="33">
        <v>44657</v>
      </c>
      <c r="O1783" s="32">
        <v>4081</v>
      </c>
      <c r="P1783" s="6"/>
      <c r="Q1783" s="322"/>
      <c r="U1783" s="39"/>
      <c r="V1783" s="260">
        <v>90</v>
      </c>
    </row>
    <row r="1784" spans="2:22" s="7" customFormat="1" ht="18" customHeight="1">
      <c r="B1784" s="12" t="s">
        <v>300</v>
      </c>
      <c r="C1784" s="6" t="s">
        <v>2971</v>
      </c>
      <c r="D1784" s="14" t="s">
        <v>1970</v>
      </c>
      <c r="E1784" s="22">
        <v>4063</v>
      </c>
      <c r="F1784" s="24">
        <v>15</v>
      </c>
      <c r="G1784" s="22" t="s">
        <v>2969</v>
      </c>
      <c r="H1784" s="108">
        <v>30</v>
      </c>
      <c r="I1784" s="109">
        <v>9</v>
      </c>
      <c r="J1784" s="8">
        <f>H1784*I1784</f>
        <v>270</v>
      </c>
      <c r="K1784" s="39">
        <v>1.1499999999999999</v>
      </c>
      <c r="L1784" s="39">
        <f>K1784*J1784</f>
        <v>310.5</v>
      </c>
      <c r="M1784" s="117" t="s">
        <v>349</v>
      </c>
      <c r="N1784" s="33">
        <v>44657</v>
      </c>
      <c r="O1784" s="32">
        <v>4081</v>
      </c>
      <c r="P1784" s="391">
        <f>ROUNDUP(S1784/V1784/VLOOKUP(B1784,$C$2:$F$6,3,FALSE),2)</f>
        <v>0.99</v>
      </c>
      <c r="Q1784" s="358">
        <v>0.99</v>
      </c>
      <c r="R1784" s="322">
        <f>Q1784*J1784</f>
        <v>267.3</v>
      </c>
      <c r="S1784" s="7">
        <v>62</v>
      </c>
      <c r="T1784" s="7">
        <f>S1784*J1784</f>
        <v>16740</v>
      </c>
      <c r="U1784" s="267"/>
      <c r="V1784" s="260">
        <v>90</v>
      </c>
    </row>
    <row r="1785" spans="2:22" s="191" customFormat="1" ht="15">
      <c r="B1785" s="190"/>
      <c r="C1785" s="179" t="s">
        <v>2971</v>
      </c>
      <c r="D1785" s="180" t="s">
        <v>1970</v>
      </c>
      <c r="E1785" s="181"/>
      <c r="F1785" s="622"/>
      <c r="G1785" s="182" t="s">
        <v>250</v>
      </c>
      <c r="H1785" s="184" t="s">
        <v>251</v>
      </c>
      <c r="I1785" s="185"/>
      <c r="J1785" s="183"/>
      <c r="K1785" s="192">
        <v>0</v>
      </c>
      <c r="L1785" s="188"/>
      <c r="M1785" s="187"/>
      <c r="N1785" s="187">
        <v>44657</v>
      </c>
      <c r="O1785" s="186">
        <v>4081</v>
      </c>
      <c r="P1785" s="179"/>
      <c r="Q1785" s="725">
        <v>0</v>
      </c>
      <c r="S1785" s="197">
        <v>0</v>
      </c>
      <c r="T1785" s="198">
        <v>0</v>
      </c>
      <c r="U1785" s="335"/>
      <c r="V1785" s="260">
        <v>90</v>
      </c>
    </row>
    <row r="1786" spans="2:22" s="7" customFormat="1" ht="17.25" customHeight="1">
      <c r="B1786" s="12"/>
      <c r="C1786" s="6" t="s">
        <v>2972</v>
      </c>
      <c r="D1786" s="14" t="s">
        <v>1963</v>
      </c>
      <c r="E1786" s="19" t="s">
        <v>59</v>
      </c>
      <c r="F1786" s="107"/>
      <c r="G1786" s="22"/>
      <c r="H1786" s="108"/>
      <c r="I1786" s="109"/>
      <c r="J1786" s="108"/>
      <c r="K1786" s="29" t="s">
        <v>5</v>
      </c>
      <c r="L1786" s="139"/>
      <c r="M1786" s="33"/>
      <c r="N1786" s="33">
        <v>44658</v>
      </c>
      <c r="O1786" s="32">
        <v>4084</v>
      </c>
      <c r="P1786" s="14"/>
      <c r="Q1786" s="322"/>
      <c r="U1786" s="14"/>
      <c r="V1786" s="260">
        <v>90</v>
      </c>
    </row>
    <row r="1787" spans="2:22" s="7" customFormat="1" ht="18" customHeight="1">
      <c r="B1787" s="12" t="s">
        <v>302</v>
      </c>
      <c r="C1787" s="6" t="s">
        <v>2972</v>
      </c>
      <c r="D1787" s="14" t="s">
        <v>1963</v>
      </c>
      <c r="E1787" s="22" t="s">
        <v>2973</v>
      </c>
      <c r="F1787" s="107">
        <v>140</v>
      </c>
      <c r="G1787" s="22" t="s">
        <v>2291</v>
      </c>
      <c r="H1787" s="108">
        <v>5</v>
      </c>
      <c r="I1787" s="109">
        <v>1</v>
      </c>
      <c r="J1787" s="8">
        <f>H1787*I1787</f>
        <v>5</v>
      </c>
      <c r="K1787" s="39">
        <v>5.7</v>
      </c>
      <c r="L1787" s="39">
        <f>K1787*J1787</f>
        <v>28.5</v>
      </c>
      <c r="M1787" s="117" t="s">
        <v>349</v>
      </c>
      <c r="N1787" s="33">
        <v>44658</v>
      </c>
      <c r="O1787" s="32">
        <v>4084</v>
      </c>
      <c r="P1787" s="391">
        <f>ROUNDUP(S1787/V1787/VLOOKUP(B1787,$C$2:$F$6,3,FALSE),2)</f>
        <v>5.18</v>
      </c>
      <c r="Q1787" s="322">
        <v>5.18</v>
      </c>
      <c r="R1787" s="322">
        <f>Q1787*J1787</f>
        <v>25.9</v>
      </c>
      <c r="S1787" s="7">
        <v>410</v>
      </c>
      <c r="T1787" s="7">
        <f>S1787*J1787</f>
        <v>2050</v>
      </c>
      <c r="U1787" s="21"/>
      <c r="V1787" s="260">
        <v>90</v>
      </c>
    </row>
    <row r="1788" spans="2:22" s="7" customFormat="1" ht="15">
      <c r="B1788" s="12"/>
      <c r="C1788" s="6" t="s">
        <v>2972</v>
      </c>
      <c r="D1788" s="14" t="s">
        <v>1963</v>
      </c>
      <c r="E1788" s="49"/>
      <c r="F1788" s="102"/>
      <c r="G1788" s="22" t="s">
        <v>2625</v>
      </c>
      <c r="H1788" s="38"/>
      <c r="I1788" s="35"/>
      <c r="J1788" s="38">
        <v>1</v>
      </c>
      <c r="K1788" s="39">
        <v>15</v>
      </c>
      <c r="L1788" s="39">
        <f>K1788*J1788</f>
        <v>15</v>
      </c>
      <c r="M1788" s="91"/>
      <c r="N1788" s="33">
        <v>44658</v>
      </c>
      <c r="O1788" s="32">
        <v>4084</v>
      </c>
      <c r="P1788" s="391">
        <v>12</v>
      </c>
      <c r="Q1788" s="322">
        <f>P1788*J1788</f>
        <v>12</v>
      </c>
      <c r="R1788" s="322">
        <v>12</v>
      </c>
      <c r="S1788" s="7">
        <v>1000</v>
      </c>
      <c r="T1788" s="7">
        <f>S1788*J1788</f>
        <v>1000</v>
      </c>
      <c r="U1788" s="21"/>
      <c r="V1788" s="260">
        <v>90</v>
      </c>
    </row>
    <row r="1789" spans="2:22" s="7" customFormat="1" ht="15">
      <c r="B1789" s="12"/>
      <c r="C1789" s="6" t="s">
        <v>2972</v>
      </c>
      <c r="D1789" s="14" t="s">
        <v>1963</v>
      </c>
      <c r="E1789" s="49"/>
      <c r="F1789" s="102"/>
      <c r="G1789" s="22" t="s">
        <v>316</v>
      </c>
      <c r="H1789" s="38"/>
      <c r="I1789" s="35"/>
      <c r="J1789" s="38">
        <v>1</v>
      </c>
      <c r="K1789" s="39">
        <v>20</v>
      </c>
      <c r="L1789" s="39">
        <f>K1789*J1789</f>
        <v>20</v>
      </c>
      <c r="M1789" s="91"/>
      <c r="N1789" s="33">
        <v>44658</v>
      </c>
      <c r="O1789" s="32">
        <v>4084</v>
      </c>
      <c r="P1789" s="722"/>
      <c r="Q1789" s="322">
        <v>12</v>
      </c>
      <c r="R1789" s="322">
        <f>Q1789*J1789</f>
        <v>12</v>
      </c>
      <c r="S1789" s="7">
        <v>1000</v>
      </c>
      <c r="T1789" s="7">
        <f>S1789*J1789</f>
        <v>1000</v>
      </c>
      <c r="U1789" s="21"/>
      <c r="V1789" s="260">
        <v>90</v>
      </c>
    </row>
    <row r="1790" spans="2:22" s="191" customFormat="1" ht="15">
      <c r="B1790" s="190"/>
      <c r="C1790" s="179" t="s">
        <v>2972</v>
      </c>
      <c r="D1790" s="180" t="s">
        <v>1963</v>
      </c>
      <c r="E1790" s="181"/>
      <c r="F1790" s="182"/>
      <c r="G1790" s="182" t="s">
        <v>250</v>
      </c>
      <c r="H1790" s="184" t="s">
        <v>251</v>
      </c>
      <c r="I1790" s="185"/>
      <c r="J1790" s="183"/>
      <c r="K1790" s="192">
        <v>0</v>
      </c>
      <c r="L1790" s="188"/>
      <c r="M1790" s="187"/>
      <c r="N1790" s="187">
        <v>44658</v>
      </c>
      <c r="O1790" s="186">
        <v>4084</v>
      </c>
      <c r="P1790" s="179"/>
      <c r="Q1790" s="725">
        <v>0</v>
      </c>
      <c r="R1790" s="322">
        <f>Q1790*J1790</f>
        <v>0</v>
      </c>
      <c r="S1790" s="197">
        <v>0</v>
      </c>
      <c r="T1790" s="198">
        <v>0</v>
      </c>
      <c r="U1790" s="335"/>
      <c r="V1790" s="260">
        <v>90</v>
      </c>
    </row>
    <row r="1791" spans="2:22" s="7" customFormat="1" ht="18" customHeight="1">
      <c r="B1791" s="12"/>
      <c r="C1791" s="6" t="s">
        <v>2974</v>
      </c>
      <c r="D1791" s="14" t="s">
        <v>2378</v>
      </c>
      <c r="E1791" s="19" t="s">
        <v>2882</v>
      </c>
      <c r="F1791" s="107"/>
      <c r="G1791" s="22"/>
      <c r="H1791" s="108"/>
      <c r="I1791" s="109"/>
      <c r="J1791" s="108"/>
      <c r="K1791" s="29" t="s">
        <v>5</v>
      </c>
      <c r="L1791" s="139"/>
      <c r="M1791" s="33"/>
      <c r="N1791" s="33">
        <v>44659</v>
      </c>
      <c r="O1791" s="32">
        <v>4091</v>
      </c>
      <c r="P1791" s="14"/>
      <c r="Q1791" s="322"/>
      <c r="U1791" s="14"/>
      <c r="V1791" s="260">
        <v>90</v>
      </c>
    </row>
    <row r="1792" spans="2:22" s="7" customFormat="1" ht="18" customHeight="1">
      <c r="B1792" s="12" t="s">
        <v>300</v>
      </c>
      <c r="C1792" s="6" t="s">
        <v>2974</v>
      </c>
      <c r="D1792" s="14" t="s">
        <v>2378</v>
      </c>
      <c r="E1792" s="22" t="s">
        <v>2468</v>
      </c>
      <c r="F1792" s="107"/>
      <c r="G1792" s="22" t="s">
        <v>100</v>
      </c>
      <c r="H1792" s="108">
        <v>13.7</v>
      </c>
      <c r="I1792" s="109">
        <v>40</v>
      </c>
      <c r="J1792" s="131">
        <f>H1792*I1792</f>
        <v>548</v>
      </c>
      <c r="K1792" s="39">
        <v>1.56</v>
      </c>
      <c r="L1792" s="39">
        <f>K1792*J1792</f>
        <v>854.88</v>
      </c>
      <c r="M1792" s="117" t="s">
        <v>349</v>
      </c>
      <c r="N1792" s="33">
        <v>44659</v>
      </c>
      <c r="O1792" s="32">
        <v>4091</v>
      </c>
      <c r="P1792" s="391">
        <f>ROUNDUP(S1792/V1792/VLOOKUP(B1792,$C$2:$F$6,3,FALSE),2)</f>
        <v>1.02</v>
      </c>
      <c r="Q1792" s="611">
        <v>1.02</v>
      </c>
      <c r="R1792" s="322">
        <f>Q1792*J1792</f>
        <v>558.96</v>
      </c>
      <c r="S1792" s="7">
        <v>64</v>
      </c>
      <c r="T1792" s="7">
        <f>S1792*J1792</f>
        <v>35072</v>
      </c>
      <c r="U1792" s="21"/>
      <c r="V1792" s="260">
        <v>90</v>
      </c>
    </row>
    <row r="1793" spans="1:22" s="7" customFormat="1" ht="18" customHeight="1">
      <c r="B1793" s="12"/>
      <c r="C1793" s="6" t="s">
        <v>2974</v>
      </c>
      <c r="D1793" s="14" t="s">
        <v>2378</v>
      </c>
      <c r="E1793" s="22"/>
      <c r="F1793" s="102"/>
      <c r="G1793" s="22" t="s">
        <v>316</v>
      </c>
      <c r="H1793" s="8"/>
      <c r="I1793" s="35"/>
      <c r="J1793" s="38">
        <v>1</v>
      </c>
      <c r="K1793" s="39">
        <v>12</v>
      </c>
      <c r="L1793" s="39">
        <f>K1793*J1793</f>
        <v>12</v>
      </c>
      <c r="M1793" s="33"/>
      <c r="N1793" s="33">
        <v>44659</v>
      </c>
      <c r="O1793" s="32">
        <v>4091</v>
      </c>
      <c r="P1793" s="391">
        <v>12</v>
      </c>
      <c r="Q1793" s="322">
        <v>12</v>
      </c>
      <c r="R1793" s="322">
        <v>12</v>
      </c>
      <c r="S1793" s="7">
        <v>0</v>
      </c>
      <c r="T1793" s="7">
        <f>S1793*J1793</f>
        <v>0</v>
      </c>
      <c r="U1793" s="21"/>
      <c r="V1793" s="260">
        <v>90</v>
      </c>
    </row>
    <row r="1794" spans="1:22" s="191" customFormat="1" ht="15">
      <c r="A1794" s="7"/>
      <c r="B1794" s="12"/>
      <c r="C1794" s="179" t="s">
        <v>2974</v>
      </c>
      <c r="D1794" s="180" t="s">
        <v>2378</v>
      </c>
      <c r="E1794" s="217"/>
      <c r="F1794" s="182"/>
      <c r="G1794" s="182" t="s">
        <v>250</v>
      </c>
      <c r="H1794" s="184" t="s">
        <v>252</v>
      </c>
      <c r="I1794" s="185"/>
      <c r="J1794" s="183"/>
      <c r="K1794" s="333">
        <v>40</v>
      </c>
      <c r="L1794" s="188"/>
      <c r="M1794" s="187"/>
      <c r="N1794" s="187">
        <v>44659</v>
      </c>
      <c r="O1794" s="186">
        <v>4091</v>
      </c>
      <c r="P1794" s="179"/>
      <c r="Q1794" s="334">
        <v>40</v>
      </c>
      <c r="R1794" s="322">
        <v>40</v>
      </c>
      <c r="S1794" s="197">
        <v>3530</v>
      </c>
      <c r="T1794" s="197">
        <v>3530</v>
      </c>
      <c r="U1794" s="335"/>
      <c r="V1794" s="260">
        <v>90</v>
      </c>
    </row>
    <row r="1795" spans="1:22" s="7" customFormat="1" ht="17.25" customHeight="1">
      <c r="B1795" s="12"/>
      <c r="C1795" s="6" t="s">
        <v>2975</v>
      </c>
      <c r="D1795" s="14" t="s">
        <v>2156</v>
      </c>
      <c r="E1795" s="19" t="s">
        <v>238</v>
      </c>
      <c r="F1795" s="107"/>
      <c r="G1795" s="22"/>
      <c r="H1795" s="108"/>
      <c r="I1795" s="109"/>
      <c r="J1795" s="108"/>
      <c r="K1795" s="29" t="s">
        <v>5</v>
      </c>
      <c r="L1795" s="139"/>
      <c r="M1795" s="33"/>
      <c r="N1795" s="33">
        <v>44700</v>
      </c>
      <c r="O1795" s="32">
        <v>4096</v>
      </c>
      <c r="P1795" s="14"/>
      <c r="Q1795" s="322"/>
      <c r="U1795" s="14"/>
      <c r="V1795" s="260">
        <v>90</v>
      </c>
    </row>
    <row r="1796" spans="1:22" s="7" customFormat="1" ht="18" customHeight="1">
      <c r="B1796" s="12" t="s">
        <v>302</v>
      </c>
      <c r="C1796" s="6" t="s">
        <v>2975</v>
      </c>
      <c r="D1796" s="14" t="s">
        <v>2156</v>
      </c>
      <c r="E1796" s="22" t="s">
        <v>239</v>
      </c>
      <c r="F1796" s="107">
        <v>150</v>
      </c>
      <c r="G1796" s="22" t="s">
        <v>2293</v>
      </c>
      <c r="H1796" s="108">
        <v>59</v>
      </c>
      <c r="I1796" s="109">
        <v>1</v>
      </c>
      <c r="J1796" s="8">
        <f t="shared" ref="J1796:J1803" si="92">H1796*I1796</f>
        <v>59</v>
      </c>
      <c r="K1796" s="39">
        <v>6.53</v>
      </c>
      <c r="L1796" s="39">
        <f t="shared" ref="L1796:L1804" si="93">K1796*J1796</f>
        <v>385.27000000000004</v>
      </c>
      <c r="M1796" s="117" t="s">
        <v>349</v>
      </c>
      <c r="N1796" s="33">
        <v>44700</v>
      </c>
      <c r="O1796" s="32">
        <v>4096</v>
      </c>
      <c r="P1796" s="391">
        <f t="shared" ref="P1796:P1803" si="94">ROUNDUP(S1796/V1796/VLOOKUP(B1796,$C$2:$F$6,3,FALSE),2)</f>
        <v>5.9399999999999995</v>
      </c>
      <c r="Q1796" s="322">
        <v>5.94</v>
      </c>
      <c r="R1796" s="322">
        <f t="shared" ref="R1796:R1805" si="95">Q1796*J1796</f>
        <v>350.46000000000004</v>
      </c>
      <c r="S1796" s="7">
        <v>470</v>
      </c>
      <c r="T1796" s="7">
        <f t="shared" ref="T1796:T1805" si="96">S1796*J1796</f>
        <v>27730</v>
      </c>
      <c r="U1796" s="21"/>
      <c r="V1796" s="260">
        <v>90</v>
      </c>
    </row>
    <row r="1797" spans="1:22" s="7" customFormat="1" ht="18" customHeight="1">
      <c r="B1797" s="12" t="s">
        <v>302</v>
      </c>
      <c r="C1797" s="6" t="s">
        <v>2975</v>
      </c>
      <c r="D1797" s="14" t="s">
        <v>2156</v>
      </c>
      <c r="E1797" s="22" t="s">
        <v>239</v>
      </c>
      <c r="F1797" s="107">
        <v>150</v>
      </c>
      <c r="G1797" s="22" t="s">
        <v>2293</v>
      </c>
      <c r="H1797" s="108">
        <v>58</v>
      </c>
      <c r="I1797" s="109">
        <v>1</v>
      </c>
      <c r="J1797" s="8">
        <f t="shared" si="92"/>
        <v>58</v>
      </c>
      <c r="K1797" s="39">
        <v>6.53</v>
      </c>
      <c r="L1797" s="39">
        <f t="shared" si="93"/>
        <v>378.74</v>
      </c>
      <c r="M1797" s="117" t="s">
        <v>349</v>
      </c>
      <c r="N1797" s="33">
        <v>44700</v>
      </c>
      <c r="O1797" s="32">
        <v>4096</v>
      </c>
      <c r="P1797" s="391">
        <f t="shared" si="94"/>
        <v>5.9399999999999995</v>
      </c>
      <c r="Q1797" s="322">
        <v>5.94</v>
      </c>
      <c r="R1797" s="322">
        <f t="shared" si="95"/>
        <v>344.52000000000004</v>
      </c>
      <c r="S1797" s="7">
        <v>470</v>
      </c>
      <c r="T1797" s="7">
        <f t="shared" si="96"/>
        <v>27260</v>
      </c>
      <c r="U1797" s="21"/>
      <c r="V1797" s="260">
        <v>90</v>
      </c>
    </row>
    <row r="1798" spans="1:22" s="7" customFormat="1" ht="18" customHeight="1">
      <c r="B1798" s="12" t="s">
        <v>302</v>
      </c>
      <c r="C1798" s="6" t="s">
        <v>2975</v>
      </c>
      <c r="D1798" s="14" t="s">
        <v>2156</v>
      </c>
      <c r="E1798" s="22" t="s">
        <v>239</v>
      </c>
      <c r="F1798" s="107">
        <v>150</v>
      </c>
      <c r="G1798" s="22" t="s">
        <v>2293</v>
      </c>
      <c r="H1798" s="108">
        <v>57</v>
      </c>
      <c r="I1798" s="109">
        <v>3</v>
      </c>
      <c r="J1798" s="8">
        <f t="shared" si="92"/>
        <v>171</v>
      </c>
      <c r="K1798" s="39">
        <v>6.53</v>
      </c>
      <c r="L1798" s="39">
        <f t="shared" si="93"/>
        <v>1116.6300000000001</v>
      </c>
      <c r="M1798" s="117" t="s">
        <v>349</v>
      </c>
      <c r="N1798" s="33">
        <v>44700</v>
      </c>
      <c r="O1798" s="32">
        <v>4096</v>
      </c>
      <c r="P1798" s="391">
        <f t="shared" si="94"/>
        <v>5.9399999999999995</v>
      </c>
      <c r="Q1798" s="322">
        <v>5.94</v>
      </c>
      <c r="R1798" s="322">
        <f t="shared" si="95"/>
        <v>1015.7400000000001</v>
      </c>
      <c r="S1798" s="7">
        <v>470</v>
      </c>
      <c r="T1798" s="7">
        <f t="shared" si="96"/>
        <v>80370</v>
      </c>
      <c r="U1798" s="21"/>
      <c r="V1798" s="260">
        <v>90</v>
      </c>
    </row>
    <row r="1799" spans="1:22" s="7" customFormat="1" ht="18" customHeight="1">
      <c r="B1799" s="12" t="s">
        <v>302</v>
      </c>
      <c r="C1799" s="6" t="s">
        <v>2975</v>
      </c>
      <c r="D1799" s="14" t="s">
        <v>2156</v>
      </c>
      <c r="E1799" s="22" t="s">
        <v>239</v>
      </c>
      <c r="F1799" s="107">
        <v>150</v>
      </c>
      <c r="G1799" s="22" t="s">
        <v>2293</v>
      </c>
      <c r="H1799" s="108">
        <v>56</v>
      </c>
      <c r="I1799" s="109">
        <v>1</v>
      </c>
      <c r="J1799" s="8">
        <f t="shared" si="92"/>
        <v>56</v>
      </c>
      <c r="K1799" s="39">
        <v>6.53</v>
      </c>
      <c r="L1799" s="39">
        <f t="shared" si="93"/>
        <v>365.68</v>
      </c>
      <c r="M1799" s="117" t="s">
        <v>349</v>
      </c>
      <c r="N1799" s="33">
        <v>44700</v>
      </c>
      <c r="O1799" s="32">
        <v>4096</v>
      </c>
      <c r="P1799" s="391">
        <f t="shared" si="94"/>
        <v>5.9399999999999995</v>
      </c>
      <c r="Q1799" s="322">
        <v>5.94</v>
      </c>
      <c r="R1799" s="322">
        <f t="shared" si="95"/>
        <v>332.64000000000004</v>
      </c>
      <c r="S1799" s="7">
        <v>470</v>
      </c>
      <c r="T1799" s="7">
        <f t="shared" si="96"/>
        <v>26320</v>
      </c>
      <c r="U1799" s="21"/>
      <c r="V1799" s="260">
        <v>90</v>
      </c>
    </row>
    <row r="1800" spans="1:22" s="7" customFormat="1" ht="18" customHeight="1">
      <c r="B1800" s="12" t="s">
        <v>302</v>
      </c>
      <c r="C1800" s="6" t="s">
        <v>2975</v>
      </c>
      <c r="D1800" s="14" t="s">
        <v>2156</v>
      </c>
      <c r="E1800" s="22" t="s">
        <v>239</v>
      </c>
      <c r="F1800" s="107">
        <v>150</v>
      </c>
      <c r="G1800" s="22" t="s">
        <v>2293</v>
      </c>
      <c r="H1800" s="108">
        <v>55</v>
      </c>
      <c r="I1800" s="109">
        <v>2</v>
      </c>
      <c r="J1800" s="8">
        <f t="shared" si="92"/>
        <v>110</v>
      </c>
      <c r="K1800" s="39">
        <v>6.53</v>
      </c>
      <c r="L1800" s="39">
        <f t="shared" si="93"/>
        <v>718.30000000000007</v>
      </c>
      <c r="M1800" s="117" t="s">
        <v>349</v>
      </c>
      <c r="N1800" s="33">
        <v>44700</v>
      </c>
      <c r="O1800" s="32">
        <v>4096</v>
      </c>
      <c r="P1800" s="391">
        <f t="shared" si="94"/>
        <v>5.9399999999999995</v>
      </c>
      <c r="Q1800" s="322">
        <v>5.94</v>
      </c>
      <c r="R1800" s="322">
        <f t="shared" si="95"/>
        <v>653.40000000000009</v>
      </c>
      <c r="S1800" s="7">
        <v>470</v>
      </c>
      <c r="T1800" s="7">
        <f t="shared" si="96"/>
        <v>51700</v>
      </c>
      <c r="U1800" s="21"/>
      <c r="V1800" s="260">
        <v>90</v>
      </c>
    </row>
    <row r="1801" spans="1:22" s="7" customFormat="1" ht="18" customHeight="1">
      <c r="B1801" s="12" t="s">
        <v>302</v>
      </c>
      <c r="C1801" s="6" t="s">
        <v>2975</v>
      </c>
      <c r="D1801" s="14" t="s">
        <v>2156</v>
      </c>
      <c r="E1801" s="22" t="s">
        <v>239</v>
      </c>
      <c r="F1801" s="107">
        <v>150</v>
      </c>
      <c r="G1801" s="22" t="s">
        <v>2293</v>
      </c>
      <c r="H1801" s="108">
        <v>51</v>
      </c>
      <c r="I1801" s="109">
        <v>1</v>
      </c>
      <c r="J1801" s="8">
        <f t="shared" si="92"/>
        <v>51</v>
      </c>
      <c r="K1801" s="39">
        <v>6.53</v>
      </c>
      <c r="L1801" s="39">
        <f t="shared" si="93"/>
        <v>333.03000000000003</v>
      </c>
      <c r="M1801" s="117" t="s">
        <v>349</v>
      </c>
      <c r="N1801" s="33">
        <v>44700</v>
      </c>
      <c r="O1801" s="32">
        <v>4096</v>
      </c>
      <c r="P1801" s="391">
        <f t="shared" si="94"/>
        <v>5.9399999999999995</v>
      </c>
      <c r="Q1801" s="322">
        <v>5.94</v>
      </c>
      <c r="R1801" s="322">
        <f t="shared" si="95"/>
        <v>302.94</v>
      </c>
      <c r="S1801" s="7">
        <v>470</v>
      </c>
      <c r="T1801" s="7">
        <f t="shared" si="96"/>
        <v>23970</v>
      </c>
      <c r="U1801" s="21"/>
      <c r="V1801" s="260">
        <v>90</v>
      </c>
    </row>
    <row r="1802" spans="1:22" s="7" customFormat="1" ht="18" customHeight="1">
      <c r="B1802" s="12" t="s">
        <v>302</v>
      </c>
      <c r="C1802" s="6" t="s">
        <v>2975</v>
      </c>
      <c r="D1802" s="14" t="s">
        <v>2156</v>
      </c>
      <c r="E1802" s="22" t="s">
        <v>239</v>
      </c>
      <c r="F1802" s="107">
        <v>150</v>
      </c>
      <c r="G1802" s="22" t="s">
        <v>2976</v>
      </c>
      <c r="H1802" s="108">
        <v>56</v>
      </c>
      <c r="I1802" s="109">
        <v>1</v>
      </c>
      <c r="J1802" s="8">
        <f t="shared" si="92"/>
        <v>56</v>
      </c>
      <c r="K1802" s="39">
        <v>7.1</v>
      </c>
      <c r="L1802" s="39">
        <f t="shared" si="93"/>
        <v>397.59999999999997</v>
      </c>
      <c r="M1802" s="117" t="s">
        <v>349</v>
      </c>
      <c r="N1802" s="33">
        <v>44700</v>
      </c>
      <c r="O1802" s="32">
        <v>4096</v>
      </c>
      <c r="P1802" s="391">
        <f t="shared" si="94"/>
        <v>6.4399999999999995</v>
      </c>
      <c r="Q1802" s="322">
        <v>6.44</v>
      </c>
      <c r="R1802" s="322">
        <f t="shared" si="95"/>
        <v>360.64000000000004</v>
      </c>
      <c r="S1802" s="7">
        <v>510</v>
      </c>
      <c r="T1802" s="7">
        <f t="shared" si="96"/>
        <v>28560</v>
      </c>
      <c r="U1802" s="21"/>
      <c r="V1802" s="260">
        <v>90</v>
      </c>
    </row>
    <row r="1803" spans="1:22" s="7" customFormat="1" ht="18" customHeight="1">
      <c r="B1803" s="12" t="s">
        <v>302</v>
      </c>
      <c r="C1803" s="6" t="s">
        <v>2975</v>
      </c>
      <c r="D1803" s="14" t="s">
        <v>2156</v>
      </c>
      <c r="E1803" s="22" t="s">
        <v>239</v>
      </c>
      <c r="F1803" s="107">
        <v>150</v>
      </c>
      <c r="G1803" s="22" t="s">
        <v>2976</v>
      </c>
      <c r="H1803" s="108">
        <v>55</v>
      </c>
      <c r="I1803" s="109">
        <v>1</v>
      </c>
      <c r="J1803" s="8">
        <f t="shared" si="92"/>
        <v>55</v>
      </c>
      <c r="K1803" s="39">
        <v>7.1</v>
      </c>
      <c r="L1803" s="39">
        <f t="shared" si="93"/>
        <v>390.5</v>
      </c>
      <c r="M1803" s="117" t="s">
        <v>349</v>
      </c>
      <c r="N1803" s="33">
        <v>44700</v>
      </c>
      <c r="O1803" s="32">
        <v>4096</v>
      </c>
      <c r="P1803" s="391">
        <f t="shared" si="94"/>
        <v>6.4399999999999995</v>
      </c>
      <c r="Q1803" s="322">
        <v>6.44</v>
      </c>
      <c r="R1803" s="322">
        <f t="shared" si="95"/>
        <v>354.20000000000005</v>
      </c>
      <c r="S1803" s="7">
        <v>510</v>
      </c>
      <c r="T1803" s="7">
        <f t="shared" si="96"/>
        <v>28050</v>
      </c>
      <c r="U1803" s="21"/>
      <c r="V1803" s="260">
        <v>90</v>
      </c>
    </row>
    <row r="1804" spans="1:22" s="7" customFormat="1" ht="15">
      <c r="B1804" s="12"/>
      <c r="C1804" s="6" t="s">
        <v>2975</v>
      </c>
      <c r="D1804" s="14" t="s">
        <v>2156</v>
      </c>
      <c r="E1804" s="22"/>
      <c r="F1804" s="102"/>
      <c r="G1804" s="22" t="s">
        <v>316</v>
      </c>
      <c r="H1804" s="38"/>
      <c r="I1804" s="35"/>
      <c r="J1804" s="38">
        <v>1</v>
      </c>
      <c r="K1804" s="39">
        <v>20</v>
      </c>
      <c r="L1804" s="39">
        <f t="shared" si="93"/>
        <v>20</v>
      </c>
      <c r="M1804" s="91"/>
      <c r="N1804" s="33">
        <v>44700</v>
      </c>
      <c r="O1804" s="32">
        <v>4096</v>
      </c>
      <c r="P1804" s="722"/>
      <c r="Q1804" s="322">
        <v>20</v>
      </c>
      <c r="R1804" s="322">
        <f t="shared" si="95"/>
        <v>20</v>
      </c>
      <c r="S1804" s="7">
        <v>0</v>
      </c>
      <c r="T1804" s="7">
        <f t="shared" si="96"/>
        <v>0</v>
      </c>
      <c r="U1804" s="21"/>
      <c r="V1804" s="260">
        <v>90</v>
      </c>
    </row>
    <row r="1805" spans="1:22" s="7" customFormat="1" ht="18" customHeight="1">
      <c r="B1805" s="12" t="s">
        <v>302</v>
      </c>
      <c r="C1805" s="6" t="s">
        <v>2975</v>
      </c>
      <c r="D1805" s="14" t="s">
        <v>2156</v>
      </c>
      <c r="E1805" s="22" t="s">
        <v>239</v>
      </c>
      <c r="F1805" s="107">
        <v>150</v>
      </c>
      <c r="G1805" s="22" t="s">
        <v>2977</v>
      </c>
      <c r="H1805" s="125"/>
      <c r="I1805" s="406"/>
      <c r="J1805" s="8">
        <v>111</v>
      </c>
      <c r="K1805" s="39"/>
      <c r="L1805" s="39"/>
      <c r="M1805" s="117"/>
      <c r="N1805" s="33">
        <v>44700</v>
      </c>
      <c r="O1805" s="32">
        <v>4096</v>
      </c>
      <c r="P1805" s="391"/>
      <c r="Q1805" s="322"/>
      <c r="R1805" s="322">
        <f t="shared" si="95"/>
        <v>0</v>
      </c>
      <c r="S1805" s="7">
        <v>15</v>
      </c>
      <c r="T1805" s="210">
        <f t="shared" si="96"/>
        <v>1665</v>
      </c>
      <c r="U1805" s="21"/>
      <c r="V1805" s="260">
        <v>90</v>
      </c>
    </row>
    <row r="1806" spans="1:22" s="191" customFormat="1" ht="15">
      <c r="B1806" s="190"/>
      <c r="C1806" s="179" t="s">
        <v>2975</v>
      </c>
      <c r="D1806" s="180" t="s">
        <v>2156</v>
      </c>
      <c r="E1806" s="181"/>
      <c r="F1806" s="182"/>
      <c r="G1806" s="182" t="s">
        <v>250</v>
      </c>
      <c r="H1806" s="184" t="s">
        <v>252</v>
      </c>
      <c r="I1806" s="185"/>
      <c r="J1806" s="183"/>
      <c r="K1806" s="192">
        <v>435</v>
      </c>
      <c r="L1806" s="188"/>
      <c r="M1806" s="187"/>
      <c r="N1806" s="187">
        <v>44700</v>
      </c>
      <c r="O1806" s="186">
        <v>4096</v>
      </c>
      <c r="P1806" s="179"/>
      <c r="Q1806" s="192">
        <v>435</v>
      </c>
      <c r="R1806" s="322">
        <v>435</v>
      </c>
      <c r="S1806" s="226">
        <v>23474</v>
      </c>
      <c r="T1806" s="887">
        <v>23474</v>
      </c>
      <c r="U1806" s="335"/>
      <c r="V1806" s="260">
        <v>90</v>
      </c>
    </row>
    <row r="1807" spans="1:22" s="7" customFormat="1" ht="15">
      <c r="B1807" s="12"/>
      <c r="C1807" s="843" t="s">
        <v>2978</v>
      </c>
      <c r="D1807" s="14" t="s">
        <v>2329</v>
      </c>
      <c r="E1807" s="19" t="s">
        <v>2942</v>
      </c>
      <c r="F1807" s="107"/>
      <c r="G1807" s="22"/>
      <c r="H1807" s="108"/>
      <c r="I1807" s="109"/>
      <c r="J1807" s="108"/>
      <c r="K1807" s="29" t="s">
        <v>5</v>
      </c>
      <c r="L1807" s="139"/>
      <c r="M1807" s="33"/>
      <c r="N1807" s="33">
        <v>44663</v>
      </c>
      <c r="O1807" s="32">
        <v>4101</v>
      </c>
      <c r="P1807" s="14"/>
      <c r="Q1807" s="322"/>
      <c r="S1807" s="72"/>
      <c r="U1807" s="14"/>
      <c r="V1807" s="260">
        <v>90</v>
      </c>
    </row>
    <row r="1808" spans="1:22" s="7" customFormat="1" ht="15.75">
      <c r="B1808" s="12" t="s">
        <v>300</v>
      </c>
      <c r="C1808" s="843" t="s">
        <v>2978</v>
      </c>
      <c r="D1808" s="14" t="s">
        <v>2329</v>
      </c>
      <c r="E1808" s="821">
        <v>2100</v>
      </c>
      <c r="F1808" s="825">
        <v>50</v>
      </c>
      <c r="G1808" s="22" t="s">
        <v>350</v>
      </c>
      <c r="H1808" s="108">
        <v>30</v>
      </c>
      <c r="I1808" s="109">
        <v>5</v>
      </c>
      <c r="J1808" s="8">
        <f>H1808*I1808</f>
        <v>150</v>
      </c>
      <c r="K1808" s="39">
        <v>3.31</v>
      </c>
      <c r="L1808" s="39">
        <f>K1808*J1808</f>
        <v>496.5</v>
      </c>
      <c r="M1808" s="117" t="s">
        <v>349</v>
      </c>
      <c r="N1808" s="33">
        <v>44663</v>
      </c>
      <c r="O1808" s="32">
        <v>4101</v>
      </c>
      <c r="P1808" s="391">
        <f>ROUNDUP(S1808/V1808/VLOOKUP(B1808,$C$2:$F$6,3,FALSE),2)</f>
        <v>2.84</v>
      </c>
      <c r="Q1808" s="322">
        <v>2.84</v>
      </c>
      <c r="R1808" s="322">
        <f>Q1808*J1808</f>
        <v>426</v>
      </c>
      <c r="S1808" s="822">
        <v>178.57</v>
      </c>
      <c r="T1808" s="7">
        <f>S1808*J1808</f>
        <v>26785.5</v>
      </c>
      <c r="U1808" s="21"/>
      <c r="V1808" s="260">
        <v>90</v>
      </c>
    </row>
    <row r="1809" spans="2:22" s="7" customFormat="1" ht="15.75">
      <c r="B1809" s="12" t="s">
        <v>300</v>
      </c>
      <c r="C1809" s="843" t="s">
        <v>2978</v>
      </c>
      <c r="D1809" s="14" t="s">
        <v>2329</v>
      </c>
      <c r="E1809" s="821">
        <v>2100</v>
      </c>
      <c r="F1809" s="825">
        <v>12</v>
      </c>
      <c r="G1809" s="22" t="s">
        <v>350</v>
      </c>
      <c r="H1809" s="108">
        <v>30</v>
      </c>
      <c r="I1809" s="109">
        <v>9</v>
      </c>
      <c r="J1809" s="8">
        <f>H1809*I1809</f>
        <v>270</v>
      </c>
      <c r="K1809" s="39">
        <v>0.81</v>
      </c>
      <c r="L1809" s="39">
        <f>K1809*J1809</f>
        <v>218.70000000000002</v>
      </c>
      <c r="M1809" s="117" t="s">
        <v>349</v>
      </c>
      <c r="N1809" s="33">
        <v>44663</v>
      </c>
      <c r="O1809" s="32">
        <v>4101</v>
      </c>
      <c r="P1809" s="391">
        <f>ROUNDUP(S1809/V1809/VLOOKUP(B1809,$C$2:$F$6,3,FALSE),2)</f>
        <v>0.69</v>
      </c>
      <c r="Q1809" s="322">
        <v>0.69</v>
      </c>
      <c r="R1809" s="322">
        <f>Q1809*J1809</f>
        <v>186.29999999999998</v>
      </c>
      <c r="S1809" s="822">
        <v>43.47</v>
      </c>
      <c r="T1809" s="7">
        <f>S1809*J1809</f>
        <v>11736.9</v>
      </c>
      <c r="U1809" s="21"/>
      <c r="V1809" s="260">
        <v>90</v>
      </c>
    </row>
    <row r="1810" spans="2:22" s="7" customFormat="1" ht="15">
      <c r="B1810" s="12"/>
      <c r="C1810" s="843" t="s">
        <v>2978</v>
      </c>
      <c r="D1810" s="14" t="s">
        <v>2329</v>
      </c>
      <c r="E1810" s="22"/>
      <c r="F1810" s="102"/>
      <c r="G1810" s="22" t="s">
        <v>316</v>
      </c>
      <c r="H1810" s="8"/>
      <c r="I1810" s="35"/>
      <c r="J1810" s="38">
        <v>1</v>
      </c>
      <c r="K1810" s="137">
        <v>12</v>
      </c>
      <c r="L1810" s="39">
        <f>K1810*J1810</f>
        <v>12</v>
      </c>
      <c r="M1810" s="91"/>
      <c r="N1810" s="33">
        <v>44663</v>
      </c>
      <c r="O1810" s="32">
        <v>4101</v>
      </c>
      <c r="P1810" s="391"/>
      <c r="Q1810" s="334">
        <v>12</v>
      </c>
      <c r="R1810" s="322">
        <f>Q1810*J1810</f>
        <v>12</v>
      </c>
      <c r="S1810" s="92">
        <v>0</v>
      </c>
      <c r="T1810" s="7">
        <f>S1810*J1810</f>
        <v>0</v>
      </c>
      <c r="U1810" s="21"/>
      <c r="V1810" s="260">
        <v>90</v>
      </c>
    </row>
    <row r="1811" spans="2:22" s="191" customFormat="1" ht="15">
      <c r="B1811" s="190"/>
      <c r="C1811" s="844" t="s">
        <v>2978</v>
      </c>
      <c r="D1811" s="180" t="s">
        <v>2329</v>
      </c>
      <c r="E1811" s="181"/>
      <c r="F1811" s="182"/>
      <c r="G1811" s="182" t="s">
        <v>250</v>
      </c>
      <c r="H1811" s="184" t="s">
        <v>252</v>
      </c>
      <c r="I1811" s="185"/>
      <c r="J1811" s="183"/>
      <c r="K1811" s="203">
        <v>47</v>
      </c>
      <c r="L1811" s="188"/>
      <c r="M1811" s="187"/>
      <c r="N1811" s="187">
        <v>44663</v>
      </c>
      <c r="O1811" s="186">
        <v>4101</v>
      </c>
      <c r="P1811" s="179"/>
      <c r="Q1811" s="747">
        <v>47</v>
      </c>
      <c r="R1811" s="322">
        <v>47</v>
      </c>
      <c r="S1811" s="212">
        <v>4205</v>
      </c>
      <c r="T1811" s="212">
        <v>4205</v>
      </c>
      <c r="U1811" s="335"/>
      <c r="V1811" s="260">
        <v>90</v>
      </c>
    </row>
    <row r="1812" spans="2:22" customFormat="1" ht="18" customHeight="1">
      <c r="B1812" s="26"/>
      <c r="C1812" s="6" t="s">
        <v>2979</v>
      </c>
      <c r="D1812" s="14" t="s">
        <v>2723</v>
      </c>
      <c r="E1812" s="19" t="s">
        <v>227</v>
      </c>
      <c r="F1812" s="37"/>
      <c r="G1812" s="37"/>
      <c r="H1812" s="108"/>
      <c r="I1812" s="108"/>
      <c r="J1812" s="108"/>
      <c r="K1812" s="29" t="s">
        <v>101</v>
      </c>
      <c r="L1812" s="139"/>
      <c r="M1812" s="33"/>
      <c r="N1812" s="33">
        <v>44670</v>
      </c>
      <c r="O1812" s="32">
        <v>4090</v>
      </c>
      <c r="P1812" s="6"/>
      <c r="Q1812" s="339"/>
      <c r="R1812" s="1"/>
      <c r="S1812" s="7"/>
      <c r="T1812" s="7"/>
      <c r="U1812" s="21"/>
      <c r="V1812" s="260">
        <v>90</v>
      </c>
    </row>
    <row r="1813" spans="2:22" customFormat="1" ht="18" customHeight="1">
      <c r="B1813" s="26" t="s">
        <v>300</v>
      </c>
      <c r="C1813" s="6" t="s">
        <v>2979</v>
      </c>
      <c r="D1813" s="14" t="s">
        <v>2723</v>
      </c>
      <c r="E1813" s="22">
        <v>2250</v>
      </c>
      <c r="F1813" s="37">
        <v>12</v>
      </c>
      <c r="G1813" s="880" t="s">
        <v>2980</v>
      </c>
      <c r="H1813" s="108">
        <v>30</v>
      </c>
      <c r="I1813" s="881">
        <v>6</v>
      </c>
      <c r="J1813" s="8">
        <f>H1813*I1813</f>
        <v>180</v>
      </c>
      <c r="K1813" s="39">
        <v>0.33</v>
      </c>
      <c r="L1813" s="39">
        <f>K1813*J1813</f>
        <v>59.400000000000006</v>
      </c>
      <c r="M1813" s="117" t="s">
        <v>349</v>
      </c>
      <c r="N1813" s="33">
        <v>44670</v>
      </c>
      <c r="O1813" s="32">
        <v>4090</v>
      </c>
      <c r="P1813" s="391">
        <f>ROUNDUP(S1813/V1813/VLOOKUP(B1813,$C$2:$F$6,3,FALSE),2)</f>
        <v>0.28000000000000003</v>
      </c>
      <c r="Q1813" s="322">
        <v>0.28000000000000003</v>
      </c>
      <c r="R1813" s="701">
        <f>Q1813*J1813</f>
        <v>50.400000000000006</v>
      </c>
      <c r="S1813" s="7">
        <v>17.5</v>
      </c>
      <c r="T1813" s="7">
        <f>S1813*J1813</f>
        <v>3150</v>
      </c>
      <c r="U1813" s="39"/>
      <c r="V1813" s="260">
        <v>90</v>
      </c>
    </row>
    <row r="1814" spans="2:22" s="7" customFormat="1" ht="15.75">
      <c r="B1814" s="12"/>
      <c r="C1814" s="6" t="s">
        <v>2979</v>
      </c>
      <c r="D1814" s="14" t="s">
        <v>2723</v>
      </c>
      <c r="E1814" s="22"/>
      <c r="F1814" s="102"/>
      <c r="G1814" s="22" t="s">
        <v>316</v>
      </c>
      <c r="H1814" s="8"/>
      <c r="I1814" s="35"/>
      <c r="J1814" s="38">
        <v>1</v>
      </c>
      <c r="K1814" s="39">
        <v>15</v>
      </c>
      <c r="L1814" s="39">
        <f>K1814*J1814</f>
        <v>15</v>
      </c>
      <c r="M1814" s="117"/>
      <c r="N1814" s="33">
        <v>44670</v>
      </c>
      <c r="O1814" s="32">
        <v>4090</v>
      </c>
      <c r="P1814" s="6"/>
      <c r="Q1814" s="322">
        <v>12</v>
      </c>
      <c r="R1814" s="701">
        <f>Q1814*J1814</f>
        <v>12</v>
      </c>
      <c r="S1814" s="7">
        <v>0</v>
      </c>
      <c r="T1814" s="7">
        <f>S1814*J1814</f>
        <v>0</v>
      </c>
      <c r="U1814" s="21"/>
      <c r="V1814" s="260">
        <v>90</v>
      </c>
    </row>
    <row r="1815" spans="2:22" s="191" customFormat="1" ht="15">
      <c r="B1815" s="190"/>
      <c r="C1815" s="179" t="s">
        <v>2979</v>
      </c>
      <c r="D1815" s="180" t="s">
        <v>2723</v>
      </c>
      <c r="E1815" s="181"/>
      <c r="F1815" s="182"/>
      <c r="G1815" s="182" t="s">
        <v>324</v>
      </c>
      <c r="H1815" s="184" t="s">
        <v>252</v>
      </c>
      <c r="I1815" s="185"/>
      <c r="J1815" s="183"/>
      <c r="K1815" s="203">
        <v>29</v>
      </c>
      <c r="L1815" s="188"/>
      <c r="M1815" s="187"/>
      <c r="N1815" s="187">
        <v>44670</v>
      </c>
      <c r="O1815" s="186">
        <v>4090</v>
      </c>
      <c r="P1815" s="179"/>
      <c r="Q1815" s="334">
        <v>29</v>
      </c>
      <c r="R1815" s="701">
        <v>29</v>
      </c>
      <c r="S1815" s="197">
        <v>2352</v>
      </c>
      <c r="T1815" s="198">
        <v>2352</v>
      </c>
      <c r="U1815" s="335"/>
      <c r="V1815" s="260">
        <v>90</v>
      </c>
    </row>
    <row r="1816" spans="2:22" s="7" customFormat="1" ht="18" customHeight="1">
      <c r="B1816" s="12"/>
      <c r="C1816" s="6" t="s">
        <v>2981</v>
      </c>
      <c r="D1816" s="14" t="s">
        <v>2676</v>
      </c>
      <c r="E1816" s="19" t="s">
        <v>2862</v>
      </c>
      <c r="F1816" s="37"/>
      <c r="G1816" s="37"/>
      <c r="H1816" s="108"/>
      <c r="I1816" s="108"/>
      <c r="J1816" s="108"/>
      <c r="K1816" s="29" t="s">
        <v>5</v>
      </c>
      <c r="L1816" s="139"/>
      <c r="M1816" s="33"/>
      <c r="N1816" s="33">
        <v>44665</v>
      </c>
      <c r="O1816" s="32">
        <v>4106</v>
      </c>
      <c r="P1816" s="6"/>
      <c r="Q1816" s="339"/>
      <c r="U1816" s="21"/>
      <c r="V1816" s="260">
        <v>90</v>
      </c>
    </row>
    <row r="1817" spans="2:22" s="7" customFormat="1" ht="18" customHeight="1">
      <c r="B1817" s="12" t="s">
        <v>300</v>
      </c>
      <c r="C1817" s="6" t="s">
        <v>2981</v>
      </c>
      <c r="D1817" s="14" t="s">
        <v>2676</v>
      </c>
      <c r="E1817" s="22">
        <v>1905</v>
      </c>
      <c r="F1817" s="24"/>
      <c r="G1817" s="22" t="s">
        <v>2982</v>
      </c>
      <c r="H1817" s="108">
        <v>30</v>
      </c>
      <c r="I1817" s="109">
        <v>4</v>
      </c>
      <c r="J1817" s="8">
        <f t="shared" ref="J1817:J1823" si="97">H1817*I1817</f>
        <v>120</v>
      </c>
      <c r="K1817" s="39">
        <v>0.14000000000000001</v>
      </c>
      <c r="L1817" s="39">
        <f t="shared" ref="L1817:L1824" si="98">K1817*J1817</f>
        <v>16.8</v>
      </c>
      <c r="M1817" s="117" t="s">
        <v>349</v>
      </c>
      <c r="N1817" s="33">
        <v>44665</v>
      </c>
      <c r="O1817" s="32">
        <v>4106</v>
      </c>
      <c r="P1817" s="391">
        <f t="shared" ref="P1817:P1823" si="99">ROUNDUP(S1817/V1817/VLOOKUP(B1817,$C$2:$F$6,3,FALSE),2)</f>
        <v>0.12</v>
      </c>
      <c r="Q1817" s="322">
        <v>0.12</v>
      </c>
      <c r="R1817" s="322">
        <f t="shared" ref="R1817:R1825" si="100">Q1817*J1817</f>
        <v>14.399999999999999</v>
      </c>
      <c r="S1817" s="92">
        <v>7.27</v>
      </c>
      <c r="T1817" s="7">
        <f t="shared" ref="T1817:T1824" si="101">S1817*J1817</f>
        <v>872.4</v>
      </c>
      <c r="U1817" s="120"/>
      <c r="V1817" s="260">
        <v>90</v>
      </c>
    </row>
    <row r="1818" spans="2:22" s="7" customFormat="1" ht="18" customHeight="1">
      <c r="B1818" s="12" t="s">
        <v>300</v>
      </c>
      <c r="C1818" s="6" t="s">
        <v>2981</v>
      </c>
      <c r="D1818" s="14" t="s">
        <v>2676</v>
      </c>
      <c r="E1818" s="22">
        <v>1905</v>
      </c>
      <c r="F1818" s="24"/>
      <c r="G1818" s="22" t="s">
        <v>2983</v>
      </c>
      <c r="H1818" s="108">
        <v>30</v>
      </c>
      <c r="I1818" s="109">
        <v>15</v>
      </c>
      <c r="J1818" s="8">
        <f t="shared" si="97"/>
        <v>450</v>
      </c>
      <c r="K1818" s="39">
        <v>0.14000000000000001</v>
      </c>
      <c r="L1818" s="39">
        <f t="shared" si="98"/>
        <v>63.000000000000007</v>
      </c>
      <c r="M1818" s="117" t="s">
        <v>349</v>
      </c>
      <c r="N1818" s="33">
        <v>44665</v>
      </c>
      <c r="O1818" s="32">
        <v>4106</v>
      </c>
      <c r="P1818" s="391">
        <f t="shared" si="99"/>
        <v>0.12</v>
      </c>
      <c r="Q1818" s="322">
        <v>0.12</v>
      </c>
      <c r="R1818" s="322">
        <f t="shared" si="100"/>
        <v>54</v>
      </c>
      <c r="S1818" s="92">
        <v>7.27</v>
      </c>
      <c r="T1818" s="7">
        <f t="shared" si="101"/>
        <v>3271.5</v>
      </c>
      <c r="U1818" s="120"/>
      <c r="V1818" s="260">
        <v>90</v>
      </c>
    </row>
    <row r="1819" spans="2:22" s="7" customFormat="1" ht="18" customHeight="1">
      <c r="B1819" s="12" t="s">
        <v>300</v>
      </c>
      <c r="C1819" s="6" t="s">
        <v>2981</v>
      </c>
      <c r="D1819" s="14" t="s">
        <v>2676</v>
      </c>
      <c r="E1819" s="22">
        <v>1905</v>
      </c>
      <c r="F1819" s="24"/>
      <c r="G1819" s="22" t="s">
        <v>2984</v>
      </c>
      <c r="H1819" s="8">
        <v>30</v>
      </c>
      <c r="I1819" s="109">
        <v>2</v>
      </c>
      <c r="J1819" s="8">
        <f t="shared" si="97"/>
        <v>60</v>
      </c>
      <c r="K1819" s="39">
        <v>0.14000000000000001</v>
      </c>
      <c r="L1819" s="39">
        <f t="shared" si="98"/>
        <v>8.4</v>
      </c>
      <c r="M1819" s="117" t="s">
        <v>349</v>
      </c>
      <c r="N1819" s="33">
        <v>44665</v>
      </c>
      <c r="O1819" s="32">
        <v>4106</v>
      </c>
      <c r="P1819" s="391">
        <f t="shared" si="99"/>
        <v>0.12</v>
      </c>
      <c r="Q1819" s="322">
        <v>0.12</v>
      </c>
      <c r="R1819" s="322">
        <f t="shared" si="100"/>
        <v>7.1999999999999993</v>
      </c>
      <c r="S1819" s="92">
        <v>7.27</v>
      </c>
      <c r="T1819" s="7">
        <f t="shared" si="101"/>
        <v>436.2</v>
      </c>
      <c r="U1819" s="120"/>
      <c r="V1819" s="260">
        <v>90</v>
      </c>
    </row>
    <row r="1820" spans="2:22" s="7" customFormat="1" ht="18" customHeight="1">
      <c r="B1820" s="12" t="s">
        <v>300</v>
      </c>
      <c r="C1820" s="6" t="s">
        <v>2981</v>
      </c>
      <c r="D1820" s="14" t="s">
        <v>2676</v>
      </c>
      <c r="E1820" s="22">
        <v>1905</v>
      </c>
      <c r="F1820" s="24"/>
      <c r="G1820" s="22" t="s">
        <v>2985</v>
      </c>
      <c r="H1820" s="8">
        <v>30</v>
      </c>
      <c r="I1820" s="109">
        <v>1</v>
      </c>
      <c r="J1820" s="8">
        <f t="shared" si="97"/>
        <v>30</v>
      </c>
      <c r="K1820" s="39">
        <v>0.14000000000000001</v>
      </c>
      <c r="L1820" s="39">
        <f t="shared" si="98"/>
        <v>4.2</v>
      </c>
      <c r="M1820" s="117" t="s">
        <v>349</v>
      </c>
      <c r="N1820" s="33">
        <v>44665</v>
      </c>
      <c r="O1820" s="32">
        <v>4106</v>
      </c>
      <c r="P1820" s="391">
        <f t="shared" si="99"/>
        <v>0.12</v>
      </c>
      <c r="Q1820" s="322">
        <v>0.12</v>
      </c>
      <c r="R1820" s="322">
        <f t="shared" si="100"/>
        <v>3.5999999999999996</v>
      </c>
      <c r="S1820" s="92">
        <v>7.27</v>
      </c>
      <c r="T1820" s="7">
        <f t="shared" si="101"/>
        <v>218.1</v>
      </c>
      <c r="U1820" s="120"/>
      <c r="V1820" s="260">
        <v>90</v>
      </c>
    </row>
    <row r="1821" spans="2:22" s="7" customFormat="1" ht="18" customHeight="1">
      <c r="B1821" s="12" t="s">
        <v>300</v>
      </c>
      <c r="C1821" s="6" t="s">
        <v>2981</v>
      </c>
      <c r="D1821" s="14" t="s">
        <v>2676</v>
      </c>
      <c r="E1821" s="22">
        <v>1905</v>
      </c>
      <c r="F1821" s="24"/>
      <c r="G1821" s="22" t="s">
        <v>2986</v>
      </c>
      <c r="H1821" s="8">
        <v>30</v>
      </c>
      <c r="I1821" s="109">
        <v>4</v>
      </c>
      <c r="J1821" s="8">
        <f t="shared" si="97"/>
        <v>120</v>
      </c>
      <c r="K1821" s="39">
        <v>0.14000000000000001</v>
      </c>
      <c r="L1821" s="39">
        <f t="shared" si="98"/>
        <v>16.8</v>
      </c>
      <c r="M1821" s="117" t="s">
        <v>349</v>
      </c>
      <c r="N1821" s="33">
        <v>44665</v>
      </c>
      <c r="O1821" s="32">
        <v>4106</v>
      </c>
      <c r="P1821" s="391">
        <f t="shared" si="99"/>
        <v>0.12</v>
      </c>
      <c r="Q1821" s="322">
        <v>0.12</v>
      </c>
      <c r="R1821" s="322">
        <f t="shared" si="100"/>
        <v>14.399999999999999</v>
      </c>
      <c r="S1821" s="92">
        <v>7.27</v>
      </c>
      <c r="T1821" s="7">
        <f t="shared" si="101"/>
        <v>872.4</v>
      </c>
      <c r="U1821" s="120"/>
      <c r="V1821" s="260">
        <v>90</v>
      </c>
    </row>
    <row r="1822" spans="2:22" s="7" customFormat="1" ht="18" customHeight="1">
      <c r="B1822" s="12" t="s">
        <v>300</v>
      </c>
      <c r="C1822" s="6" t="s">
        <v>2981</v>
      </c>
      <c r="D1822" s="14" t="s">
        <v>2676</v>
      </c>
      <c r="E1822" s="22">
        <v>1905</v>
      </c>
      <c r="F1822" s="24"/>
      <c r="G1822" s="22" t="s">
        <v>2987</v>
      </c>
      <c r="H1822" s="8">
        <v>30</v>
      </c>
      <c r="I1822" s="35">
        <v>8</v>
      </c>
      <c r="J1822" s="8">
        <f t="shared" si="97"/>
        <v>240</v>
      </c>
      <c r="K1822" s="39">
        <v>0.14000000000000001</v>
      </c>
      <c r="L1822" s="39">
        <f t="shared" si="98"/>
        <v>33.6</v>
      </c>
      <c r="M1822" s="117" t="s">
        <v>349</v>
      </c>
      <c r="N1822" s="33">
        <v>44665</v>
      </c>
      <c r="O1822" s="32">
        <v>4106</v>
      </c>
      <c r="P1822" s="391">
        <f t="shared" si="99"/>
        <v>0.12</v>
      </c>
      <c r="Q1822" s="322">
        <v>0.12</v>
      </c>
      <c r="R1822" s="322">
        <f t="shared" si="100"/>
        <v>28.799999999999997</v>
      </c>
      <c r="S1822" s="92">
        <v>7.27</v>
      </c>
      <c r="T1822" s="7">
        <f t="shared" si="101"/>
        <v>1744.8</v>
      </c>
      <c r="U1822" s="120"/>
      <c r="V1822" s="260">
        <v>90</v>
      </c>
    </row>
    <row r="1823" spans="2:22" s="7" customFormat="1" ht="18" customHeight="1">
      <c r="B1823" s="12" t="s">
        <v>300</v>
      </c>
      <c r="C1823" s="6" t="s">
        <v>2981</v>
      </c>
      <c r="D1823" s="14" t="s">
        <v>2676</v>
      </c>
      <c r="E1823" s="22">
        <v>1905</v>
      </c>
      <c r="F1823" s="24"/>
      <c r="G1823" s="22" t="s">
        <v>2988</v>
      </c>
      <c r="H1823" s="8">
        <v>30</v>
      </c>
      <c r="I1823" s="109">
        <v>9</v>
      </c>
      <c r="J1823" s="8">
        <f t="shared" si="97"/>
        <v>270</v>
      </c>
      <c r="K1823" s="39">
        <v>0.14000000000000001</v>
      </c>
      <c r="L1823" s="39">
        <f t="shared" si="98"/>
        <v>37.800000000000004</v>
      </c>
      <c r="M1823" s="117" t="s">
        <v>349</v>
      </c>
      <c r="N1823" s="33">
        <v>44665</v>
      </c>
      <c r="O1823" s="32">
        <v>4106</v>
      </c>
      <c r="P1823" s="391">
        <f t="shared" si="99"/>
        <v>0.12</v>
      </c>
      <c r="Q1823" s="322">
        <v>0.12</v>
      </c>
      <c r="R1823" s="322">
        <f t="shared" si="100"/>
        <v>32.4</v>
      </c>
      <c r="S1823" s="92">
        <v>7.27</v>
      </c>
      <c r="T1823" s="7">
        <f t="shared" si="101"/>
        <v>1962.8999999999999</v>
      </c>
      <c r="U1823" s="120"/>
      <c r="V1823" s="260">
        <v>90</v>
      </c>
    </row>
    <row r="1824" spans="2:22" s="7" customFormat="1" ht="15.75">
      <c r="B1824" s="12"/>
      <c r="C1824" s="6" t="s">
        <v>2981</v>
      </c>
      <c r="D1824" s="14" t="s">
        <v>2676</v>
      </c>
      <c r="E1824" s="82"/>
      <c r="F1824" s="102"/>
      <c r="G1824" s="22" t="s">
        <v>316</v>
      </c>
      <c r="H1824" s="8"/>
      <c r="I1824" s="35"/>
      <c r="J1824" s="38">
        <v>1</v>
      </c>
      <c r="K1824" s="39">
        <v>12</v>
      </c>
      <c r="L1824" s="39">
        <f t="shared" si="98"/>
        <v>12</v>
      </c>
      <c r="M1824" s="117"/>
      <c r="N1824" s="33">
        <v>44665</v>
      </c>
      <c r="O1824" s="32">
        <v>4106</v>
      </c>
      <c r="P1824" s="391">
        <v>12</v>
      </c>
      <c r="Q1824" s="322">
        <f>P1824*J1824</f>
        <v>12</v>
      </c>
      <c r="R1824" s="322">
        <f t="shared" si="100"/>
        <v>12</v>
      </c>
      <c r="S1824" s="7">
        <v>0</v>
      </c>
      <c r="T1824" s="7">
        <f t="shared" si="101"/>
        <v>0</v>
      </c>
      <c r="U1824" s="21"/>
      <c r="V1824" s="260">
        <v>90</v>
      </c>
    </row>
    <row r="1825" spans="1:22" s="191" customFormat="1" ht="15">
      <c r="B1825" s="190"/>
      <c r="C1825" s="179" t="s">
        <v>2981</v>
      </c>
      <c r="D1825" s="180" t="s">
        <v>2676</v>
      </c>
      <c r="E1825" s="181"/>
      <c r="F1825" s="182"/>
      <c r="G1825" s="182" t="s">
        <v>250</v>
      </c>
      <c r="H1825" s="184" t="s">
        <v>251</v>
      </c>
      <c r="I1825" s="185"/>
      <c r="J1825" s="183"/>
      <c r="K1825" s="192">
        <v>0</v>
      </c>
      <c r="L1825" s="188"/>
      <c r="M1825" s="187"/>
      <c r="N1825" s="187">
        <v>44665</v>
      </c>
      <c r="O1825" s="186">
        <v>4106</v>
      </c>
      <c r="P1825" s="179"/>
      <c r="Q1825" s="725">
        <v>0</v>
      </c>
      <c r="R1825" s="322">
        <f t="shared" si="100"/>
        <v>0</v>
      </c>
      <c r="S1825" s="197">
        <v>0</v>
      </c>
      <c r="T1825" s="198">
        <v>0</v>
      </c>
      <c r="U1825" s="335"/>
      <c r="V1825" s="260">
        <v>90</v>
      </c>
    </row>
    <row r="1826" spans="1:22" s="7" customFormat="1" ht="15" customHeight="1">
      <c r="B1826" s="12"/>
      <c r="C1826" s="6" t="s">
        <v>2989</v>
      </c>
      <c r="D1826" s="14" t="s">
        <v>2559</v>
      </c>
      <c r="E1826" s="19" t="s">
        <v>200</v>
      </c>
      <c r="F1826" s="24"/>
      <c r="G1826" s="22"/>
      <c r="H1826" s="60"/>
      <c r="I1826" s="61"/>
      <c r="J1826" s="60"/>
      <c r="K1826" s="16" t="s">
        <v>101</v>
      </c>
      <c r="L1826" s="33"/>
      <c r="M1826" s="33"/>
      <c r="N1826" s="33">
        <v>44664</v>
      </c>
      <c r="O1826" s="32">
        <v>4110</v>
      </c>
      <c r="P1826" s="123" t="s">
        <v>8</v>
      </c>
      <c r="Q1826" s="230" t="s">
        <v>226</v>
      </c>
      <c r="S1826" s="257"/>
      <c r="T1826" s="92"/>
      <c r="U1826" s="269"/>
      <c r="V1826" s="260">
        <v>90</v>
      </c>
    </row>
    <row r="1827" spans="1:22" s="7" customFormat="1" ht="18" customHeight="1">
      <c r="B1827" s="12" t="s">
        <v>300</v>
      </c>
      <c r="C1827" s="6" t="s">
        <v>2989</v>
      </c>
      <c r="D1827" s="14" t="s">
        <v>2559</v>
      </c>
      <c r="E1827" s="22">
        <v>5291</v>
      </c>
      <c r="F1827" s="24">
        <v>4</v>
      </c>
      <c r="G1827" s="22" t="s">
        <v>2990</v>
      </c>
      <c r="H1827" s="60">
        <v>50</v>
      </c>
      <c r="I1827" s="109">
        <v>13</v>
      </c>
      <c r="J1827" s="8">
        <f>H1827*I1827</f>
        <v>650</v>
      </c>
      <c r="K1827" s="39">
        <v>0.13</v>
      </c>
      <c r="L1827" s="39">
        <f>K1827*J1827</f>
        <v>84.5</v>
      </c>
      <c r="M1827" s="117" t="s">
        <v>349</v>
      </c>
      <c r="N1827" s="33">
        <v>44664</v>
      </c>
      <c r="O1827" s="32">
        <v>4110</v>
      </c>
      <c r="P1827" s="391">
        <f>ROUNDUP(S1827/V1827/VLOOKUP(B1827,$C$2:$F$6,3,FALSE),2)</f>
        <v>0.11</v>
      </c>
      <c r="Q1827" s="124">
        <v>0.11</v>
      </c>
      <c r="R1827" s="322">
        <f>Q1827*J1827</f>
        <v>71.5</v>
      </c>
      <c r="S1827" s="257">
        <v>6.4</v>
      </c>
      <c r="T1827" s="7">
        <f>S1827*J1827</f>
        <v>4160</v>
      </c>
      <c r="U1827" s="270" t="s">
        <v>2991</v>
      </c>
      <c r="V1827" s="260">
        <v>90</v>
      </c>
    </row>
    <row r="1828" spans="1:22" s="7" customFormat="1" ht="18" customHeight="1">
      <c r="B1828" s="12" t="s">
        <v>300</v>
      </c>
      <c r="C1828" s="6" t="s">
        <v>2989</v>
      </c>
      <c r="D1828" s="14" t="s">
        <v>2559</v>
      </c>
      <c r="E1828" s="22">
        <v>5291</v>
      </c>
      <c r="F1828" s="24">
        <v>4</v>
      </c>
      <c r="G1828" s="22" t="s">
        <v>2992</v>
      </c>
      <c r="H1828" s="60">
        <v>50</v>
      </c>
      <c r="I1828" s="109">
        <v>3</v>
      </c>
      <c r="J1828" s="8">
        <f>H1828*I1828</f>
        <v>150</v>
      </c>
      <c r="K1828" s="39">
        <v>0.13</v>
      </c>
      <c r="L1828" s="39">
        <f>K1828*J1828</f>
        <v>19.5</v>
      </c>
      <c r="M1828" s="117" t="s">
        <v>349</v>
      </c>
      <c r="N1828" s="33">
        <v>44664</v>
      </c>
      <c r="O1828" s="32">
        <v>4110</v>
      </c>
      <c r="P1828" s="391">
        <f>ROUNDUP(S1828/V1828/VLOOKUP(B1828,$C$2:$F$6,3,FALSE),2)</f>
        <v>0.11</v>
      </c>
      <c r="Q1828" s="124">
        <v>0.11</v>
      </c>
      <c r="R1828" s="322">
        <f>Q1828*J1828</f>
        <v>16.5</v>
      </c>
      <c r="S1828" s="257">
        <v>6.4</v>
      </c>
      <c r="T1828" s="7">
        <f>S1828*J1828</f>
        <v>960</v>
      </c>
      <c r="U1828" s="270" t="s">
        <v>2991</v>
      </c>
      <c r="V1828" s="260">
        <v>90</v>
      </c>
    </row>
    <row r="1829" spans="1:22" s="7" customFormat="1" ht="18" customHeight="1">
      <c r="B1829" s="12" t="s">
        <v>300</v>
      </c>
      <c r="C1829" s="6" t="s">
        <v>2989</v>
      </c>
      <c r="D1829" s="14" t="s">
        <v>2559</v>
      </c>
      <c r="E1829" s="22" t="s">
        <v>355</v>
      </c>
      <c r="F1829" s="24">
        <v>4</v>
      </c>
      <c r="G1829" s="22" t="s">
        <v>2993</v>
      </c>
      <c r="H1829" s="60">
        <v>50</v>
      </c>
      <c r="I1829" s="109">
        <v>13</v>
      </c>
      <c r="J1829" s="8">
        <f>H1829*I1829</f>
        <v>650</v>
      </c>
      <c r="K1829" s="39">
        <v>0.13</v>
      </c>
      <c r="L1829" s="39">
        <f>K1829*J1829</f>
        <v>84.5</v>
      </c>
      <c r="M1829" s="117" t="s">
        <v>349</v>
      </c>
      <c r="N1829" s="33">
        <v>44664</v>
      </c>
      <c r="O1829" s="32">
        <v>4110</v>
      </c>
      <c r="P1829" s="391">
        <f>ROUNDUP(S1829/V1829/VLOOKUP(B1829,$C$2:$F$6,3,FALSE),2)</f>
        <v>0.11</v>
      </c>
      <c r="Q1829" s="124">
        <v>0.11</v>
      </c>
      <c r="R1829" s="322">
        <f>Q1829*J1829</f>
        <v>71.5</v>
      </c>
      <c r="S1829" s="257">
        <v>6.4</v>
      </c>
      <c r="T1829" s="7">
        <f>S1829*J1829</f>
        <v>4160</v>
      </c>
      <c r="U1829" s="270" t="s">
        <v>2991</v>
      </c>
      <c r="V1829" s="260">
        <v>90</v>
      </c>
    </row>
    <row r="1830" spans="1:22" customFormat="1" ht="15.95" customHeight="1">
      <c r="A1830" s="1"/>
      <c r="B1830" s="26"/>
      <c r="C1830" s="6" t="s">
        <v>2989</v>
      </c>
      <c r="D1830" s="14" t="s">
        <v>2559</v>
      </c>
      <c r="E1830" s="22"/>
      <c r="F1830" s="102"/>
      <c r="G1830" s="37" t="s">
        <v>316</v>
      </c>
      <c r="H1830" s="8"/>
      <c r="I1830" s="35"/>
      <c r="J1830" s="38">
        <v>1</v>
      </c>
      <c r="K1830" s="39">
        <v>15</v>
      </c>
      <c r="L1830" s="39">
        <f>K1830*J1830</f>
        <v>15</v>
      </c>
      <c r="M1830" s="91"/>
      <c r="N1830" s="33">
        <v>44664</v>
      </c>
      <c r="O1830" s="32">
        <v>4110</v>
      </c>
      <c r="P1830" s="123"/>
      <c r="Q1830" s="124">
        <v>12</v>
      </c>
      <c r="R1830" s="322">
        <f>Q1830*J1830</f>
        <v>12</v>
      </c>
      <c r="S1830" s="263">
        <v>850</v>
      </c>
      <c r="T1830" s="7">
        <f>S1830*J1830</f>
        <v>850</v>
      </c>
      <c r="U1830" s="270"/>
      <c r="V1830" s="260">
        <v>90</v>
      </c>
    </row>
    <row r="1831" spans="1:22" s="191" customFormat="1" ht="15" customHeight="1">
      <c r="B1831" s="190"/>
      <c r="C1831" s="179" t="s">
        <v>2989</v>
      </c>
      <c r="D1831" s="180" t="s">
        <v>2559</v>
      </c>
      <c r="E1831" s="181"/>
      <c r="F1831" s="182"/>
      <c r="G1831" s="182" t="s">
        <v>250</v>
      </c>
      <c r="H1831" s="184" t="s">
        <v>251</v>
      </c>
      <c r="I1831" s="185"/>
      <c r="J1831" s="183"/>
      <c r="K1831" s="192">
        <v>0</v>
      </c>
      <c r="L1831" s="187"/>
      <c r="M1831" s="187"/>
      <c r="N1831" s="187">
        <v>44664</v>
      </c>
      <c r="O1831" s="186">
        <v>4110</v>
      </c>
      <c r="P1831" s="179"/>
      <c r="Q1831" s="255">
        <v>0</v>
      </c>
      <c r="S1831" s="275">
        <v>0</v>
      </c>
      <c r="T1831" s="198">
        <v>0</v>
      </c>
      <c r="U1831" s="271"/>
      <c r="V1831" s="260">
        <v>90</v>
      </c>
    </row>
    <row r="1832" spans="1:22" s="7" customFormat="1" ht="17.25" customHeight="1">
      <c r="B1832" s="12"/>
      <c r="C1832" s="6" t="s">
        <v>2994</v>
      </c>
      <c r="D1832" s="14" t="s">
        <v>1963</v>
      </c>
      <c r="E1832" s="19" t="s">
        <v>238</v>
      </c>
      <c r="F1832" s="107"/>
      <c r="G1832" s="22"/>
      <c r="H1832" s="108"/>
      <c r="I1832" s="109"/>
      <c r="J1832" s="108"/>
      <c r="K1832" s="29" t="s">
        <v>5</v>
      </c>
      <c r="L1832" s="139"/>
      <c r="M1832" s="33"/>
      <c r="N1832" s="33">
        <v>44669</v>
      </c>
      <c r="O1832" s="32">
        <v>4120</v>
      </c>
      <c r="P1832" s="14"/>
      <c r="Q1832" s="322"/>
      <c r="U1832" s="14"/>
      <c r="V1832" s="260">
        <v>90</v>
      </c>
    </row>
    <row r="1833" spans="1:22" s="7" customFormat="1" ht="18" customHeight="1">
      <c r="B1833" s="12" t="s">
        <v>302</v>
      </c>
      <c r="C1833" s="6" t="s">
        <v>2994</v>
      </c>
      <c r="D1833" s="14" t="s">
        <v>1963</v>
      </c>
      <c r="E1833" s="22" t="s">
        <v>239</v>
      </c>
      <c r="F1833" s="107">
        <v>150</v>
      </c>
      <c r="G1833" s="22" t="s">
        <v>2995</v>
      </c>
      <c r="H1833" s="108">
        <v>5</v>
      </c>
      <c r="I1833" s="109">
        <v>1</v>
      </c>
      <c r="J1833" s="8">
        <f>H1833*I1833</f>
        <v>5</v>
      </c>
      <c r="K1833" s="39">
        <v>7.09</v>
      </c>
      <c r="L1833" s="39">
        <f>K1833*J1833</f>
        <v>35.450000000000003</v>
      </c>
      <c r="M1833" s="117" t="s">
        <v>349</v>
      </c>
      <c r="N1833" s="33">
        <v>44669</v>
      </c>
      <c r="O1833" s="32">
        <v>4120</v>
      </c>
      <c r="P1833" s="391">
        <f>ROUNDUP(S1833/V1833/VLOOKUP(B1833,$C$2:$F$6,3,FALSE),2)</f>
        <v>6.4399999999999995</v>
      </c>
      <c r="Q1833" s="322">
        <v>6.44</v>
      </c>
      <c r="R1833" s="322">
        <f>Q1833*J1833</f>
        <v>32.200000000000003</v>
      </c>
      <c r="S1833" s="7">
        <v>510</v>
      </c>
      <c r="T1833" s="7">
        <f>S1833*J1833</f>
        <v>2550</v>
      </c>
      <c r="U1833" s="21"/>
      <c r="V1833" s="260">
        <v>90</v>
      </c>
    </row>
    <row r="1834" spans="1:22" s="7" customFormat="1" ht="18" customHeight="1">
      <c r="B1834" s="12" t="s">
        <v>302</v>
      </c>
      <c r="C1834" s="145" t="s">
        <v>2994</v>
      </c>
      <c r="D1834" s="149" t="s">
        <v>1963</v>
      </c>
      <c r="E1834" s="122" t="s">
        <v>239</v>
      </c>
      <c r="F1834" s="368">
        <v>150</v>
      </c>
      <c r="G1834" s="129" t="s">
        <v>2996</v>
      </c>
      <c r="H1834" s="148">
        <v>5</v>
      </c>
      <c r="I1834" s="156">
        <v>1</v>
      </c>
      <c r="J1834" s="151">
        <f>H1834*I1834</f>
        <v>5</v>
      </c>
      <c r="K1834" s="132">
        <v>7.09</v>
      </c>
      <c r="L1834" s="132">
        <f>K1834*J1834</f>
        <v>35.450000000000003</v>
      </c>
      <c r="M1834" s="373" t="s">
        <v>349</v>
      </c>
      <c r="N1834" s="888"/>
      <c r="O1834" s="134"/>
      <c r="P1834" s="391"/>
      <c r="Q1834" s="322"/>
      <c r="R1834" s="322"/>
      <c r="U1834" s="21"/>
      <c r="V1834" s="260"/>
    </row>
    <row r="1835" spans="1:22" s="7" customFormat="1" ht="15">
      <c r="B1835" s="12"/>
      <c r="C1835" s="6" t="s">
        <v>2994</v>
      </c>
      <c r="D1835" s="14" t="s">
        <v>1963</v>
      </c>
      <c r="E1835" s="49"/>
      <c r="F1835" s="102"/>
      <c r="G1835" s="22" t="s">
        <v>2625</v>
      </c>
      <c r="H1835" s="38"/>
      <c r="I1835" s="35"/>
      <c r="J1835" s="38">
        <v>1</v>
      </c>
      <c r="K1835" s="39">
        <v>15</v>
      </c>
      <c r="L1835" s="39">
        <f>K1835*J1835</f>
        <v>15</v>
      </c>
      <c r="M1835" s="91"/>
      <c r="N1835" s="33">
        <v>44669</v>
      </c>
      <c r="O1835" s="32">
        <v>4120</v>
      </c>
      <c r="P1835" s="391">
        <v>12</v>
      </c>
      <c r="Q1835" s="322">
        <f>P1835*J1835</f>
        <v>12</v>
      </c>
      <c r="R1835" s="322">
        <v>12</v>
      </c>
      <c r="S1835" s="7">
        <v>1000</v>
      </c>
      <c r="T1835" s="7">
        <f>S1835*J1835</f>
        <v>1000</v>
      </c>
      <c r="U1835" s="21"/>
      <c r="V1835" s="260">
        <v>90</v>
      </c>
    </row>
    <row r="1836" spans="1:22" s="7" customFormat="1" ht="15">
      <c r="B1836" s="12"/>
      <c r="C1836" s="6" t="s">
        <v>2994</v>
      </c>
      <c r="D1836" s="14" t="s">
        <v>1963</v>
      </c>
      <c r="E1836" s="49"/>
      <c r="F1836" s="102"/>
      <c r="G1836" s="22" t="s">
        <v>316</v>
      </c>
      <c r="H1836" s="38"/>
      <c r="I1836" s="35"/>
      <c r="J1836" s="38">
        <v>1</v>
      </c>
      <c r="K1836" s="39">
        <v>12</v>
      </c>
      <c r="L1836" s="39">
        <f>K1836*J1836</f>
        <v>12</v>
      </c>
      <c r="M1836" s="91"/>
      <c r="N1836" s="33">
        <v>44669</v>
      </c>
      <c r="O1836" s="32">
        <v>4120</v>
      </c>
      <c r="P1836" s="722"/>
      <c r="Q1836" s="322">
        <v>12</v>
      </c>
      <c r="R1836" s="322">
        <f>Q1836*J1836</f>
        <v>12</v>
      </c>
      <c r="S1836" s="7">
        <v>1000</v>
      </c>
      <c r="T1836" s="7">
        <f>S1836*J1836</f>
        <v>1000</v>
      </c>
      <c r="U1836" s="21"/>
      <c r="V1836" s="260">
        <v>90</v>
      </c>
    </row>
    <row r="1837" spans="1:22" s="191" customFormat="1" ht="15">
      <c r="B1837" s="190"/>
      <c r="C1837" s="179" t="s">
        <v>2994</v>
      </c>
      <c r="D1837" s="180" t="s">
        <v>1963</v>
      </c>
      <c r="E1837" s="181"/>
      <c r="F1837" s="182"/>
      <c r="G1837" s="182" t="s">
        <v>250</v>
      </c>
      <c r="H1837" s="184" t="s">
        <v>251</v>
      </c>
      <c r="I1837" s="185"/>
      <c r="J1837" s="183"/>
      <c r="K1837" s="192">
        <v>0</v>
      </c>
      <c r="L1837" s="188"/>
      <c r="M1837" s="187"/>
      <c r="N1837" s="187">
        <v>44669</v>
      </c>
      <c r="O1837" s="186">
        <v>4120</v>
      </c>
      <c r="P1837" s="179"/>
      <c r="Q1837" s="725">
        <v>0</v>
      </c>
      <c r="R1837" s="322">
        <f>Q1837*J1837</f>
        <v>0</v>
      </c>
      <c r="S1837" s="197">
        <v>0</v>
      </c>
      <c r="T1837" s="198">
        <v>0</v>
      </c>
      <c r="U1837" s="335"/>
      <c r="V1837" s="260">
        <v>90</v>
      </c>
    </row>
    <row r="1838" spans="1:22" s="52" customFormat="1" ht="18" customHeight="1">
      <c r="B1838" s="612"/>
      <c r="C1838" s="889" t="s">
        <v>2997</v>
      </c>
      <c r="D1838" s="890" t="s">
        <v>2998</v>
      </c>
      <c r="E1838" s="891" t="s">
        <v>2999</v>
      </c>
      <c r="F1838" s="892"/>
      <c r="G1838" s="893"/>
      <c r="H1838" s="894"/>
      <c r="I1838" s="895"/>
      <c r="J1838" s="896"/>
      <c r="K1838" s="897" t="s">
        <v>102</v>
      </c>
      <c r="L1838" s="898"/>
      <c r="M1838" s="898"/>
      <c r="N1838" s="33">
        <v>44667</v>
      </c>
      <c r="O1838" s="32">
        <v>4128</v>
      </c>
      <c r="P1838" s="889"/>
      <c r="Q1838" s="899"/>
      <c r="U1838" s="900"/>
      <c r="V1838" s="901">
        <v>90</v>
      </c>
    </row>
    <row r="1839" spans="1:22" s="52" customFormat="1" ht="18" customHeight="1">
      <c r="B1839" s="612"/>
      <c r="C1839" s="889" t="s">
        <v>2997</v>
      </c>
      <c r="D1839" s="890" t="s">
        <v>2998</v>
      </c>
      <c r="E1839" s="401" t="s">
        <v>3000</v>
      </c>
      <c r="F1839" s="893">
        <v>39</v>
      </c>
      <c r="G1839" s="902" t="s">
        <v>3001</v>
      </c>
      <c r="H1839" s="896"/>
      <c r="I1839" s="903"/>
      <c r="J1839" s="894">
        <v>10</v>
      </c>
      <c r="K1839" s="904">
        <v>363.95</v>
      </c>
      <c r="L1839" s="904">
        <v>363.95</v>
      </c>
      <c r="M1839" s="403" t="s">
        <v>322</v>
      </c>
      <c r="N1839" s="33">
        <v>44667</v>
      </c>
      <c r="O1839" s="32">
        <v>4128</v>
      </c>
      <c r="P1839" s="793"/>
      <c r="Q1839" s="611">
        <v>307.48</v>
      </c>
      <c r="R1839" s="611">
        <v>307.48</v>
      </c>
      <c r="S1839" s="899">
        <v>251</v>
      </c>
      <c r="T1839" s="899">
        <v>251</v>
      </c>
      <c r="U1839" s="905"/>
      <c r="V1839" s="901">
        <v>90</v>
      </c>
    </row>
    <row r="1840" spans="1:22" s="918" customFormat="1" ht="15">
      <c r="A1840" s="52"/>
      <c r="B1840" s="906"/>
      <c r="C1840" s="907" t="s">
        <v>2997</v>
      </c>
      <c r="D1840" s="908" t="s">
        <v>2998</v>
      </c>
      <c r="E1840" s="909"/>
      <c r="F1840" s="910"/>
      <c r="G1840" s="910" t="s">
        <v>250</v>
      </c>
      <c r="H1840" s="911" t="s">
        <v>251</v>
      </c>
      <c r="I1840" s="912"/>
      <c r="J1840" s="913"/>
      <c r="K1840" s="914">
        <v>0</v>
      </c>
      <c r="L1840" s="915"/>
      <c r="M1840" s="916"/>
      <c r="N1840" s="187">
        <v>44667</v>
      </c>
      <c r="O1840" s="186">
        <v>4128</v>
      </c>
      <c r="P1840" s="907"/>
      <c r="Q1840" s="917">
        <v>0</v>
      </c>
      <c r="S1840" s="919">
        <v>0</v>
      </c>
      <c r="T1840" s="919">
        <v>0</v>
      </c>
      <c r="U1840" s="920"/>
      <c r="V1840" s="901">
        <v>90</v>
      </c>
    </row>
    <row r="1841" spans="2:22" s="7" customFormat="1" ht="18" customHeight="1">
      <c r="B1841" s="12"/>
      <c r="C1841" s="6" t="s">
        <v>3002</v>
      </c>
      <c r="D1841" s="14" t="s">
        <v>2022</v>
      </c>
      <c r="E1841" s="19" t="s">
        <v>59</v>
      </c>
      <c r="F1841" s="107"/>
      <c r="G1841" s="22"/>
      <c r="H1841" s="108"/>
      <c r="I1841" s="109"/>
      <c r="J1841" s="108"/>
      <c r="K1841" s="29" t="s">
        <v>5</v>
      </c>
      <c r="L1841" s="39"/>
      <c r="M1841" s="91"/>
      <c r="N1841" s="33">
        <v>44753</v>
      </c>
      <c r="O1841" s="32">
        <v>4377</v>
      </c>
      <c r="P1841" s="14"/>
      <c r="Q1841" s="322"/>
      <c r="U1841" s="14"/>
      <c r="V1841" s="260">
        <v>90</v>
      </c>
    </row>
    <row r="1842" spans="2:22" s="7" customFormat="1" ht="18" customHeight="1">
      <c r="B1842" s="12" t="s">
        <v>302</v>
      </c>
      <c r="C1842" s="6" t="s">
        <v>3002</v>
      </c>
      <c r="D1842" s="14" t="s">
        <v>2022</v>
      </c>
      <c r="E1842" s="22" t="s">
        <v>314</v>
      </c>
      <c r="F1842" s="107">
        <v>145</v>
      </c>
      <c r="G1842" s="22" t="s">
        <v>2293</v>
      </c>
      <c r="H1842" s="108">
        <v>58</v>
      </c>
      <c r="I1842" s="109">
        <v>4</v>
      </c>
      <c r="J1842" s="8">
        <f>H1842*I1842</f>
        <v>232</v>
      </c>
      <c r="K1842" s="39">
        <v>9.17</v>
      </c>
      <c r="L1842" s="39">
        <f>K1842*J1842</f>
        <v>2127.44</v>
      </c>
      <c r="M1842" s="117" t="s">
        <v>349</v>
      </c>
      <c r="N1842" s="33">
        <v>44753</v>
      </c>
      <c r="O1842" s="32">
        <v>4377</v>
      </c>
      <c r="P1842" s="391">
        <f>ROUNDUP(S1842/V1842/VLOOKUP(B1842,$C$2:$F$6,3,FALSE),2)</f>
        <v>8.34</v>
      </c>
      <c r="Q1842" s="322">
        <v>8.34</v>
      </c>
      <c r="R1842" s="322">
        <f>Q1842*J1842</f>
        <v>1934.8799999999999</v>
      </c>
      <c r="S1842" s="7">
        <v>660</v>
      </c>
      <c r="T1842" s="7">
        <f>S1842*J1842</f>
        <v>153120</v>
      </c>
      <c r="U1842" s="21"/>
      <c r="V1842" s="260">
        <v>90</v>
      </c>
    </row>
    <row r="1843" spans="2:22" s="7" customFormat="1" ht="18" customHeight="1">
      <c r="B1843" s="12"/>
      <c r="C1843" s="6" t="s">
        <v>3002</v>
      </c>
      <c r="D1843" s="14" t="s">
        <v>2022</v>
      </c>
      <c r="E1843" s="49"/>
      <c r="F1843" s="37"/>
      <c r="G1843" s="22" t="s">
        <v>316</v>
      </c>
      <c r="H1843" s="8"/>
      <c r="I1843" s="109" ph="1"/>
      <c r="J1843" s="38">
        <v>1</v>
      </c>
      <c r="K1843" s="39">
        <v>20</v>
      </c>
      <c r="L1843" s="39">
        <f>K1843*J1843</f>
        <v>20</v>
      </c>
      <c r="M1843" s="91"/>
      <c r="N1843" s="33">
        <v>44753</v>
      </c>
      <c r="O1843" s="32">
        <v>4377</v>
      </c>
      <c r="P1843" s="6"/>
      <c r="Q1843" s="322">
        <v>20</v>
      </c>
      <c r="R1843" s="322">
        <f>Q1843*J1843</f>
        <v>20</v>
      </c>
      <c r="S1843" s="7">
        <v>1800</v>
      </c>
      <c r="T1843" s="7">
        <f>S1843*J1843</f>
        <v>1800</v>
      </c>
      <c r="U1843" s="21"/>
      <c r="V1843" s="260">
        <v>90</v>
      </c>
    </row>
    <row r="1844" spans="2:22" s="191" customFormat="1" ht="15">
      <c r="B1844" s="190"/>
      <c r="C1844" s="179" t="s">
        <v>3002</v>
      </c>
      <c r="D1844" s="180" t="s">
        <v>2022</v>
      </c>
      <c r="E1844" s="181"/>
      <c r="F1844" s="622"/>
      <c r="G1844" s="182" t="s">
        <v>250</v>
      </c>
      <c r="H1844" s="184" t="s">
        <v>252</v>
      </c>
      <c r="I1844" s="185"/>
      <c r="J1844" s="183"/>
      <c r="K1844" s="203">
        <v>350</v>
      </c>
      <c r="L1844" s="188"/>
      <c r="M1844" s="187"/>
      <c r="N1844" s="187">
        <v>44753</v>
      </c>
      <c r="O1844" s="186">
        <v>4377</v>
      </c>
      <c r="P1844" s="179"/>
      <c r="Q1844" s="747">
        <v>350</v>
      </c>
      <c r="R1844" s="334">
        <v>350</v>
      </c>
      <c r="S1844" s="197">
        <v>24817</v>
      </c>
      <c r="T1844" s="198">
        <v>24817</v>
      </c>
      <c r="U1844" s="335"/>
      <c r="V1844" s="260">
        <v>90</v>
      </c>
    </row>
    <row r="1845" spans="2:22" s="7" customFormat="1" ht="17.25" customHeight="1">
      <c r="B1845" s="12"/>
      <c r="C1845" s="6" t="s">
        <v>3003</v>
      </c>
      <c r="D1845" s="14" t="s">
        <v>1963</v>
      </c>
      <c r="E1845" s="19" t="s">
        <v>238</v>
      </c>
      <c r="F1845" s="107"/>
      <c r="G1845" s="22"/>
      <c r="H1845" s="108"/>
      <c r="I1845" s="109"/>
      <c r="J1845" s="108"/>
      <c r="K1845" s="29" t="s">
        <v>5</v>
      </c>
      <c r="L1845" s="139"/>
      <c r="M1845" s="33"/>
      <c r="N1845" s="33">
        <v>44671</v>
      </c>
      <c r="O1845" s="32">
        <v>4125</v>
      </c>
      <c r="P1845" s="14"/>
      <c r="Q1845" s="322"/>
      <c r="U1845" s="14"/>
      <c r="V1845" s="260">
        <v>90</v>
      </c>
    </row>
    <row r="1846" spans="2:22" s="7" customFormat="1" ht="18" customHeight="1">
      <c r="B1846" s="12" t="s">
        <v>302</v>
      </c>
      <c r="C1846" s="6" t="s">
        <v>3003</v>
      </c>
      <c r="D1846" s="14" t="s">
        <v>1963</v>
      </c>
      <c r="E1846" s="22" t="s">
        <v>239</v>
      </c>
      <c r="F1846" s="107">
        <v>150</v>
      </c>
      <c r="G1846" s="22" t="s">
        <v>2966</v>
      </c>
      <c r="H1846" s="108">
        <v>5</v>
      </c>
      <c r="I1846" s="109">
        <v>1</v>
      </c>
      <c r="J1846" s="8">
        <f>H1846*I1846</f>
        <v>5</v>
      </c>
      <c r="K1846" s="39">
        <v>7.09</v>
      </c>
      <c r="L1846" s="39">
        <f>K1846*J1846</f>
        <v>35.450000000000003</v>
      </c>
      <c r="M1846" s="117" t="s">
        <v>349</v>
      </c>
      <c r="N1846" s="33">
        <v>44671</v>
      </c>
      <c r="O1846" s="32">
        <v>4125</v>
      </c>
      <c r="P1846" s="391">
        <f>ROUNDUP(S1846/V1846/VLOOKUP(B1846,$C$2:$F$6,3,FALSE),2)</f>
        <v>6.4399999999999995</v>
      </c>
      <c r="Q1846" s="322">
        <v>6.44</v>
      </c>
      <c r="R1846" s="322">
        <f>Q1846*J1846</f>
        <v>32.200000000000003</v>
      </c>
      <c r="S1846" s="7">
        <v>510</v>
      </c>
      <c r="T1846" s="7">
        <f>S1846*J1846</f>
        <v>2550</v>
      </c>
      <c r="U1846" s="21"/>
      <c r="V1846" s="260">
        <v>90</v>
      </c>
    </row>
    <row r="1847" spans="2:22" s="7" customFormat="1" ht="15">
      <c r="B1847" s="12"/>
      <c r="C1847" s="6" t="s">
        <v>3003</v>
      </c>
      <c r="D1847" s="14" t="s">
        <v>1963</v>
      </c>
      <c r="E1847" s="49"/>
      <c r="F1847" s="102"/>
      <c r="G1847" s="22" t="s">
        <v>2625</v>
      </c>
      <c r="H1847" s="38"/>
      <c r="I1847" s="35"/>
      <c r="J1847" s="38">
        <v>1</v>
      </c>
      <c r="K1847" s="39">
        <v>15</v>
      </c>
      <c r="L1847" s="39">
        <f>K1847*J1847</f>
        <v>15</v>
      </c>
      <c r="M1847" s="91"/>
      <c r="N1847" s="33">
        <v>44671</v>
      </c>
      <c r="O1847" s="32">
        <v>4125</v>
      </c>
      <c r="P1847" s="391">
        <v>12</v>
      </c>
      <c r="Q1847" s="322">
        <f>P1847*J1847</f>
        <v>12</v>
      </c>
      <c r="R1847" s="322">
        <v>12</v>
      </c>
      <c r="S1847" s="7">
        <v>1000</v>
      </c>
      <c r="T1847" s="7">
        <f>S1847*J1847</f>
        <v>1000</v>
      </c>
      <c r="U1847" s="21"/>
      <c r="V1847" s="260">
        <v>90</v>
      </c>
    </row>
    <row r="1848" spans="2:22" s="7" customFormat="1" ht="15">
      <c r="B1848" s="12"/>
      <c r="C1848" s="6" t="s">
        <v>3003</v>
      </c>
      <c r="D1848" s="14" t="s">
        <v>1963</v>
      </c>
      <c r="E1848" s="49"/>
      <c r="F1848" s="102"/>
      <c r="G1848" s="22" t="s">
        <v>316</v>
      </c>
      <c r="H1848" s="38"/>
      <c r="I1848" s="35"/>
      <c r="J1848" s="38">
        <v>1</v>
      </c>
      <c r="K1848" s="39">
        <v>12</v>
      </c>
      <c r="L1848" s="39">
        <f>K1848*J1848</f>
        <v>12</v>
      </c>
      <c r="M1848" s="91"/>
      <c r="N1848" s="33">
        <v>44671</v>
      </c>
      <c r="O1848" s="32">
        <v>4125</v>
      </c>
      <c r="P1848" s="722"/>
      <c r="Q1848" s="322">
        <v>12</v>
      </c>
      <c r="R1848" s="322">
        <f>Q1848*J1848</f>
        <v>12</v>
      </c>
      <c r="S1848" s="7">
        <v>1000</v>
      </c>
      <c r="T1848" s="7">
        <f>S1848*J1848</f>
        <v>1000</v>
      </c>
      <c r="U1848" s="21"/>
      <c r="V1848" s="260">
        <v>90</v>
      </c>
    </row>
    <row r="1849" spans="2:22" s="191" customFormat="1" ht="15">
      <c r="B1849" s="190"/>
      <c r="C1849" s="179" t="s">
        <v>3003</v>
      </c>
      <c r="D1849" s="180" t="s">
        <v>1963</v>
      </c>
      <c r="E1849" s="181"/>
      <c r="F1849" s="182"/>
      <c r="G1849" s="182" t="s">
        <v>250</v>
      </c>
      <c r="H1849" s="184" t="s">
        <v>251</v>
      </c>
      <c r="I1849" s="185"/>
      <c r="J1849" s="183"/>
      <c r="K1849" s="192">
        <v>0</v>
      </c>
      <c r="L1849" s="188"/>
      <c r="M1849" s="187"/>
      <c r="N1849" s="187">
        <v>44671</v>
      </c>
      <c r="O1849" s="186">
        <v>4125</v>
      </c>
      <c r="P1849" s="179"/>
      <c r="Q1849" s="725">
        <v>0</v>
      </c>
      <c r="R1849" s="322">
        <f>Q1849*J1849</f>
        <v>0</v>
      </c>
      <c r="S1849" s="197">
        <v>0</v>
      </c>
      <c r="T1849" s="198">
        <v>0</v>
      </c>
      <c r="U1849" s="335"/>
      <c r="V1849" s="260">
        <v>90</v>
      </c>
    </row>
    <row r="1850" spans="2:22" s="7" customFormat="1" ht="18" customHeight="1">
      <c r="B1850" s="12"/>
      <c r="C1850" s="6" t="s">
        <v>3004</v>
      </c>
      <c r="D1850" s="14" t="s">
        <v>2162</v>
      </c>
      <c r="E1850" s="19" t="s">
        <v>2163</v>
      </c>
      <c r="F1850" s="37"/>
      <c r="G1850" s="37"/>
      <c r="H1850" s="108"/>
      <c r="I1850" s="108"/>
      <c r="J1850" s="108"/>
      <c r="K1850" s="110" t="s">
        <v>5</v>
      </c>
      <c r="L1850" s="139"/>
      <c r="M1850" s="33"/>
      <c r="N1850" s="33">
        <v>44693</v>
      </c>
      <c r="O1850" s="32">
        <v>4178</v>
      </c>
      <c r="P1850" s="6"/>
      <c r="Q1850" s="339"/>
      <c r="U1850" s="21"/>
      <c r="V1850" s="260">
        <v>90</v>
      </c>
    </row>
    <row r="1851" spans="2:22" s="7" customFormat="1" ht="18" customHeight="1">
      <c r="B1851" s="12" t="s">
        <v>300</v>
      </c>
      <c r="C1851" s="6" t="s">
        <v>3004</v>
      </c>
      <c r="D1851" s="14" t="s">
        <v>2162</v>
      </c>
      <c r="E1851" s="22">
        <v>5603</v>
      </c>
      <c r="F1851" s="37"/>
      <c r="G1851" s="396" t="s">
        <v>3005</v>
      </c>
      <c r="H1851" s="108">
        <v>50</v>
      </c>
      <c r="I1851" s="109">
        <v>6</v>
      </c>
      <c r="J1851" s="8">
        <f>I1851*H1851</f>
        <v>300</v>
      </c>
      <c r="K1851" s="39">
        <v>0.31</v>
      </c>
      <c r="L1851" s="39">
        <f>K1851*J1851</f>
        <v>93</v>
      </c>
      <c r="M1851" s="117" t="s">
        <v>349</v>
      </c>
      <c r="N1851" s="33">
        <v>44693</v>
      </c>
      <c r="O1851" s="32">
        <v>4178</v>
      </c>
      <c r="P1851" s="391">
        <f>ROUNDUP(S1851/V1851/VLOOKUP(B1851,$C$2:$F$6,3,FALSE),2)</f>
        <v>0.27</v>
      </c>
      <c r="Q1851" s="322">
        <v>0.27</v>
      </c>
      <c r="R1851" s="322">
        <f>Q1851*J1851</f>
        <v>81</v>
      </c>
      <c r="S1851" s="7">
        <v>16.7</v>
      </c>
      <c r="T1851" s="7">
        <f>S1851*J1851</f>
        <v>5010</v>
      </c>
      <c r="U1851" s="21"/>
      <c r="V1851" s="260">
        <v>90</v>
      </c>
    </row>
    <row r="1852" spans="2:22" s="7" customFormat="1" ht="18" customHeight="1">
      <c r="B1852" s="12" t="s">
        <v>300</v>
      </c>
      <c r="C1852" s="6" t="s">
        <v>3004</v>
      </c>
      <c r="D1852" s="14" t="s">
        <v>2162</v>
      </c>
      <c r="E1852" s="22">
        <v>5603</v>
      </c>
      <c r="F1852" s="37"/>
      <c r="G1852" s="396" t="s">
        <v>3006</v>
      </c>
      <c r="H1852" s="108">
        <v>50</v>
      </c>
      <c r="I1852" s="109">
        <v>6</v>
      </c>
      <c r="J1852" s="8">
        <f>I1852*H1852</f>
        <v>300</v>
      </c>
      <c r="K1852" s="39">
        <v>0.31</v>
      </c>
      <c r="L1852" s="39">
        <f>K1852*J1852</f>
        <v>93</v>
      </c>
      <c r="M1852" s="117" t="s">
        <v>349</v>
      </c>
      <c r="N1852" s="33">
        <v>44693</v>
      </c>
      <c r="O1852" s="32">
        <v>4178</v>
      </c>
      <c r="P1852" s="391">
        <f>ROUNDUP(S1852/V1852/VLOOKUP(B1852,$C$2:$F$6,3,FALSE),2)</f>
        <v>0.27</v>
      </c>
      <c r="Q1852" s="322">
        <v>0.27</v>
      </c>
      <c r="R1852" s="322">
        <f>Q1852*J1852</f>
        <v>81</v>
      </c>
      <c r="S1852" s="7">
        <v>16.7</v>
      </c>
      <c r="T1852" s="7">
        <f>S1852*J1852</f>
        <v>5010</v>
      </c>
      <c r="U1852" s="21"/>
      <c r="V1852" s="260">
        <v>90</v>
      </c>
    </row>
    <row r="1853" spans="2:22" s="7" customFormat="1" ht="18" customHeight="1">
      <c r="B1853" s="12" t="s">
        <v>300</v>
      </c>
      <c r="C1853" s="6" t="s">
        <v>3004</v>
      </c>
      <c r="D1853" s="14" t="s">
        <v>2162</v>
      </c>
      <c r="E1853" s="22">
        <v>5603</v>
      </c>
      <c r="F1853" s="37"/>
      <c r="G1853" s="396" t="s">
        <v>3007</v>
      </c>
      <c r="H1853" s="108">
        <v>50</v>
      </c>
      <c r="I1853" s="109">
        <v>1</v>
      </c>
      <c r="J1853" s="8">
        <f>I1853*H1853</f>
        <v>50</v>
      </c>
      <c r="K1853" s="39">
        <v>0.31</v>
      </c>
      <c r="L1853" s="39">
        <f>K1853*J1853</f>
        <v>15.5</v>
      </c>
      <c r="M1853" s="117" t="s">
        <v>349</v>
      </c>
      <c r="N1853" s="33">
        <v>44693</v>
      </c>
      <c r="O1853" s="32">
        <v>4178</v>
      </c>
      <c r="P1853" s="391">
        <f>ROUNDUP(S1853/V1853/VLOOKUP(B1853,$C$2:$F$6,3,FALSE),2)</f>
        <v>0.27</v>
      </c>
      <c r="Q1853" s="322">
        <v>0.27</v>
      </c>
      <c r="R1853" s="322">
        <f>Q1853*J1853</f>
        <v>13.5</v>
      </c>
      <c r="S1853" s="7">
        <v>16.7</v>
      </c>
      <c r="T1853" s="7">
        <f>S1853*J1853</f>
        <v>835</v>
      </c>
      <c r="U1853" s="21"/>
      <c r="V1853" s="260">
        <v>90</v>
      </c>
    </row>
    <row r="1854" spans="2:22" s="7" customFormat="1" ht="18" customHeight="1">
      <c r="B1854" s="12"/>
      <c r="C1854" s="6" t="s">
        <v>3004</v>
      </c>
      <c r="D1854" s="14" t="s">
        <v>2162</v>
      </c>
      <c r="E1854" s="22"/>
      <c r="F1854" s="102"/>
      <c r="G1854" s="22" t="s">
        <v>316</v>
      </c>
      <c r="H1854" s="8"/>
      <c r="I1854" s="35"/>
      <c r="J1854" s="38">
        <v>1</v>
      </c>
      <c r="K1854" s="39">
        <v>12</v>
      </c>
      <c r="L1854" s="39">
        <f>K1854*J1854</f>
        <v>12</v>
      </c>
      <c r="M1854" s="117"/>
      <c r="N1854" s="33">
        <v>44693</v>
      </c>
      <c r="O1854" s="32">
        <v>4178</v>
      </c>
      <c r="P1854" s="6" t="s">
        <v>3</v>
      </c>
      <c r="Q1854" s="322">
        <v>12</v>
      </c>
      <c r="R1854" s="322">
        <f>Q1854*J1854</f>
        <v>12</v>
      </c>
      <c r="S1854" s="7">
        <v>0</v>
      </c>
      <c r="T1854" s="7">
        <f>S1854*J1854</f>
        <v>0</v>
      </c>
      <c r="U1854" s="21"/>
      <c r="V1854" s="260">
        <v>90</v>
      </c>
    </row>
    <row r="1855" spans="2:22" s="191" customFormat="1" ht="15">
      <c r="B1855" s="190"/>
      <c r="C1855" s="179" t="s">
        <v>3004</v>
      </c>
      <c r="D1855" s="180" t="s">
        <v>2162</v>
      </c>
      <c r="E1855" s="181"/>
      <c r="F1855" s="182"/>
      <c r="G1855" s="182" t="s">
        <v>250</v>
      </c>
      <c r="H1855" s="184" t="s">
        <v>251</v>
      </c>
      <c r="I1855" s="185"/>
      <c r="J1855" s="183"/>
      <c r="K1855" s="192">
        <v>0</v>
      </c>
      <c r="L1855" s="188"/>
      <c r="M1855" s="187"/>
      <c r="N1855" s="187">
        <v>44693</v>
      </c>
      <c r="O1855" s="186">
        <v>4178</v>
      </c>
      <c r="P1855" s="179"/>
      <c r="Q1855" s="725">
        <v>0</v>
      </c>
      <c r="R1855" s="322">
        <f>Q1855*J1855</f>
        <v>0</v>
      </c>
      <c r="S1855" s="197">
        <v>0</v>
      </c>
      <c r="T1855" s="7">
        <f>S1855*J1855</f>
        <v>0</v>
      </c>
      <c r="U1855" s="335"/>
      <c r="V1855" s="260">
        <v>90</v>
      </c>
    </row>
    <row r="1856" spans="2:22" s="7" customFormat="1" ht="17.25" customHeight="1">
      <c r="B1856" s="12"/>
      <c r="C1856" s="6" t="s">
        <v>3008</v>
      </c>
      <c r="D1856" s="14" t="s">
        <v>1963</v>
      </c>
      <c r="E1856" s="19" t="s">
        <v>238</v>
      </c>
      <c r="F1856" s="107"/>
      <c r="G1856" s="22"/>
      <c r="H1856" s="108"/>
      <c r="I1856" s="109"/>
      <c r="J1856" s="108"/>
      <c r="K1856" s="29" t="s">
        <v>5</v>
      </c>
      <c r="L1856" s="139"/>
      <c r="M1856" s="33"/>
      <c r="N1856" s="33">
        <v>44679</v>
      </c>
      <c r="O1856" s="32">
        <v>4156</v>
      </c>
      <c r="P1856" s="14"/>
      <c r="Q1856" s="322"/>
      <c r="U1856" s="14"/>
      <c r="V1856" s="260">
        <v>90</v>
      </c>
    </row>
    <row r="1857" spans="2:22" s="7" customFormat="1" ht="18" customHeight="1">
      <c r="B1857" s="12" t="s">
        <v>302</v>
      </c>
      <c r="C1857" s="6" t="s">
        <v>3008</v>
      </c>
      <c r="D1857" s="14" t="s">
        <v>1963</v>
      </c>
      <c r="E1857" s="22" t="s">
        <v>239</v>
      </c>
      <c r="F1857" s="107">
        <v>150</v>
      </c>
      <c r="G1857" s="22" t="s">
        <v>2995</v>
      </c>
      <c r="H1857" s="108">
        <v>5</v>
      </c>
      <c r="I1857" s="109">
        <v>1</v>
      </c>
      <c r="J1857" s="8">
        <f>H1857*I1857</f>
        <v>5</v>
      </c>
      <c r="K1857" s="39">
        <v>7.09</v>
      </c>
      <c r="L1857" s="39">
        <f>K1857*J1857</f>
        <v>35.450000000000003</v>
      </c>
      <c r="M1857" s="117" t="s">
        <v>349</v>
      </c>
      <c r="N1857" s="33">
        <v>44679</v>
      </c>
      <c r="O1857" s="32">
        <v>4156</v>
      </c>
      <c r="P1857" s="391">
        <f>ROUNDUP(S1857/V1857/VLOOKUP(B1857,$C$2:$F$6,3,FALSE),2)</f>
        <v>6.4399999999999995</v>
      </c>
      <c r="Q1857" s="322">
        <v>6.44</v>
      </c>
      <c r="R1857" s="322">
        <f>Q1857*J1857</f>
        <v>32.200000000000003</v>
      </c>
      <c r="S1857" s="7">
        <v>510</v>
      </c>
      <c r="T1857" s="7">
        <f>S1857*J1857</f>
        <v>2550</v>
      </c>
      <c r="U1857" s="21"/>
      <c r="V1857" s="260">
        <v>90</v>
      </c>
    </row>
    <row r="1858" spans="2:22" s="7" customFormat="1" ht="18" customHeight="1">
      <c r="B1858" s="12" t="s">
        <v>302</v>
      </c>
      <c r="C1858" s="6" t="s">
        <v>3008</v>
      </c>
      <c r="D1858" s="14" t="s">
        <v>1963</v>
      </c>
      <c r="E1858" s="22" t="s">
        <v>239</v>
      </c>
      <c r="F1858" s="107">
        <v>150</v>
      </c>
      <c r="G1858" s="37" t="s">
        <v>2996</v>
      </c>
      <c r="H1858" s="108">
        <v>5</v>
      </c>
      <c r="I1858" s="109">
        <v>1</v>
      </c>
      <c r="J1858" s="8">
        <f>H1858*I1858</f>
        <v>5</v>
      </c>
      <c r="K1858" s="39">
        <v>7.09</v>
      </c>
      <c r="L1858" s="39">
        <f>K1858*J1858</f>
        <v>35.450000000000003</v>
      </c>
      <c r="M1858" s="117" t="s">
        <v>349</v>
      </c>
      <c r="N1858" s="33">
        <v>44679</v>
      </c>
      <c r="O1858" s="32">
        <v>4156</v>
      </c>
      <c r="P1858" s="391">
        <f>ROUNDUP(S1858/V1858/VLOOKUP(B1858,$C$2:$F$6,3,FALSE),2)</f>
        <v>6.4399999999999995</v>
      </c>
      <c r="Q1858" s="322">
        <v>6.44</v>
      </c>
      <c r="R1858" s="322">
        <f>Q1858*J1858</f>
        <v>32.200000000000003</v>
      </c>
      <c r="S1858" s="7">
        <v>510</v>
      </c>
      <c r="T1858" s="7">
        <f>S1858*J1858</f>
        <v>2550</v>
      </c>
      <c r="U1858" s="21"/>
      <c r="V1858" s="260">
        <v>90</v>
      </c>
    </row>
    <row r="1859" spans="2:22" s="7" customFormat="1" ht="15">
      <c r="B1859" s="12"/>
      <c r="C1859" s="6" t="s">
        <v>3008</v>
      </c>
      <c r="D1859" s="14" t="s">
        <v>1963</v>
      </c>
      <c r="E1859" s="49"/>
      <c r="F1859" s="102"/>
      <c r="G1859" s="22" t="s">
        <v>2625</v>
      </c>
      <c r="H1859" s="38"/>
      <c r="I1859" s="35"/>
      <c r="J1859" s="38">
        <v>2</v>
      </c>
      <c r="K1859" s="39">
        <v>15</v>
      </c>
      <c r="L1859" s="39">
        <f>K1859*J1859</f>
        <v>30</v>
      </c>
      <c r="M1859" s="91"/>
      <c r="N1859" s="33">
        <v>44679</v>
      </c>
      <c r="O1859" s="32">
        <v>4156</v>
      </c>
      <c r="P1859" s="391">
        <v>12</v>
      </c>
      <c r="Q1859" s="322">
        <f>P1859*J1859</f>
        <v>24</v>
      </c>
      <c r="R1859" s="322">
        <v>24</v>
      </c>
      <c r="S1859" s="7">
        <v>1000</v>
      </c>
      <c r="T1859" s="7">
        <f>S1859*J1859</f>
        <v>2000</v>
      </c>
      <c r="U1859" s="21"/>
      <c r="V1859" s="260">
        <v>90</v>
      </c>
    </row>
    <row r="1860" spans="2:22" s="7" customFormat="1" ht="15">
      <c r="B1860" s="12"/>
      <c r="C1860" s="6" t="s">
        <v>3008</v>
      </c>
      <c r="D1860" s="14" t="s">
        <v>1963</v>
      </c>
      <c r="E1860" s="49"/>
      <c r="F1860" s="102"/>
      <c r="G1860" s="22" t="s">
        <v>316</v>
      </c>
      <c r="H1860" s="38"/>
      <c r="I1860" s="35"/>
      <c r="J1860" s="38">
        <v>1</v>
      </c>
      <c r="K1860" s="39">
        <v>12</v>
      </c>
      <c r="L1860" s="39">
        <f>K1860*J1860</f>
        <v>12</v>
      </c>
      <c r="M1860" s="91"/>
      <c r="N1860" s="33">
        <v>44679</v>
      </c>
      <c r="O1860" s="32">
        <v>4156</v>
      </c>
      <c r="P1860" s="722"/>
      <c r="Q1860" s="322">
        <v>12</v>
      </c>
      <c r="R1860" s="322">
        <f>Q1860*J1860</f>
        <v>12</v>
      </c>
      <c r="S1860" s="7">
        <v>1000</v>
      </c>
      <c r="T1860" s="7">
        <f>S1860*J1860</f>
        <v>1000</v>
      </c>
      <c r="U1860" s="21"/>
      <c r="V1860" s="260">
        <v>90</v>
      </c>
    </row>
    <row r="1861" spans="2:22" s="191" customFormat="1" ht="15">
      <c r="B1861" s="190"/>
      <c r="C1861" s="179" t="s">
        <v>3008</v>
      </c>
      <c r="D1861" s="180" t="s">
        <v>1963</v>
      </c>
      <c r="E1861" s="181"/>
      <c r="F1861" s="182"/>
      <c r="G1861" s="182" t="s">
        <v>250</v>
      </c>
      <c r="H1861" s="184" t="s">
        <v>251</v>
      </c>
      <c r="I1861" s="185"/>
      <c r="J1861" s="183"/>
      <c r="K1861" s="192">
        <v>0</v>
      </c>
      <c r="L1861" s="188"/>
      <c r="M1861" s="187"/>
      <c r="N1861" s="187">
        <v>44679</v>
      </c>
      <c r="O1861" s="186">
        <v>4156</v>
      </c>
      <c r="P1861" s="179"/>
      <c r="Q1861" s="725">
        <v>0</v>
      </c>
      <c r="R1861" s="322">
        <f>Q1861*J1861</f>
        <v>0</v>
      </c>
      <c r="S1861" s="197">
        <v>0</v>
      </c>
      <c r="T1861" s="198">
        <v>0</v>
      </c>
      <c r="U1861" s="335"/>
      <c r="V1861" s="260">
        <v>90</v>
      </c>
    </row>
    <row r="1862" spans="2:22" s="7" customFormat="1" ht="17.25" customHeight="1">
      <c r="B1862" s="12"/>
      <c r="C1862" s="6" t="s">
        <v>3009</v>
      </c>
      <c r="D1862" s="14" t="s">
        <v>1963</v>
      </c>
      <c r="E1862" s="19" t="s">
        <v>238</v>
      </c>
      <c r="F1862" s="107"/>
      <c r="G1862" s="22"/>
      <c r="H1862" s="108"/>
      <c r="I1862" s="109"/>
      <c r="J1862" s="108"/>
      <c r="K1862" s="29" t="s">
        <v>5</v>
      </c>
      <c r="L1862" s="139"/>
      <c r="M1862" s="33"/>
      <c r="N1862" s="33">
        <v>44687</v>
      </c>
      <c r="O1862" s="32">
        <v>4162</v>
      </c>
      <c r="P1862" s="14"/>
      <c r="Q1862" s="322"/>
      <c r="U1862" s="14"/>
      <c r="V1862" s="260">
        <v>90</v>
      </c>
    </row>
    <row r="1863" spans="2:22" s="7" customFormat="1" ht="18" customHeight="1">
      <c r="B1863" s="12" t="s">
        <v>302</v>
      </c>
      <c r="C1863" s="6" t="s">
        <v>3009</v>
      </c>
      <c r="D1863" s="14" t="s">
        <v>1963</v>
      </c>
      <c r="E1863" s="22" t="s">
        <v>239</v>
      </c>
      <c r="F1863" s="107">
        <v>150</v>
      </c>
      <c r="G1863" s="37" t="s">
        <v>2996</v>
      </c>
      <c r="H1863" s="108">
        <v>5</v>
      </c>
      <c r="I1863" s="109">
        <v>1</v>
      </c>
      <c r="J1863" s="8">
        <f>H1863*I1863</f>
        <v>5</v>
      </c>
      <c r="K1863" s="39">
        <v>7.09</v>
      </c>
      <c r="L1863" s="39">
        <f>K1863*J1863</f>
        <v>35.450000000000003</v>
      </c>
      <c r="M1863" s="117" t="s">
        <v>349</v>
      </c>
      <c r="N1863" s="33">
        <v>44687</v>
      </c>
      <c r="O1863" s="32">
        <v>4162</v>
      </c>
      <c r="P1863" s="391">
        <f>ROUNDUP(S1863/V1863/VLOOKUP(B1863,$C$2:$F$6,3,FALSE),2)</f>
        <v>6.4399999999999995</v>
      </c>
      <c r="Q1863" s="322">
        <v>6.44</v>
      </c>
      <c r="R1863" s="322">
        <f>Q1863*J1863</f>
        <v>32.200000000000003</v>
      </c>
      <c r="S1863" s="7">
        <v>510</v>
      </c>
      <c r="T1863" s="7">
        <f>S1863*J1863</f>
        <v>2550</v>
      </c>
      <c r="U1863" s="21"/>
      <c r="V1863" s="260">
        <v>90</v>
      </c>
    </row>
    <row r="1864" spans="2:22" s="7" customFormat="1" ht="15">
      <c r="B1864" s="12"/>
      <c r="C1864" s="6" t="s">
        <v>3009</v>
      </c>
      <c r="D1864" s="14" t="s">
        <v>1963</v>
      </c>
      <c r="E1864" s="49"/>
      <c r="F1864" s="102"/>
      <c r="G1864" s="22" t="s">
        <v>2625</v>
      </c>
      <c r="H1864" s="38"/>
      <c r="I1864" s="35"/>
      <c r="J1864" s="38">
        <v>1</v>
      </c>
      <c r="K1864" s="39">
        <v>15</v>
      </c>
      <c r="L1864" s="39">
        <f>K1864*J1864</f>
        <v>15</v>
      </c>
      <c r="M1864" s="91"/>
      <c r="N1864" s="33">
        <v>44687</v>
      </c>
      <c r="O1864" s="32">
        <v>4162</v>
      </c>
      <c r="P1864" s="391">
        <v>12</v>
      </c>
      <c r="Q1864" s="322">
        <f>P1864*J1864</f>
        <v>12</v>
      </c>
      <c r="R1864" s="322">
        <v>12</v>
      </c>
      <c r="S1864" s="7">
        <v>1000</v>
      </c>
      <c r="T1864" s="7">
        <f>S1864*J1864</f>
        <v>1000</v>
      </c>
      <c r="U1864" s="21"/>
      <c r="V1864" s="260">
        <v>90</v>
      </c>
    </row>
    <row r="1865" spans="2:22" s="7" customFormat="1" ht="15">
      <c r="B1865" s="12"/>
      <c r="C1865" s="6" t="s">
        <v>3009</v>
      </c>
      <c r="D1865" s="14" t="s">
        <v>1963</v>
      </c>
      <c r="E1865" s="49"/>
      <c r="F1865" s="102"/>
      <c r="G1865" s="22" t="s">
        <v>316</v>
      </c>
      <c r="H1865" s="38"/>
      <c r="I1865" s="35"/>
      <c r="J1865" s="38">
        <v>1</v>
      </c>
      <c r="K1865" s="39">
        <v>0</v>
      </c>
      <c r="L1865" s="39">
        <f>K1865*J1865</f>
        <v>0</v>
      </c>
      <c r="M1865" s="91"/>
      <c r="N1865" s="33">
        <v>44687</v>
      </c>
      <c r="O1865" s="32">
        <v>4162</v>
      </c>
      <c r="P1865" s="722"/>
      <c r="Q1865" s="322">
        <v>0</v>
      </c>
      <c r="R1865" s="322">
        <v>0</v>
      </c>
      <c r="S1865" s="7">
        <v>1000</v>
      </c>
      <c r="T1865" s="7">
        <f>S1865*J1865</f>
        <v>1000</v>
      </c>
      <c r="U1865" s="21"/>
      <c r="V1865" s="260">
        <v>90</v>
      </c>
    </row>
    <row r="1866" spans="2:22" s="191" customFormat="1" ht="15">
      <c r="B1866" s="190"/>
      <c r="C1866" s="179" t="s">
        <v>2994</v>
      </c>
      <c r="D1866" s="180" t="s">
        <v>1963</v>
      </c>
      <c r="E1866" s="181"/>
      <c r="F1866" s="182"/>
      <c r="G1866" s="182" t="s">
        <v>250</v>
      </c>
      <c r="H1866" s="184" t="s">
        <v>251</v>
      </c>
      <c r="I1866" s="185"/>
      <c r="J1866" s="183"/>
      <c r="K1866" s="192">
        <v>0</v>
      </c>
      <c r="L1866" s="188"/>
      <c r="M1866" s="187"/>
      <c r="N1866" s="187">
        <v>44687</v>
      </c>
      <c r="O1866" s="186">
        <v>4162</v>
      </c>
      <c r="P1866" s="179"/>
      <c r="Q1866" s="725">
        <v>0</v>
      </c>
      <c r="R1866" s="322">
        <f>Q1866*J1866</f>
        <v>0</v>
      </c>
      <c r="S1866" s="197">
        <v>0</v>
      </c>
      <c r="T1866" s="198">
        <v>0</v>
      </c>
      <c r="U1866" s="335"/>
      <c r="V1866" s="260">
        <v>90</v>
      </c>
    </row>
    <row r="1867" spans="2:22" s="7" customFormat="1" ht="18" customHeight="1">
      <c r="B1867" s="12"/>
      <c r="C1867" s="6" t="s">
        <v>3010</v>
      </c>
      <c r="D1867" s="14" t="s">
        <v>2034</v>
      </c>
      <c r="E1867" s="19" t="s">
        <v>352</v>
      </c>
      <c r="F1867" s="107"/>
      <c r="G1867" s="22"/>
      <c r="H1867" s="108"/>
      <c r="I1867" s="109"/>
      <c r="J1867" s="108"/>
      <c r="K1867" s="110" t="s">
        <v>5</v>
      </c>
      <c r="L1867" s="139"/>
      <c r="M1867" s="33"/>
      <c r="N1867" s="33">
        <v>44679</v>
      </c>
      <c r="O1867" s="32">
        <v>4155</v>
      </c>
      <c r="P1867" s="14"/>
      <c r="Q1867" s="322"/>
      <c r="U1867" s="14"/>
      <c r="V1867" s="260">
        <v>90</v>
      </c>
    </row>
    <row r="1868" spans="2:22" s="7" customFormat="1" ht="18" customHeight="1">
      <c r="B1868" s="12" t="s">
        <v>302</v>
      </c>
      <c r="C1868" s="6" t="s">
        <v>3010</v>
      </c>
      <c r="D1868" s="14" t="s">
        <v>2034</v>
      </c>
      <c r="E1868" s="22" t="s">
        <v>2397</v>
      </c>
      <c r="F1868" s="107">
        <v>150</v>
      </c>
      <c r="G1868" s="22" t="s">
        <v>2398</v>
      </c>
      <c r="H1868" s="108">
        <v>30</v>
      </c>
      <c r="I1868" s="109">
        <v>1</v>
      </c>
      <c r="J1868" s="8">
        <f>H1868*I1868</f>
        <v>30</v>
      </c>
      <c r="K1868" s="39">
        <v>13.48</v>
      </c>
      <c r="L1868" s="39">
        <f>K1868*J1868</f>
        <v>404.40000000000003</v>
      </c>
      <c r="M1868" s="117" t="s">
        <v>349</v>
      </c>
      <c r="N1868" s="33">
        <v>44679</v>
      </c>
      <c r="O1868" s="32">
        <v>4155</v>
      </c>
      <c r="P1868" s="391">
        <f>ROUNDUP(S1868/V1868/VLOOKUP(B1868,$C$2:$F$6,3,FALSE),2)</f>
        <v>12.25</v>
      </c>
      <c r="Q1868" s="322">
        <v>12.25</v>
      </c>
      <c r="R1868" s="322">
        <f>Q1868*J1868</f>
        <v>367.5</v>
      </c>
      <c r="S1868" s="7">
        <v>970</v>
      </c>
      <c r="T1868" s="7">
        <f>S1868*J1868</f>
        <v>29100</v>
      </c>
      <c r="U1868" s="21"/>
      <c r="V1868" s="260">
        <v>90</v>
      </c>
    </row>
    <row r="1869" spans="2:22" s="7" customFormat="1" ht="18" customHeight="1">
      <c r="B1869" s="12" t="s">
        <v>302</v>
      </c>
      <c r="C1869" s="6" t="s">
        <v>3010</v>
      </c>
      <c r="D1869" s="14" t="s">
        <v>2034</v>
      </c>
      <c r="E1869" s="22" t="s">
        <v>2397</v>
      </c>
      <c r="F1869" s="107">
        <v>150</v>
      </c>
      <c r="G1869" s="22" t="s">
        <v>2398</v>
      </c>
      <c r="H1869" s="108">
        <v>46</v>
      </c>
      <c r="I1869" s="109">
        <v>1</v>
      </c>
      <c r="J1869" s="8">
        <f>H1869*I1869</f>
        <v>46</v>
      </c>
      <c r="K1869" s="39">
        <v>13.48</v>
      </c>
      <c r="L1869" s="39">
        <f>K1869*J1869</f>
        <v>620.08000000000004</v>
      </c>
      <c r="M1869" s="117" t="s">
        <v>349</v>
      </c>
      <c r="N1869" s="33">
        <v>44679</v>
      </c>
      <c r="O1869" s="32">
        <v>4155</v>
      </c>
      <c r="P1869" s="391">
        <f>ROUNDUP(S1869/V1869/VLOOKUP(B1869,$C$2:$F$6,3,FALSE),2)</f>
        <v>12.25</v>
      </c>
      <c r="Q1869" s="322">
        <v>12.25</v>
      </c>
      <c r="R1869" s="322">
        <f>Q1869*J1869</f>
        <v>563.5</v>
      </c>
      <c r="S1869" s="7">
        <v>970</v>
      </c>
      <c r="T1869" s="7">
        <f>S1869*J1869</f>
        <v>44620</v>
      </c>
      <c r="U1869" s="21"/>
      <c r="V1869" s="260">
        <v>90</v>
      </c>
    </row>
    <row r="1870" spans="2:22" s="7" customFormat="1" ht="15">
      <c r="B1870" s="12"/>
      <c r="C1870" s="6" t="s">
        <v>3010</v>
      </c>
      <c r="D1870" s="14" t="s">
        <v>2034</v>
      </c>
      <c r="E1870" s="22"/>
      <c r="F1870" s="102"/>
      <c r="G1870" s="22" t="s">
        <v>316</v>
      </c>
      <c r="H1870" s="8"/>
      <c r="I1870" s="35"/>
      <c r="J1870" s="38">
        <v>1</v>
      </c>
      <c r="K1870" s="39">
        <v>20</v>
      </c>
      <c r="L1870" s="39">
        <f>K1870*J1870</f>
        <v>20</v>
      </c>
      <c r="M1870" s="91"/>
      <c r="N1870" s="33">
        <v>44679</v>
      </c>
      <c r="O1870" s="32">
        <v>4155</v>
      </c>
      <c r="P1870" s="6" t="s">
        <v>3</v>
      </c>
      <c r="Q1870" s="322">
        <v>20</v>
      </c>
      <c r="R1870" s="322">
        <f>Q1870*J1870</f>
        <v>20</v>
      </c>
      <c r="S1870" s="7">
        <v>1800</v>
      </c>
      <c r="T1870" s="7">
        <v>1800</v>
      </c>
      <c r="U1870" s="21"/>
      <c r="V1870" s="260">
        <v>90</v>
      </c>
    </row>
    <row r="1871" spans="2:22" s="7" customFormat="1" ht="15">
      <c r="B1871" s="12"/>
      <c r="C1871" s="6" t="s">
        <v>3010</v>
      </c>
      <c r="D1871" s="14" t="s">
        <v>2034</v>
      </c>
      <c r="E1871" s="22"/>
      <c r="F1871" s="102"/>
      <c r="G1871" s="114" t="s">
        <v>3011</v>
      </c>
      <c r="H1871" s="8"/>
      <c r="I1871" s="35"/>
      <c r="J1871" s="38">
        <v>1</v>
      </c>
      <c r="K1871" s="39">
        <v>22</v>
      </c>
      <c r="L1871" s="39">
        <f>K1871*J1871</f>
        <v>22</v>
      </c>
      <c r="M1871" s="91"/>
      <c r="N1871" s="33">
        <v>44679</v>
      </c>
      <c r="O1871" s="32">
        <v>4155</v>
      </c>
      <c r="P1871" s="6" t="s">
        <v>3</v>
      </c>
      <c r="Q1871" s="322">
        <v>22</v>
      </c>
      <c r="R1871" s="322">
        <f>Q1871*J1871</f>
        <v>22</v>
      </c>
      <c r="S1871" s="7">
        <v>2000</v>
      </c>
      <c r="T1871" s="7">
        <v>2000</v>
      </c>
      <c r="U1871" s="21"/>
      <c r="V1871" s="260">
        <v>90</v>
      </c>
    </row>
    <row r="1872" spans="2:22" s="191" customFormat="1" ht="15">
      <c r="B1872" s="190"/>
      <c r="C1872" s="179" t="s">
        <v>3010</v>
      </c>
      <c r="D1872" s="180" t="s">
        <v>2034</v>
      </c>
      <c r="E1872" s="217"/>
      <c r="F1872" s="182"/>
      <c r="G1872" s="182" t="s">
        <v>250</v>
      </c>
      <c r="H1872" s="184" t="s">
        <v>252</v>
      </c>
      <c r="I1872" s="185"/>
      <c r="J1872" s="183"/>
      <c r="K1872" s="203">
        <v>108</v>
      </c>
      <c r="L1872" s="188"/>
      <c r="M1872" s="187"/>
      <c r="N1872" s="187">
        <v>44679</v>
      </c>
      <c r="O1872" s="186">
        <v>4155</v>
      </c>
      <c r="P1872" s="179"/>
      <c r="Q1872" s="747">
        <v>108</v>
      </c>
      <c r="R1872" s="322">
        <v>108</v>
      </c>
      <c r="S1872" s="212">
        <v>9679</v>
      </c>
      <c r="T1872" s="7">
        <v>9679</v>
      </c>
      <c r="U1872" s="335"/>
      <c r="V1872" s="274">
        <v>90</v>
      </c>
    </row>
    <row r="1873" spans="1:22" s="7" customFormat="1" ht="18" customHeight="1">
      <c r="B1873" s="12"/>
      <c r="C1873" s="6" t="s">
        <v>3012</v>
      </c>
      <c r="D1873" s="14" t="s">
        <v>2748</v>
      </c>
      <c r="E1873" s="19" t="s">
        <v>3013</v>
      </c>
      <c r="F1873" s="37"/>
      <c r="G1873" s="37"/>
      <c r="H1873" s="108"/>
      <c r="I1873" s="108"/>
      <c r="J1873" s="108"/>
      <c r="K1873" s="29" t="s">
        <v>5</v>
      </c>
      <c r="L1873" s="139"/>
      <c r="M1873" s="33"/>
      <c r="N1873" s="33">
        <v>44698</v>
      </c>
      <c r="O1873" s="32">
        <v>4201</v>
      </c>
      <c r="P1873" s="6"/>
      <c r="Q1873" s="339"/>
      <c r="U1873" s="21"/>
      <c r="V1873" s="260">
        <v>90</v>
      </c>
    </row>
    <row r="1874" spans="1:22" s="7" customFormat="1" ht="17.25" customHeight="1">
      <c r="B1874" s="12" t="s">
        <v>300</v>
      </c>
      <c r="C1874" s="6" t="s">
        <v>3012</v>
      </c>
      <c r="D1874" s="14" t="s">
        <v>2748</v>
      </c>
      <c r="E1874" s="22">
        <v>5636</v>
      </c>
      <c r="F1874" s="37" t="s">
        <v>359</v>
      </c>
      <c r="G1874" s="839" t="s">
        <v>3014</v>
      </c>
      <c r="H1874" s="108">
        <v>50</v>
      </c>
      <c r="I1874" s="109">
        <v>4</v>
      </c>
      <c r="J1874" s="8">
        <f>H1874*I1874</f>
        <v>200</v>
      </c>
      <c r="K1874" s="39">
        <v>0.17</v>
      </c>
      <c r="L1874" s="39">
        <f>K1874*J1874</f>
        <v>34</v>
      </c>
      <c r="M1874" s="117" t="s">
        <v>349</v>
      </c>
      <c r="N1874" s="33">
        <v>44698</v>
      </c>
      <c r="O1874" s="32">
        <v>4201</v>
      </c>
      <c r="P1874" s="391">
        <f>ROUNDUP(S1874/V1874/VLOOKUP(B1874,$C$2:$F$6,3,FALSE),2)</f>
        <v>0.15000000000000002</v>
      </c>
      <c r="Q1874" s="322">
        <v>0.15</v>
      </c>
      <c r="R1874" s="322">
        <f>Q1874*J1874</f>
        <v>30</v>
      </c>
      <c r="S1874" s="7">
        <v>8.9</v>
      </c>
      <c r="T1874" s="7">
        <f>S1874*J1874</f>
        <v>1780</v>
      </c>
      <c r="U1874" s="876"/>
      <c r="V1874" s="260">
        <v>90</v>
      </c>
    </row>
    <row r="1875" spans="1:22" s="7" customFormat="1" ht="17.25" customHeight="1">
      <c r="B1875" s="12" t="s">
        <v>300</v>
      </c>
      <c r="C1875" s="6" t="s">
        <v>3012</v>
      </c>
      <c r="D1875" s="14" t="s">
        <v>2748</v>
      </c>
      <c r="E1875" s="22">
        <v>5636</v>
      </c>
      <c r="F1875" s="37" t="s">
        <v>359</v>
      </c>
      <c r="G1875" s="839" t="s">
        <v>3015</v>
      </c>
      <c r="H1875" s="108">
        <v>50</v>
      </c>
      <c r="I1875" s="109">
        <v>4</v>
      </c>
      <c r="J1875" s="8">
        <f>H1875*I1875</f>
        <v>200</v>
      </c>
      <c r="K1875" s="39">
        <v>0.17</v>
      </c>
      <c r="L1875" s="39">
        <f>K1875*J1875</f>
        <v>34</v>
      </c>
      <c r="M1875" s="117" t="s">
        <v>349</v>
      </c>
      <c r="N1875" s="33">
        <v>44698</v>
      </c>
      <c r="O1875" s="32">
        <v>4201</v>
      </c>
      <c r="P1875" s="391">
        <f>ROUNDUP(S1875/V1875/VLOOKUP(B1875,$C$2:$F$6,3,FALSE),2)</f>
        <v>0.15000000000000002</v>
      </c>
      <c r="Q1875" s="322">
        <v>0.15</v>
      </c>
      <c r="R1875" s="322">
        <f>Q1875*J1875</f>
        <v>30</v>
      </c>
      <c r="S1875" s="7">
        <v>8.9</v>
      </c>
      <c r="T1875" s="7">
        <f>S1875*J1875</f>
        <v>1780</v>
      </c>
      <c r="U1875" s="876"/>
      <c r="V1875" s="260">
        <v>90</v>
      </c>
    </row>
    <row r="1876" spans="1:22" s="7" customFormat="1" ht="17.25" customHeight="1">
      <c r="B1876" s="12" t="s">
        <v>300</v>
      </c>
      <c r="C1876" s="6" t="s">
        <v>3012</v>
      </c>
      <c r="D1876" s="14" t="s">
        <v>2748</v>
      </c>
      <c r="E1876" s="22">
        <v>5636</v>
      </c>
      <c r="F1876" s="37" t="s">
        <v>359</v>
      </c>
      <c r="G1876" s="839" t="s">
        <v>3016</v>
      </c>
      <c r="H1876" s="108">
        <v>50</v>
      </c>
      <c r="I1876" s="109">
        <v>4</v>
      </c>
      <c r="J1876" s="8">
        <f>H1876*I1876</f>
        <v>200</v>
      </c>
      <c r="K1876" s="39">
        <v>0.17</v>
      </c>
      <c r="L1876" s="39">
        <f>K1876*J1876</f>
        <v>34</v>
      </c>
      <c r="M1876" s="117" t="s">
        <v>349</v>
      </c>
      <c r="N1876" s="33">
        <v>44698</v>
      </c>
      <c r="O1876" s="32">
        <v>4201</v>
      </c>
      <c r="P1876" s="391">
        <f>ROUNDUP(S1876/V1876/VLOOKUP(B1876,$C$2:$F$6,3,FALSE),2)</f>
        <v>0.15000000000000002</v>
      </c>
      <c r="Q1876" s="322">
        <v>0.15</v>
      </c>
      <c r="R1876" s="322">
        <f>Q1876*J1876</f>
        <v>30</v>
      </c>
      <c r="S1876" s="7">
        <v>8.9</v>
      </c>
      <c r="T1876" s="7">
        <f>S1876*J1876</f>
        <v>1780</v>
      </c>
      <c r="U1876" s="876"/>
      <c r="V1876" s="260">
        <v>90</v>
      </c>
    </row>
    <row r="1877" spans="1:22" s="7" customFormat="1" ht="17.25" customHeight="1">
      <c r="B1877" s="12" t="s">
        <v>300</v>
      </c>
      <c r="C1877" s="6" t="s">
        <v>3012</v>
      </c>
      <c r="D1877" s="14" t="s">
        <v>2748</v>
      </c>
      <c r="E1877" s="22">
        <v>5636</v>
      </c>
      <c r="F1877" s="37" t="s">
        <v>359</v>
      </c>
      <c r="G1877" s="839" t="s">
        <v>3017</v>
      </c>
      <c r="H1877" s="108">
        <v>50</v>
      </c>
      <c r="I1877" s="109">
        <v>4</v>
      </c>
      <c r="J1877" s="8">
        <f>H1877*I1877</f>
        <v>200</v>
      </c>
      <c r="K1877" s="39">
        <v>0.17</v>
      </c>
      <c r="L1877" s="39">
        <f>K1877*J1877</f>
        <v>34</v>
      </c>
      <c r="M1877" s="117" t="s">
        <v>349</v>
      </c>
      <c r="N1877" s="33">
        <v>44698</v>
      </c>
      <c r="O1877" s="32">
        <v>4201</v>
      </c>
      <c r="P1877" s="391">
        <f>ROUNDUP(S1877/V1877/VLOOKUP(B1877,$C$2:$F$6,3,FALSE),2)</f>
        <v>0.12</v>
      </c>
      <c r="Q1877" s="322">
        <v>0.12</v>
      </c>
      <c r="R1877" s="322">
        <f>Q1877*J1877</f>
        <v>24</v>
      </c>
      <c r="S1877" s="7">
        <v>7</v>
      </c>
      <c r="T1877" s="7">
        <f>S1877*J1877</f>
        <v>1400</v>
      </c>
      <c r="U1877" s="876"/>
      <c r="V1877" s="260">
        <v>90</v>
      </c>
    </row>
    <row r="1878" spans="1:22" s="7" customFormat="1" ht="15">
      <c r="B1878" s="12"/>
      <c r="C1878" s="6" t="s">
        <v>3012</v>
      </c>
      <c r="D1878" s="14" t="s">
        <v>2748</v>
      </c>
      <c r="E1878" s="22"/>
      <c r="F1878" s="102"/>
      <c r="G1878" s="22" t="s">
        <v>316</v>
      </c>
      <c r="H1878" s="8"/>
      <c r="I1878" s="35"/>
      <c r="J1878" s="38">
        <v>1</v>
      </c>
      <c r="K1878" s="39">
        <v>12</v>
      </c>
      <c r="L1878" s="39">
        <f>K1878*J1878</f>
        <v>12</v>
      </c>
      <c r="M1878" s="91"/>
      <c r="N1878" s="33">
        <v>44698</v>
      </c>
      <c r="O1878" s="32">
        <v>4201</v>
      </c>
      <c r="P1878" s="6" t="s">
        <v>3</v>
      </c>
      <c r="Q1878" s="322">
        <v>12</v>
      </c>
      <c r="R1878" s="322">
        <f>Q1878*J1878</f>
        <v>12</v>
      </c>
      <c r="S1878" s="7">
        <v>1100</v>
      </c>
      <c r="T1878" s="7">
        <f>S1878*J1878</f>
        <v>1100</v>
      </c>
      <c r="U1878" s="21"/>
      <c r="V1878" s="260">
        <v>90</v>
      </c>
    </row>
    <row r="1879" spans="1:22" s="191" customFormat="1" ht="15">
      <c r="B1879" s="190"/>
      <c r="C1879" s="179" t="s">
        <v>3012</v>
      </c>
      <c r="D1879" s="180" t="s">
        <v>2748</v>
      </c>
      <c r="E1879" s="181"/>
      <c r="F1879" s="182"/>
      <c r="G1879" s="182" t="s">
        <v>250</v>
      </c>
      <c r="H1879" s="184" t="s">
        <v>252</v>
      </c>
      <c r="I1879" s="185"/>
      <c r="J1879" s="183"/>
      <c r="K1879" s="203">
        <v>56</v>
      </c>
      <c r="L1879" s="188"/>
      <c r="M1879" s="187"/>
      <c r="N1879" s="187">
        <v>44698</v>
      </c>
      <c r="O1879" s="186">
        <v>4201</v>
      </c>
      <c r="P1879" s="179"/>
      <c r="Q1879" s="747">
        <v>56</v>
      </c>
      <c r="R1879" s="322">
        <v>56</v>
      </c>
      <c r="S1879" s="212">
        <v>5006</v>
      </c>
      <c r="T1879" s="212">
        <v>5006</v>
      </c>
      <c r="U1879" s="335"/>
      <c r="V1879" s="274">
        <v>90</v>
      </c>
    </row>
    <row r="1880" spans="1:22" s="52" customFormat="1" ht="18" customHeight="1">
      <c r="B1880" s="612"/>
      <c r="C1880" s="921" t="s">
        <v>3018</v>
      </c>
      <c r="D1880" s="922" t="s">
        <v>2998</v>
      </c>
      <c r="E1880" s="923" t="s">
        <v>2999</v>
      </c>
      <c r="F1880" s="924"/>
      <c r="G1880" s="925" t="s">
        <v>3019</v>
      </c>
      <c r="H1880" s="926"/>
      <c r="I1880" s="927"/>
      <c r="J1880" s="928"/>
      <c r="K1880" s="929" t="s">
        <v>102</v>
      </c>
      <c r="L1880" s="930"/>
      <c r="M1880" s="930"/>
      <c r="N1880" s="370"/>
      <c r="O1880" s="134"/>
      <c r="P1880" s="889"/>
      <c r="Q1880" s="899"/>
      <c r="U1880" s="900"/>
      <c r="V1880" s="901">
        <v>90</v>
      </c>
    </row>
    <row r="1881" spans="1:22" s="52" customFormat="1" ht="18" customHeight="1">
      <c r="B1881" s="612"/>
      <c r="C1881" s="921" t="s">
        <v>3018</v>
      </c>
      <c r="D1881" s="922" t="s">
        <v>2998</v>
      </c>
      <c r="E1881" s="931" t="s">
        <v>3000</v>
      </c>
      <c r="F1881" s="925">
        <v>39</v>
      </c>
      <c r="G1881" s="932" t="s">
        <v>3020</v>
      </c>
      <c r="H1881" s="928"/>
      <c r="I1881" s="933"/>
      <c r="J1881" s="926">
        <v>10</v>
      </c>
      <c r="K1881" s="934">
        <v>363.95</v>
      </c>
      <c r="L1881" s="934">
        <v>363.95</v>
      </c>
      <c r="M1881" s="935" t="s">
        <v>322</v>
      </c>
      <c r="N1881" s="332" t="s">
        <v>72</v>
      </c>
      <c r="O1881" s="134"/>
      <c r="P1881" s="793"/>
      <c r="Q1881" s="611"/>
      <c r="R1881" s="322"/>
      <c r="S1881" s="899"/>
      <c r="T1881" s="899"/>
      <c r="U1881" s="905"/>
      <c r="V1881" s="901">
        <v>90</v>
      </c>
    </row>
    <row r="1882" spans="1:22" s="918" customFormat="1" ht="15">
      <c r="A1882" s="52"/>
      <c r="B1882" s="906"/>
      <c r="C1882" s="921" t="s">
        <v>3018</v>
      </c>
      <c r="D1882" s="922" t="s">
        <v>2998</v>
      </c>
      <c r="E1882" s="936"/>
      <c r="F1882" s="925"/>
      <c r="G1882" s="925" t="s">
        <v>250</v>
      </c>
      <c r="H1882" s="937" t="s">
        <v>251</v>
      </c>
      <c r="I1882" s="933"/>
      <c r="J1882" s="928"/>
      <c r="K1882" s="938">
        <v>0</v>
      </c>
      <c r="L1882" s="939"/>
      <c r="M1882" s="930"/>
      <c r="N1882" s="370"/>
      <c r="O1882" s="134"/>
      <c r="P1882" s="907"/>
      <c r="Q1882" s="917">
        <v>0</v>
      </c>
      <c r="S1882" s="919">
        <v>0</v>
      </c>
      <c r="T1882" s="919">
        <v>0</v>
      </c>
      <c r="U1882" s="920"/>
      <c r="V1882" s="901">
        <v>90</v>
      </c>
    </row>
    <row r="1883" spans="1:22" s="52" customFormat="1" ht="18" customHeight="1">
      <c r="B1883" s="612"/>
      <c r="C1883" s="889" t="s">
        <v>3021</v>
      </c>
      <c r="D1883" s="890" t="s">
        <v>2998</v>
      </c>
      <c r="E1883" s="891" t="s">
        <v>2999</v>
      </c>
      <c r="F1883" s="892"/>
      <c r="G1883" s="893" t="s">
        <v>3019</v>
      </c>
      <c r="H1883" s="894"/>
      <c r="I1883" s="895"/>
      <c r="J1883" s="896"/>
      <c r="K1883" s="897" t="s">
        <v>102</v>
      </c>
      <c r="L1883" s="898"/>
      <c r="M1883" s="898"/>
      <c r="N1883" s="33">
        <v>44705</v>
      </c>
      <c r="O1883" s="32">
        <v>4231</v>
      </c>
      <c r="P1883" s="889"/>
      <c r="Q1883" s="899"/>
      <c r="U1883" s="900"/>
      <c r="V1883" s="901">
        <v>90</v>
      </c>
    </row>
    <row r="1884" spans="1:22" s="52" customFormat="1" ht="18" customHeight="1">
      <c r="B1884" s="612"/>
      <c r="C1884" s="889" t="s">
        <v>3021</v>
      </c>
      <c r="D1884" s="890" t="s">
        <v>2998</v>
      </c>
      <c r="E1884" s="401" t="s">
        <v>3000</v>
      </c>
      <c r="F1884" s="893">
        <v>39</v>
      </c>
      <c r="G1884" s="940" t="s">
        <v>3022</v>
      </c>
      <c r="H1884" s="896"/>
      <c r="I1884" s="903"/>
      <c r="J1884" s="894">
        <v>10</v>
      </c>
      <c r="K1884" s="904">
        <v>363.95</v>
      </c>
      <c r="L1884" s="904">
        <v>363.95</v>
      </c>
      <c r="M1884" s="403" t="s">
        <v>322</v>
      </c>
      <c r="N1884" s="33">
        <v>44705</v>
      </c>
      <c r="O1884" s="32">
        <v>4231</v>
      </c>
      <c r="P1884" s="793"/>
      <c r="Q1884" s="611">
        <v>278.47000000000003</v>
      </c>
      <c r="R1884" s="322">
        <v>278.47000000000003</v>
      </c>
      <c r="S1884" s="899">
        <v>193</v>
      </c>
      <c r="T1884" s="899">
        <v>193</v>
      </c>
      <c r="U1884" s="905"/>
      <c r="V1884" s="901">
        <v>90</v>
      </c>
    </row>
    <row r="1885" spans="1:22" s="918" customFormat="1" ht="15">
      <c r="A1885" s="52"/>
      <c r="B1885" s="906"/>
      <c r="C1885" s="907" t="s">
        <v>3021</v>
      </c>
      <c r="D1885" s="908" t="s">
        <v>2998</v>
      </c>
      <c r="E1885" s="909"/>
      <c r="F1885" s="910"/>
      <c r="G1885" s="910" t="s">
        <v>250</v>
      </c>
      <c r="H1885" s="911" t="s">
        <v>251</v>
      </c>
      <c r="I1885" s="912"/>
      <c r="J1885" s="913"/>
      <c r="K1885" s="914">
        <v>0</v>
      </c>
      <c r="L1885" s="915"/>
      <c r="M1885" s="916"/>
      <c r="N1885" s="187">
        <v>44705</v>
      </c>
      <c r="O1885" s="186">
        <v>4231</v>
      </c>
      <c r="P1885" s="907"/>
      <c r="Q1885" s="917">
        <v>0</v>
      </c>
      <c r="S1885" s="919">
        <v>0</v>
      </c>
      <c r="T1885" s="919">
        <v>0</v>
      </c>
      <c r="U1885" s="920"/>
      <c r="V1885" s="901">
        <v>90</v>
      </c>
    </row>
    <row r="1886" spans="1:22" s="7" customFormat="1" ht="17.25" customHeight="1">
      <c r="B1886" s="12"/>
      <c r="C1886" s="6" t="s">
        <v>3023</v>
      </c>
      <c r="D1886" s="14" t="s">
        <v>1963</v>
      </c>
      <c r="E1886" s="19" t="s">
        <v>3024</v>
      </c>
      <c r="F1886" s="107"/>
      <c r="G1886" s="22"/>
      <c r="H1886" s="108"/>
      <c r="I1886" s="109"/>
      <c r="J1886" s="108"/>
      <c r="K1886" s="29" t="s">
        <v>5</v>
      </c>
      <c r="L1886" s="139"/>
      <c r="M1886" s="33"/>
      <c r="N1886" s="33">
        <v>44692</v>
      </c>
      <c r="O1886" s="32">
        <v>4197</v>
      </c>
      <c r="P1886" s="14"/>
      <c r="Q1886" s="322"/>
      <c r="U1886" s="14"/>
      <c r="V1886" s="260">
        <v>90</v>
      </c>
    </row>
    <row r="1887" spans="1:22" s="7" customFormat="1" ht="18" customHeight="1">
      <c r="B1887" s="12" t="s">
        <v>302</v>
      </c>
      <c r="C1887" s="6" t="s">
        <v>3023</v>
      </c>
      <c r="D1887" s="14" t="s">
        <v>1963</v>
      </c>
      <c r="E1887" s="401" t="s">
        <v>3025</v>
      </c>
      <c r="F1887" s="107"/>
      <c r="G1887" s="22" t="s">
        <v>3026</v>
      </c>
      <c r="H1887" s="108"/>
      <c r="I1887" s="109"/>
      <c r="J1887" s="8">
        <v>10</v>
      </c>
      <c r="K1887" s="39">
        <v>4.9800000000000004</v>
      </c>
      <c r="L1887" s="39">
        <f t="shared" ref="L1887:L1894" si="102">K1887*J1887</f>
        <v>49.800000000000004</v>
      </c>
      <c r="M1887" s="403" t="s">
        <v>322</v>
      </c>
      <c r="N1887" s="33">
        <v>44692</v>
      </c>
      <c r="O1887" s="32">
        <v>4197</v>
      </c>
      <c r="P1887" s="391"/>
      <c r="Q1887" s="611">
        <v>3.48</v>
      </c>
      <c r="R1887" s="322">
        <f t="shared" ref="R1887:R1895" si="103">Q1887*J1887</f>
        <v>34.799999999999997</v>
      </c>
      <c r="S1887" s="899">
        <v>1.99</v>
      </c>
      <c r="T1887" s="701">
        <f>S1887*J1887</f>
        <v>19.899999999999999</v>
      </c>
      <c r="U1887" s="21"/>
      <c r="V1887" s="260">
        <v>90</v>
      </c>
    </row>
    <row r="1888" spans="1:22" s="7" customFormat="1" ht="18" customHeight="1">
      <c r="B1888" s="12"/>
      <c r="C1888" s="6" t="s">
        <v>3023</v>
      </c>
      <c r="D1888" s="14" t="s">
        <v>1963</v>
      </c>
      <c r="E1888" s="22"/>
      <c r="F1888" s="102"/>
      <c r="G1888" s="22" t="s">
        <v>3027</v>
      </c>
      <c r="H1888" s="8"/>
      <c r="I1888" s="35"/>
      <c r="J1888" s="8">
        <v>10</v>
      </c>
      <c r="K1888" s="39">
        <v>5</v>
      </c>
      <c r="L1888" s="39">
        <f t="shared" si="102"/>
        <v>50</v>
      </c>
      <c r="M1888" s="91"/>
      <c r="N1888" s="33">
        <v>44692</v>
      </c>
      <c r="O1888" s="32">
        <v>4197</v>
      </c>
      <c r="P1888" s="6" t="s">
        <v>3</v>
      </c>
      <c r="Q1888" s="322">
        <v>3.75</v>
      </c>
      <c r="R1888" s="322">
        <f t="shared" si="103"/>
        <v>37.5</v>
      </c>
      <c r="S1888" s="899">
        <v>2.5</v>
      </c>
      <c r="T1888" s="701">
        <f t="shared" ref="T1888:T1894" si="104">S1888*J1888</f>
        <v>25</v>
      </c>
      <c r="U1888" s="21"/>
      <c r="V1888" s="260">
        <v>90</v>
      </c>
    </row>
    <row r="1889" spans="1:22" s="7" customFormat="1" ht="18" customHeight="1">
      <c r="B1889" s="12" t="s">
        <v>302</v>
      </c>
      <c r="C1889" s="6" t="s">
        <v>3023</v>
      </c>
      <c r="D1889" s="14" t="s">
        <v>1963</v>
      </c>
      <c r="E1889" s="401" t="s">
        <v>3028</v>
      </c>
      <c r="F1889" s="107"/>
      <c r="G1889" s="22" t="s">
        <v>3029</v>
      </c>
      <c r="H1889" s="108"/>
      <c r="I1889" s="109"/>
      <c r="J1889" s="8">
        <v>10</v>
      </c>
      <c r="K1889" s="39">
        <v>4.9800000000000004</v>
      </c>
      <c r="L1889" s="39">
        <f t="shared" si="102"/>
        <v>49.800000000000004</v>
      </c>
      <c r="M1889" s="403" t="s">
        <v>322</v>
      </c>
      <c r="N1889" s="33">
        <v>44692</v>
      </c>
      <c r="O1889" s="32">
        <v>4197</v>
      </c>
      <c r="P1889" s="391"/>
      <c r="Q1889" s="611">
        <v>3.48</v>
      </c>
      <c r="R1889" s="322">
        <f t="shared" si="103"/>
        <v>34.799999999999997</v>
      </c>
      <c r="S1889" s="899">
        <v>1.99</v>
      </c>
      <c r="T1889" s="701">
        <f t="shared" si="104"/>
        <v>19.899999999999999</v>
      </c>
      <c r="U1889" s="21"/>
      <c r="V1889" s="260">
        <v>90</v>
      </c>
    </row>
    <row r="1890" spans="1:22" s="7" customFormat="1" ht="18" customHeight="1">
      <c r="B1890" s="12"/>
      <c r="C1890" s="6" t="s">
        <v>3023</v>
      </c>
      <c r="D1890" s="14" t="s">
        <v>1963</v>
      </c>
      <c r="E1890" s="22"/>
      <c r="F1890" s="102"/>
      <c r="G1890" s="22" t="s">
        <v>3030</v>
      </c>
      <c r="H1890" s="8"/>
      <c r="I1890" s="35"/>
      <c r="J1890" s="8">
        <v>10</v>
      </c>
      <c r="K1890" s="39">
        <v>5</v>
      </c>
      <c r="L1890" s="39">
        <f t="shared" si="102"/>
        <v>50</v>
      </c>
      <c r="M1890" s="91"/>
      <c r="N1890" s="33">
        <v>44692</v>
      </c>
      <c r="O1890" s="32">
        <v>4197</v>
      </c>
      <c r="P1890" s="6" t="s">
        <v>3</v>
      </c>
      <c r="Q1890" s="322">
        <v>3.75</v>
      </c>
      <c r="R1890" s="322">
        <f t="shared" si="103"/>
        <v>37.5</v>
      </c>
      <c r="S1890" s="899">
        <v>2.5</v>
      </c>
      <c r="T1890" s="701">
        <f t="shared" si="104"/>
        <v>25</v>
      </c>
      <c r="U1890" s="21"/>
      <c r="V1890" s="260">
        <v>90</v>
      </c>
    </row>
    <row r="1891" spans="1:22" s="7" customFormat="1" ht="18" customHeight="1">
      <c r="B1891" s="12" t="s">
        <v>302</v>
      </c>
      <c r="C1891" s="6" t="s">
        <v>3023</v>
      </c>
      <c r="D1891" s="14" t="s">
        <v>1963</v>
      </c>
      <c r="E1891" s="401" t="s">
        <v>3025</v>
      </c>
      <c r="F1891" s="107"/>
      <c r="G1891" s="22" t="s">
        <v>3031</v>
      </c>
      <c r="H1891" s="108"/>
      <c r="I1891" s="109"/>
      <c r="J1891" s="8">
        <v>25</v>
      </c>
      <c r="K1891" s="39">
        <v>4.9800000000000004</v>
      </c>
      <c r="L1891" s="39">
        <f t="shared" si="102"/>
        <v>124.50000000000001</v>
      </c>
      <c r="M1891" s="403" t="s">
        <v>322</v>
      </c>
      <c r="N1891" s="33">
        <v>44704</v>
      </c>
      <c r="O1891" s="32">
        <v>4222</v>
      </c>
      <c r="P1891" s="391"/>
      <c r="Q1891" s="611">
        <v>3.48</v>
      </c>
      <c r="R1891" s="322">
        <f t="shared" si="103"/>
        <v>87</v>
      </c>
      <c r="S1891" s="899">
        <v>1.99</v>
      </c>
      <c r="T1891" s="701">
        <f>S1891*J1891</f>
        <v>49.75</v>
      </c>
      <c r="U1891" s="21"/>
      <c r="V1891" s="260">
        <v>90</v>
      </c>
    </row>
    <row r="1892" spans="1:22" s="7" customFormat="1" ht="15">
      <c r="B1892" s="12"/>
      <c r="C1892" s="6" t="s">
        <v>3023</v>
      </c>
      <c r="D1892" s="14" t="s">
        <v>1963</v>
      </c>
      <c r="E1892" s="22"/>
      <c r="F1892" s="102"/>
      <c r="G1892" s="22" t="s">
        <v>3032</v>
      </c>
      <c r="H1892" s="38"/>
      <c r="I1892" s="35"/>
      <c r="J1892" s="8">
        <v>25</v>
      </c>
      <c r="K1892" s="39">
        <v>6.18</v>
      </c>
      <c r="L1892" s="39">
        <f>K1892*J1892</f>
        <v>154.5</v>
      </c>
      <c r="M1892" s="91"/>
      <c r="N1892" s="33">
        <v>44704</v>
      </c>
      <c r="O1892" s="32">
        <v>4222</v>
      </c>
      <c r="P1892" s="722"/>
      <c r="Q1892" s="611">
        <v>4.38</v>
      </c>
      <c r="R1892" s="322">
        <f t="shared" si="103"/>
        <v>109.5</v>
      </c>
      <c r="S1892" s="899">
        <v>2.59</v>
      </c>
      <c r="T1892" s="701">
        <f>S1892*J1892</f>
        <v>64.75</v>
      </c>
      <c r="U1892" s="21"/>
      <c r="V1892" s="260">
        <v>90</v>
      </c>
    </row>
    <row r="1893" spans="1:22" s="7" customFormat="1" ht="18" customHeight="1">
      <c r="B1893" s="12"/>
      <c r="C1893" s="6" t="s">
        <v>3023</v>
      </c>
      <c r="D1893" s="14" t="s">
        <v>1963</v>
      </c>
      <c r="E1893" s="22"/>
      <c r="F1893" s="102"/>
      <c r="G1893" s="22" t="s">
        <v>3033</v>
      </c>
      <c r="H1893" s="8"/>
      <c r="I1893" s="35"/>
      <c r="J1893" s="8">
        <v>25</v>
      </c>
      <c r="K1893" s="39">
        <v>5</v>
      </c>
      <c r="L1893" s="39">
        <f t="shared" si="102"/>
        <v>125</v>
      </c>
      <c r="M1893" s="91"/>
      <c r="N1893" s="33">
        <v>44704</v>
      </c>
      <c r="O1893" s="32">
        <v>4222</v>
      </c>
      <c r="P1893" s="6" t="s">
        <v>3</v>
      </c>
      <c r="Q1893" s="322">
        <v>3.75</v>
      </c>
      <c r="R1893" s="322">
        <f t="shared" si="103"/>
        <v>93.75</v>
      </c>
      <c r="S1893" s="899">
        <v>2.5</v>
      </c>
      <c r="T1893" s="701">
        <f t="shared" si="104"/>
        <v>62.5</v>
      </c>
      <c r="U1893" s="21"/>
      <c r="V1893" s="260">
        <v>90</v>
      </c>
    </row>
    <row r="1894" spans="1:22" s="7" customFormat="1" ht="15">
      <c r="B1894" s="12"/>
      <c r="C1894" s="6" t="s">
        <v>3023</v>
      </c>
      <c r="D1894" s="14" t="s">
        <v>1963</v>
      </c>
      <c r="E1894" s="49"/>
      <c r="F1894" s="102"/>
      <c r="G1894" s="22" t="s">
        <v>3034</v>
      </c>
      <c r="H1894" s="38"/>
      <c r="I1894" s="35"/>
      <c r="J1894" s="38">
        <v>1</v>
      </c>
      <c r="K1894" s="39">
        <v>160</v>
      </c>
      <c r="L1894" s="39">
        <f t="shared" si="102"/>
        <v>160</v>
      </c>
      <c r="M1894" s="91"/>
      <c r="N1894" s="33">
        <v>44704</v>
      </c>
      <c r="O1894" s="32">
        <v>4222</v>
      </c>
      <c r="P1894" s="722"/>
      <c r="Q1894" s="322">
        <v>120</v>
      </c>
      <c r="R1894" s="322">
        <f t="shared" si="103"/>
        <v>120</v>
      </c>
      <c r="S1894" s="899">
        <v>80</v>
      </c>
      <c r="T1894" s="701">
        <f t="shared" si="104"/>
        <v>80</v>
      </c>
      <c r="U1894" s="21"/>
      <c r="V1894" s="260">
        <v>90</v>
      </c>
    </row>
    <row r="1895" spans="1:22" s="191" customFormat="1" ht="15">
      <c r="B1895" s="190"/>
      <c r="C1895" s="179" t="s">
        <v>3023</v>
      </c>
      <c r="D1895" s="180" t="s">
        <v>1963</v>
      </c>
      <c r="E1895" s="181"/>
      <c r="F1895" s="182"/>
      <c r="G1895" s="182" t="s">
        <v>250</v>
      </c>
      <c r="H1895" s="184" t="s">
        <v>251</v>
      </c>
      <c r="I1895" s="185"/>
      <c r="J1895" s="183"/>
      <c r="K1895" s="192">
        <v>0</v>
      </c>
      <c r="L1895" s="188"/>
      <c r="M1895" s="187"/>
      <c r="N1895" s="187">
        <v>44704</v>
      </c>
      <c r="O1895" s="186">
        <v>4222</v>
      </c>
      <c r="P1895" s="179"/>
      <c r="Q1895" s="725">
        <v>0</v>
      </c>
      <c r="R1895" s="322">
        <f t="shared" si="103"/>
        <v>0</v>
      </c>
      <c r="S1895" s="197">
        <v>0</v>
      </c>
      <c r="T1895" s="198">
        <v>0</v>
      </c>
      <c r="U1895" s="335"/>
      <c r="V1895" s="260">
        <v>90</v>
      </c>
    </row>
    <row r="1896" spans="1:22" s="7" customFormat="1" ht="18" customHeight="1">
      <c r="B1896" s="12"/>
      <c r="C1896" s="6" t="s">
        <v>3035</v>
      </c>
      <c r="D1896" s="14" t="s">
        <v>2378</v>
      </c>
      <c r="E1896" s="17" t="s">
        <v>160</v>
      </c>
      <c r="F1896" s="319"/>
      <c r="G1896" s="299"/>
      <c r="H1896" s="300" t="s">
        <v>355</v>
      </c>
      <c r="I1896" s="320"/>
      <c r="J1896" s="321"/>
      <c r="K1896" s="110" t="s">
        <v>101</v>
      </c>
      <c r="L1896" s="139"/>
      <c r="M1896" s="33"/>
      <c r="N1896" s="33">
        <v>44690</v>
      </c>
      <c r="O1896" s="32">
        <v>4170</v>
      </c>
      <c r="P1896" s="6"/>
      <c r="Q1896" s="322"/>
      <c r="U1896" s="39"/>
      <c r="V1896" s="260">
        <v>90</v>
      </c>
    </row>
    <row r="1897" spans="1:22" s="7" customFormat="1" ht="18" customHeight="1">
      <c r="B1897" s="12" t="s">
        <v>300</v>
      </c>
      <c r="C1897" s="6" t="s">
        <v>3035</v>
      </c>
      <c r="D1897" s="14" t="s">
        <v>2378</v>
      </c>
      <c r="E1897" s="22">
        <v>14552</v>
      </c>
      <c r="F1897" s="24">
        <v>38</v>
      </c>
      <c r="G1897" s="22" t="s">
        <v>176</v>
      </c>
      <c r="H1897" s="108">
        <v>30</v>
      </c>
      <c r="I1897" s="109">
        <v>10</v>
      </c>
      <c r="J1897" s="8">
        <f>H1897*I1897</f>
        <v>300</v>
      </c>
      <c r="K1897" s="39">
        <v>1.78</v>
      </c>
      <c r="L1897" s="39">
        <f>K1897*J1897</f>
        <v>534</v>
      </c>
      <c r="M1897" s="117" t="s">
        <v>349</v>
      </c>
      <c r="N1897" s="33">
        <v>44690</v>
      </c>
      <c r="O1897" s="32">
        <v>4170</v>
      </c>
      <c r="P1897" s="391">
        <f>ROUNDUP(S1897/V1897/VLOOKUP(B1897,$C$2:$F$6,3,FALSE),2)</f>
        <v>1.53</v>
      </c>
      <c r="Q1897" s="358">
        <v>1.53</v>
      </c>
      <c r="R1897" s="322">
        <f>Q1897*J1897</f>
        <v>459</v>
      </c>
      <c r="S1897" s="7">
        <v>96</v>
      </c>
      <c r="T1897" s="7">
        <f>S1897*J1897</f>
        <v>28800</v>
      </c>
      <c r="U1897" s="267"/>
      <c r="V1897" s="260">
        <v>90</v>
      </c>
    </row>
    <row r="1898" spans="1:22" s="7" customFormat="1" ht="18" customHeight="1">
      <c r="B1898" s="12" t="s">
        <v>300</v>
      </c>
      <c r="C1898" s="6" t="s">
        <v>3035</v>
      </c>
      <c r="D1898" s="14" t="s">
        <v>2378</v>
      </c>
      <c r="E1898" s="22">
        <v>14552</v>
      </c>
      <c r="F1898" s="24">
        <v>30</v>
      </c>
      <c r="G1898" s="22" t="s">
        <v>176</v>
      </c>
      <c r="H1898" s="108">
        <v>30</v>
      </c>
      <c r="I1898" s="109">
        <v>6</v>
      </c>
      <c r="J1898" s="8">
        <f>H1898*I1898</f>
        <v>180</v>
      </c>
      <c r="K1898" s="39">
        <v>1.62</v>
      </c>
      <c r="L1898" s="39">
        <f>K1898*J1898</f>
        <v>291.60000000000002</v>
      </c>
      <c r="M1898" s="117" t="s">
        <v>349</v>
      </c>
      <c r="N1898" s="33">
        <v>44690</v>
      </c>
      <c r="O1898" s="32">
        <v>4170</v>
      </c>
      <c r="P1898" s="391">
        <f>ROUNDUP(S1898/V1898/VLOOKUP(B1898,$C$2:$F$6,3,FALSE),2)</f>
        <v>1.39</v>
      </c>
      <c r="Q1898" s="358">
        <v>1.39</v>
      </c>
      <c r="R1898" s="322">
        <f>Q1898*J1898</f>
        <v>250.2</v>
      </c>
      <c r="S1898" s="7">
        <v>87</v>
      </c>
      <c r="T1898" s="7">
        <f>S1898*J1898</f>
        <v>15660</v>
      </c>
      <c r="U1898" s="267"/>
      <c r="V1898" s="260">
        <v>90</v>
      </c>
    </row>
    <row r="1899" spans="1:22" s="7" customFormat="1" ht="15" customHeight="1">
      <c r="B1899" s="12"/>
      <c r="C1899" s="6" t="s">
        <v>3036</v>
      </c>
      <c r="D1899" s="14" t="s">
        <v>2378</v>
      </c>
      <c r="E1899" s="19" t="s">
        <v>2732</v>
      </c>
      <c r="F1899" s="24"/>
      <c r="G1899" s="22"/>
      <c r="H1899" s="60"/>
      <c r="I1899" s="61"/>
      <c r="J1899" s="60"/>
      <c r="K1899" s="16" t="s">
        <v>101</v>
      </c>
      <c r="L1899" s="33"/>
      <c r="M1899" s="33"/>
      <c r="N1899" s="33">
        <v>44690</v>
      </c>
      <c r="O1899" s="32">
        <v>4170</v>
      </c>
      <c r="P1899" s="123" t="s">
        <v>8</v>
      </c>
      <c r="Q1899" s="230" t="s">
        <v>226</v>
      </c>
      <c r="S1899" s="257"/>
      <c r="T1899" s="92"/>
      <c r="U1899" s="269"/>
      <c r="V1899" s="260">
        <v>90</v>
      </c>
    </row>
    <row r="1900" spans="1:22" s="7" customFormat="1" ht="18" customHeight="1">
      <c r="B1900" s="12" t="s">
        <v>300</v>
      </c>
      <c r="C1900" s="6" t="s">
        <v>3036</v>
      </c>
      <c r="D1900" s="14" t="s">
        <v>2378</v>
      </c>
      <c r="E1900" s="22" t="s">
        <v>2733</v>
      </c>
      <c r="F1900" s="24"/>
      <c r="G1900" s="22" t="s">
        <v>237</v>
      </c>
      <c r="H1900" s="60">
        <v>30</v>
      </c>
      <c r="I1900" s="61">
        <v>1</v>
      </c>
      <c r="J1900" s="8">
        <f>H1900*I1900</f>
        <v>30</v>
      </c>
      <c r="K1900" s="39">
        <v>1.1299999999999999</v>
      </c>
      <c r="L1900" s="39">
        <f>K1900*J1900</f>
        <v>33.9</v>
      </c>
      <c r="M1900" s="117" t="s">
        <v>349</v>
      </c>
      <c r="N1900" s="33">
        <v>44690</v>
      </c>
      <c r="O1900" s="32">
        <v>4170</v>
      </c>
      <c r="P1900" s="391">
        <f>ROUNDUP(S1900/V1900/VLOOKUP(B1900,$C$2:$F$6,3,FALSE),2)</f>
        <v>0.97</v>
      </c>
      <c r="Q1900" s="124">
        <v>0.97</v>
      </c>
      <c r="R1900" s="322">
        <f>Q1900*J1900</f>
        <v>29.099999999999998</v>
      </c>
      <c r="S1900" s="257">
        <v>61</v>
      </c>
      <c r="T1900" s="7">
        <f>S1900*J1900</f>
        <v>1830</v>
      </c>
      <c r="U1900" s="270"/>
      <c r="V1900" s="260">
        <v>90</v>
      </c>
    </row>
    <row r="1901" spans="1:22" s="7" customFormat="1" ht="18" customHeight="1">
      <c r="B1901" s="12"/>
      <c r="C1901" s="6" t="s">
        <v>3037</v>
      </c>
      <c r="D1901" s="14" t="s">
        <v>2378</v>
      </c>
      <c r="E1901" s="22"/>
      <c r="F1901" s="102"/>
      <c r="G1901" s="22" t="s">
        <v>316</v>
      </c>
      <c r="H1901" s="8"/>
      <c r="I1901" s="35"/>
      <c r="J1901" s="38">
        <v>1</v>
      </c>
      <c r="K1901" s="39">
        <v>12</v>
      </c>
      <c r="L1901" s="39">
        <f>K1901*J1901</f>
        <v>12</v>
      </c>
      <c r="M1901" s="33"/>
      <c r="N1901" s="33">
        <v>44690</v>
      </c>
      <c r="O1901" s="32">
        <v>4170</v>
      </c>
      <c r="P1901" s="391">
        <v>12</v>
      </c>
      <c r="Q1901" s="322">
        <v>12</v>
      </c>
      <c r="R1901" s="322">
        <v>12</v>
      </c>
      <c r="S1901" s="7">
        <v>0</v>
      </c>
      <c r="T1901" s="7">
        <f>S1901*J1901</f>
        <v>0</v>
      </c>
      <c r="U1901" s="21"/>
      <c r="V1901" s="260">
        <v>90</v>
      </c>
    </row>
    <row r="1902" spans="1:22" s="191" customFormat="1" ht="15">
      <c r="A1902" s="7"/>
      <c r="B1902" s="12"/>
      <c r="C1902" s="179" t="s">
        <v>3037</v>
      </c>
      <c r="D1902" s="180" t="s">
        <v>2378</v>
      </c>
      <c r="E1902" s="217"/>
      <c r="F1902" s="182"/>
      <c r="G1902" s="182" t="s">
        <v>250</v>
      </c>
      <c r="H1902" s="184" t="s">
        <v>252</v>
      </c>
      <c r="I1902" s="185"/>
      <c r="J1902" s="183"/>
      <c r="K1902" s="333">
        <v>88</v>
      </c>
      <c r="L1902" s="188"/>
      <c r="M1902" s="187"/>
      <c r="N1902" s="187">
        <v>44690</v>
      </c>
      <c r="O1902" s="186">
        <v>4170</v>
      </c>
      <c r="P1902" s="179"/>
      <c r="Q1902" s="334">
        <v>88</v>
      </c>
      <c r="R1902" s="334">
        <v>88</v>
      </c>
      <c r="S1902" s="197">
        <v>7870</v>
      </c>
      <c r="T1902" s="197">
        <v>7870</v>
      </c>
      <c r="U1902" s="335"/>
      <c r="V1902" s="260">
        <v>90</v>
      </c>
    </row>
    <row r="1903" spans="1:22" s="7" customFormat="1" ht="18" customHeight="1">
      <c r="B1903" s="12"/>
      <c r="C1903" s="6" t="s">
        <v>3038</v>
      </c>
      <c r="D1903" s="14" t="s">
        <v>3039</v>
      </c>
      <c r="E1903" s="19" t="s">
        <v>2270</v>
      </c>
      <c r="F1903" s="37"/>
      <c r="G1903" s="37"/>
      <c r="H1903" s="108"/>
      <c r="I1903" s="108"/>
      <c r="J1903" s="108"/>
      <c r="K1903" s="29" t="s">
        <v>5</v>
      </c>
      <c r="L1903" s="139"/>
      <c r="M1903" s="33"/>
      <c r="N1903" s="33">
        <v>44691</v>
      </c>
      <c r="O1903" s="32">
        <v>4173</v>
      </c>
      <c r="P1903" s="6"/>
      <c r="Q1903" s="339"/>
      <c r="U1903" s="21"/>
      <c r="V1903" s="260">
        <v>90</v>
      </c>
    </row>
    <row r="1904" spans="1:22" s="7" customFormat="1" ht="17.25" customHeight="1">
      <c r="B1904" s="12" t="s">
        <v>300</v>
      </c>
      <c r="C1904" s="6" t="s">
        <v>3038</v>
      </c>
      <c r="D1904" s="14" t="s">
        <v>3039</v>
      </c>
      <c r="E1904" s="22">
        <v>5636</v>
      </c>
      <c r="F1904" s="37" t="s">
        <v>230</v>
      </c>
      <c r="G1904" s="22" t="s">
        <v>3040</v>
      </c>
      <c r="H1904" s="108">
        <v>50</v>
      </c>
      <c r="I1904" s="109">
        <v>1</v>
      </c>
      <c r="J1904" s="8">
        <f>H1904*I1904</f>
        <v>50</v>
      </c>
      <c r="K1904" s="39">
        <v>0.27</v>
      </c>
      <c r="L1904" s="39">
        <f>K1904*J1904</f>
        <v>13.5</v>
      </c>
      <c r="M1904" s="117" t="s">
        <v>349</v>
      </c>
      <c r="N1904" s="33">
        <v>44691</v>
      </c>
      <c r="O1904" s="32">
        <v>4173</v>
      </c>
      <c r="P1904" s="391">
        <f>ROUNDUP(S1904/V1904/VLOOKUP(B1904,$C$2:$F$6,3,FALSE),2)</f>
        <v>0.24000000000000002</v>
      </c>
      <c r="Q1904" s="322">
        <v>0.24</v>
      </c>
      <c r="R1904" s="322">
        <f>Q1904*J1904</f>
        <v>12</v>
      </c>
      <c r="S1904" s="7">
        <v>14.6</v>
      </c>
      <c r="T1904" s="7">
        <f>S1904*J1904</f>
        <v>730</v>
      </c>
      <c r="U1904" s="778"/>
      <c r="V1904" s="260">
        <v>90</v>
      </c>
    </row>
    <row r="1905" spans="1:22" s="7" customFormat="1" ht="17.25" customHeight="1">
      <c r="B1905" s="12" t="s">
        <v>300</v>
      </c>
      <c r="C1905" s="6" t="s">
        <v>3038</v>
      </c>
      <c r="D1905" s="14" t="s">
        <v>3039</v>
      </c>
      <c r="E1905" s="22">
        <v>5636</v>
      </c>
      <c r="F1905" s="37" t="s">
        <v>230</v>
      </c>
      <c r="G1905" s="22" t="s">
        <v>3041</v>
      </c>
      <c r="H1905" s="108">
        <v>50</v>
      </c>
      <c r="I1905" s="109">
        <v>1</v>
      </c>
      <c r="J1905" s="8">
        <f>H1905*I1905</f>
        <v>50</v>
      </c>
      <c r="K1905" s="39">
        <v>0.27</v>
      </c>
      <c r="L1905" s="39">
        <f>K1905*J1905</f>
        <v>13.5</v>
      </c>
      <c r="M1905" s="117" t="s">
        <v>349</v>
      </c>
      <c r="N1905" s="33">
        <v>44691</v>
      </c>
      <c r="O1905" s="32">
        <v>4173</v>
      </c>
      <c r="P1905" s="391">
        <f>ROUNDUP(S1905/V1905/VLOOKUP(B1905,$C$2:$F$6,3,FALSE),2)</f>
        <v>0.24000000000000002</v>
      </c>
      <c r="Q1905" s="322">
        <v>0.24</v>
      </c>
      <c r="R1905" s="322">
        <f>Q1905*J1905</f>
        <v>12</v>
      </c>
      <c r="S1905" s="7">
        <v>14.6</v>
      </c>
      <c r="T1905" s="7">
        <f>S1905*J1905</f>
        <v>730</v>
      </c>
      <c r="U1905" s="778"/>
      <c r="V1905" s="260">
        <v>90</v>
      </c>
    </row>
    <row r="1906" spans="1:22" s="7" customFormat="1" ht="17.25" customHeight="1">
      <c r="B1906" s="12" t="s">
        <v>300</v>
      </c>
      <c r="C1906" s="6" t="s">
        <v>3038</v>
      </c>
      <c r="D1906" s="14" t="s">
        <v>3039</v>
      </c>
      <c r="E1906" s="22">
        <v>5636</v>
      </c>
      <c r="F1906" s="37" t="s">
        <v>230</v>
      </c>
      <c r="G1906" s="22" t="s">
        <v>3042</v>
      </c>
      <c r="H1906" s="108">
        <v>50</v>
      </c>
      <c r="I1906" s="109">
        <v>1</v>
      </c>
      <c r="J1906" s="8">
        <f>H1906*I1906</f>
        <v>50</v>
      </c>
      <c r="K1906" s="39">
        <v>0.27</v>
      </c>
      <c r="L1906" s="39">
        <f>K1906*J1906</f>
        <v>13.5</v>
      </c>
      <c r="M1906" s="117" t="s">
        <v>349</v>
      </c>
      <c r="N1906" s="33">
        <v>44691</v>
      </c>
      <c r="O1906" s="32">
        <v>4173</v>
      </c>
      <c r="P1906" s="391">
        <f>ROUNDUP(S1906/V1906/VLOOKUP(B1906,$C$2:$F$6,3,FALSE),2)</f>
        <v>0.17</v>
      </c>
      <c r="Q1906" s="322">
        <v>0.17</v>
      </c>
      <c r="R1906" s="322">
        <f>Q1906*J1906</f>
        <v>8.5</v>
      </c>
      <c r="S1906" s="752">
        <v>10.7</v>
      </c>
      <c r="T1906" s="7">
        <f>S1906*J1906</f>
        <v>535</v>
      </c>
      <c r="U1906" s="876"/>
      <c r="V1906" s="260">
        <v>90</v>
      </c>
    </row>
    <row r="1907" spans="1:22" s="7" customFormat="1" ht="17.25" customHeight="1">
      <c r="B1907" s="12" t="s">
        <v>300</v>
      </c>
      <c r="C1907" s="6" t="s">
        <v>3038</v>
      </c>
      <c r="D1907" s="14" t="s">
        <v>3039</v>
      </c>
      <c r="E1907" s="22">
        <v>5636</v>
      </c>
      <c r="F1907" s="37" t="s">
        <v>230</v>
      </c>
      <c r="G1907" s="22" t="s">
        <v>3043</v>
      </c>
      <c r="H1907" s="108">
        <v>50</v>
      </c>
      <c r="I1907" s="109">
        <v>1</v>
      </c>
      <c r="J1907" s="8">
        <f>H1907*I1907</f>
        <v>50</v>
      </c>
      <c r="K1907" s="39">
        <v>0.27</v>
      </c>
      <c r="L1907" s="39">
        <f>K1907*J1907</f>
        <v>13.5</v>
      </c>
      <c r="M1907" s="117" t="s">
        <v>349</v>
      </c>
      <c r="N1907" s="33">
        <v>44691</v>
      </c>
      <c r="O1907" s="32">
        <v>4173</v>
      </c>
      <c r="P1907" s="391">
        <f>ROUNDUP(S1907/V1907/VLOOKUP(B1907,$C$2:$F$6,3,FALSE),2)</f>
        <v>0.24000000000000002</v>
      </c>
      <c r="Q1907" s="322">
        <v>0.24</v>
      </c>
      <c r="R1907" s="322">
        <f>Q1907*J1907</f>
        <v>12</v>
      </c>
      <c r="S1907" s="7">
        <v>14.6</v>
      </c>
      <c r="T1907" s="7">
        <f>S1907*J1907</f>
        <v>730</v>
      </c>
      <c r="U1907" s="778"/>
      <c r="V1907" s="260">
        <v>90</v>
      </c>
    </row>
    <row r="1908" spans="1:22" s="7" customFormat="1" ht="15">
      <c r="B1908" s="12"/>
      <c r="C1908" s="6" t="s">
        <v>3038</v>
      </c>
      <c r="D1908" s="14" t="s">
        <v>3039</v>
      </c>
      <c r="E1908" s="22"/>
      <c r="F1908" s="102"/>
      <c r="G1908" s="22" t="s">
        <v>316</v>
      </c>
      <c r="H1908" s="8"/>
      <c r="I1908" s="35"/>
      <c r="J1908" s="38">
        <v>1</v>
      </c>
      <c r="K1908" s="39">
        <v>12</v>
      </c>
      <c r="L1908" s="39">
        <f>K1908*J1908</f>
        <v>12</v>
      </c>
      <c r="M1908" s="91"/>
      <c r="N1908" s="33">
        <v>44691</v>
      </c>
      <c r="O1908" s="32">
        <v>4173</v>
      </c>
      <c r="P1908" s="6"/>
      <c r="Q1908" s="322">
        <v>12</v>
      </c>
      <c r="R1908" s="322">
        <f>Q1908*J1908</f>
        <v>12</v>
      </c>
      <c r="S1908" s="7">
        <v>1100</v>
      </c>
      <c r="T1908" s="7">
        <v>1100</v>
      </c>
      <c r="U1908" s="21"/>
      <c r="V1908" s="260">
        <v>90</v>
      </c>
    </row>
    <row r="1909" spans="1:22" s="191" customFormat="1" ht="15">
      <c r="B1909" s="190"/>
      <c r="C1909" s="179" t="s">
        <v>3038</v>
      </c>
      <c r="D1909" s="180" t="s">
        <v>3039</v>
      </c>
      <c r="E1909" s="181"/>
      <c r="F1909" s="622"/>
      <c r="G1909" s="182" t="s">
        <v>250</v>
      </c>
      <c r="H1909" s="184" t="s">
        <v>252</v>
      </c>
      <c r="I1909" s="185"/>
      <c r="J1909" s="183"/>
      <c r="K1909" s="333">
        <v>38</v>
      </c>
      <c r="L1909" s="188"/>
      <c r="M1909" s="187"/>
      <c r="N1909" s="187">
        <v>44691</v>
      </c>
      <c r="O1909" s="186">
        <v>4173</v>
      </c>
      <c r="P1909" s="179"/>
      <c r="Q1909" s="334">
        <v>38</v>
      </c>
      <c r="R1909" s="334">
        <v>38</v>
      </c>
      <c r="S1909" s="197">
        <v>3355</v>
      </c>
      <c r="T1909" s="197">
        <v>3355</v>
      </c>
      <c r="U1909" s="335"/>
      <c r="V1909" s="260">
        <v>90</v>
      </c>
    </row>
    <row r="1910" spans="1:22" s="7" customFormat="1" ht="18" customHeight="1">
      <c r="B1910" s="12"/>
      <c r="C1910" s="6" t="s">
        <v>3044</v>
      </c>
      <c r="D1910" s="14" t="s">
        <v>2211</v>
      </c>
      <c r="E1910" s="19" t="s">
        <v>1950</v>
      </c>
      <c r="F1910" s="37"/>
      <c r="G1910" s="37"/>
      <c r="H1910" s="108"/>
      <c r="I1910" s="108"/>
      <c r="J1910" s="108"/>
      <c r="K1910" s="29" t="s">
        <v>5</v>
      </c>
      <c r="L1910" s="139"/>
      <c r="M1910" s="33"/>
      <c r="N1910" s="33">
        <v>44692</v>
      </c>
      <c r="O1910" s="32">
        <v>4171</v>
      </c>
      <c r="P1910" s="6"/>
      <c r="Q1910" s="339"/>
      <c r="U1910" s="21"/>
      <c r="V1910" s="260">
        <v>90</v>
      </c>
    </row>
    <row r="1911" spans="1:22" s="7" customFormat="1" ht="17.25" customHeight="1">
      <c r="B1911" s="12" t="s">
        <v>300</v>
      </c>
      <c r="C1911" s="6" t="s">
        <v>3044</v>
      </c>
      <c r="D1911" s="14" t="s">
        <v>2211</v>
      </c>
      <c r="E1911" s="22">
        <v>3808</v>
      </c>
      <c r="F1911" s="37">
        <v>9</v>
      </c>
      <c r="G1911" s="812" t="s">
        <v>3045</v>
      </c>
      <c r="H1911" s="108">
        <v>50</v>
      </c>
      <c r="I1911" s="814">
        <v>4</v>
      </c>
      <c r="J1911" s="60">
        <f>H1911*I1911</f>
        <v>200</v>
      </c>
      <c r="K1911" s="39">
        <v>0.56999999999999995</v>
      </c>
      <c r="L1911" s="39">
        <f>K1911*J1911</f>
        <v>113.99999999999999</v>
      </c>
      <c r="M1911" s="117" t="s">
        <v>349</v>
      </c>
      <c r="N1911" s="33">
        <v>44692</v>
      </c>
      <c r="O1911" s="32">
        <v>4171</v>
      </c>
      <c r="P1911" s="391">
        <f>ROUNDUP(S1911/V1911/VLOOKUP(B1911,$C$2:$F$6,3,FALSE),2)</f>
        <v>0.32</v>
      </c>
      <c r="Q1911" s="725">
        <v>0.32</v>
      </c>
      <c r="R1911" s="322">
        <f>Q1911*J1911</f>
        <v>64</v>
      </c>
      <c r="S1911" s="7">
        <v>20</v>
      </c>
      <c r="T1911" s="7">
        <f>S1911*J1911</f>
        <v>4000</v>
      </c>
      <c r="U1911" s="267"/>
      <c r="V1911" s="260">
        <v>90</v>
      </c>
    </row>
    <row r="1912" spans="1:22" s="7" customFormat="1" ht="17.25" customHeight="1">
      <c r="B1912" s="12" t="s">
        <v>300</v>
      </c>
      <c r="C1912" s="6" t="s">
        <v>3044</v>
      </c>
      <c r="D1912" s="14" t="s">
        <v>2211</v>
      </c>
      <c r="E1912" s="22">
        <v>3808</v>
      </c>
      <c r="F1912" s="37">
        <v>9</v>
      </c>
      <c r="G1912" s="812" t="s">
        <v>2557</v>
      </c>
      <c r="H1912" s="108">
        <v>50</v>
      </c>
      <c r="I1912" s="814">
        <v>6</v>
      </c>
      <c r="J1912" s="60">
        <f>H1912*I1912</f>
        <v>300</v>
      </c>
      <c r="K1912" s="39">
        <v>0.56999999999999995</v>
      </c>
      <c r="L1912" s="39">
        <f>K1912*J1912</f>
        <v>170.99999999999997</v>
      </c>
      <c r="M1912" s="117" t="s">
        <v>349</v>
      </c>
      <c r="N1912" s="33">
        <v>44692</v>
      </c>
      <c r="O1912" s="32">
        <v>4171</v>
      </c>
      <c r="P1912" s="391">
        <f>ROUNDUP(S1912/V1912/VLOOKUP(B1912,$C$2:$F$6,3,FALSE),2)</f>
        <v>0.32</v>
      </c>
      <c r="Q1912" s="725">
        <v>0.32</v>
      </c>
      <c r="R1912" s="322">
        <f>Q1912*J1912</f>
        <v>96</v>
      </c>
      <c r="S1912" s="7">
        <v>20</v>
      </c>
      <c r="T1912" s="7">
        <f>S1912*J1912</f>
        <v>6000</v>
      </c>
      <c r="U1912" s="267"/>
      <c r="V1912" s="260">
        <v>90</v>
      </c>
    </row>
    <row r="1913" spans="1:22" s="7" customFormat="1" ht="15">
      <c r="B1913" s="12"/>
      <c r="C1913" s="6" t="s">
        <v>3044</v>
      </c>
      <c r="D1913" s="14" t="s">
        <v>2211</v>
      </c>
      <c r="E1913" s="22"/>
      <c r="F1913" s="102"/>
      <c r="G1913" s="22" t="s">
        <v>316</v>
      </c>
      <c r="H1913" s="8"/>
      <c r="I1913" s="35"/>
      <c r="J1913" s="38">
        <v>1</v>
      </c>
      <c r="K1913" s="39">
        <v>12</v>
      </c>
      <c r="L1913" s="39">
        <f>K1913*J1913</f>
        <v>12</v>
      </c>
      <c r="M1913" s="91"/>
      <c r="N1913" s="33">
        <v>44692</v>
      </c>
      <c r="O1913" s="32">
        <v>4171</v>
      </c>
      <c r="P1913" s="391" t="e">
        <f>ROUNDUP(S1913/V1913/VLOOKUP(B1913,$C$2:$F$6,3,FALSE),2)</f>
        <v>#N/A</v>
      </c>
      <c r="Q1913" s="322">
        <v>12</v>
      </c>
      <c r="R1913" s="322">
        <f>Q1913*J1913</f>
        <v>12</v>
      </c>
      <c r="S1913" s="7">
        <v>0</v>
      </c>
      <c r="T1913" s="7">
        <f>S1913*J1913</f>
        <v>0</v>
      </c>
      <c r="U1913" s="21"/>
      <c r="V1913" s="260">
        <v>90</v>
      </c>
    </row>
    <row r="1914" spans="1:22" s="191" customFormat="1" ht="18" customHeight="1">
      <c r="B1914" s="190"/>
      <c r="C1914" s="179" t="s">
        <v>3044</v>
      </c>
      <c r="D1914" s="180" t="s">
        <v>2211</v>
      </c>
      <c r="E1914" s="736"/>
      <c r="F1914" s="737"/>
      <c r="G1914" s="182" t="s">
        <v>1955</v>
      </c>
      <c r="H1914" s="222"/>
      <c r="I1914" s="222"/>
      <c r="J1914" s="222">
        <v>500</v>
      </c>
      <c r="K1914" s="192">
        <v>0.19</v>
      </c>
      <c r="L1914" s="192"/>
      <c r="M1914" s="331"/>
      <c r="N1914" s="187">
        <v>44692</v>
      </c>
      <c r="O1914" s="186">
        <v>4171</v>
      </c>
      <c r="P1914" s="327"/>
      <c r="Q1914" s="322">
        <v>95</v>
      </c>
      <c r="R1914" s="322">
        <v>95</v>
      </c>
      <c r="S1914" s="786">
        <v>3404</v>
      </c>
      <c r="T1914" s="786">
        <v>3404</v>
      </c>
      <c r="U1914" s="267"/>
      <c r="V1914" s="260">
        <v>90</v>
      </c>
    </row>
    <row r="1915" spans="1:22" s="7" customFormat="1" ht="18" customHeight="1">
      <c r="B1915" s="12"/>
      <c r="C1915" s="6" t="s">
        <v>3046</v>
      </c>
      <c r="D1915" s="14" t="s">
        <v>3047</v>
      </c>
      <c r="E1915" s="19" t="s">
        <v>2882</v>
      </c>
      <c r="F1915" s="107"/>
      <c r="G1915" s="22"/>
      <c r="H1915" s="108"/>
      <c r="I1915" s="109"/>
      <c r="J1915" s="108"/>
      <c r="K1915" s="29" t="s">
        <v>5</v>
      </c>
      <c r="L1915" s="139"/>
      <c r="M1915" s="33"/>
      <c r="N1915" s="33">
        <v>44691</v>
      </c>
      <c r="O1915" s="32">
        <v>4179</v>
      </c>
      <c r="P1915" s="14"/>
      <c r="Q1915" s="322"/>
      <c r="U1915" s="14"/>
      <c r="V1915" s="260">
        <v>90</v>
      </c>
    </row>
    <row r="1916" spans="1:22" s="7" customFormat="1" ht="18" customHeight="1">
      <c r="B1916" s="12" t="s">
        <v>300</v>
      </c>
      <c r="C1916" s="6" t="s">
        <v>3046</v>
      </c>
      <c r="D1916" s="14" t="s">
        <v>3047</v>
      </c>
      <c r="E1916" s="22" t="s">
        <v>229</v>
      </c>
      <c r="F1916" s="107"/>
      <c r="G1916" s="22" t="s">
        <v>100</v>
      </c>
      <c r="H1916" s="108">
        <v>14</v>
      </c>
      <c r="I1916" s="109">
        <v>1</v>
      </c>
      <c r="J1916" s="8">
        <f>H1916*I1916</f>
        <v>14</v>
      </c>
      <c r="K1916" s="39">
        <v>1.54</v>
      </c>
      <c r="L1916" s="39">
        <f>K1916*J1916</f>
        <v>21.560000000000002</v>
      </c>
      <c r="M1916" s="117" t="s">
        <v>349</v>
      </c>
      <c r="N1916" s="33">
        <v>44691</v>
      </c>
      <c r="O1916" s="32">
        <v>4179</v>
      </c>
      <c r="P1916" s="391">
        <f>ROUNDUP(S1916/V1916/VLOOKUP(B1916,$C$2:$F$6,3,FALSE),2)</f>
        <v>0.85</v>
      </c>
      <c r="Q1916" s="611">
        <v>0.85</v>
      </c>
      <c r="R1916" s="322">
        <f>Q1916*J1916</f>
        <v>11.9</v>
      </c>
      <c r="S1916" s="7">
        <v>53</v>
      </c>
      <c r="T1916" s="7">
        <f>S1916*J1916</f>
        <v>742</v>
      </c>
      <c r="U1916" s="21"/>
      <c r="V1916" s="260">
        <v>90</v>
      </c>
    </row>
    <row r="1917" spans="1:22" s="7" customFormat="1" ht="18" customHeight="1">
      <c r="B1917" s="12" t="s">
        <v>300</v>
      </c>
      <c r="C1917" s="6" t="s">
        <v>3046</v>
      </c>
      <c r="D1917" s="14" t="s">
        <v>3047</v>
      </c>
      <c r="E1917" s="22" t="s">
        <v>3048</v>
      </c>
      <c r="F1917" s="107"/>
      <c r="G1917" s="22" t="s">
        <v>100</v>
      </c>
      <c r="H1917" s="108">
        <v>14</v>
      </c>
      <c r="I1917" s="109">
        <v>1</v>
      </c>
      <c r="J1917" s="8">
        <f>H1917*I1917</f>
        <v>14</v>
      </c>
      <c r="K1917" s="39">
        <v>1.5</v>
      </c>
      <c r="L1917" s="39">
        <f>K1917*J1917</f>
        <v>21</v>
      </c>
      <c r="M1917" s="117" t="s">
        <v>349</v>
      </c>
      <c r="N1917" s="33">
        <v>44691</v>
      </c>
      <c r="O1917" s="32">
        <v>4179</v>
      </c>
      <c r="P1917" s="391">
        <f>ROUNDUP(S1917/V1917/VLOOKUP(B1917,$C$2:$F$6,3,FALSE),2)</f>
        <v>0.81</v>
      </c>
      <c r="Q1917" s="611">
        <v>0.81</v>
      </c>
      <c r="R1917" s="322">
        <f>Q1917*J1917</f>
        <v>11.34</v>
      </c>
      <c r="S1917" s="7">
        <v>51</v>
      </c>
      <c r="T1917" s="7">
        <f>S1917*J1917</f>
        <v>714</v>
      </c>
      <c r="U1917" s="21"/>
      <c r="V1917" s="260">
        <v>90</v>
      </c>
    </row>
    <row r="1918" spans="1:22" s="7" customFormat="1" ht="18" customHeight="1">
      <c r="B1918" s="12"/>
      <c r="C1918" s="6" t="s">
        <v>3046</v>
      </c>
      <c r="D1918" s="14" t="s">
        <v>3047</v>
      </c>
      <c r="E1918" s="22"/>
      <c r="F1918" s="102"/>
      <c r="G1918" s="22" t="s">
        <v>316</v>
      </c>
      <c r="H1918" s="8"/>
      <c r="I1918" s="35"/>
      <c r="J1918" s="38">
        <v>1</v>
      </c>
      <c r="K1918" s="39">
        <v>12</v>
      </c>
      <c r="L1918" s="39">
        <f>K1918*J1918</f>
        <v>12</v>
      </c>
      <c r="M1918" s="33"/>
      <c r="N1918" s="33">
        <v>44691</v>
      </c>
      <c r="O1918" s="32">
        <v>4179</v>
      </c>
      <c r="P1918" s="391">
        <v>12</v>
      </c>
      <c r="Q1918" s="322">
        <v>12</v>
      </c>
      <c r="R1918" s="322">
        <v>12</v>
      </c>
      <c r="S1918" s="7">
        <v>900</v>
      </c>
      <c r="T1918" s="7">
        <f>S1918*J1918</f>
        <v>900</v>
      </c>
      <c r="U1918" s="21"/>
      <c r="V1918" s="260">
        <v>90</v>
      </c>
    </row>
    <row r="1919" spans="1:22" s="191" customFormat="1" ht="15">
      <c r="A1919" s="7"/>
      <c r="B1919" s="12"/>
      <c r="C1919" s="179" t="s">
        <v>3046</v>
      </c>
      <c r="D1919" s="180" t="s">
        <v>3047</v>
      </c>
      <c r="E1919" s="217"/>
      <c r="F1919" s="182"/>
      <c r="G1919" s="182" t="s">
        <v>250</v>
      </c>
      <c r="H1919" s="184" t="s">
        <v>251</v>
      </c>
      <c r="I1919" s="185"/>
      <c r="J1919" s="183"/>
      <c r="K1919" s="192">
        <v>0</v>
      </c>
      <c r="L1919" s="188"/>
      <c r="M1919" s="187"/>
      <c r="N1919" s="187">
        <v>44691</v>
      </c>
      <c r="O1919" s="186">
        <v>4179</v>
      </c>
      <c r="P1919" s="179"/>
      <c r="Q1919" s="725">
        <v>0</v>
      </c>
      <c r="S1919" s="197">
        <v>0</v>
      </c>
      <c r="T1919" s="198">
        <v>0</v>
      </c>
      <c r="U1919" s="335"/>
      <c r="V1919" s="260">
        <v>90</v>
      </c>
    </row>
    <row r="1920" spans="1:22" s="7" customFormat="1" ht="18" customHeight="1">
      <c r="B1920" s="12"/>
      <c r="C1920" s="6" t="s">
        <v>3049</v>
      </c>
      <c r="D1920" s="14" t="s">
        <v>2194</v>
      </c>
      <c r="E1920" s="19" t="s">
        <v>10</v>
      </c>
      <c r="F1920" s="107"/>
      <c r="G1920" s="22"/>
      <c r="H1920" s="108"/>
      <c r="I1920" s="109"/>
      <c r="J1920" s="108"/>
      <c r="K1920" s="110" t="s">
        <v>5</v>
      </c>
      <c r="L1920" s="139"/>
      <c r="M1920" s="33"/>
      <c r="N1920" s="33">
        <v>44714</v>
      </c>
      <c r="O1920" s="32">
        <v>4242</v>
      </c>
      <c r="P1920" s="14"/>
      <c r="Q1920" s="322"/>
      <c r="U1920" s="14"/>
      <c r="V1920" s="260">
        <v>90</v>
      </c>
    </row>
    <row r="1921" spans="2:22" s="7" customFormat="1" ht="18" customHeight="1">
      <c r="B1921" s="12" t="s">
        <v>302</v>
      </c>
      <c r="C1921" s="6" t="s">
        <v>3049</v>
      </c>
      <c r="D1921" s="14" t="s">
        <v>2194</v>
      </c>
      <c r="E1921" s="22" t="s">
        <v>206</v>
      </c>
      <c r="F1921" s="107">
        <v>162</v>
      </c>
      <c r="G1921" s="22" t="s">
        <v>2195</v>
      </c>
      <c r="H1921" s="108">
        <v>50</v>
      </c>
      <c r="I1921" s="109">
        <v>4</v>
      </c>
      <c r="J1921" s="8">
        <f>H1921*I1921</f>
        <v>200</v>
      </c>
      <c r="K1921" s="39">
        <v>4.59</v>
      </c>
      <c r="L1921" s="39">
        <f>K1921*J1921</f>
        <v>918</v>
      </c>
      <c r="M1921" s="117" t="s">
        <v>322</v>
      </c>
      <c r="N1921" s="33">
        <v>44714</v>
      </c>
      <c r="O1921" s="32">
        <v>4242</v>
      </c>
      <c r="P1921" s="391">
        <f>ROUNDUP(S1921/V1921/VLOOKUP(B1921,$C$2:$F$6,3,FALSE),2)</f>
        <v>4.17</v>
      </c>
      <c r="Q1921" s="322">
        <v>4.17</v>
      </c>
      <c r="R1921" s="322">
        <f>Q1921*J1921</f>
        <v>834</v>
      </c>
      <c r="S1921" s="7">
        <v>330</v>
      </c>
      <c r="T1921" s="7">
        <f>S1921*J1921</f>
        <v>66000</v>
      </c>
      <c r="U1921" s="21"/>
      <c r="V1921" s="260">
        <v>90</v>
      </c>
    </row>
    <row r="1922" spans="2:22" s="7" customFormat="1" ht="17.45" customHeight="1">
      <c r="B1922" s="12"/>
      <c r="C1922" s="6" t="s">
        <v>3049</v>
      </c>
      <c r="D1922" s="14" t="s">
        <v>2194</v>
      </c>
      <c r="E1922" s="159"/>
      <c r="F1922" s="37"/>
      <c r="G1922" s="22" t="s">
        <v>363</v>
      </c>
      <c r="H1922" s="8"/>
      <c r="I1922" s="109" ph="1"/>
      <c r="J1922" s="38">
        <v>1</v>
      </c>
      <c r="K1922" s="39">
        <v>20</v>
      </c>
      <c r="L1922" s="39">
        <f>K1922*J1922</f>
        <v>20</v>
      </c>
      <c r="M1922" s="91"/>
      <c r="N1922" s="33">
        <v>44714</v>
      </c>
      <c r="O1922" s="32">
        <v>4242</v>
      </c>
      <c r="P1922" s="6"/>
      <c r="Q1922" s="322">
        <v>20</v>
      </c>
      <c r="R1922" s="322">
        <f>Q1922*J1922</f>
        <v>20</v>
      </c>
      <c r="S1922" s="7">
        <v>1800</v>
      </c>
      <c r="T1922" s="7">
        <v>1800</v>
      </c>
      <c r="U1922" s="21"/>
      <c r="V1922" s="260">
        <v>90</v>
      </c>
    </row>
    <row r="1923" spans="2:22" s="191" customFormat="1" ht="15">
      <c r="B1923" s="190"/>
      <c r="C1923" s="179" t="s">
        <v>3049</v>
      </c>
      <c r="D1923" s="180" t="s">
        <v>2194</v>
      </c>
      <c r="E1923" s="217"/>
      <c r="F1923" s="182"/>
      <c r="G1923" s="182" t="s">
        <v>250</v>
      </c>
      <c r="H1923" s="184" t="s">
        <v>252</v>
      </c>
      <c r="I1923" s="185"/>
      <c r="J1923" s="183"/>
      <c r="K1923" s="333">
        <v>309</v>
      </c>
      <c r="L1923" s="188"/>
      <c r="M1923" s="187"/>
      <c r="N1923" s="187">
        <v>44714</v>
      </c>
      <c r="O1923" s="186">
        <v>4242</v>
      </c>
      <c r="P1923" s="179"/>
      <c r="Q1923" s="334">
        <v>309</v>
      </c>
      <c r="R1923" s="334">
        <v>309</v>
      </c>
      <c r="S1923" s="197">
        <v>27756</v>
      </c>
      <c r="T1923" s="197">
        <v>27756</v>
      </c>
      <c r="U1923" s="335"/>
      <c r="V1923" s="260">
        <v>90</v>
      </c>
    </row>
    <row r="1924" spans="2:22" s="7" customFormat="1" ht="18" customHeight="1">
      <c r="B1924" s="12"/>
      <c r="C1924" s="6" t="s">
        <v>3050</v>
      </c>
      <c r="D1924" s="14" t="s">
        <v>2231</v>
      </c>
      <c r="E1924" s="19" t="s">
        <v>2270</v>
      </c>
      <c r="F1924" s="37"/>
      <c r="G1924" s="37"/>
      <c r="H1924" s="108"/>
      <c r="I1924" s="108"/>
      <c r="J1924" s="108"/>
      <c r="K1924" s="29" t="s">
        <v>5</v>
      </c>
      <c r="L1924" s="139"/>
      <c r="M1924" s="33"/>
      <c r="N1924" s="33">
        <v>44700</v>
      </c>
      <c r="O1924" s="32">
        <v>4187</v>
      </c>
      <c r="P1924" s="6"/>
      <c r="Q1924" s="339"/>
      <c r="U1924" s="21"/>
      <c r="V1924" s="260">
        <v>90</v>
      </c>
    </row>
    <row r="1925" spans="2:22" s="7" customFormat="1" ht="17.25" customHeight="1">
      <c r="B1925" s="12" t="s">
        <v>300</v>
      </c>
      <c r="C1925" s="6" t="s">
        <v>3050</v>
      </c>
      <c r="D1925" s="14" t="s">
        <v>2231</v>
      </c>
      <c r="E1925" s="22">
        <v>5636</v>
      </c>
      <c r="F1925" s="37" t="s">
        <v>230</v>
      </c>
      <c r="G1925" s="839" t="s">
        <v>283</v>
      </c>
      <c r="H1925" s="108">
        <v>50</v>
      </c>
      <c r="I1925" s="109">
        <v>7</v>
      </c>
      <c r="J1925" s="8">
        <f>H1925*I1925</f>
        <v>350</v>
      </c>
      <c r="K1925" s="39">
        <v>0.27</v>
      </c>
      <c r="L1925" s="39">
        <f>K1925*J1925</f>
        <v>94.5</v>
      </c>
      <c r="M1925" s="117" t="s">
        <v>349</v>
      </c>
      <c r="N1925" s="33">
        <v>44700</v>
      </c>
      <c r="O1925" s="32">
        <v>4187</v>
      </c>
      <c r="P1925" s="391">
        <f>ROUNDUP(S1925/V1925/VLOOKUP(B1925,$C$2:$F$6,3,FALSE),2)</f>
        <v>0.17</v>
      </c>
      <c r="Q1925" s="322">
        <v>0.17</v>
      </c>
      <c r="R1925" s="322">
        <f>Q1925*J1925</f>
        <v>59.500000000000007</v>
      </c>
      <c r="S1925" s="752">
        <v>10.7</v>
      </c>
      <c r="T1925" s="7">
        <f>S1925*J1925</f>
        <v>3744.9999999999995</v>
      </c>
      <c r="U1925" s="876"/>
      <c r="V1925" s="260">
        <v>90</v>
      </c>
    </row>
    <row r="1926" spans="2:22" s="7" customFormat="1" ht="17.25" customHeight="1">
      <c r="B1926" s="12" t="s">
        <v>300</v>
      </c>
      <c r="C1926" s="6" t="s">
        <v>3050</v>
      </c>
      <c r="D1926" s="14" t="s">
        <v>2231</v>
      </c>
      <c r="E1926" s="22">
        <v>5636</v>
      </c>
      <c r="F1926" s="37" t="s">
        <v>230</v>
      </c>
      <c r="G1926" s="839" t="s">
        <v>2955</v>
      </c>
      <c r="H1926" s="108">
        <v>50</v>
      </c>
      <c r="I1926" s="109">
        <v>2</v>
      </c>
      <c r="J1926" s="8">
        <f>H1926*I1926</f>
        <v>100</v>
      </c>
      <c r="K1926" s="39">
        <v>0.27</v>
      </c>
      <c r="L1926" s="39">
        <f>K1926*J1926</f>
        <v>27</v>
      </c>
      <c r="M1926" s="117" t="s">
        <v>349</v>
      </c>
      <c r="N1926" s="33">
        <v>44700</v>
      </c>
      <c r="O1926" s="32">
        <v>4187</v>
      </c>
      <c r="P1926" s="391">
        <f>ROUNDUP(S1926/V1926/VLOOKUP(B1926,$C$2:$F$6,3,FALSE),2)</f>
        <v>0.24000000000000002</v>
      </c>
      <c r="Q1926" s="322">
        <v>0.24</v>
      </c>
      <c r="R1926" s="322">
        <f>Q1926*J1926</f>
        <v>24</v>
      </c>
      <c r="S1926" s="7">
        <v>14.6</v>
      </c>
      <c r="T1926" s="7">
        <f>S1926*J1926</f>
        <v>1460</v>
      </c>
      <c r="U1926" s="778"/>
      <c r="V1926" s="260">
        <v>90</v>
      </c>
    </row>
    <row r="1927" spans="2:22" s="7" customFormat="1" ht="17.25" customHeight="1">
      <c r="B1927" s="12" t="s">
        <v>300</v>
      </c>
      <c r="C1927" s="6" t="s">
        <v>3050</v>
      </c>
      <c r="D1927" s="14" t="s">
        <v>2231</v>
      </c>
      <c r="E1927" s="22">
        <v>5636</v>
      </c>
      <c r="F1927" s="37" t="s">
        <v>230</v>
      </c>
      <c r="G1927" s="839" t="s">
        <v>2956</v>
      </c>
      <c r="H1927" s="108">
        <v>50</v>
      </c>
      <c r="I1927" s="109">
        <v>3</v>
      </c>
      <c r="J1927" s="8">
        <f>H1927*I1927</f>
        <v>150</v>
      </c>
      <c r="K1927" s="39">
        <v>0.27</v>
      </c>
      <c r="L1927" s="39">
        <f>K1927*J1927</f>
        <v>40.5</v>
      </c>
      <c r="M1927" s="117" t="s">
        <v>349</v>
      </c>
      <c r="N1927" s="33">
        <v>44700</v>
      </c>
      <c r="O1927" s="32">
        <v>4187</v>
      </c>
      <c r="P1927" s="391">
        <f>ROUNDUP(S1927/V1927/VLOOKUP(B1927,$C$2:$F$6,3,FALSE),2)</f>
        <v>0.24000000000000002</v>
      </c>
      <c r="Q1927" s="322">
        <v>0.24</v>
      </c>
      <c r="R1927" s="322">
        <f>Q1927*J1927</f>
        <v>36</v>
      </c>
      <c r="S1927" s="7">
        <v>14.6</v>
      </c>
      <c r="T1927" s="7">
        <f>S1927*J1927</f>
        <v>2190</v>
      </c>
      <c r="U1927" s="778"/>
      <c r="V1927" s="260">
        <v>90</v>
      </c>
    </row>
    <row r="1928" spans="2:22" s="191" customFormat="1" ht="15">
      <c r="B1928" s="190"/>
      <c r="C1928" s="179" t="s">
        <v>3050</v>
      </c>
      <c r="D1928" s="180" t="s">
        <v>2231</v>
      </c>
      <c r="E1928" s="217"/>
      <c r="F1928" s="622"/>
      <c r="G1928" s="182" t="s">
        <v>250</v>
      </c>
      <c r="H1928" s="184" t="s">
        <v>251</v>
      </c>
      <c r="I1928" s="185"/>
      <c r="J1928" s="183"/>
      <c r="K1928" s="192">
        <v>0</v>
      </c>
      <c r="L1928" s="188"/>
      <c r="M1928" s="187"/>
      <c r="N1928" s="187">
        <v>44700</v>
      </c>
      <c r="O1928" s="186">
        <v>4187</v>
      </c>
      <c r="P1928" s="179"/>
      <c r="Q1928" s="725">
        <v>0</v>
      </c>
      <c r="S1928" s="197">
        <v>0</v>
      </c>
      <c r="T1928" s="198">
        <v>0</v>
      </c>
      <c r="U1928" s="335"/>
      <c r="V1928" s="260">
        <v>90</v>
      </c>
    </row>
    <row r="1929" spans="2:22" s="7" customFormat="1" ht="18" customHeight="1">
      <c r="B1929" s="12"/>
      <c r="C1929" s="6" t="s">
        <v>3051</v>
      </c>
      <c r="D1929" s="14" t="s">
        <v>2231</v>
      </c>
      <c r="E1929" s="19" t="s">
        <v>2270</v>
      </c>
      <c r="F1929" s="37"/>
      <c r="G1929" s="37"/>
      <c r="H1929" s="108"/>
      <c r="I1929" s="108"/>
      <c r="J1929" s="108"/>
      <c r="K1929" s="29" t="s">
        <v>5</v>
      </c>
      <c r="L1929" s="139"/>
      <c r="M1929" s="33"/>
      <c r="N1929" s="33">
        <v>44700</v>
      </c>
      <c r="O1929" s="32">
        <v>4187</v>
      </c>
      <c r="P1929" s="6"/>
      <c r="Q1929" s="339"/>
      <c r="U1929" s="21"/>
      <c r="V1929" s="260">
        <v>90</v>
      </c>
    </row>
    <row r="1930" spans="2:22" s="7" customFormat="1" ht="17.25" customHeight="1">
      <c r="B1930" s="12" t="s">
        <v>300</v>
      </c>
      <c r="C1930" s="6" t="s">
        <v>3051</v>
      </c>
      <c r="D1930" s="14" t="s">
        <v>2231</v>
      </c>
      <c r="E1930" s="22">
        <v>5636</v>
      </c>
      <c r="F1930" s="37" t="s">
        <v>230</v>
      </c>
      <c r="G1930" s="396" t="s">
        <v>3052</v>
      </c>
      <c r="H1930" s="108">
        <v>50</v>
      </c>
      <c r="I1930" s="109">
        <v>1</v>
      </c>
      <c r="J1930" s="8">
        <f>H1930*I1930</f>
        <v>50</v>
      </c>
      <c r="K1930" s="39">
        <v>0.27</v>
      </c>
      <c r="L1930" s="39">
        <f t="shared" ref="L1930:L1935" si="105">K1930*J1930</f>
        <v>13.5</v>
      </c>
      <c r="M1930" s="117" t="s">
        <v>349</v>
      </c>
      <c r="N1930" s="33">
        <v>44700</v>
      </c>
      <c r="O1930" s="32">
        <v>4187</v>
      </c>
      <c r="P1930" s="391">
        <f>ROUNDUP(S1930/V1930/VLOOKUP(B1930,$C$2:$F$6,3,FALSE),2)</f>
        <v>0.24000000000000002</v>
      </c>
      <c r="Q1930" s="322">
        <v>0.24</v>
      </c>
      <c r="R1930" s="322">
        <f t="shared" ref="R1930:R1935" si="106">Q1930*J1930</f>
        <v>12</v>
      </c>
      <c r="S1930" s="7">
        <v>14.6</v>
      </c>
      <c r="T1930" s="7">
        <f>S1930*J1930</f>
        <v>730</v>
      </c>
      <c r="U1930" s="778"/>
      <c r="V1930" s="260">
        <v>90</v>
      </c>
    </row>
    <row r="1931" spans="2:22" s="7" customFormat="1" ht="17.25" customHeight="1">
      <c r="B1931" s="12" t="s">
        <v>300</v>
      </c>
      <c r="C1931" s="6" t="s">
        <v>3051</v>
      </c>
      <c r="D1931" s="14" t="s">
        <v>2231</v>
      </c>
      <c r="E1931" s="22">
        <v>5636</v>
      </c>
      <c r="F1931" s="37" t="s">
        <v>230</v>
      </c>
      <c r="G1931" s="396" t="s">
        <v>3053</v>
      </c>
      <c r="H1931" s="108">
        <v>50</v>
      </c>
      <c r="I1931" s="109">
        <v>1</v>
      </c>
      <c r="J1931" s="8">
        <f>H1931*I1931</f>
        <v>50</v>
      </c>
      <c r="K1931" s="39">
        <v>0.27</v>
      </c>
      <c r="L1931" s="39">
        <f t="shared" si="105"/>
        <v>13.5</v>
      </c>
      <c r="M1931" s="117" t="s">
        <v>349</v>
      </c>
      <c r="N1931" s="33">
        <v>44700</v>
      </c>
      <c r="O1931" s="32">
        <v>4187</v>
      </c>
      <c r="P1931" s="391">
        <f>ROUNDUP(S1931/V1931/VLOOKUP(B1931,$C$2:$F$6,3,FALSE),2)</f>
        <v>0.24000000000000002</v>
      </c>
      <c r="Q1931" s="322">
        <v>0.24</v>
      </c>
      <c r="R1931" s="322">
        <f t="shared" si="106"/>
        <v>12</v>
      </c>
      <c r="S1931" s="7">
        <v>14.6</v>
      </c>
      <c r="T1931" s="7">
        <f>S1931*J1931</f>
        <v>730</v>
      </c>
      <c r="U1931" s="778"/>
      <c r="V1931" s="260">
        <v>90</v>
      </c>
    </row>
    <row r="1932" spans="2:22" s="7" customFormat="1" ht="17.25" customHeight="1">
      <c r="B1932" s="12" t="s">
        <v>300</v>
      </c>
      <c r="C1932" s="6" t="s">
        <v>3051</v>
      </c>
      <c r="D1932" s="14" t="s">
        <v>2231</v>
      </c>
      <c r="E1932" s="22">
        <v>5636</v>
      </c>
      <c r="F1932" s="37" t="s">
        <v>230</v>
      </c>
      <c r="G1932" s="396" t="s">
        <v>3054</v>
      </c>
      <c r="H1932" s="108">
        <v>50</v>
      </c>
      <c r="I1932" s="109">
        <v>1</v>
      </c>
      <c r="J1932" s="8">
        <f>H1932*I1932</f>
        <v>50</v>
      </c>
      <c r="K1932" s="39">
        <v>0.27</v>
      </c>
      <c r="L1932" s="39">
        <f t="shared" si="105"/>
        <v>13.5</v>
      </c>
      <c r="M1932" s="117" t="s">
        <v>349</v>
      </c>
      <c r="N1932" s="33">
        <v>44700</v>
      </c>
      <c r="O1932" s="32">
        <v>4187</v>
      </c>
      <c r="P1932" s="391">
        <f>ROUNDUP(S1932/V1932/VLOOKUP(B1932,$C$2:$F$6,3,FALSE),2)</f>
        <v>0.24000000000000002</v>
      </c>
      <c r="Q1932" s="322">
        <v>0.24</v>
      </c>
      <c r="R1932" s="322">
        <f t="shared" si="106"/>
        <v>12</v>
      </c>
      <c r="S1932" s="7">
        <v>14.6</v>
      </c>
      <c r="T1932" s="7">
        <f>S1932*J1932</f>
        <v>730</v>
      </c>
      <c r="U1932" s="778"/>
      <c r="V1932" s="260">
        <v>90</v>
      </c>
    </row>
    <row r="1933" spans="2:22" s="7" customFormat="1" ht="17.25" customHeight="1">
      <c r="B1933" s="12" t="s">
        <v>300</v>
      </c>
      <c r="C1933" s="6" t="s">
        <v>3051</v>
      </c>
      <c r="D1933" s="14" t="s">
        <v>2231</v>
      </c>
      <c r="E1933" s="22">
        <v>5636</v>
      </c>
      <c r="F1933" s="37" t="s">
        <v>230</v>
      </c>
      <c r="G1933" s="396" t="s">
        <v>3055</v>
      </c>
      <c r="H1933" s="108">
        <v>50</v>
      </c>
      <c r="I1933" s="109">
        <v>1</v>
      </c>
      <c r="J1933" s="8">
        <f>H1933*I1933</f>
        <v>50</v>
      </c>
      <c r="K1933" s="39">
        <v>0.27</v>
      </c>
      <c r="L1933" s="39">
        <f t="shared" si="105"/>
        <v>13.5</v>
      </c>
      <c r="M1933" s="117" t="s">
        <v>349</v>
      </c>
      <c r="N1933" s="33">
        <v>44700</v>
      </c>
      <c r="O1933" s="32">
        <v>4187</v>
      </c>
      <c r="P1933" s="391">
        <f>ROUNDUP(S1933/V1933/VLOOKUP(B1933,$C$2:$F$6,3,FALSE),2)</f>
        <v>0.24000000000000002</v>
      </c>
      <c r="Q1933" s="322">
        <v>0.24</v>
      </c>
      <c r="R1933" s="322">
        <f t="shared" si="106"/>
        <v>12</v>
      </c>
      <c r="S1933" s="7">
        <v>14.6</v>
      </c>
      <c r="T1933" s="7">
        <f>S1933*J1933</f>
        <v>730</v>
      </c>
      <c r="U1933" s="778"/>
      <c r="V1933" s="260">
        <v>90</v>
      </c>
    </row>
    <row r="1934" spans="2:22" s="7" customFormat="1" ht="17.25" customHeight="1">
      <c r="B1934" s="12" t="s">
        <v>300</v>
      </c>
      <c r="C1934" s="6" t="s">
        <v>3051</v>
      </c>
      <c r="D1934" s="14" t="s">
        <v>2231</v>
      </c>
      <c r="E1934" s="22">
        <v>5636</v>
      </c>
      <c r="F1934" s="37" t="s">
        <v>230</v>
      </c>
      <c r="G1934" s="396" t="s">
        <v>3056</v>
      </c>
      <c r="H1934" s="108">
        <v>50</v>
      </c>
      <c r="I1934" s="109">
        <v>1</v>
      </c>
      <c r="J1934" s="8">
        <f>H1934*I1934</f>
        <v>50</v>
      </c>
      <c r="K1934" s="39">
        <v>0.27</v>
      </c>
      <c r="L1934" s="39">
        <f t="shared" si="105"/>
        <v>13.5</v>
      </c>
      <c r="M1934" s="117" t="s">
        <v>349</v>
      </c>
      <c r="N1934" s="33">
        <v>44700</v>
      </c>
      <c r="O1934" s="32">
        <v>4187</v>
      </c>
      <c r="P1934" s="391">
        <f>ROUNDUP(S1934/V1934/VLOOKUP(B1934,$C$2:$F$6,3,FALSE),2)</f>
        <v>0.24000000000000002</v>
      </c>
      <c r="Q1934" s="322">
        <v>0.24</v>
      </c>
      <c r="R1934" s="322">
        <f t="shared" si="106"/>
        <v>12</v>
      </c>
      <c r="S1934" s="7">
        <v>14.6</v>
      </c>
      <c r="T1934" s="7">
        <f>S1934*J1934</f>
        <v>730</v>
      </c>
      <c r="U1934" s="778"/>
      <c r="V1934" s="260">
        <v>90</v>
      </c>
    </row>
    <row r="1935" spans="2:22" s="7" customFormat="1" ht="15">
      <c r="B1935" s="12"/>
      <c r="C1935" s="6" t="s">
        <v>3051</v>
      </c>
      <c r="D1935" s="14" t="s">
        <v>2231</v>
      </c>
      <c r="E1935" s="22"/>
      <c r="F1935" s="102"/>
      <c r="G1935" s="22" t="s">
        <v>316</v>
      </c>
      <c r="H1935" s="8"/>
      <c r="I1935" s="35"/>
      <c r="J1935" s="38">
        <v>1</v>
      </c>
      <c r="K1935" s="39">
        <v>12</v>
      </c>
      <c r="L1935" s="39">
        <f t="shared" si="105"/>
        <v>12</v>
      </c>
      <c r="M1935" s="91"/>
      <c r="N1935" s="33">
        <v>44700</v>
      </c>
      <c r="O1935" s="32">
        <v>4187</v>
      </c>
      <c r="P1935" s="6"/>
      <c r="Q1935" s="322">
        <v>12</v>
      </c>
      <c r="R1935" s="322">
        <f t="shared" si="106"/>
        <v>12</v>
      </c>
      <c r="S1935" s="7">
        <v>1100</v>
      </c>
      <c r="T1935" s="7">
        <v>1100</v>
      </c>
      <c r="U1935" s="21"/>
      <c r="V1935" s="260">
        <v>90</v>
      </c>
    </row>
    <row r="1936" spans="2:22" s="191" customFormat="1" ht="15">
      <c r="B1936" s="190"/>
      <c r="C1936" s="179" t="s">
        <v>3051</v>
      </c>
      <c r="D1936" s="180" t="s">
        <v>2231</v>
      </c>
      <c r="E1936" s="181"/>
      <c r="F1936" s="622"/>
      <c r="G1936" s="182" t="s">
        <v>250</v>
      </c>
      <c r="H1936" s="184" t="s">
        <v>251</v>
      </c>
      <c r="I1936" s="185"/>
      <c r="J1936" s="183"/>
      <c r="K1936" s="192">
        <v>0</v>
      </c>
      <c r="L1936" s="188"/>
      <c r="M1936" s="187"/>
      <c r="N1936" s="187">
        <v>44700</v>
      </c>
      <c r="O1936" s="186">
        <v>4187</v>
      </c>
      <c r="P1936" s="179"/>
      <c r="Q1936" s="725">
        <v>0</v>
      </c>
      <c r="S1936" s="197">
        <v>0</v>
      </c>
      <c r="T1936" s="198">
        <v>0</v>
      </c>
      <c r="U1936" s="335"/>
      <c r="V1936" s="260">
        <v>90</v>
      </c>
    </row>
    <row r="1937" spans="1:22" s="7" customFormat="1" ht="18" customHeight="1">
      <c r="B1937" s="12"/>
      <c r="C1937" s="6" t="s">
        <v>3057</v>
      </c>
      <c r="D1937" s="14" t="s">
        <v>3058</v>
      </c>
      <c r="E1937" s="19" t="s">
        <v>3059</v>
      </c>
      <c r="F1937" s="107"/>
      <c r="G1937" s="22"/>
      <c r="H1937" s="108"/>
      <c r="I1937" s="109"/>
      <c r="J1937" s="108"/>
      <c r="K1937" s="110" t="s">
        <v>5</v>
      </c>
      <c r="L1937" s="139"/>
      <c r="M1937" s="33"/>
      <c r="N1937" s="33">
        <v>44694</v>
      </c>
      <c r="O1937" s="32">
        <v>4193</v>
      </c>
      <c r="P1937" s="14"/>
      <c r="Q1937" s="322"/>
      <c r="U1937" s="14"/>
      <c r="V1937" s="260">
        <v>90</v>
      </c>
    </row>
    <row r="1938" spans="1:22" s="7" customFormat="1" ht="18" customHeight="1">
      <c r="B1938" s="12" t="s">
        <v>302</v>
      </c>
      <c r="C1938" s="6" t="s">
        <v>3057</v>
      </c>
      <c r="D1938" s="14" t="s">
        <v>3058</v>
      </c>
      <c r="E1938" s="22" t="s">
        <v>3060</v>
      </c>
      <c r="F1938" s="133" t="s">
        <v>3061</v>
      </c>
      <c r="G1938" s="22" t="s">
        <v>3062</v>
      </c>
      <c r="H1938" s="108">
        <v>50.8</v>
      </c>
      <c r="I1938" s="109">
        <v>1</v>
      </c>
      <c r="J1938" s="131">
        <f>H1938*I1938</f>
        <v>50.8</v>
      </c>
      <c r="K1938" s="39">
        <v>15.98</v>
      </c>
      <c r="L1938" s="39">
        <f>K1938*J1938</f>
        <v>811.78399999999999</v>
      </c>
      <c r="M1938" s="117" t="s">
        <v>349</v>
      </c>
      <c r="N1938" s="33">
        <v>44694</v>
      </c>
      <c r="O1938" s="32">
        <v>4193</v>
      </c>
      <c r="P1938" s="391">
        <f>ROUNDUP(S1938/V1938/VLOOKUP(B1938,$C$2:$F$6,3,FALSE),2)</f>
        <v>14.53</v>
      </c>
      <c r="Q1938" s="322">
        <v>14.53</v>
      </c>
      <c r="R1938" s="322">
        <f>Q1938*J1938</f>
        <v>738.12399999999991</v>
      </c>
      <c r="S1938" s="7">
        <v>1150</v>
      </c>
      <c r="T1938" s="7">
        <f>S1938*J1938</f>
        <v>58420</v>
      </c>
      <c r="U1938" s="21"/>
      <c r="V1938" s="260">
        <v>90</v>
      </c>
    </row>
    <row r="1939" spans="1:22" s="7" customFormat="1" ht="17.45" customHeight="1">
      <c r="B1939" s="12"/>
      <c r="C1939" s="6" t="s">
        <v>3057</v>
      </c>
      <c r="D1939" s="14" t="s">
        <v>3058</v>
      </c>
      <c r="E1939" s="159"/>
      <c r="F1939" s="37"/>
      <c r="G1939" s="22" t="s">
        <v>363</v>
      </c>
      <c r="H1939" s="8"/>
      <c r="I1939" s="109" ph="1"/>
      <c r="J1939" s="38">
        <v>1</v>
      </c>
      <c r="K1939" s="39">
        <v>20</v>
      </c>
      <c r="L1939" s="39">
        <f>K1939*J1939</f>
        <v>20</v>
      </c>
      <c r="M1939" s="91"/>
      <c r="N1939" s="33">
        <v>44694</v>
      </c>
      <c r="O1939" s="32">
        <v>4193</v>
      </c>
      <c r="P1939" s="6"/>
      <c r="Q1939" s="322">
        <v>20</v>
      </c>
      <c r="R1939" s="322">
        <f>Q1939*J1939</f>
        <v>20</v>
      </c>
      <c r="S1939" s="197">
        <v>0</v>
      </c>
      <c r="T1939" s="197">
        <v>0</v>
      </c>
      <c r="U1939" s="21"/>
      <c r="V1939" s="260">
        <v>90</v>
      </c>
    </row>
    <row r="1940" spans="1:22" s="191" customFormat="1" ht="15">
      <c r="B1940" s="190"/>
      <c r="C1940" s="179" t="s">
        <v>3057</v>
      </c>
      <c r="D1940" s="180" t="s">
        <v>3058</v>
      </c>
      <c r="E1940" s="217"/>
      <c r="F1940" s="182"/>
      <c r="G1940" s="182" t="s">
        <v>250</v>
      </c>
      <c r="H1940" s="184" t="s">
        <v>251</v>
      </c>
      <c r="I1940" s="185"/>
      <c r="J1940" s="183"/>
      <c r="K1940" s="192">
        <v>0</v>
      </c>
      <c r="L1940" s="188"/>
      <c r="M1940" s="187"/>
      <c r="N1940" s="187">
        <v>44694</v>
      </c>
      <c r="O1940" s="186">
        <v>4193</v>
      </c>
      <c r="P1940" s="179"/>
      <c r="Q1940" s="725">
        <v>0</v>
      </c>
      <c r="S1940" s="197">
        <v>0</v>
      </c>
      <c r="T1940" s="198">
        <v>0</v>
      </c>
      <c r="U1940" s="335"/>
      <c r="V1940" s="260">
        <v>90</v>
      </c>
    </row>
    <row r="1941" spans="1:22" s="7" customFormat="1" ht="18" customHeight="1">
      <c r="B1941" s="12"/>
      <c r="C1941" s="6" t="s">
        <v>3063</v>
      </c>
      <c r="D1941" s="14" t="s">
        <v>2231</v>
      </c>
      <c r="E1941" s="19" t="s">
        <v>2270</v>
      </c>
      <c r="F1941" s="37"/>
      <c r="G1941" s="37"/>
      <c r="H1941" s="108"/>
      <c r="I1941" s="108"/>
      <c r="J1941" s="108"/>
      <c r="K1941" s="29" t="s">
        <v>5</v>
      </c>
      <c r="L1941" s="139"/>
      <c r="M1941" s="33"/>
      <c r="N1941" s="33">
        <v>44726</v>
      </c>
      <c r="O1941" s="32">
        <v>4210</v>
      </c>
      <c r="P1941" s="6"/>
      <c r="Q1941" s="339"/>
      <c r="U1941" s="21"/>
      <c r="V1941" s="260">
        <v>90</v>
      </c>
    </row>
    <row r="1942" spans="1:22" s="7" customFormat="1" ht="17.25" customHeight="1">
      <c r="B1942" s="12" t="s">
        <v>300</v>
      </c>
      <c r="C1942" s="6" t="s">
        <v>3063</v>
      </c>
      <c r="D1942" s="14" t="s">
        <v>2231</v>
      </c>
      <c r="E1942" s="22">
        <v>5636</v>
      </c>
      <c r="F1942" s="37" t="s">
        <v>230</v>
      </c>
      <c r="G1942" s="839" t="s">
        <v>283</v>
      </c>
      <c r="H1942" s="108">
        <v>50</v>
      </c>
      <c r="I1942" s="109">
        <v>89</v>
      </c>
      <c r="J1942" s="8">
        <f>H1942*I1942</f>
        <v>4450</v>
      </c>
      <c r="K1942" s="39">
        <v>0.27</v>
      </c>
      <c r="L1942" s="39">
        <f>K1942*J1942</f>
        <v>1201.5</v>
      </c>
      <c r="M1942" s="117" t="s">
        <v>349</v>
      </c>
      <c r="N1942" s="33">
        <v>44726</v>
      </c>
      <c r="O1942" s="32">
        <v>4210</v>
      </c>
      <c r="P1942" s="391">
        <f>ROUNDUP(S1942/V1942/VLOOKUP(B1942,$C$2:$F$6,3,FALSE),2)</f>
        <v>0.17</v>
      </c>
      <c r="Q1942" s="322">
        <v>0.17</v>
      </c>
      <c r="R1942" s="322">
        <f>Q1942*J1942</f>
        <v>756.5</v>
      </c>
      <c r="S1942" s="752">
        <v>10.7</v>
      </c>
      <c r="T1942" s="7">
        <f>S1942*J1942</f>
        <v>47615</v>
      </c>
      <c r="U1942" s="876"/>
      <c r="V1942" s="260">
        <v>90</v>
      </c>
    </row>
    <row r="1943" spans="1:22" s="7" customFormat="1" ht="15">
      <c r="B1943" s="12"/>
      <c r="C1943" s="6" t="s">
        <v>3063</v>
      </c>
      <c r="D1943" s="14" t="s">
        <v>2231</v>
      </c>
      <c r="E1943" s="82"/>
      <c r="F1943" s="102"/>
      <c r="G1943" s="22" t="s">
        <v>316</v>
      </c>
      <c r="H1943" s="8"/>
      <c r="I1943" s="35"/>
      <c r="J1943" s="38">
        <v>1</v>
      </c>
      <c r="K1943" s="39">
        <v>12</v>
      </c>
      <c r="L1943" s="39">
        <f>K1943*J1943</f>
        <v>12</v>
      </c>
      <c r="M1943" s="91"/>
      <c r="N1943" s="33">
        <v>44726</v>
      </c>
      <c r="O1943" s="32">
        <v>4210</v>
      </c>
      <c r="P1943" s="6"/>
      <c r="Q1943" s="322">
        <v>12</v>
      </c>
      <c r="R1943" s="322">
        <f>Q1943*J1943</f>
        <v>12</v>
      </c>
      <c r="S1943" s="7">
        <v>1100</v>
      </c>
      <c r="T1943" s="7">
        <v>1100</v>
      </c>
      <c r="U1943" s="21"/>
      <c r="V1943" s="260">
        <v>90</v>
      </c>
    </row>
    <row r="1944" spans="1:22" s="191" customFormat="1" ht="15">
      <c r="B1944" s="190"/>
      <c r="C1944" s="179" t="s">
        <v>3063</v>
      </c>
      <c r="D1944" s="180" t="s">
        <v>2231</v>
      </c>
      <c r="E1944" s="181"/>
      <c r="F1944" s="622"/>
      <c r="G1944" s="182" t="s">
        <v>250</v>
      </c>
      <c r="H1944" s="184" t="s">
        <v>251</v>
      </c>
      <c r="I1944" s="185"/>
      <c r="J1944" s="183"/>
      <c r="K1944" s="192">
        <v>0</v>
      </c>
      <c r="L1944" s="188"/>
      <c r="M1944" s="187"/>
      <c r="N1944" s="187">
        <v>44726</v>
      </c>
      <c r="O1944" s="186">
        <v>4210</v>
      </c>
      <c r="P1944" s="179"/>
      <c r="Q1944" s="725">
        <v>0</v>
      </c>
      <c r="S1944" s="197">
        <v>0</v>
      </c>
      <c r="T1944" s="198">
        <v>0</v>
      </c>
      <c r="U1944" s="335"/>
      <c r="V1944" s="260">
        <v>90</v>
      </c>
    </row>
    <row r="1945" spans="1:22" s="7" customFormat="1" ht="18" customHeight="1">
      <c r="B1945" s="12"/>
      <c r="C1945" s="6" t="s">
        <v>3064</v>
      </c>
      <c r="D1945" s="14" t="s">
        <v>2748</v>
      </c>
      <c r="E1945" s="19" t="s">
        <v>2882</v>
      </c>
      <c r="F1945" s="107"/>
      <c r="G1945" s="22"/>
      <c r="H1945" s="108"/>
      <c r="I1945" s="109"/>
      <c r="J1945" s="108"/>
      <c r="K1945" s="29" t="s">
        <v>5</v>
      </c>
      <c r="L1945" s="139"/>
      <c r="M1945" s="33"/>
      <c r="N1945" s="33">
        <v>44704</v>
      </c>
      <c r="O1945" s="32">
        <v>4220</v>
      </c>
      <c r="P1945" s="14"/>
      <c r="Q1945" s="322"/>
      <c r="U1945" s="14"/>
      <c r="V1945" s="260">
        <v>90</v>
      </c>
    </row>
    <row r="1946" spans="1:22" s="7" customFormat="1" ht="18" customHeight="1">
      <c r="B1946" s="12" t="s">
        <v>300</v>
      </c>
      <c r="C1946" s="6" t="s">
        <v>3064</v>
      </c>
      <c r="D1946" s="14" t="s">
        <v>2748</v>
      </c>
      <c r="E1946" s="22" t="s">
        <v>3065</v>
      </c>
      <c r="F1946" s="107"/>
      <c r="G1946" s="22" t="s">
        <v>100</v>
      </c>
      <c r="H1946" s="108">
        <v>14</v>
      </c>
      <c r="I1946" s="109">
        <v>7</v>
      </c>
      <c r="J1946" s="8">
        <f>H1946*I1946</f>
        <v>98</v>
      </c>
      <c r="K1946" s="39">
        <v>1.43</v>
      </c>
      <c r="L1946" s="39">
        <f>K1946*J1946</f>
        <v>140.13999999999999</v>
      </c>
      <c r="M1946" s="117" t="s">
        <v>349</v>
      </c>
      <c r="N1946" s="33">
        <v>44704</v>
      </c>
      <c r="O1946" s="32">
        <v>4220</v>
      </c>
      <c r="P1946" s="391">
        <f>ROUNDUP(S1946/V1946/VLOOKUP(B1946,$C$2:$F$6,3,FALSE),2)</f>
        <v>0.75</v>
      </c>
      <c r="Q1946" s="611">
        <v>0.75</v>
      </c>
      <c r="R1946" s="322">
        <f>Q1946*J1946</f>
        <v>73.5</v>
      </c>
      <c r="S1946" s="7">
        <v>47</v>
      </c>
      <c r="T1946" s="7">
        <f>S1946*J1946</f>
        <v>4606</v>
      </c>
      <c r="U1946" s="21"/>
      <c r="V1946" s="260">
        <v>90</v>
      </c>
    </row>
    <row r="1947" spans="1:22" s="7" customFormat="1" ht="18" customHeight="1">
      <c r="B1947" s="12"/>
      <c r="C1947" s="6" t="s">
        <v>3064</v>
      </c>
      <c r="D1947" s="14" t="s">
        <v>2748</v>
      </c>
      <c r="E1947" s="22"/>
      <c r="F1947" s="102"/>
      <c r="G1947" s="22" t="s">
        <v>316</v>
      </c>
      <c r="H1947" s="8"/>
      <c r="I1947" s="35"/>
      <c r="J1947" s="38">
        <v>1</v>
      </c>
      <c r="K1947" s="39">
        <v>12</v>
      </c>
      <c r="L1947" s="39">
        <f>K1947*J1947</f>
        <v>12</v>
      </c>
      <c r="M1947" s="33"/>
      <c r="N1947" s="33">
        <v>44704</v>
      </c>
      <c r="O1947" s="32">
        <v>4220</v>
      </c>
      <c r="P1947" s="391">
        <v>12</v>
      </c>
      <c r="Q1947" s="322">
        <v>12</v>
      </c>
      <c r="R1947" s="322">
        <v>12</v>
      </c>
      <c r="S1947" s="7">
        <v>900</v>
      </c>
      <c r="T1947" s="7">
        <f>S1947*J1947</f>
        <v>900</v>
      </c>
      <c r="U1947" s="21"/>
      <c r="V1947" s="260">
        <v>90</v>
      </c>
    </row>
    <row r="1948" spans="1:22" s="191" customFormat="1" ht="15">
      <c r="A1948" s="7"/>
      <c r="B1948" s="12"/>
      <c r="C1948" s="179" t="s">
        <v>3064</v>
      </c>
      <c r="D1948" s="180" t="s">
        <v>2748</v>
      </c>
      <c r="E1948" s="217"/>
      <c r="F1948" s="182"/>
      <c r="G1948" s="182" t="s">
        <v>250</v>
      </c>
      <c r="H1948" s="184" t="s">
        <v>252</v>
      </c>
      <c r="I1948" s="185"/>
      <c r="J1948" s="183"/>
      <c r="K1948" s="333">
        <v>91</v>
      </c>
      <c r="L1948" s="188"/>
      <c r="M1948" s="187"/>
      <c r="N1948" s="187">
        <v>44704</v>
      </c>
      <c r="O1948" s="186">
        <v>4220</v>
      </c>
      <c r="P1948" s="179"/>
      <c r="Q1948" s="334">
        <v>91</v>
      </c>
      <c r="R1948" s="334">
        <v>91</v>
      </c>
      <c r="S1948" s="197">
        <v>8178</v>
      </c>
      <c r="T1948" s="197">
        <v>8178</v>
      </c>
      <c r="U1948" s="335"/>
      <c r="V1948" s="260">
        <v>90</v>
      </c>
    </row>
    <row r="1949" spans="1:22" s="7" customFormat="1" ht="18" customHeight="1">
      <c r="B1949" s="12"/>
      <c r="C1949" s="6" t="s">
        <v>3066</v>
      </c>
      <c r="D1949" s="14" t="s">
        <v>3067</v>
      </c>
      <c r="E1949" s="19" t="s">
        <v>1891</v>
      </c>
      <c r="F1949" s="107"/>
      <c r="G1949" s="22"/>
      <c r="H1949" s="108"/>
      <c r="I1949" s="109"/>
      <c r="J1949" s="108"/>
      <c r="K1949" s="110" t="s">
        <v>5</v>
      </c>
      <c r="L1949" s="139"/>
      <c r="M1949" s="33"/>
      <c r="N1949" s="33">
        <v>44707</v>
      </c>
      <c r="O1949" s="32">
        <v>4223</v>
      </c>
      <c r="P1949" s="14"/>
      <c r="Q1949" s="322"/>
      <c r="U1949" s="14"/>
      <c r="V1949" s="260">
        <v>90</v>
      </c>
    </row>
    <row r="1950" spans="1:22" s="7" customFormat="1" ht="18" customHeight="1">
      <c r="B1950" s="12" t="s">
        <v>302</v>
      </c>
      <c r="C1950" s="6" t="s">
        <v>3066</v>
      </c>
      <c r="D1950" s="14" t="s">
        <v>3067</v>
      </c>
      <c r="E1950" s="22" t="s">
        <v>3068</v>
      </c>
      <c r="F1950" s="107">
        <v>122</v>
      </c>
      <c r="G1950" s="22" t="s">
        <v>3069</v>
      </c>
      <c r="H1950" s="108">
        <v>30</v>
      </c>
      <c r="I1950" s="109">
        <v>17</v>
      </c>
      <c r="J1950" s="8">
        <f>H1950*I1950</f>
        <v>510</v>
      </c>
      <c r="K1950" s="39">
        <v>3.89</v>
      </c>
      <c r="L1950" s="39">
        <f>K1950*J1950</f>
        <v>1983.9</v>
      </c>
      <c r="M1950" s="117" t="s">
        <v>349</v>
      </c>
      <c r="N1950" s="33">
        <v>44707</v>
      </c>
      <c r="O1950" s="32">
        <v>4223</v>
      </c>
      <c r="P1950" s="391">
        <f>ROUNDUP(S1950/V1950/VLOOKUP(B1950,$C$2:$F$6,3,FALSE),2)</f>
        <v>3.5399999999999996</v>
      </c>
      <c r="Q1950" s="322">
        <v>3.54</v>
      </c>
      <c r="R1950" s="322">
        <f>Q1950*J1950</f>
        <v>1805.4</v>
      </c>
      <c r="S1950" s="7">
        <v>280</v>
      </c>
      <c r="T1950" s="7">
        <f>S1950*J1950</f>
        <v>142800</v>
      </c>
      <c r="U1950" s="21"/>
      <c r="V1950" s="260">
        <v>90</v>
      </c>
    </row>
    <row r="1951" spans="1:22" s="7" customFormat="1" ht="17.45" customHeight="1">
      <c r="B1951" s="12"/>
      <c r="C1951" s="6" t="s">
        <v>355</v>
      </c>
      <c r="D1951" s="14" t="s">
        <v>3067</v>
      </c>
      <c r="E1951" s="159"/>
      <c r="F1951" s="37"/>
      <c r="G1951" s="22" t="s">
        <v>363</v>
      </c>
      <c r="H1951" s="8"/>
      <c r="I1951" s="109" ph="1"/>
      <c r="J1951" s="38">
        <v>1</v>
      </c>
      <c r="K1951" s="39">
        <v>20</v>
      </c>
      <c r="L1951" s="39">
        <f>K1951*J1951</f>
        <v>20</v>
      </c>
      <c r="M1951" s="91"/>
      <c r="N1951" s="33">
        <v>44707</v>
      </c>
      <c r="O1951" s="32">
        <v>4223</v>
      </c>
      <c r="P1951" s="6"/>
      <c r="Q1951" s="322">
        <v>20</v>
      </c>
      <c r="R1951" s="322">
        <f>Q1951*J1951</f>
        <v>20</v>
      </c>
      <c r="S1951" s="7">
        <v>1800</v>
      </c>
      <c r="T1951" s="7">
        <v>1800</v>
      </c>
      <c r="U1951" s="21"/>
      <c r="V1951" s="260">
        <v>90</v>
      </c>
    </row>
    <row r="1952" spans="1:22" s="191" customFormat="1" ht="15">
      <c r="B1952" s="190"/>
      <c r="C1952" s="179" t="s">
        <v>3066</v>
      </c>
      <c r="D1952" s="180" t="s">
        <v>3067</v>
      </c>
      <c r="E1952" s="217"/>
      <c r="F1952" s="182"/>
      <c r="G1952" s="182" t="s">
        <v>250</v>
      </c>
      <c r="H1952" s="184" t="s">
        <v>251</v>
      </c>
      <c r="I1952" s="185"/>
      <c r="J1952" s="183"/>
      <c r="K1952" s="192">
        <v>0</v>
      </c>
      <c r="L1952" s="188"/>
      <c r="M1952" s="187"/>
      <c r="N1952" s="187">
        <v>44707</v>
      </c>
      <c r="O1952" s="186">
        <v>4223</v>
      </c>
      <c r="P1952" s="179"/>
      <c r="Q1952" s="725">
        <v>0</v>
      </c>
      <c r="S1952" s="197">
        <v>0</v>
      </c>
      <c r="T1952" s="198">
        <v>0</v>
      </c>
      <c r="U1952" s="335"/>
      <c r="V1952" s="260">
        <v>90</v>
      </c>
    </row>
    <row r="1953" spans="2:22" s="7" customFormat="1" ht="18" customHeight="1">
      <c r="B1953" s="12"/>
      <c r="C1953" s="6" t="s">
        <v>3070</v>
      </c>
      <c r="D1953" s="14" t="s">
        <v>2171</v>
      </c>
      <c r="E1953" s="19" t="s">
        <v>10</v>
      </c>
      <c r="F1953" s="107"/>
      <c r="G1953" s="22"/>
      <c r="H1953" s="108"/>
      <c r="I1953" s="109"/>
      <c r="J1953" s="108"/>
      <c r="K1953" s="29" t="s">
        <v>5</v>
      </c>
      <c r="L1953" s="139"/>
      <c r="M1953" s="33"/>
      <c r="N1953" s="33">
        <v>44725</v>
      </c>
      <c r="O1953" s="32">
        <v>4148</v>
      </c>
      <c r="P1953" s="14"/>
      <c r="Q1953" s="322"/>
      <c r="U1953" s="14"/>
      <c r="V1953" s="260">
        <v>90</v>
      </c>
    </row>
    <row r="1954" spans="2:22" s="7" customFormat="1" ht="18" customHeight="1">
      <c r="B1954" s="12" t="s">
        <v>302</v>
      </c>
      <c r="C1954" s="6" t="s">
        <v>3070</v>
      </c>
      <c r="D1954" s="14" t="s">
        <v>2171</v>
      </c>
      <c r="E1954" s="22" t="s">
        <v>207</v>
      </c>
      <c r="F1954" s="107">
        <v>152</v>
      </c>
      <c r="G1954" s="22" t="s">
        <v>2708</v>
      </c>
      <c r="H1954" s="108">
        <v>50</v>
      </c>
      <c r="I1954" s="109">
        <v>2</v>
      </c>
      <c r="J1954" s="8">
        <f t="shared" ref="J1954:J1959" si="107">I1954*H1954</f>
        <v>100</v>
      </c>
      <c r="K1954" s="39">
        <v>4.45</v>
      </c>
      <c r="L1954" s="39">
        <f t="shared" ref="L1954:L1962" si="108">K1954*J1954</f>
        <v>445</v>
      </c>
      <c r="M1954" s="403" t="s">
        <v>322</v>
      </c>
      <c r="N1954" s="33">
        <v>44725</v>
      </c>
      <c r="O1954" s="32">
        <v>4148</v>
      </c>
      <c r="P1954" s="391">
        <f t="shared" ref="P1954:P1959" si="109">ROUNDUP(S1954/V1954/VLOOKUP(B1954,$C$2:$F$6,3,FALSE),2)</f>
        <v>4.05</v>
      </c>
      <c r="Q1954" s="322">
        <v>4.05</v>
      </c>
      <c r="R1954" s="322">
        <f t="shared" ref="R1954:R1959" si="110">Q1954*J1954</f>
        <v>405</v>
      </c>
      <c r="S1954" s="7">
        <v>320</v>
      </c>
      <c r="T1954" s="7">
        <f t="shared" ref="T1954:T1962" si="111">S1954*J1954</f>
        <v>32000</v>
      </c>
      <c r="U1954" s="21"/>
      <c r="V1954" s="260">
        <v>90</v>
      </c>
    </row>
    <row r="1955" spans="2:22" s="7" customFormat="1" ht="18" customHeight="1">
      <c r="B1955" s="12" t="s">
        <v>302</v>
      </c>
      <c r="C1955" s="6" t="s">
        <v>3070</v>
      </c>
      <c r="D1955" s="14" t="s">
        <v>2171</v>
      </c>
      <c r="E1955" s="22" t="s">
        <v>207</v>
      </c>
      <c r="F1955" s="107">
        <v>152</v>
      </c>
      <c r="G1955" s="22" t="s">
        <v>2173</v>
      </c>
      <c r="H1955" s="108">
        <v>50</v>
      </c>
      <c r="I1955" s="109">
        <v>2</v>
      </c>
      <c r="J1955" s="8">
        <f t="shared" si="107"/>
        <v>100</v>
      </c>
      <c r="K1955" s="39">
        <v>4.45</v>
      </c>
      <c r="L1955" s="39">
        <f t="shared" si="108"/>
        <v>445</v>
      </c>
      <c r="M1955" s="403" t="s">
        <v>322</v>
      </c>
      <c r="N1955" s="33">
        <v>44725</v>
      </c>
      <c r="O1955" s="32">
        <v>4148</v>
      </c>
      <c r="P1955" s="391">
        <f t="shared" si="109"/>
        <v>4.05</v>
      </c>
      <c r="Q1955" s="322">
        <v>4.05</v>
      </c>
      <c r="R1955" s="322">
        <f t="shared" si="110"/>
        <v>405</v>
      </c>
      <c r="S1955" s="7">
        <v>320</v>
      </c>
      <c r="T1955" s="7">
        <f t="shared" si="111"/>
        <v>32000</v>
      </c>
      <c r="U1955" s="21"/>
      <c r="V1955" s="260">
        <v>90</v>
      </c>
    </row>
    <row r="1956" spans="2:22" s="7" customFormat="1" ht="18" customHeight="1">
      <c r="B1956" s="12" t="s">
        <v>302</v>
      </c>
      <c r="C1956" s="6" t="s">
        <v>3071</v>
      </c>
      <c r="D1956" s="14" t="s">
        <v>2171</v>
      </c>
      <c r="E1956" s="22" t="s">
        <v>207</v>
      </c>
      <c r="F1956" s="107">
        <v>152</v>
      </c>
      <c r="G1956" s="22" t="s">
        <v>2708</v>
      </c>
      <c r="H1956" s="108">
        <v>50</v>
      </c>
      <c r="I1956" s="109">
        <v>2</v>
      </c>
      <c r="J1956" s="8">
        <f t="shared" si="107"/>
        <v>100</v>
      </c>
      <c r="K1956" s="39">
        <v>4.45</v>
      </c>
      <c r="L1956" s="39">
        <f t="shared" si="108"/>
        <v>445</v>
      </c>
      <c r="M1956" s="403" t="s">
        <v>322</v>
      </c>
      <c r="N1956" s="33">
        <v>44725</v>
      </c>
      <c r="O1956" s="32">
        <v>4148</v>
      </c>
      <c r="P1956" s="391">
        <f t="shared" si="109"/>
        <v>4.05</v>
      </c>
      <c r="Q1956" s="322">
        <v>4.05</v>
      </c>
      <c r="R1956" s="322">
        <f t="shared" si="110"/>
        <v>405</v>
      </c>
      <c r="S1956" s="7">
        <v>320</v>
      </c>
      <c r="T1956" s="7">
        <f t="shared" si="111"/>
        <v>32000</v>
      </c>
      <c r="U1956" s="21"/>
      <c r="V1956" s="260">
        <v>90</v>
      </c>
    </row>
    <row r="1957" spans="2:22" s="7" customFormat="1" ht="18" customHeight="1">
      <c r="B1957" s="12" t="s">
        <v>302</v>
      </c>
      <c r="C1957" s="6" t="s">
        <v>3071</v>
      </c>
      <c r="D1957" s="14" t="s">
        <v>2171</v>
      </c>
      <c r="E1957" s="22" t="s">
        <v>207</v>
      </c>
      <c r="F1957" s="107">
        <v>152</v>
      </c>
      <c r="G1957" s="22" t="s">
        <v>3072</v>
      </c>
      <c r="H1957" s="108">
        <v>50</v>
      </c>
      <c r="I1957" s="109">
        <v>1</v>
      </c>
      <c r="J1957" s="8">
        <f t="shared" si="107"/>
        <v>50</v>
      </c>
      <c r="K1957" s="39">
        <v>4.45</v>
      </c>
      <c r="L1957" s="39">
        <f t="shared" si="108"/>
        <v>222.5</v>
      </c>
      <c r="M1957" s="403" t="s">
        <v>322</v>
      </c>
      <c r="N1957" s="33">
        <v>44725</v>
      </c>
      <c r="O1957" s="32">
        <v>4148</v>
      </c>
      <c r="P1957" s="391">
        <f t="shared" si="109"/>
        <v>4.05</v>
      </c>
      <c r="Q1957" s="322">
        <v>4.05</v>
      </c>
      <c r="R1957" s="322">
        <f t="shared" si="110"/>
        <v>202.5</v>
      </c>
      <c r="S1957" s="7">
        <v>320</v>
      </c>
      <c r="T1957" s="7">
        <f t="shared" si="111"/>
        <v>16000</v>
      </c>
      <c r="U1957" s="21"/>
      <c r="V1957" s="260">
        <v>90</v>
      </c>
    </row>
    <row r="1958" spans="2:22" s="7" customFormat="1" ht="18" customHeight="1">
      <c r="B1958" s="12" t="s">
        <v>302</v>
      </c>
      <c r="C1958" s="6" t="s">
        <v>3071</v>
      </c>
      <c r="D1958" s="14" t="s">
        <v>2171</v>
      </c>
      <c r="E1958" s="22" t="s">
        <v>207</v>
      </c>
      <c r="F1958" s="107">
        <v>152</v>
      </c>
      <c r="G1958" s="22" t="s">
        <v>2405</v>
      </c>
      <c r="H1958" s="108">
        <v>50</v>
      </c>
      <c r="I1958" s="109">
        <v>1</v>
      </c>
      <c r="J1958" s="8">
        <f t="shared" si="107"/>
        <v>50</v>
      </c>
      <c r="K1958" s="39">
        <v>4.45</v>
      </c>
      <c r="L1958" s="39">
        <f t="shared" si="108"/>
        <v>222.5</v>
      </c>
      <c r="M1958" s="403" t="s">
        <v>322</v>
      </c>
      <c r="N1958" s="33">
        <v>44725</v>
      </c>
      <c r="O1958" s="32">
        <v>4148</v>
      </c>
      <c r="P1958" s="391">
        <f t="shared" si="109"/>
        <v>4.05</v>
      </c>
      <c r="Q1958" s="322">
        <v>4.05</v>
      </c>
      <c r="R1958" s="322">
        <f t="shared" si="110"/>
        <v>202.5</v>
      </c>
      <c r="S1958" s="7">
        <v>320</v>
      </c>
      <c r="T1958" s="7">
        <f t="shared" si="111"/>
        <v>16000</v>
      </c>
      <c r="U1958" s="21"/>
      <c r="V1958" s="260">
        <v>90</v>
      </c>
    </row>
    <row r="1959" spans="2:22" s="7" customFormat="1" ht="18" customHeight="1">
      <c r="B1959" s="12" t="s">
        <v>302</v>
      </c>
      <c r="C1959" s="6" t="s">
        <v>3071</v>
      </c>
      <c r="D1959" s="14" t="s">
        <v>2171</v>
      </c>
      <c r="E1959" s="22" t="s">
        <v>207</v>
      </c>
      <c r="F1959" s="107">
        <v>152</v>
      </c>
      <c r="G1959" s="22" t="s">
        <v>2234</v>
      </c>
      <c r="H1959" s="108">
        <v>50</v>
      </c>
      <c r="I1959" s="109">
        <v>1</v>
      </c>
      <c r="J1959" s="8">
        <f t="shared" si="107"/>
        <v>50</v>
      </c>
      <c r="K1959" s="39">
        <v>4.45</v>
      </c>
      <c r="L1959" s="39">
        <f t="shared" si="108"/>
        <v>222.5</v>
      </c>
      <c r="M1959" s="403" t="s">
        <v>322</v>
      </c>
      <c r="N1959" s="33">
        <v>44725</v>
      </c>
      <c r="O1959" s="32">
        <v>4148</v>
      </c>
      <c r="P1959" s="391">
        <f t="shared" si="109"/>
        <v>4.05</v>
      </c>
      <c r="Q1959" s="322">
        <v>4.05</v>
      </c>
      <c r="R1959" s="322">
        <f t="shared" si="110"/>
        <v>202.5</v>
      </c>
      <c r="S1959" s="7">
        <v>320</v>
      </c>
      <c r="T1959" s="7">
        <f t="shared" si="111"/>
        <v>16000</v>
      </c>
      <c r="U1959" s="21"/>
      <c r="V1959" s="260">
        <v>90</v>
      </c>
    </row>
    <row r="1960" spans="2:22" s="7" customFormat="1" ht="18" customHeight="1">
      <c r="B1960" s="12"/>
      <c r="C1960" s="6" t="s">
        <v>3071</v>
      </c>
      <c r="D1960" s="14" t="s">
        <v>2171</v>
      </c>
      <c r="E1960" s="19" t="s">
        <v>10</v>
      </c>
      <c r="F1960" s="107"/>
      <c r="G1960" s="22"/>
      <c r="H1960" s="108"/>
      <c r="I1960" s="109"/>
      <c r="J1960" s="108"/>
      <c r="K1960" s="29" t="s">
        <v>5</v>
      </c>
      <c r="L1960" s="39"/>
      <c r="M1960" s="91"/>
      <c r="N1960" s="33">
        <v>44725</v>
      </c>
      <c r="O1960" s="32">
        <v>4148</v>
      </c>
      <c r="P1960" s="14"/>
      <c r="Q1960" s="322"/>
      <c r="U1960" s="14"/>
      <c r="V1960" s="260">
        <v>90</v>
      </c>
    </row>
    <row r="1961" spans="2:22" s="7" customFormat="1" ht="18" customHeight="1">
      <c r="B1961" s="12" t="s">
        <v>302</v>
      </c>
      <c r="C1961" s="6" t="s">
        <v>3071</v>
      </c>
      <c r="D1961" s="14" t="s">
        <v>2171</v>
      </c>
      <c r="E1961" s="22" t="s">
        <v>6</v>
      </c>
      <c r="F1961" s="107">
        <v>160</v>
      </c>
      <c r="G1961" s="885" t="s">
        <v>2407</v>
      </c>
      <c r="H1961" s="108">
        <v>50</v>
      </c>
      <c r="I1961" s="109">
        <v>1</v>
      </c>
      <c r="J1961" s="8">
        <f>H1961*I1961</f>
        <v>50</v>
      </c>
      <c r="K1961" s="39">
        <v>5</v>
      </c>
      <c r="L1961" s="39">
        <f>K1961*J1961</f>
        <v>250</v>
      </c>
      <c r="M1961" s="117" t="s">
        <v>322</v>
      </c>
      <c r="N1961" s="33">
        <v>44725</v>
      </c>
      <c r="O1961" s="32">
        <v>4148</v>
      </c>
      <c r="P1961" s="391">
        <f>ROUNDUP(S1961/V1961/VLOOKUP(B1961,$C$2:$F$6,3,FALSE),2)</f>
        <v>4.55</v>
      </c>
      <c r="Q1961" s="322">
        <v>4.55</v>
      </c>
      <c r="R1961" s="322">
        <f>Q1961*J1961</f>
        <v>227.5</v>
      </c>
      <c r="S1961" s="7">
        <v>360</v>
      </c>
      <c r="T1961" s="7">
        <f>S1961*J1961</f>
        <v>18000</v>
      </c>
      <c r="U1961" s="21"/>
      <c r="V1961" s="260">
        <v>90</v>
      </c>
    </row>
    <row r="1962" spans="2:22" s="7" customFormat="1" ht="15">
      <c r="B1962" s="12"/>
      <c r="C1962" s="6" t="s">
        <v>3071</v>
      </c>
      <c r="D1962" s="14" t="s">
        <v>2171</v>
      </c>
      <c r="E1962" s="22"/>
      <c r="F1962" s="102"/>
      <c r="G1962" s="22" t="s">
        <v>316</v>
      </c>
      <c r="H1962" s="8"/>
      <c r="I1962" s="35"/>
      <c r="J1962" s="38">
        <v>2</v>
      </c>
      <c r="K1962" s="39">
        <v>20</v>
      </c>
      <c r="L1962" s="39">
        <f t="shared" si="108"/>
        <v>40</v>
      </c>
      <c r="M1962" s="91"/>
      <c r="N1962" s="33">
        <v>44725</v>
      </c>
      <c r="O1962" s="32">
        <v>4148</v>
      </c>
      <c r="P1962" s="6" t="s">
        <v>3</v>
      </c>
      <c r="Q1962" s="322">
        <v>40</v>
      </c>
      <c r="R1962" s="322">
        <v>40</v>
      </c>
      <c r="S1962" s="7">
        <v>1800</v>
      </c>
      <c r="T1962" s="7">
        <f t="shared" si="111"/>
        <v>3600</v>
      </c>
      <c r="U1962" s="21"/>
      <c r="V1962" s="260">
        <v>90</v>
      </c>
    </row>
    <row r="1963" spans="2:22" s="191" customFormat="1" ht="15">
      <c r="B1963" s="190"/>
      <c r="C1963" s="179" t="s">
        <v>3071</v>
      </c>
      <c r="D1963" s="180" t="s">
        <v>2171</v>
      </c>
      <c r="E1963" s="217"/>
      <c r="F1963" s="182"/>
      <c r="G1963" s="182" t="s">
        <v>250</v>
      </c>
      <c r="H1963" s="184" t="s">
        <v>252</v>
      </c>
      <c r="I1963" s="185"/>
      <c r="J1963" s="183"/>
      <c r="K1963" s="333">
        <v>947</v>
      </c>
      <c r="L1963" s="188"/>
      <c r="M1963" s="187"/>
      <c r="N1963" s="187">
        <v>44725</v>
      </c>
      <c r="O1963" s="186">
        <v>4148</v>
      </c>
      <c r="P1963" s="179"/>
      <c r="Q1963" s="334">
        <v>947</v>
      </c>
      <c r="R1963" s="334">
        <v>947</v>
      </c>
      <c r="S1963" s="212">
        <v>84124</v>
      </c>
      <c r="T1963" s="212">
        <v>84124</v>
      </c>
      <c r="U1963" s="335"/>
      <c r="V1963" s="260">
        <v>90</v>
      </c>
    </row>
    <row r="1964" spans="2:22" s="7" customFormat="1" ht="18" customHeight="1">
      <c r="B1964" s="12"/>
      <c r="C1964" s="6" t="s">
        <v>3073</v>
      </c>
      <c r="D1964" s="14" t="s">
        <v>2171</v>
      </c>
      <c r="E1964" s="19" t="s">
        <v>10</v>
      </c>
      <c r="F1964" s="107"/>
      <c r="G1964" s="22"/>
      <c r="H1964" s="108"/>
      <c r="I1964" s="109"/>
      <c r="J1964" s="108"/>
      <c r="K1964" s="29" t="s">
        <v>5</v>
      </c>
      <c r="L1964" s="139"/>
      <c r="M1964" s="33"/>
      <c r="N1964" s="33">
        <v>44771</v>
      </c>
      <c r="O1964" s="32">
        <v>4319</v>
      </c>
      <c r="P1964" s="14"/>
      <c r="Q1964" s="322"/>
      <c r="U1964" s="14"/>
      <c r="V1964" s="260">
        <v>90</v>
      </c>
    </row>
    <row r="1965" spans="2:22" s="7" customFormat="1" ht="18" customHeight="1">
      <c r="B1965" s="12" t="s">
        <v>302</v>
      </c>
      <c r="C1965" s="6" t="s">
        <v>3073</v>
      </c>
      <c r="D1965" s="14" t="s">
        <v>2171</v>
      </c>
      <c r="E1965" s="22" t="s">
        <v>207</v>
      </c>
      <c r="F1965" s="107">
        <v>152</v>
      </c>
      <c r="G1965" s="22" t="s">
        <v>2173</v>
      </c>
      <c r="H1965" s="108">
        <v>50</v>
      </c>
      <c r="I1965" s="109">
        <v>3</v>
      </c>
      <c r="J1965" s="8">
        <f>I1965*H1965</f>
        <v>150</v>
      </c>
      <c r="K1965" s="39">
        <v>4.45</v>
      </c>
      <c r="L1965" s="39">
        <f>K1965*J1965</f>
        <v>667.5</v>
      </c>
      <c r="M1965" s="403" t="s">
        <v>322</v>
      </c>
      <c r="N1965" s="33">
        <v>44771</v>
      </c>
      <c r="O1965" s="32">
        <v>4319</v>
      </c>
      <c r="P1965" s="391">
        <f>ROUNDUP(S1965/V1965/VLOOKUP(B1965,$C$2:$F$6,3,FALSE),2)</f>
        <v>3.0399999999999996</v>
      </c>
      <c r="Q1965" s="322">
        <v>3.04</v>
      </c>
      <c r="R1965" s="322">
        <f>Q1965*J1965</f>
        <v>456</v>
      </c>
      <c r="S1965" s="7">
        <v>320</v>
      </c>
      <c r="T1965" s="7">
        <f>S1965*J1965</f>
        <v>48000</v>
      </c>
      <c r="U1965" s="21"/>
      <c r="V1965" s="260">
        <v>120</v>
      </c>
    </row>
    <row r="1966" spans="2:22" s="7" customFormat="1" ht="18" customHeight="1">
      <c r="B1966" s="12" t="s">
        <v>302</v>
      </c>
      <c r="C1966" s="6" t="s">
        <v>3073</v>
      </c>
      <c r="D1966" s="14" t="s">
        <v>2171</v>
      </c>
      <c r="E1966" s="22" t="s">
        <v>207</v>
      </c>
      <c r="F1966" s="107">
        <v>152</v>
      </c>
      <c r="G1966" s="22" t="s">
        <v>2173</v>
      </c>
      <c r="H1966" s="108">
        <v>63</v>
      </c>
      <c r="I1966" s="109">
        <v>1</v>
      </c>
      <c r="J1966" s="8">
        <f>I1966*H1966</f>
        <v>63</v>
      </c>
      <c r="K1966" s="39">
        <v>4.45</v>
      </c>
      <c r="L1966" s="39">
        <f>K1966*J1966</f>
        <v>280.35000000000002</v>
      </c>
      <c r="M1966" s="403" t="s">
        <v>322</v>
      </c>
      <c r="N1966" s="33">
        <v>44771</v>
      </c>
      <c r="O1966" s="32">
        <v>4319</v>
      </c>
      <c r="P1966" s="391">
        <f>ROUNDUP(S1966/V1966/VLOOKUP(B1966,$C$2:$F$6,3,FALSE),2)</f>
        <v>3.0399999999999996</v>
      </c>
      <c r="Q1966" s="322">
        <v>3.04</v>
      </c>
      <c r="R1966" s="322">
        <f>Q1966*J1966</f>
        <v>191.52</v>
      </c>
      <c r="S1966" s="7">
        <v>320</v>
      </c>
      <c r="T1966" s="7">
        <f>S1966*J1966</f>
        <v>20160</v>
      </c>
      <c r="U1966" s="21"/>
      <c r="V1966" s="260">
        <v>120</v>
      </c>
    </row>
    <row r="1967" spans="2:22" s="7" customFormat="1" ht="18" customHeight="1">
      <c r="B1967" s="12" t="s">
        <v>302</v>
      </c>
      <c r="C1967" s="854" t="s">
        <v>3073</v>
      </c>
      <c r="D1967" s="855" t="s">
        <v>2171</v>
      </c>
      <c r="E1967" s="865" t="s">
        <v>207</v>
      </c>
      <c r="F1967" s="857">
        <v>152</v>
      </c>
      <c r="G1967" s="858" t="s">
        <v>2173</v>
      </c>
      <c r="H1967" s="859">
        <v>50</v>
      </c>
      <c r="I1967" s="860">
        <v>1</v>
      </c>
      <c r="J1967" s="866">
        <f>I1967*H1967</f>
        <v>50</v>
      </c>
      <c r="K1967" s="867">
        <v>4.45</v>
      </c>
      <c r="L1967" s="867">
        <f>K1967*J1967</f>
        <v>222.5</v>
      </c>
      <c r="M1967" s="941" t="s">
        <v>322</v>
      </c>
      <c r="N1967" s="942" t="s">
        <v>3074</v>
      </c>
      <c r="O1967" s="943" t="s">
        <v>72</v>
      </c>
      <c r="P1967" s="391" t="e">
        <f>ROUNDUP(S1967/V1967/VLOOKUP(B1967,$C$2:$F$6,3,FALSE),2)</f>
        <v>#DIV/0!</v>
      </c>
      <c r="Q1967" s="322"/>
      <c r="R1967" s="322"/>
      <c r="U1967" s="21"/>
      <c r="V1967" s="260"/>
    </row>
    <row r="1968" spans="2:22" s="7" customFormat="1" ht="18" customHeight="1">
      <c r="B1968" s="12" t="s">
        <v>302</v>
      </c>
      <c r="C1968" s="6" t="s">
        <v>3073</v>
      </c>
      <c r="D1968" s="14" t="s">
        <v>2171</v>
      </c>
      <c r="E1968" s="22" t="s">
        <v>207</v>
      </c>
      <c r="F1968" s="107">
        <v>152</v>
      </c>
      <c r="G1968" s="22" t="s">
        <v>3075</v>
      </c>
      <c r="H1968" s="108">
        <v>50</v>
      </c>
      <c r="I1968" s="109">
        <v>1</v>
      </c>
      <c r="J1968" s="8">
        <f>I1968*H1968</f>
        <v>50</v>
      </c>
      <c r="K1968" s="39">
        <v>4.45</v>
      </c>
      <c r="L1968" s="39">
        <f>K1968*J1968</f>
        <v>222.5</v>
      </c>
      <c r="M1968" s="403" t="s">
        <v>322</v>
      </c>
      <c r="N1968" s="33">
        <v>44771</v>
      </c>
      <c r="O1968" s="32">
        <v>4319</v>
      </c>
      <c r="P1968" s="391">
        <f>ROUNDUP(S1968/V1968/VLOOKUP(B1968,$C$2:$F$6,3,FALSE),2)</f>
        <v>3.0399999999999996</v>
      </c>
      <c r="Q1968" s="322">
        <v>3.04</v>
      </c>
      <c r="R1968" s="322">
        <f>Q1968*J1968</f>
        <v>152</v>
      </c>
      <c r="S1968" s="7">
        <v>320</v>
      </c>
      <c r="T1968" s="7">
        <f>S1968*J1968</f>
        <v>16000</v>
      </c>
      <c r="U1968" s="21"/>
      <c r="V1968" s="260">
        <v>120</v>
      </c>
    </row>
    <row r="1969" spans="1:22" s="7" customFormat="1" ht="18" customHeight="1">
      <c r="B1969" s="12"/>
      <c r="C1969" s="6" t="s">
        <v>3073</v>
      </c>
      <c r="D1969" s="14" t="s">
        <v>2171</v>
      </c>
      <c r="E1969" s="22"/>
      <c r="F1969" s="102"/>
      <c r="G1969" s="22" t="s">
        <v>316</v>
      </c>
      <c r="H1969" s="8"/>
      <c r="I1969" s="35"/>
      <c r="J1969" s="38">
        <v>2</v>
      </c>
      <c r="K1969" s="39">
        <v>20</v>
      </c>
      <c r="L1969" s="39">
        <f>K1969*J1969</f>
        <v>40</v>
      </c>
      <c r="M1969" s="91"/>
      <c r="N1969" s="33">
        <v>44771</v>
      </c>
      <c r="O1969" s="32">
        <v>4319</v>
      </c>
      <c r="P1969" s="6" t="s">
        <v>3</v>
      </c>
      <c r="Q1969" s="322">
        <v>40</v>
      </c>
      <c r="R1969" s="322">
        <v>40</v>
      </c>
      <c r="S1969" s="7">
        <v>1800</v>
      </c>
      <c r="T1969" s="7">
        <f>S1969*J1969</f>
        <v>3600</v>
      </c>
      <c r="U1969" s="21"/>
      <c r="V1969" s="260">
        <v>120</v>
      </c>
    </row>
    <row r="1970" spans="1:22" s="191" customFormat="1" ht="18" customHeight="1">
      <c r="B1970" s="190"/>
      <c r="C1970" s="179" t="s">
        <v>3073</v>
      </c>
      <c r="D1970" s="180" t="s">
        <v>2171</v>
      </c>
      <c r="E1970" s="217"/>
      <c r="F1970" s="182"/>
      <c r="G1970" s="182" t="s">
        <v>250</v>
      </c>
      <c r="H1970" s="184" t="s">
        <v>252</v>
      </c>
      <c r="I1970" s="185"/>
      <c r="J1970" s="183"/>
      <c r="K1970" s="333">
        <v>316</v>
      </c>
      <c r="L1970" s="188"/>
      <c r="M1970" s="187"/>
      <c r="N1970" s="187">
        <v>44771</v>
      </c>
      <c r="O1970" s="186">
        <v>4319</v>
      </c>
      <c r="P1970" s="179"/>
      <c r="Q1970" s="334">
        <v>316</v>
      </c>
      <c r="R1970" s="334">
        <v>316</v>
      </c>
      <c r="S1970" s="197">
        <v>36424</v>
      </c>
      <c r="T1970" s="197">
        <v>36424</v>
      </c>
      <c r="U1970" s="335"/>
      <c r="V1970" s="260">
        <v>120</v>
      </c>
    </row>
    <row r="1971" spans="1:22" s="7" customFormat="1" ht="18" customHeight="1">
      <c r="B1971" s="12"/>
      <c r="C1971" s="6" t="s">
        <v>3076</v>
      </c>
      <c r="D1971" s="14" t="s">
        <v>2194</v>
      </c>
      <c r="E1971" s="19" t="s">
        <v>10</v>
      </c>
      <c r="F1971" s="107"/>
      <c r="G1971" s="22"/>
      <c r="H1971" s="108"/>
      <c r="I1971" s="109"/>
      <c r="J1971" s="108"/>
      <c r="K1971" s="110" t="s">
        <v>5</v>
      </c>
      <c r="L1971" s="139"/>
      <c r="M1971" s="33"/>
      <c r="N1971" s="33">
        <v>44741</v>
      </c>
      <c r="O1971" s="32">
        <v>4322</v>
      </c>
      <c r="P1971" s="14"/>
      <c r="Q1971" s="322"/>
      <c r="U1971" s="14"/>
      <c r="V1971" s="260">
        <v>90</v>
      </c>
    </row>
    <row r="1972" spans="1:22" s="7" customFormat="1" ht="18" customHeight="1">
      <c r="B1972" s="12" t="s">
        <v>302</v>
      </c>
      <c r="C1972" s="6" t="s">
        <v>3076</v>
      </c>
      <c r="D1972" s="14" t="s">
        <v>2194</v>
      </c>
      <c r="E1972" s="22" t="s">
        <v>206</v>
      </c>
      <c r="F1972" s="107">
        <v>162</v>
      </c>
      <c r="G1972" s="22" t="s">
        <v>2195</v>
      </c>
      <c r="H1972" s="108">
        <v>50</v>
      </c>
      <c r="I1972" s="109">
        <v>4</v>
      </c>
      <c r="J1972" s="8">
        <f>H1972*I1972</f>
        <v>200</v>
      </c>
      <c r="K1972" s="39">
        <v>4.59</v>
      </c>
      <c r="L1972" s="39">
        <f>K1972*J1972</f>
        <v>918</v>
      </c>
      <c r="M1972" s="117" t="s">
        <v>322</v>
      </c>
      <c r="N1972" s="33">
        <v>44741</v>
      </c>
      <c r="O1972" s="32">
        <v>4322</v>
      </c>
      <c r="P1972" s="391">
        <f>ROUNDUP(S1972/V1972/VLOOKUP(B1972,$C$2:$F$6,3,FALSE),2)</f>
        <v>4.17</v>
      </c>
      <c r="Q1972" s="322">
        <v>4.17</v>
      </c>
      <c r="R1972" s="322">
        <f>Q1972*J1972</f>
        <v>834</v>
      </c>
      <c r="S1972" s="7">
        <v>330</v>
      </c>
      <c r="T1972" s="7">
        <f>S1972*J1972</f>
        <v>66000</v>
      </c>
      <c r="U1972" s="21"/>
      <c r="V1972" s="260">
        <v>90</v>
      </c>
    </row>
    <row r="1973" spans="1:22" s="7" customFormat="1" ht="18" customHeight="1">
      <c r="B1973" s="12"/>
      <c r="C1973" s="6" t="s">
        <v>3076</v>
      </c>
      <c r="D1973" s="14" t="s">
        <v>2194</v>
      </c>
      <c r="E1973" s="159"/>
      <c r="F1973" s="37"/>
      <c r="G1973" s="22" t="s">
        <v>363</v>
      </c>
      <c r="H1973" s="8"/>
      <c r="I1973" s="109" ph="1"/>
      <c r="J1973" s="38">
        <v>1</v>
      </c>
      <c r="K1973" s="39">
        <v>20</v>
      </c>
      <c r="L1973" s="39">
        <f>K1973*J1973</f>
        <v>20</v>
      </c>
      <c r="M1973" s="91"/>
      <c r="N1973" s="33">
        <v>44741</v>
      </c>
      <c r="O1973" s="32">
        <v>4322</v>
      </c>
      <c r="P1973" s="6"/>
      <c r="Q1973" s="322">
        <v>20</v>
      </c>
      <c r="R1973" s="322">
        <f>Q1973*J1973</f>
        <v>20</v>
      </c>
      <c r="S1973" s="7">
        <v>1800</v>
      </c>
      <c r="T1973" s="7">
        <v>1800</v>
      </c>
      <c r="U1973" s="21"/>
      <c r="V1973" s="260">
        <v>90</v>
      </c>
    </row>
    <row r="1974" spans="1:22" s="191" customFormat="1" ht="18" customHeight="1">
      <c r="B1974" s="190"/>
      <c r="C1974" s="179" t="s">
        <v>3076</v>
      </c>
      <c r="D1974" s="180" t="s">
        <v>2194</v>
      </c>
      <c r="E1974" s="217"/>
      <c r="F1974" s="182"/>
      <c r="G1974" s="182" t="s">
        <v>250</v>
      </c>
      <c r="H1974" s="184" t="s">
        <v>252</v>
      </c>
      <c r="I1974" s="185"/>
      <c r="J1974" s="183"/>
      <c r="K1974" s="333">
        <v>197</v>
      </c>
      <c r="L1974" s="188"/>
      <c r="M1974" s="187"/>
      <c r="N1974" s="187">
        <v>44741</v>
      </c>
      <c r="O1974" s="186">
        <v>4322</v>
      </c>
      <c r="P1974" s="179"/>
      <c r="Q1974" s="334">
        <v>197</v>
      </c>
      <c r="R1974" s="334">
        <v>197</v>
      </c>
      <c r="S1974" s="197">
        <v>23522</v>
      </c>
      <c r="T1974" s="197">
        <v>23522</v>
      </c>
      <c r="U1974" s="335"/>
      <c r="V1974" s="260">
        <v>120</v>
      </c>
    </row>
    <row r="1975" spans="1:22" s="7" customFormat="1" ht="18" customHeight="1">
      <c r="B1975" s="12"/>
      <c r="C1975" s="6" t="s">
        <v>3077</v>
      </c>
      <c r="D1975" s="14" t="s">
        <v>3047</v>
      </c>
      <c r="E1975" s="19" t="s">
        <v>2882</v>
      </c>
      <c r="F1975" s="107"/>
      <c r="G1975" s="22"/>
      <c r="H1975" s="108"/>
      <c r="I1975" s="109"/>
      <c r="J1975" s="108"/>
      <c r="K1975" s="29" t="s">
        <v>5</v>
      </c>
      <c r="L1975" s="139"/>
      <c r="M1975" s="33"/>
      <c r="N1975" s="33">
        <v>44714</v>
      </c>
      <c r="O1975" s="32">
        <v>4247</v>
      </c>
      <c r="P1975" s="14"/>
      <c r="Q1975" s="322"/>
      <c r="U1975" s="14"/>
      <c r="V1975" s="260">
        <v>90</v>
      </c>
    </row>
    <row r="1976" spans="1:22" s="7" customFormat="1" ht="18" customHeight="1">
      <c r="B1976" s="12" t="s">
        <v>300</v>
      </c>
      <c r="C1976" s="6" t="s">
        <v>3077</v>
      </c>
      <c r="D1976" s="14" t="s">
        <v>3047</v>
      </c>
      <c r="E1976" s="22" t="s">
        <v>3078</v>
      </c>
      <c r="F1976" s="107"/>
      <c r="G1976" s="22" t="s">
        <v>100</v>
      </c>
      <c r="H1976" s="108">
        <v>14</v>
      </c>
      <c r="I1976" s="109">
        <v>1</v>
      </c>
      <c r="J1976" s="8">
        <f>H1976*I1976</f>
        <v>14</v>
      </c>
      <c r="K1976" s="39">
        <v>1.5</v>
      </c>
      <c r="L1976" s="39">
        <f>K1976*J1976</f>
        <v>21</v>
      </c>
      <c r="M1976" s="117" t="s">
        <v>349</v>
      </c>
      <c r="N1976" s="33">
        <v>44714</v>
      </c>
      <c r="O1976" s="32">
        <v>4247</v>
      </c>
      <c r="P1976" s="391">
        <f>ROUNDUP(S1976/V1976/VLOOKUP(B1976,$C$2:$F$6,3,FALSE),2)</f>
        <v>0.81</v>
      </c>
      <c r="Q1976" s="611">
        <v>0.81</v>
      </c>
      <c r="R1976" s="322">
        <f>Q1976*J1976</f>
        <v>11.34</v>
      </c>
      <c r="S1976" s="7">
        <v>51</v>
      </c>
      <c r="T1976" s="7">
        <f>S1976*J1976</f>
        <v>714</v>
      </c>
      <c r="U1976" s="21"/>
      <c r="V1976" s="260">
        <v>90</v>
      </c>
    </row>
    <row r="1977" spans="1:22" s="7" customFormat="1" ht="18" customHeight="1">
      <c r="B1977" s="12"/>
      <c r="C1977" s="6" t="s">
        <v>3077</v>
      </c>
      <c r="D1977" s="14" t="s">
        <v>3047</v>
      </c>
      <c r="E1977" s="22"/>
      <c r="F1977" s="102"/>
      <c r="G1977" s="22" t="s">
        <v>316</v>
      </c>
      <c r="H1977" s="8"/>
      <c r="I1977" s="35"/>
      <c r="J1977" s="38">
        <v>1</v>
      </c>
      <c r="K1977" s="39">
        <v>12</v>
      </c>
      <c r="L1977" s="39">
        <f>K1977*J1977</f>
        <v>12</v>
      </c>
      <c r="M1977" s="33"/>
      <c r="N1977" s="33">
        <v>44714</v>
      </c>
      <c r="O1977" s="32">
        <v>4247</v>
      </c>
      <c r="P1977" s="391">
        <v>12</v>
      </c>
      <c r="Q1977" s="322">
        <v>12</v>
      </c>
      <c r="R1977" s="322">
        <v>12</v>
      </c>
      <c r="S1977" s="7">
        <v>900</v>
      </c>
      <c r="T1977" s="7">
        <f>S1977*J1977</f>
        <v>900</v>
      </c>
      <c r="U1977" s="21"/>
      <c r="V1977" s="260">
        <v>90</v>
      </c>
    </row>
    <row r="1978" spans="1:22" s="191" customFormat="1" ht="18" customHeight="1">
      <c r="A1978" s="7"/>
      <c r="B1978" s="12"/>
      <c r="C1978" s="179" t="s">
        <v>3077</v>
      </c>
      <c r="D1978" s="180" t="s">
        <v>3047</v>
      </c>
      <c r="E1978" s="217"/>
      <c r="F1978" s="182"/>
      <c r="G1978" s="182" t="s">
        <v>250</v>
      </c>
      <c r="H1978" s="184" t="s">
        <v>251</v>
      </c>
      <c r="I1978" s="185"/>
      <c r="J1978" s="183"/>
      <c r="K1978" s="192">
        <v>0</v>
      </c>
      <c r="L1978" s="188"/>
      <c r="M1978" s="187"/>
      <c r="N1978" s="187">
        <v>44714</v>
      </c>
      <c r="O1978" s="186">
        <v>4247</v>
      </c>
      <c r="P1978" s="179"/>
      <c r="Q1978" s="725">
        <v>0</v>
      </c>
      <c r="S1978" s="197">
        <v>0</v>
      </c>
      <c r="T1978" s="198">
        <v>0</v>
      </c>
      <c r="U1978" s="335"/>
      <c r="V1978" s="260">
        <v>90</v>
      </c>
    </row>
    <row r="1979" spans="1:22" s="7" customFormat="1" ht="18" customHeight="1">
      <c r="B1979" s="12"/>
      <c r="C1979" s="6" t="s">
        <v>3079</v>
      </c>
      <c r="D1979" s="14" t="s">
        <v>2034</v>
      </c>
      <c r="E1979" s="19" t="s">
        <v>2358</v>
      </c>
      <c r="F1979" s="24"/>
      <c r="G1979" s="22"/>
      <c r="H1979" s="60"/>
      <c r="I1979" s="61"/>
      <c r="J1979" s="60"/>
      <c r="K1979" s="16" t="s">
        <v>5</v>
      </c>
      <c r="L1979" s="139"/>
      <c r="M1979" s="33"/>
      <c r="N1979" s="33">
        <v>44719</v>
      </c>
      <c r="O1979" s="32">
        <v>4255</v>
      </c>
      <c r="P1979" s="6" t="s">
        <v>3</v>
      </c>
      <c r="Q1979" s="358"/>
      <c r="U1979" s="120"/>
      <c r="V1979" s="260">
        <v>90</v>
      </c>
    </row>
    <row r="1980" spans="1:22" s="7" customFormat="1" ht="18" customHeight="1">
      <c r="B1980" s="12" t="s">
        <v>300</v>
      </c>
      <c r="C1980" s="6" t="s">
        <v>3079</v>
      </c>
      <c r="D1980" s="14" t="s">
        <v>2034</v>
      </c>
      <c r="E1980" s="22" t="s">
        <v>3080</v>
      </c>
      <c r="F1980" s="24"/>
      <c r="G1980" s="22" t="s">
        <v>100</v>
      </c>
      <c r="H1980" s="108">
        <v>13.7</v>
      </c>
      <c r="I1980" s="109">
        <v>4</v>
      </c>
      <c r="J1980" s="131">
        <f>H1980*I1980</f>
        <v>54.8</v>
      </c>
      <c r="K1980" s="39">
        <v>12.84</v>
      </c>
      <c r="L1980" s="39">
        <f>K1980*J1980</f>
        <v>703.63199999999995</v>
      </c>
      <c r="M1980" s="117" t="s">
        <v>349</v>
      </c>
      <c r="N1980" s="33">
        <v>44719</v>
      </c>
      <c r="O1980" s="32">
        <v>4255</v>
      </c>
      <c r="P1980" s="391">
        <f>ROUNDUP(S1980/V1980/VLOOKUP(B1980,$C$2:$F$6,3,FALSE),2)</f>
        <v>11</v>
      </c>
      <c r="Q1980" s="322">
        <v>11</v>
      </c>
      <c r="R1980" s="322">
        <f>Q1980*J1980</f>
        <v>602.79999999999995</v>
      </c>
      <c r="S1980" s="7">
        <v>693</v>
      </c>
      <c r="T1980" s="7">
        <f>S1980*J1980</f>
        <v>37976.400000000001</v>
      </c>
      <c r="U1980" s="386"/>
      <c r="V1980" s="260">
        <v>90</v>
      </c>
    </row>
    <row r="1981" spans="1:22" s="7" customFormat="1" ht="18" customHeight="1">
      <c r="B1981" s="12"/>
      <c r="C1981" s="6" t="s">
        <v>3079</v>
      </c>
      <c r="D1981" s="14" t="s">
        <v>2034</v>
      </c>
      <c r="E1981" s="19" t="s">
        <v>3081</v>
      </c>
      <c r="F1981" s="24"/>
      <c r="G1981" s="22"/>
      <c r="H1981" s="60"/>
      <c r="I1981" s="61"/>
      <c r="J1981" s="60"/>
      <c r="K1981" s="16" t="s">
        <v>5</v>
      </c>
      <c r="L1981" s="139"/>
      <c r="M1981" s="33"/>
      <c r="N1981" s="33">
        <v>44719</v>
      </c>
      <c r="O1981" s="32">
        <v>4255</v>
      </c>
      <c r="P1981" s="6" t="s">
        <v>3</v>
      </c>
      <c r="Q1981" s="358"/>
      <c r="U1981" s="120"/>
      <c r="V1981" s="260">
        <v>90</v>
      </c>
    </row>
    <row r="1982" spans="1:22" s="7" customFormat="1" ht="18" customHeight="1">
      <c r="B1982" s="12" t="s">
        <v>300</v>
      </c>
      <c r="C1982" s="6" t="s">
        <v>3079</v>
      </c>
      <c r="D1982" s="14" t="s">
        <v>2034</v>
      </c>
      <c r="E1982" s="396" t="s">
        <v>3082</v>
      </c>
      <c r="F1982" s="24"/>
      <c r="G1982" s="22" t="s">
        <v>100</v>
      </c>
      <c r="H1982" s="108">
        <v>13.7</v>
      </c>
      <c r="I1982" s="109">
        <v>4</v>
      </c>
      <c r="J1982" s="131">
        <f>H1982*I1982</f>
        <v>54.8</v>
      </c>
      <c r="K1982" s="39">
        <v>12.63</v>
      </c>
      <c r="L1982" s="39">
        <f>K1982*J1982</f>
        <v>692.12400000000002</v>
      </c>
      <c r="M1982" s="117" t="s">
        <v>349</v>
      </c>
      <c r="N1982" s="33">
        <v>44719</v>
      </c>
      <c r="O1982" s="32">
        <v>4255</v>
      </c>
      <c r="P1982" s="391">
        <f>ROUNDUP(S1982/V1982/VLOOKUP(B1982,$C$2:$F$6,3,FALSE),2)</f>
        <v>10.83</v>
      </c>
      <c r="Q1982" s="322">
        <v>10.83</v>
      </c>
      <c r="R1982" s="322">
        <f>Q1982*J1982</f>
        <v>593.48399999999992</v>
      </c>
      <c r="S1982" s="7">
        <v>682</v>
      </c>
      <c r="T1982" s="7">
        <f>S1982*J1982</f>
        <v>37373.599999999999</v>
      </c>
      <c r="U1982" s="386"/>
      <c r="V1982" s="260">
        <v>90</v>
      </c>
    </row>
    <row r="1983" spans="1:22" s="7" customFormat="1" ht="18" customHeight="1">
      <c r="B1983" s="12" t="s">
        <v>300</v>
      </c>
      <c r="C1983" s="6" t="s">
        <v>3079</v>
      </c>
      <c r="D1983" s="14" t="s">
        <v>2034</v>
      </c>
      <c r="E1983" s="396" t="s">
        <v>3083</v>
      </c>
      <c r="F1983" s="24"/>
      <c r="G1983" s="22" t="s">
        <v>100</v>
      </c>
      <c r="H1983" s="108">
        <v>13.7</v>
      </c>
      <c r="I1983" s="109">
        <v>4</v>
      </c>
      <c r="J1983" s="131">
        <f>H1983*I1983</f>
        <v>54.8</v>
      </c>
      <c r="K1983" s="39">
        <v>19.45</v>
      </c>
      <c r="L1983" s="39">
        <f>K1983*J1983</f>
        <v>1065.8599999999999</v>
      </c>
      <c r="M1983" s="117" t="s">
        <v>349</v>
      </c>
      <c r="N1983" s="33">
        <v>44719</v>
      </c>
      <c r="O1983" s="32">
        <v>4255</v>
      </c>
      <c r="P1983" s="391">
        <f>ROUNDUP(S1983/V1983/VLOOKUP(B1983,$C$2:$F$6,3,FALSE),2)</f>
        <v>16.670000000000002</v>
      </c>
      <c r="Q1983" s="322">
        <v>16.670000000000002</v>
      </c>
      <c r="R1983" s="322">
        <f>Q1983*J1983</f>
        <v>913.51600000000008</v>
      </c>
      <c r="S1983" s="7">
        <v>1050</v>
      </c>
      <c r="T1983" s="7">
        <f>S1983*J1983</f>
        <v>57540</v>
      </c>
      <c r="U1983" s="386"/>
      <c r="V1983" s="260">
        <v>90</v>
      </c>
    </row>
    <row r="1984" spans="1:22" s="7" customFormat="1" ht="18" customHeight="1">
      <c r="B1984" s="12"/>
      <c r="C1984" s="6" t="s">
        <v>3079</v>
      </c>
      <c r="D1984" s="14" t="s">
        <v>2034</v>
      </c>
      <c r="E1984" s="22"/>
      <c r="F1984" s="340"/>
      <c r="G1984" s="22" t="s">
        <v>316</v>
      </c>
      <c r="H1984" s="8"/>
      <c r="I1984" s="109" ph="1"/>
      <c r="J1984" s="38">
        <v>2</v>
      </c>
      <c r="K1984" s="39">
        <v>12</v>
      </c>
      <c r="L1984" s="39">
        <f>K1984*J1984</f>
        <v>24</v>
      </c>
      <c r="M1984" s="91"/>
      <c r="N1984" s="33">
        <v>44719</v>
      </c>
      <c r="O1984" s="32">
        <v>4255</v>
      </c>
      <c r="P1984" s="6"/>
      <c r="Q1984" s="322">
        <v>24</v>
      </c>
      <c r="R1984" s="322">
        <v>24</v>
      </c>
      <c r="S1984" s="7">
        <v>0</v>
      </c>
      <c r="T1984" s="7">
        <v>0</v>
      </c>
      <c r="U1984" s="21"/>
      <c r="V1984" s="260">
        <v>90</v>
      </c>
    </row>
    <row r="1985" spans="2:22" s="191" customFormat="1" ht="18" customHeight="1">
      <c r="B1985" s="190"/>
      <c r="C1985" s="179" t="s">
        <v>3079</v>
      </c>
      <c r="D1985" s="180" t="s">
        <v>2034</v>
      </c>
      <c r="E1985" s="181"/>
      <c r="F1985" s="182"/>
      <c r="G1985" s="182" t="s">
        <v>250</v>
      </c>
      <c r="H1985" s="184" t="s">
        <v>252</v>
      </c>
      <c r="I1985" s="185"/>
      <c r="J1985" s="183"/>
      <c r="K1985" s="333">
        <v>98</v>
      </c>
      <c r="L1985" s="188"/>
      <c r="M1985" s="187"/>
      <c r="N1985" s="187">
        <v>44719</v>
      </c>
      <c r="O1985" s="186">
        <v>4255</v>
      </c>
      <c r="P1985" s="179"/>
      <c r="Q1985" s="334">
        <v>98</v>
      </c>
      <c r="R1985" s="334">
        <v>98</v>
      </c>
      <c r="S1985" s="197">
        <v>8741</v>
      </c>
      <c r="T1985" s="197">
        <v>8741</v>
      </c>
      <c r="U1985" s="335"/>
      <c r="V1985" s="260">
        <v>90</v>
      </c>
    </row>
    <row r="1986" spans="2:22" s="7" customFormat="1" ht="18" customHeight="1">
      <c r="B1986" s="12"/>
      <c r="C1986" s="6" t="s">
        <v>3084</v>
      </c>
      <c r="D1986" s="14" t="s">
        <v>2231</v>
      </c>
      <c r="E1986" s="19" t="s">
        <v>2270</v>
      </c>
      <c r="F1986" s="37"/>
      <c r="G1986" s="37"/>
      <c r="H1986" s="108"/>
      <c r="I1986" s="108"/>
      <c r="J1986" s="108"/>
      <c r="K1986" s="29" t="s">
        <v>5</v>
      </c>
      <c r="L1986" s="139"/>
      <c r="M1986" s="33"/>
      <c r="N1986" s="33">
        <v>44739</v>
      </c>
      <c r="O1986" s="32">
        <v>4254</v>
      </c>
      <c r="P1986" s="6"/>
      <c r="Q1986" s="339"/>
      <c r="U1986" s="21"/>
      <c r="V1986" s="260">
        <v>90</v>
      </c>
    </row>
    <row r="1987" spans="2:22" s="7" customFormat="1" ht="18" customHeight="1">
      <c r="B1987" s="12" t="s">
        <v>300</v>
      </c>
      <c r="C1987" s="6" t="s">
        <v>3084</v>
      </c>
      <c r="D1987" s="14" t="s">
        <v>2231</v>
      </c>
      <c r="E1987" s="22">
        <v>5636</v>
      </c>
      <c r="F1987" s="37" t="s">
        <v>230</v>
      </c>
      <c r="G1987" s="839" t="s">
        <v>283</v>
      </c>
      <c r="H1987" s="108">
        <v>50</v>
      </c>
      <c r="I1987" s="109">
        <v>44</v>
      </c>
      <c r="J1987" s="8">
        <f>H1987*I1987</f>
        <v>2200</v>
      </c>
      <c r="K1987" s="39">
        <v>0.27</v>
      </c>
      <c r="L1987" s="39">
        <f>K1987*J1987</f>
        <v>594</v>
      </c>
      <c r="M1987" s="117" t="s">
        <v>349</v>
      </c>
      <c r="N1987" s="33">
        <v>44739</v>
      </c>
      <c r="O1987" s="32">
        <v>4254</v>
      </c>
      <c r="P1987" s="391">
        <f>ROUNDUP(S1987/V1987/VLOOKUP(B1987,$C$2:$F$6,3,FALSE),2)</f>
        <v>0.17</v>
      </c>
      <c r="Q1987" s="322">
        <v>0.17</v>
      </c>
      <c r="R1987" s="322">
        <f>Q1987*J1987</f>
        <v>374</v>
      </c>
      <c r="S1987" s="752">
        <v>10.7</v>
      </c>
      <c r="T1987" s="7">
        <f>S1987*J1987</f>
        <v>23540</v>
      </c>
      <c r="U1987" s="876"/>
      <c r="V1987" s="260">
        <v>90</v>
      </c>
    </row>
    <row r="1988" spans="2:22" s="7" customFormat="1" ht="18" customHeight="1">
      <c r="B1988" s="12" t="s">
        <v>300</v>
      </c>
      <c r="C1988" s="6" t="s">
        <v>3084</v>
      </c>
      <c r="D1988" s="14" t="s">
        <v>2231</v>
      </c>
      <c r="E1988" s="22">
        <v>5636</v>
      </c>
      <c r="F1988" s="37" t="s">
        <v>230</v>
      </c>
      <c r="G1988" s="839" t="s">
        <v>2934</v>
      </c>
      <c r="H1988" s="108">
        <v>50</v>
      </c>
      <c r="I1988" s="109">
        <v>12</v>
      </c>
      <c r="J1988" s="8">
        <f>H1988*I1988</f>
        <v>600</v>
      </c>
      <c r="K1988" s="39">
        <v>0.27</v>
      </c>
      <c r="L1988" s="39">
        <f>K1988*J1988</f>
        <v>162</v>
      </c>
      <c r="M1988" s="117" t="s">
        <v>349</v>
      </c>
      <c r="N1988" s="33">
        <v>44739</v>
      </c>
      <c r="O1988" s="32">
        <v>4254</v>
      </c>
      <c r="P1988" s="391">
        <f>ROUNDUP(S1988/V1988/VLOOKUP(B1988,$C$2:$F$6,3,FALSE),2)</f>
        <v>0.24000000000000002</v>
      </c>
      <c r="Q1988" s="322">
        <v>0.24</v>
      </c>
      <c r="R1988" s="322">
        <f>Q1988*J1988</f>
        <v>144</v>
      </c>
      <c r="S1988" s="7">
        <v>14.6</v>
      </c>
      <c r="T1988" s="7">
        <f>S1988*J1988</f>
        <v>8760</v>
      </c>
      <c r="U1988" s="778"/>
      <c r="V1988" s="260">
        <v>90</v>
      </c>
    </row>
    <row r="1989" spans="2:22" s="7" customFormat="1" ht="18" customHeight="1">
      <c r="B1989" s="12"/>
      <c r="C1989" s="6" t="s">
        <v>3084</v>
      </c>
      <c r="D1989" s="14" t="s">
        <v>2231</v>
      </c>
      <c r="E1989" s="82"/>
      <c r="F1989" s="102"/>
      <c r="G1989" s="22" t="s">
        <v>316</v>
      </c>
      <c r="H1989" s="8"/>
      <c r="I1989" s="35"/>
      <c r="J1989" s="38">
        <v>1</v>
      </c>
      <c r="K1989" s="39">
        <v>12</v>
      </c>
      <c r="L1989" s="39">
        <f>K1989*J1989</f>
        <v>12</v>
      </c>
      <c r="M1989" s="91"/>
      <c r="N1989" s="33">
        <v>44739</v>
      </c>
      <c r="O1989" s="32">
        <v>4254</v>
      </c>
      <c r="P1989" s="6"/>
      <c r="Q1989" s="322">
        <v>12</v>
      </c>
      <c r="R1989" s="322">
        <f>Q1989*J1989</f>
        <v>12</v>
      </c>
      <c r="S1989" s="7">
        <v>1100</v>
      </c>
      <c r="T1989" s="7">
        <v>1100</v>
      </c>
      <c r="U1989" s="21"/>
      <c r="V1989" s="260">
        <v>90</v>
      </c>
    </row>
    <row r="1990" spans="2:22" s="191" customFormat="1" ht="18" customHeight="1">
      <c r="B1990" s="190"/>
      <c r="C1990" s="179" t="s">
        <v>3084</v>
      </c>
      <c r="D1990" s="180" t="s">
        <v>2231</v>
      </c>
      <c r="E1990" s="181"/>
      <c r="F1990" s="622"/>
      <c r="G1990" s="182" t="s">
        <v>250</v>
      </c>
      <c r="H1990" s="184" t="s">
        <v>251</v>
      </c>
      <c r="I1990" s="185"/>
      <c r="J1990" s="183"/>
      <c r="K1990" s="192">
        <v>0</v>
      </c>
      <c r="L1990" s="188"/>
      <c r="M1990" s="187"/>
      <c r="N1990" s="187">
        <v>44739</v>
      </c>
      <c r="O1990" s="186">
        <v>4254</v>
      </c>
      <c r="P1990" s="179"/>
      <c r="Q1990" s="725">
        <v>0</v>
      </c>
      <c r="S1990" s="197">
        <v>0</v>
      </c>
      <c r="T1990" s="198">
        <v>0</v>
      </c>
      <c r="U1990" s="335"/>
      <c r="V1990" s="260">
        <v>90</v>
      </c>
    </row>
    <row r="1991" spans="2:22" customFormat="1" ht="18" customHeight="1">
      <c r="B1991" s="26"/>
      <c r="C1991" s="6" t="s">
        <v>3085</v>
      </c>
      <c r="D1991" s="14" t="s">
        <v>3086</v>
      </c>
      <c r="E1991" s="19" t="s">
        <v>59</v>
      </c>
      <c r="F1991" s="107"/>
      <c r="G1991" s="22"/>
      <c r="H1991" s="108"/>
      <c r="I1991" s="109"/>
      <c r="J1991" s="108"/>
      <c r="K1991" s="110" t="s">
        <v>5</v>
      </c>
      <c r="L1991" s="33"/>
      <c r="M1991" s="33"/>
      <c r="N1991" s="33">
        <v>44722</v>
      </c>
      <c r="O1991" s="32">
        <v>4270</v>
      </c>
      <c r="P1991" s="14"/>
      <c r="Q1991" s="254"/>
      <c r="R1991" s="1"/>
      <c r="S1991" s="261"/>
      <c r="T1991" s="92"/>
      <c r="U1991" s="264"/>
      <c r="V1991" s="260">
        <v>90</v>
      </c>
    </row>
    <row r="1992" spans="2:22" customFormat="1" ht="18" customHeight="1">
      <c r="B1992" s="12" t="s">
        <v>302</v>
      </c>
      <c r="C1992" s="6" t="s">
        <v>3085</v>
      </c>
      <c r="D1992" s="14" t="s">
        <v>3086</v>
      </c>
      <c r="E1992" s="22">
        <v>2440</v>
      </c>
      <c r="F1992" s="107">
        <v>140</v>
      </c>
      <c r="G1992" s="22" t="s">
        <v>255</v>
      </c>
      <c r="H1992" s="60">
        <v>58</v>
      </c>
      <c r="I1992" s="61">
        <v>2</v>
      </c>
      <c r="J1992" s="60">
        <f>H1992*I1992</f>
        <v>116</v>
      </c>
      <c r="K1992" s="39">
        <v>3.89</v>
      </c>
      <c r="L1992" s="39">
        <f>K1992*J1992</f>
        <v>451.24</v>
      </c>
      <c r="M1992" s="117" t="s">
        <v>323</v>
      </c>
      <c r="N1992" s="33">
        <v>44722</v>
      </c>
      <c r="O1992" s="32">
        <v>4270</v>
      </c>
      <c r="P1992" s="391">
        <f>ROUNDUP(S1992/V1992/VLOOKUP(B1992,$C$2:$F$6,3,FALSE),2)</f>
        <v>3.5399999999999996</v>
      </c>
      <c r="Q1992" s="254">
        <v>3.54</v>
      </c>
      <c r="R1992" s="323">
        <f>Q1992*J1992</f>
        <v>410.64</v>
      </c>
      <c r="S1992" s="273">
        <v>280</v>
      </c>
      <c r="T1992" s="287">
        <f>S1992*J1992</f>
        <v>32480</v>
      </c>
      <c r="U1992" s="264"/>
      <c r="V1992" s="260">
        <v>90</v>
      </c>
    </row>
    <row r="1993" spans="2:22" s="7" customFormat="1" ht="18" customHeight="1">
      <c r="B1993" s="12"/>
      <c r="C1993" s="6" t="s">
        <v>3085</v>
      </c>
      <c r="D1993" s="14" t="s">
        <v>3086</v>
      </c>
      <c r="E1993" s="22"/>
      <c r="F1993" s="340"/>
      <c r="G1993" s="22" t="s">
        <v>316</v>
      </c>
      <c r="H1993" s="8"/>
      <c r="I1993" s="109" ph="1"/>
      <c r="J1993" s="38">
        <v>1</v>
      </c>
      <c r="K1993" s="39">
        <v>20</v>
      </c>
      <c r="L1993" s="39">
        <f>K1993*J1993</f>
        <v>20</v>
      </c>
      <c r="M1993" s="91"/>
      <c r="N1993" s="33">
        <v>44722</v>
      </c>
      <c r="O1993" s="32">
        <v>4270</v>
      </c>
      <c r="P1993" s="6"/>
      <c r="Q1993" s="322">
        <v>20</v>
      </c>
      <c r="R1993" s="322">
        <v>20</v>
      </c>
      <c r="S1993" s="7">
        <f>900+900</f>
        <v>1800</v>
      </c>
      <c r="T1993" s="7">
        <f>900+900</f>
        <v>1800</v>
      </c>
      <c r="U1993" s="21"/>
      <c r="V1993" s="260">
        <v>90</v>
      </c>
    </row>
    <row r="1994" spans="2:22" s="191" customFormat="1" ht="18" customHeight="1">
      <c r="B1994" s="190"/>
      <c r="C1994" s="179" t="s">
        <v>3085</v>
      </c>
      <c r="D1994" s="180" t="s">
        <v>3086</v>
      </c>
      <c r="E1994" s="181"/>
      <c r="F1994" s="182"/>
      <c r="G1994" s="182" t="s">
        <v>250</v>
      </c>
      <c r="H1994" s="184" t="s">
        <v>252</v>
      </c>
      <c r="I1994" s="185"/>
      <c r="J1994" s="183"/>
      <c r="K1994" s="333">
        <v>85</v>
      </c>
      <c r="L1994" s="188"/>
      <c r="M1994" s="187"/>
      <c r="N1994" s="187">
        <v>44722</v>
      </c>
      <c r="O1994" s="186">
        <v>4270</v>
      </c>
      <c r="P1994" s="179"/>
      <c r="Q1994" s="334">
        <v>85</v>
      </c>
      <c r="R1994" s="334">
        <v>85</v>
      </c>
      <c r="S1994" s="197">
        <v>7612</v>
      </c>
      <c r="T1994" s="197">
        <v>7612</v>
      </c>
      <c r="U1994" s="335"/>
      <c r="V1994" s="260">
        <v>90</v>
      </c>
    </row>
    <row r="1995" spans="2:22" s="7" customFormat="1" ht="18" customHeight="1">
      <c r="B1995" s="12"/>
      <c r="C1995" s="6" t="s">
        <v>3087</v>
      </c>
      <c r="D1995" s="14" t="s">
        <v>3088</v>
      </c>
      <c r="E1995" s="19" t="s">
        <v>3089</v>
      </c>
      <c r="F1995" s="37"/>
      <c r="G1995" s="37"/>
      <c r="H1995" s="108"/>
      <c r="I1995" s="108"/>
      <c r="J1995" s="108"/>
      <c r="K1995" s="29" t="s">
        <v>5</v>
      </c>
      <c r="L1995" s="139"/>
      <c r="M1995" s="33"/>
      <c r="N1995" s="33">
        <v>44721</v>
      </c>
      <c r="O1995" s="32">
        <v>4267</v>
      </c>
      <c r="P1995" s="6"/>
      <c r="Q1995" s="339"/>
      <c r="U1995" s="21"/>
      <c r="V1995" s="260">
        <v>90</v>
      </c>
    </row>
    <row r="1996" spans="2:22" s="7" customFormat="1" ht="18" customHeight="1">
      <c r="B1996" s="12" t="s">
        <v>300</v>
      </c>
      <c r="C1996" s="6" t="s">
        <v>3087</v>
      </c>
      <c r="D1996" s="14" t="s">
        <v>3088</v>
      </c>
      <c r="E1996" s="22">
        <v>5403</v>
      </c>
      <c r="F1996" s="37"/>
      <c r="G1996" s="839" t="s">
        <v>3090</v>
      </c>
      <c r="H1996" s="108">
        <v>30</v>
      </c>
      <c r="I1996" s="109">
        <v>11</v>
      </c>
      <c r="J1996" s="8">
        <f>H1996*I1996</f>
        <v>330</v>
      </c>
      <c r="K1996" s="39">
        <v>0.63</v>
      </c>
      <c r="L1996" s="39">
        <f>K1996*J1996</f>
        <v>207.9</v>
      </c>
      <c r="M1996" s="117" t="s">
        <v>349</v>
      </c>
      <c r="N1996" s="33">
        <v>44721</v>
      </c>
      <c r="O1996" s="32">
        <v>4267</v>
      </c>
      <c r="P1996" s="391">
        <f>ROUNDUP(S1996/V1996/VLOOKUP(B1996,$C$2:$F$6,3,FALSE),2)</f>
        <v>0.54</v>
      </c>
      <c r="Q1996" s="322">
        <v>0.54</v>
      </c>
      <c r="R1996" s="322">
        <f>Q1996*J1996</f>
        <v>178.20000000000002</v>
      </c>
      <c r="S1996" s="273">
        <v>34</v>
      </c>
      <c r="T1996" s="7">
        <f>S1996*J1996</f>
        <v>11220</v>
      </c>
      <c r="U1996" s="876"/>
      <c r="V1996" s="260">
        <v>90</v>
      </c>
    </row>
    <row r="1997" spans="2:22" s="7" customFormat="1" ht="18" customHeight="1">
      <c r="B1997" s="12"/>
      <c r="C1997" s="6" t="s">
        <v>3087</v>
      </c>
      <c r="D1997" s="14" t="s">
        <v>3088</v>
      </c>
      <c r="E1997" s="82"/>
      <c r="F1997" s="102"/>
      <c r="G1997" s="22" t="s">
        <v>316</v>
      </c>
      <c r="H1997" s="8"/>
      <c r="I1997" s="35"/>
      <c r="J1997" s="38">
        <v>1</v>
      </c>
      <c r="K1997" s="39">
        <v>12</v>
      </c>
      <c r="L1997" s="39">
        <f>K1997*J1997</f>
        <v>12</v>
      </c>
      <c r="M1997" s="91"/>
      <c r="N1997" s="33">
        <v>44721</v>
      </c>
      <c r="O1997" s="32">
        <v>4267</v>
      </c>
      <c r="P1997" s="6"/>
      <c r="Q1997" s="322">
        <v>12</v>
      </c>
      <c r="R1997" s="322">
        <f>Q1997*J1997</f>
        <v>12</v>
      </c>
      <c r="S1997" s="7">
        <v>900</v>
      </c>
      <c r="T1997" s="7">
        <f>S1997*J1997</f>
        <v>900</v>
      </c>
      <c r="U1997" s="21"/>
      <c r="V1997" s="260">
        <v>90</v>
      </c>
    </row>
    <row r="1998" spans="2:22" s="191" customFormat="1" ht="18" customHeight="1">
      <c r="B1998" s="190"/>
      <c r="C1998" s="179" t="s">
        <v>3087</v>
      </c>
      <c r="D1998" s="180" t="s">
        <v>3088</v>
      </c>
      <c r="E1998" s="181"/>
      <c r="F1998" s="622"/>
      <c r="G1998" s="182" t="s">
        <v>250</v>
      </c>
      <c r="H1998" s="184" t="s">
        <v>252</v>
      </c>
      <c r="I1998" s="185"/>
      <c r="J1998" s="183"/>
      <c r="K1998" s="333">
        <v>54</v>
      </c>
      <c r="L1998" s="188"/>
      <c r="M1998" s="187"/>
      <c r="N1998" s="187">
        <v>44721</v>
      </c>
      <c r="O1998" s="186">
        <v>4267</v>
      </c>
      <c r="P1998" s="179"/>
      <c r="Q1998" s="334">
        <v>54</v>
      </c>
      <c r="R1998" s="334">
        <v>54</v>
      </c>
      <c r="S1998" s="197">
        <v>4832</v>
      </c>
      <c r="T1998" s="197">
        <v>4832</v>
      </c>
      <c r="U1998" s="335"/>
      <c r="V1998" s="260">
        <v>90</v>
      </c>
    </row>
    <row r="1999" spans="2:22" s="7" customFormat="1" ht="18" customHeight="1">
      <c r="B1999" s="12"/>
      <c r="C1999" s="6" t="s">
        <v>3091</v>
      </c>
      <c r="D1999" s="14" t="s">
        <v>2059</v>
      </c>
      <c r="E1999" s="19" t="s">
        <v>3092</v>
      </c>
      <c r="F1999" s="37"/>
      <c r="G1999" s="37"/>
      <c r="H1999" s="108"/>
      <c r="I1999" s="108"/>
      <c r="J1999" s="108"/>
      <c r="K1999" s="29" t="s">
        <v>5</v>
      </c>
      <c r="L1999" s="139"/>
      <c r="M1999" s="33"/>
      <c r="N1999" s="33">
        <v>44729</v>
      </c>
      <c r="O1999" s="32">
        <v>4295</v>
      </c>
      <c r="P1999" s="6"/>
      <c r="Q1999" s="339"/>
      <c r="U1999" s="21"/>
      <c r="V1999" s="257"/>
    </row>
    <row r="2000" spans="2:22" s="7" customFormat="1" ht="18" customHeight="1">
      <c r="B2000" s="12" t="s">
        <v>300</v>
      </c>
      <c r="C2000" s="6" t="s">
        <v>3091</v>
      </c>
      <c r="D2000" s="14" t="s">
        <v>2059</v>
      </c>
      <c r="E2000" s="22">
        <v>5634</v>
      </c>
      <c r="F2000" s="37" t="s">
        <v>359</v>
      </c>
      <c r="G2000" s="396" t="s">
        <v>3093</v>
      </c>
      <c r="H2000" s="108">
        <v>50</v>
      </c>
      <c r="I2000" s="109">
        <v>2</v>
      </c>
      <c r="J2000" s="8">
        <f t="shared" ref="J2000:J2005" si="112">H2000*I2000</f>
        <v>100</v>
      </c>
      <c r="K2000" s="39">
        <v>0.24</v>
      </c>
      <c r="L2000" s="39">
        <f t="shared" ref="L2000:L2010" si="113">K2000*J2000</f>
        <v>24</v>
      </c>
      <c r="M2000" s="117" t="s">
        <v>349</v>
      </c>
      <c r="N2000" s="33">
        <v>44729</v>
      </c>
      <c r="O2000" s="32">
        <v>4295</v>
      </c>
      <c r="P2000" s="391">
        <f t="shared" ref="P2000:P2005" si="114">ROUNDUP(S2000/V2000/VLOOKUP(B2000,$C$2:$F$6,3,FALSE),2)</f>
        <v>0.21000000000000002</v>
      </c>
      <c r="Q2000" s="322">
        <v>0.21</v>
      </c>
      <c r="R2000" s="322">
        <f t="shared" ref="R2000:R2005" si="115">Q2000*J2000</f>
        <v>21</v>
      </c>
      <c r="S2000" s="7">
        <v>12.8</v>
      </c>
      <c r="T2000" s="92">
        <f t="shared" ref="T2000:T2010" si="116">S2000*J2000</f>
        <v>1280</v>
      </c>
      <c r="U2000" s="778"/>
      <c r="V2000" s="260">
        <v>90</v>
      </c>
    </row>
    <row r="2001" spans="2:22" s="7" customFormat="1" ht="18" customHeight="1">
      <c r="B2001" s="12" t="s">
        <v>300</v>
      </c>
      <c r="C2001" s="6" t="s">
        <v>3091</v>
      </c>
      <c r="D2001" s="14" t="s">
        <v>2059</v>
      </c>
      <c r="E2001" s="22">
        <v>5634</v>
      </c>
      <c r="F2001" s="37" t="s">
        <v>359</v>
      </c>
      <c r="G2001" s="396" t="s">
        <v>3094</v>
      </c>
      <c r="H2001" s="108">
        <v>50</v>
      </c>
      <c r="I2001" s="109">
        <v>2</v>
      </c>
      <c r="J2001" s="8">
        <f t="shared" si="112"/>
        <v>100</v>
      </c>
      <c r="K2001" s="39">
        <v>0.24</v>
      </c>
      <c r="L2001" s="39">
        <f t="shared" si="113"/>
        <v>24</v>
      </c>
      <c r="M2001" s="117" t="s">
        <v>349</v>
      </c>
      <c r="N2001" s="33">
        <v>44729</v>
      </c>
      <c r="O2001" s="32">
        <v>4295</v>
      </c>
      <c r="P2001" s="391">
        <f t="shared" si="114"/>
        <v>0.21000000000000002</v>
      </c>
      <c r="Q2001" s="322">
        <v>0.21</v>
      </c>
      <c r="R2001" s="322">
        <f t="shared" si="115"/>
        <v>21</v>
      </c>
      <c r="S2001" s="7">
        <v>12.8</v>
      </c>
      <c r="T2001" s="92">
        <f t="shared" si="116"/>
        <v>1280</v>
      </c>
      <c r="U2001" s="778"/>
      <c r="V2001" s="260">
        <v>90</v>
      </c>
    </row>
    <row r="2002" spans="2:22" s="7" customFormat="1" ht="18" customHeight="1">
      <c r="B2002" s="12" t="s">
        <v>300</v>
      </c>
      <c r="C2002" s="6" t="s">
        <v>3091</v>
      </c>
      <c r="D2002" s="14" t="s">
        <v>2059</v>
      </c>
      <c r="E2002" s="22">
        <v>5634</v>
      </c>
      <c r="F2002" s="37" t="s">
        <v>359</v>
      </c>
      <c r="G2002" s="396" t="s">
        <v>3095</v>
      </c>
      <c r="H2002" s="108">
        <v>50</v>
      </c>
      <c r="I2002" s="109">
        <v>2</v>
      </c>
      <c r="J2002" s="8">
        <f t="shared" si="112"/>
        <v>100</v>
      </c>
      <c r="K2002" s="39">
        <v>0.24</v>
      </c>
      <c r="L2002" s="39">
        <f t="shared" si="113"/>
        <v>24</v>
      </c>
      <c r="M2002" s="117" t="s">
        <v>349</v>
      </c>
      <c r="N2002" s="33">
        <v>44729</v>
      </c>
      <c r="O2002" s="32">
        <v>4295</v>
      </c>
      <c r="P2002" s="391">
        <f t="shared" si="114"/>
        <v>0.21000000000000002</v>
      </c>
      <c r="Q2002" s="322">
        <v>0.21</v>
      </c>
      <c r="R2002" s="322">
        <f t="shared" si="115"/>
        <v>21</v>
      </c>
      <c r="S2002" s="7">
        <v>12.8</v>
      </c>
      <c r="T2002" s="92">
        <f t="shared" si="116"/>
        <v>1280</v>
      </c>
      <c r="U2002" s="778"/>
      <c r="V2002" s="260">
        <v>90</v>
      </c>
    </row>
    <row r="2003" spans="2:22" s="7" customFormat="1" ht="18" customHeight="1">
      <c r="B2003" s="12" t="s">
        <v>300</v>
      </c>
      <c r="C2003" s="6" t="s">
        <v>3091</v>
      </c>
      <c r="D2003" s="14" t="s">
        <v>2059</v>
      </c>
      <c r="E2003" s="22">
        <v>5634</v>
      </c>
      <c r="F2003" s="37" t="s">
        <v>359</v>
      </c>
      <c r="G2003" s="396" t="s">
        <v>3096</v>
      </c>
      <c r="H2003" s="108">
        <v>50</v>
      </c>
      <c r="I2003" s="109">
        <v>2</v>
      </c>
      <c r="J2003" s="8">
        <f t="shared" si="112"/>
        <v>100</v>
      </c>
      <c r="K2003" s="39">
        <v>0.24</v>
      </c>
      <c r="L2003" s="39">
        <f t="shared" si="113"/>
        <v>24</v>
      </c>
      <c r="M2003" s="117" t="s">
        <v>349</v>
      </c>
      <c r="N2003" s="33">
        <v>44729</v>
      </c>
      <c r="O2003" s="32">
        <v>4295</v>
      </c>
      <c r="P2003" s="391">
        <f t="shared" si="114"/>
        <v>0.21000000000000002</v>
      </c>
      <c r="Q2003" s="322">
        <v>0.21</v>
      </c>
      <c r="R2003" s="322">
        <f t="shared" si="115"/>
        <v>21</v>
      </c>
      <c r="S2003" s="7">
        <v>12.8</v>
      </c>
      <c r="T2003" s="92">
        <f t="shared" si="116"/>
        <v>1280</v>
      </c>
      <c r="U2003" s="778"/>
      <c r="V2003" s="260">
        <v>90</v>
      </c>
    </row>
    <row r="2004" spans="2:22" s="7" customFormat="1" ht="18" customHeight="1">
      <c r="B2004" s="12" t="s">
        <v>300</v>
      </c>
      <c r="C2004" s="6" t="s">
        <v>3091</v>
      </c>
      <c r="D2004" s="14" t="s">
        <v>2059</v>
      </c>
      <c r="E2004" s="22">
        <v>5634</v>
      </c>
      <c r="F2004" s="37" t="s">
        <v>359</v>
      </c>
      <c r="G2004" s="396" t="s">
        <v>3097</v>
      </c>
      <c r="H2004" s="108">
        <v>50</v>
      </c>
      <c r="I2004" s="109">
        <v>2</v>
      </c>
      <c r="J2004" s="8">
        <f t="shared" si="112"/>
        <v>100</v>
      </c>
      <c r="K2004" s="39">
        <v>0.24</v>
      </c>
      <c r="L2004" s="39">
        <f t="shared" si="113"/>
        <v>24</v>
      </c>
      <c r="M2004" s="117" t="s">
        <v>349</v>
      </c>
      <c r="N2004" s="33">
        <v>44729</v>
      </c>
      <c r="O2004" s="32">
        <v>4295</v>
      </c>
      <c r="P2004" s="391">
        <f t="shared" si="114"/>
        <v>0.21000000000000002</v>
      </c>
      <c r="Q2004" s="322">
        <v>0.21</v>
      </c>
      <c r="R2004" s="322">
        <f t="shared" si="115"/>
        <v>21</v>
      </c>
      <c r="S2004" s="7">
        <v>12.8</v>
      </c>
      <c r="T2004" s="92">
        <f t="shared" si="116"/>
        <v>1280</v>
      </c>
      <c r="U2004" s="778"/>
      <c r="V2004" s="260">
        <v>90</v>
      </c>
    </row>
    <row r="2005" spans="2:22" s="7" customFormat="1" ht="18" customHeight="1">
      <c r="B2005" s="12" t="s">
        <v>300</v>
      </c>
      <c r="C2005" s="6" t="s">
        <v>3091</v>
      </c>
      <c r="D2005" s="14" t="s">
        <v>2059</v>
      </c>
      <c r="E2005" s="22">
        <v>5634</v>
      </c>
      <c r="F2005" s="37" t="s">
        <v>359</v>
      </c>
      <c r="G2005" s="396" t="s">
        <v>3098</v>
      </c>
      <c r="H2005" s="108">
        <v>50</v>
      </c>
      <c r="I2005" s="109">
        <v>2</v>
      </c>
      <c r="J2005" s="8">
        <f t="shared" si="112"/>
        <v>100</v>
      </c>
      <c r="K2005" s="39">
        <v>0.24</v>
      </c>
      <c r="L2005" s="39">
        <f t="shared" si="113"/>
        <v>24</v>
      </c>
      <c r="M2005" s="117" t="s">
        <v>349</v>
      </c>
      <c r="N2005" s="33">
        <v>44729</v>
      </c>
      <c r="O2005" s="32">
        <v>4295</v>
      </c>
      <c r="P2005" s="391">
        <f t="shared" si="114"/>
        <v>0.21000000000000002</v>
      </c>
      <c r="Q2005" s="322">
        <v>0.21</v>
      </c>
      <c r="R2005" s="322">
        <f t="shared" si="115"/>
        <v>21</v>
      </c>
      <c r="S2005" s="7">
        <v>12.8</v>
      </c>
      <c r="T2005" s="92">
        <f t="shared" si="116"/>
        <v>1280</v>
      </c>
      <c r="U2005" s="778"/>
      <c r="V2005" s="260">
        <v>90</v>
      </c>
    </row>
    <row r="2006" spans="2:22" s="7" customFormat="1" ht="18" customHeight="1">
      <c r="B2006" s="12"/>
      <c r="C2006" s="6" t="s">
        <v>3099</v>
      </c>
      <c r="D2006" s="14" t="s">
        <v>2059</v>
      </c>
      <c r="E2006" s="19" t="s">
        <v>2270</v>
      </c>
      <c r="F2006" s="37"/>
      <c r="G2006" s="37"/>
      <c r="H2006" s="108"/>
      <c r="I2006" s="108"/>
      <c r="J2006" s="108"/>
      <c r="K2006" s="29" t="s">
        <v>5</v>
      </c>
      <c r="L2006" s="139"/>
      <c r="M2006" s="33"/>
      <c r="N2006" s="33">
        <v>44729</v>
      </c>
      <c r="O2006" s="32">
        <v>4295</v>
      </c>
      <c r="P2006" s="6"/>
      <c r="Q2006" s="339"/>
      <c r="U2006" s="21"/>
      <c r="V2006" s="260">
        <v>90</v>
      </c>
    </row>
    <row r="2007" spans="2:22" s="7" customFormat="1" ht="18" customHeight="1">
      <c r="B2007" s="12" t="s">
        <v>300</v>
      </c>
      <c r="C2007" s="6" t="s">
        <v>3099</v>
      </c>
      <c r="D2007" s="14" t="s">
        <v>2059</v>
      </c>
      <c r="E2007" s="22">
        <v>5636</v>
      </c>
      <c r="F2007" s="37" t="s">
        <v>230</v>
      </c>
      <c r="G2007" s="396" t="s">
        <v>3100</v>
      </c>
      <c r="H2007" s="108">
        <v>50</v>
      </c>
      <c r="I2007" s="109">
        <v>1</v>
      </c>
      <c r="J2007" s="8">
        <f>H2007*I2007</f>
        <v>50</v>
      </c>
      <c r="K2007" s="39">
        <v>0.27</v>
      </c>
      <c r="L2007" s="39">
        <f>K2007*J2007</f>
        <v>13.5</v>
      </c>
      <c r="M2007" s="117" t="s">
        <v>349</v>
      </c>
      <c r="N2007" s="33">
        <v>44729</v>
      </c>
      <c r="O2007" s="32">
        <v>4295</v>
      </c>
      <c r="P2007" s="391">
        <f>ROUNDUP(S2007/V2007/VLOOKUP(B2007,$C$2:$F$6,3,FALSE),2)</f>
        <v>0.24000000000000002</v>
      </c>
      <c r="Q2007" s="322">
        <v>0.24</v>
      </c>
      <c r="R2007" s="322">
        <f>Q2007*J2007</f>
        <v>12</v>
      </c>
      <c r="S2007" s="7">
        <v>14.6</v>
      </c>
      <c r="T2007" s="7">
        <f>S2007*J2007</f>
        <v>730</v>
      </c>
      <c r="U2007" s="778"/>
      <c r="V2007" s="260">
        <v>90</v>
      </c>
    </row>
    <row r="2008" spans="2:22" s="7" customFormat="1" ht="18" customHeight="1">
      <c r="B2008" s="12" t="s">
        <v>300</v>
      </c>
      <c r="C2008" s="6" t="s">
        <v>3099</v>
      </c>
      <c r="D2008" s="14" t="s">
        <v>2059</v>
      </c>
      <c r="E2008" s="22">
        <v>5636</v>
      </c>
      <c r="F2008" s="37" t="s">
        <v>230</v>
      </c>
      <c r="G2008" s="396" t="s">
        <v>2622</v>
      </c>
      <c r="H2008" s="108">
        <v>50</v>
      </c>
      <c r="I2008" s="109">
        <v>1</v>
      </c>
      <c r="J2008" s="8">
        <f>H2008*I2008</f>
        <v>50</v>
      </c>
      <c r="K2008" s="39">
        <v>0.27</v>
      </c>
      <c r="L2008" s="39">
        <f>K2008*J2008</f>
        <v>13.5</v>
      </c>
      <c r="M2008" s="117" t="s">
        <v>349</v>
      </c>
      <c r="N2008" s="33">
        <v>44729</v>
      </c>
      <c r="O2008" s="32">
        <v>4295</v>
      </c>
      <c r="P2008" s="391">
        <f>ROUNDUP(S2008/V2008/VLOOKUP(B2008,$C$2:$F$6,3,FALSE),2)</f>
        <v>0.24000000000000002</v>
      </c>
      <c r="Q2008" s="322">
        <v>0.24</v>
      </c>
      <c r="R2008" s="322">
        <f>Q2008*J2008</f>
        <v>12</v>
      </c>
      <c r="S2008" s="7">
        <v>14.6</v>
      </c>
      <c r="T2008" s="7">
        <f>S2008*J2008</f>
        <v>730</v>
      </c>
      <c r="U2008" s="778"/>
      <c r="V2008" s="260">
        <v>90</v>
      </c>
    </row>
    <row r="2009" spans="2:22" s="7" customFormat="1" ht="18" customHeight="1">
      <c r="B2009" s="12" t="s">
        <v>300</v>
      </c>
      <c r="C2009" s="6" t="s">
        <v>3099</v>
      </c>
      <c r="D2009" s="14" t="s">
        <v>2059</v>
      </c>
      <c r="E2009" s="22">
        <v>5636</v>
      </c>
      <c r="F2009" s="37" t="s">
        <v>230</v>
      </c>
      <c r="G2009" s="396" t="s">
        <v>3101</v>
      </c>
      <c r="H2009" s="108">
        <v>50</v>
      </c>
      <c r="I2009" s="109">
        <v>1</v>
      </c>
      <c r="J2009" s="8">
        <f>H2009*I2009</f>
        <v>50</v>
      </c>
      <c r="K2009" s="39">
        <v>0.27</v>
      </c>
      <c r="L2009" s="39">
        <f>K2009*J2009</f>
        <v>13.5</v>
      </c>
      <c r="M2009" s="117" t="s">
        <v>349</v>
      </c>
      <c r="N2009" s="33">
        <v>44729</v>
      </c>
      <c r="O2009" s="32">
        <v>4295</v>
      </c>
      <c r="P2009" s="391">
        <f>ROUNDUP(S2009/V2009/VLOOKUP(B2009,$C$2:$F$6,3,FALSE),2)</f>
        <v>0.24000000000000002</v>
      </c>
      <c r="Q2009" s="322">
        <v>0.24</v>
      </c>
      <c r="R2009" s="322">
        <f>Q2009*J2009</f>
        <v>12</v>
      </c>
      <c r="S2009" s="7">
        <v>14.6</v>
      </c>
      <c r="T2009" s="7">
        <f>S2009*J2009</f>
        <v>730</v>
      </c>
      <c r="U2009" s="778"/>
      <c r="V2009" s="260">
        <v>90</v>
      </c>
    </row>
    <row r="2010" spans="2:22" s="7" customFormat="1" ht="18" customHeight="1">
      <c r="B2010" s="12"/>
      <c r="C2010" s="6" t="s">
        <v>3102</v>
      </c>
      <c r="D2010" s="14" t="s">
        <v>2059</v>
      </c>
      <c r="E2010" s="82"/>
      <c r="F2010" s="102"/>
      <c r="G2010" s="22" t="s">
        <v>316</v>
      </c>
      <c r="H2010" s="8"/>
      <c r="I2010" s="35"/>
      <c r="J2010" s="38">
        <v>1</v>
      </c>
      <c r="K2010" s="39">
        <v>12</v>
      </c>
      <c r="L2010" s="39">
        <f t="shared" si="113"/>
        <v>12</v>
      </c>
      <c r="M2010" s="91"/>
      <c r="N2010" s="33">
        <v>44729</v>
      </c>
      <c r="O2010" s="32">
        <v>4295</v>
      </c>
      <c r="P2010" s="6"/>
      <c r="Q2010" s="322">
        <v>12</v>
      </c>
      <c r="R2010" s="322">
        <f>Q2010*J2010</f>
        <v>12</v>
      </c>
      <c r="S2010" s="7">
        <v>1100</v>
      </c>
      <c r="T2010" s="7">
        <f t="shared" si="116"/>
        <v>1100</v>
      </c>
      <c r="U2010" s="21"/>
      <c r="V2010" s="260">
        <v>90</v>
      </c>
    </row>
    <row r="2011" spans="2:22" s="191" customFormat="1" ht="18" customHeight="1">
      <c r="B2011" s="190"/>
      <c r="C2011" s="179" t="s">
        <v>3091</v>
      </c>
      <c r="D2011" s="180" t="s">
        <v>2059</v>
      </c>
      <c r="E2011" s="736"/>
      <c r="F2011" s="737"/>
      <c r="G2011" s="182" t="s">
        <v>250</v>
      </c>
      <c r="H2011" s="184" t="s">
        <v>251</v>
      </c>
      <c r="I2011" s="185"/>
      <c r="J2011" s="183"/>
      <c r="K2011" s="192">
        <v>0</v>
      </c>
      <c r="L2011" s="188"/>
      <c r="M2011" s="187"/>
      <c r="N2011" s="187">
        <v>44729</v>
      </c>
      <c r="O2011" s="186">
        <v>4295</v>
      </c>
      <c r="P2011" s="179"/>
      <c r="Q2011" s="725">
        <v>0</v>
      </c>
      <c r="S2011" s="197">
        <v>0</v>
      </c>
      <c r="T2011" s="198">
        <v>0</v>
      </c>
      <c r="U2011" s="335"/>
      <c r="V2011" s="260">
        <v>90</v>
      </c>
    </row>
    <row r="2012" spans="2:22" s="7" customFormat="1" ht="18" customHeight="1">
      <c r="B2012" s="12"/>
      <c r="C2012" s="6" t="s">
        <v>3103</v>
      </c>
      <c r="D2012" s="14" t="s">
        <v>2231</v>
      </c>
      <c r="E2012" s="19" t="s">
        <v>2270</v>
      </c>
      <c r="F2012" s="37"/>
      <c r="G2012" s="37"/>
      <c r="H2012" s="108"/>
      <c r="I2012" s="108"/>
      <c r="J2012" s="108"/>
      <c r="K2012" s="29" t="s">
        <v>5</v>
      </c>
      <c r="L2012" s="139"/>
      <c r="M2012" s="33"/>
      <c r="N2012" s="33">
        <v>44739</v>
      </c>
      <c r="O2012" s="32">
        <v>4254</v>
      </c>
      <c r="P2012" s="6"/>
      <c r="Q2012" s="339"/>
      <c r="U2012" s="21"/>
      <c r="V2012" s="260">
        <v>90</v>
      </c>
    </row>
    <row r="2013" spans="2:22" s="7" customFormat="1" ht="18" customHeight="1">
      <c r="B2013" s="12" t="s">
        <v>300</v>
      </c>
      <c r="C2013" s="6" t="s">
        <v>3103</v>
      </c>
      <c r="D2013" s="14" t="s">
        <v>2231</v>
      </c>
      <c r="E2013" s="22">
        <v>5636</v>
      </c>
      <c r="F2013" s="37" t="s">
        <v>230</v>
      </c>
      <c r="G2013" s="839" t="s">
        <v>283</v>
      </c>
      <c r="H2013" s="108">
        <v>50</v>
      </c>
      <c r="I2013" s="109">
        <v>23</v>
      </c>
      <c r="J2013" s="8">
        <f>H2013*I2013</f>
        <v>1150</v>
      </c>
      <c r="K2013" s="39">
        <v>0.27</v>
      </c>
      <c r="L2013" s="39">
        <f>K2013*J2013</f>
        <v>310.5</v>
      </c>
      <c r="M2013" s="117" t="s">
        <v>349</v>
      </c>
      <c r="N2013" s="33">
        <v>44739</v>
      </c>
      <c r="O2013" s="32">
        <v>4254</v>
      </c>
      <c r="P2013" s="391">
        <f>ROUNDUP(S2013/V2013/VLOOKUP(B2013,$C$2:$F$6,3,FALSE),2)</f>
        <v>0.17</v>
      </c>
      <c r="Q2013" s="322">
        <v>0.17</v>
      </c>
      <c r="R2013" s="322">
        <f>Q2013*J2013</f>
        <v>195.5</v>
      </c>
      <c r="S2013" s="752">
        <v>10.7</v>
      </c>
      <c r="T2013" s="7">
        <f>S2013*J2013</f>
        <v>12305</v>
      </c>
      <c r="U2013" s="876"/>
      <c r="V2013" s="260">
        <v>90</v>
      </c>
    </row>
    <row r="2014" spans="2:22" s="7" customFormat="1" ht="18" customHeight="1">
      <c r="B2014" s="12"/>
      <c r="C2014" s="6" t="s">
        <v>3103</v>
      </c>
      <c r="D2014" s="14" t="s">
        <v>2231</v>
      </c>
      <c r="E2014" s="82"/>
      <c r="F2014" s="102"/>
      <c r="G2014" s="22" t="s">
        <v>316</v>
      </c>
      <c r="H2014" s="8"/>
      <c r="I2014" s="35"/>
      <c r="J2014" s="38">
        <v>1</v>
      </c>
      <c r="K2014" s="39">
        <v>12</v>
      </c>
      <c r="L2014" s="39">
        <f>K2014*J2014</f>
        <v>12</v>
      </c>
      <c r="M2014" s="91"/>
      <c r="N2014" s="33">
        <v>44739</v>
      </c>
      <c r="O2014" s="32">
        <v>4254</v>
      </c>
      <c r="P2014" s="6"/>
      <c r="Q2014" s="322">
        <v>12</v>
      </c>
      <c r="R2014" s="322">
        <f>Q2014*J2014</f>
        <v>12</v>
      </c>
      <c r="S2014" s="7">
        <v>0</v>
      </c>
      <c r="T2014" s="7">
        <v>0</v>
      </c>
      <c r="U2014" s="21"/>
      <c r="V2014" s="260">
        <v>90</v>
      </c>
    </row>
    <row r="2015" spans="2:22" s="191" customFormat="1" ht="18" customHeight="1">
      <c r="B2015" s="190"/>
      <c r="C2015" s="179" t="s">
        <v>3103</v>
      </c>
      <c r="D2015" s="180" t="s">
        <v>2231</v>
      </c>
      <c r="E2015" s="181"/>
      <c r="F2015" s="622"/>
      <c r="G2015" s="182" t="s">
        <v>250</v>
      </c>
      <c r="H2015" s="184" t="s">
        <v>251</v>
      </c>
      <c r="I2015" s="185"/>
      <c r="J2015" s="183"/>
      <c r="K2015" s="192">
        <v>0</v>
      </c>
      <c r="L2015" s="188"/>
      <c r="M2015" s="187"/>
      <c r="N2015" s="187">
        <v>44739</v>
      </c>
      <c r="O2015" s="186">
        <v>4254</v>
      </c>
      <c r="P2015" s="179"/>
      <c r="Q2015" s="725">
        <v>0</v>
      </c>
      <c r="S2015" s="197">
        <v>0</v>
      </c>
      <c r="T2015" s="198">
        <v>0</v>
      </c>
      <c r="U2015" s="335"/>
      <c r="V2015" s="260">
        <v>90</v>
      </c>
    </row>
    <row r="2016" spans="2:22" s="7" customFormat="1" ht="18" customHeight="1">
      <c r="B2016" s="12"/>
      <c r="C2016" s="6" t="s">
        <v>3104</v>
      </c>
      <c r="D2016" s="14" t="s">
        <v>1970</v>
      </c>
      <c r="E2016" s="17" t="s">
        <v>160</v>
      </c>
      <c r="F2016" s="319"/>
      <c r="G2016" s="299"/>
      <c r="H2016" s="300" t="s">
        <v>355</v>
      </c>
      <c r="I2016" s="320"/>
      <c r="J2016" s="321"/>
      <c r="K2016" s="110" t="s">
        <v>101</v>
      </c>
      <c r="L2016" s="139"/>
      <c r="M2016" s="33"/>
      <c r="N2016" s="33">
        <v>44727</v>
      </c>
      <c r="O2016" s="32">
        <v>4288</v>
      </c>
      <c r="P2016" s="6"/>
      <c r="Q2016" s="322"/>
      <c r="U2016" s="39"/>
      <c r="V2016" s="260">
        <v>90</v>
      </c>
    </row>
    <row r="2017" spans="2:22" s="7" customFormat="1" ht="18" customHeight="1">
      <c r="B2017" s="12" t="s">
        <v>300</v>
      </c>
      <c r="C2017" s="6" t="s">
        <v>3104</v>
      </c>
      <c r="D2017" s="14" t="s">
        <v>1970</v>
      </c>
      <c r="E2017" s="22">
        <v>14552</v>
      </c>
      <c r="F2017" s="24">
        <v>18</v>
      </c>
      <c r="G2017" s="22" t="s">
        <v>176</v>
      </c>
      <c r="H2017" s="108">
        <v>30</v>
      </c>
      <c r="I2017" s="109">
        <v>2</v>
      </c>
      <c r="J2017" s="8">
        <f>H2017*I2017</f>
        <v>60</v>
      </c>
      <c r="K2017" s="39">
        <v>1</v>
      </c>
      <c r="L2017" s="39">
        <f>K2017*J2017</f>
        <v>60</v>
      </c>
      <c r="M2017" s="117" t="s">
        <v>349</v>
      </c>
      <c r="N2017" s="33">
        <v>44727</v>
      </c>
      <c r="O2017" s="32">
        <v>4288</v>
      </c>
      <c r="P2017" s="391">
        <f>ROUNDUP(S2017/V2017/VLOOKUP(B2017,$C$2:$F$6,3,FALSE),2)</f>
        <v>0.86</v>
      </c>
      <c r="Q2017" s="358">
        <v>0.86</v>
      </c>
      <c r="R2017" s="322">
        <f>Q2017*J2017</f>
        <v>51.6</v>
      </c>
      <c r="S2017" s="7">
        <v>54</v>
      </c>
      <c r="T2017" s="7">
        <f>S2017*J2017</f>
        <v>3240</v>
      </c>
      <c r="U2017" s="267"/>
      <c r="V2017" s="260">
        <v>90</v>
      </c>
    </row>
    <row r="2018" spans="2:22" customFormat="1" ht="18" customHeight="1">
      <c r="B2018" s="26"/>
      <c r="C2018" s="6" t="s">
        <v>3104</v>
      </c>
      <c r="D2018" s="14" t="s">
        <v>1970</v>
      </c>
      <c r="E2018" s="19" t="s">
        <v>227</v>
      </c>
      <c r="F2018" s="37"/>
      <c r="G2018" s="37"/>
      <c r="H2018" s="108"/>
      <c r="I2018" s="108"/>
      <c r="J2018" s="108"/>
      <c r="K2018" s="29" t="s">
        <v>101</v>
      </c>
      <c r="L2018" s="139"/>
      <c r="M2018" s="33"/>
      <c r="N2018" s="33">
        <v>44727</v>
      </c>
      <c r="O2018" s="32">
        <v>4288</v>
      </c>
      <c r="P2018" s="6"/>
      <c r="Q2018" s="339"/>
      <c r="R2018" s="1"/>
      <c r="S2018" s="7"/>
      <c r="T2018" s="7"/>
      <c r="U2018" s="21"/>
      <c r="V2018" s="260">
        <v>90</v>
      </c>
    </row>
    <row r="2019" spans="2:22" customFormat="1" ht="18" customHeight="1">
      <c r="B2019" s="26" t="s">
        <v>300</v>
      </c>
      <c r="C2019" s="6" t="s">
        <v>3104</v>
      </c>
      <c r="D2019" s="14" t="s">
        <v>1970</v>
      </c>
      <c r="E2019" s="22">
        <v>2250</v>
      </c>
      <c r="F2019" s="37">
        <v>15</v>
      </c>
      <c r="G2019" s="22" t="s">
        <v>2812</v>
      </c>
      <c r="H2019" s="108">
        <v>30</v>
      </c>
      <c r="I2019" s="109">
        <v>1</v>
      </c>
      <c r="J2019" s="8">
        <f>H2019*I2019</f>
        <v>30</v>
      </c>
      <c r="K2019" s="39">
        <v>0.39</v>
      </c>
      <c r="L2019" s="39">
        <f>K2019*J2019</f>
        <v>11.700000000000001</v>
      </c>
      <c r="M2019" s="117" t="s">
        <v>349</v>
      </c>
      <c r="N2019" s="33">
        <v>44727</v>
      </c>
      <c r="O2019" s="32">
        <v>4288</v>
      </c>
      <c r="P2019" s="391">
        <f>ROUNDUP(S2019/V2019/VLOOKUP(B2019,$C$2:$F$6,3,FALSE),2)</f>
        <v>0.34</v>
      </c>
      <c r="Q2019" s="322">
        <v>0.34</v>
      </c>
      <c r="R2019" s="322">
        <f>Q2019*J2019</f>
        <v>10.200000000000001</v>
      </c>
      <c r="S2019" s="7">
        <v>21</v>
      </c>
      <c r="T2019" s="7">
        <f>S2019*J2019</f>
        <v>630</v>
      </c>
      <c r="U2019" s="39"/>
      <c r="V2019" s="260">
        <v>90</v>
      </c>
    </row>
    <row r="2020" spans="2:22" s="7" customFormat="1" ht="18" customHeight="1">
      <c r="B2020" s="12"/>
      <c r="C2020" s="6" t="s">
        <v>3104</v>
      </c>
      <c r="D2020" s="14" t="s">
        <v>1970</v>
      </c>
      <c r="E2020" s="17" t="s">
        <v>2968</v>
      </c>
      <c r="F2020" s="319"/>
      <c r="G2020" s="299"/>
      <c r="H2020" s="300" t="s">
        <v>355</v>
      </c>
      <c r="I2020" s="320"/>
      <c r="J2020" s="321"/>
      <c r="K2020" s="110" t="s">
        <v>101</v>
      </c>
      <c r="L2020" s="139"/>
      <c r="M2020" s="33"/>
      <c r="N2020" s="33">
        <v>44727</v>
      </c>
      <c r="O2020" s="32">
        <v>4288</v>
      </c>
      <c r="P2020" s="6"/>
      <c r="Q2020" s="322"/>
      <c r="U2020" s="39"/>
      <c r="V2020" s="260">
        <v>90</v>
      </c>
    </row>
    <row r="2021" spans="2:22" s="7" customFormat="1" ht="18" customHeight="1">
      <c r="B2021" s="12" t="s">
        <v>300</v>
      </c>
      <c r="C2021" s="6" t="s">
        <v>3104</v>
      </c>
      <c r="D2021" s="14" t="s">
        <v>1970</v>
      </c>
      <c r="E2021" s="22">
        <v>4063</v>
      </c>
      <c r="F2021" s="24">
        <v>15</v>
      </c>
      <c r="G2021" s="22" t="s">
        <v>2969</v>
      </c>
      <c r="H2021" s="108">
        <v>30</v>
      </c>
      <c r="I2021" s="109">
        <v>1</v>
      </c>
      <c r="J2021" s="8">
        <f>H2021*I2021</f>
        <v>30</v>
      </c>
      <c r="K2021" s="39">
        <v>1.1499999999999999</v>
      </c>
      <c r="L2021" s="39">
        <f>K2021*J2021</f>
        <v>34.5</v>
      </c>
      <c r="M2021" s="117" t="s">
        <v>349</v>
      </c>
      <c r="N2021" s="33">
        <v>44727</v>
      </c>
      <c r="O2021" s="32">
        <v>4288</v>
      </c>
      <c r="P2021" s="391">
        <f>ROUNDUP(S2021/V2021/VLOOKUP(B2021,$C$2:$F$6,3,FALSE),2)</f>
        <v>0.99</v>
      </c>
      <c r="Q2021" s="358">
        <v>0.99</v>
      </c>
      <c r="R2021" s="322">
        <f>Q2021*J2021</f>
        <v>29.7</v>
      </c>
      <c r="S2021" s="7">
        <v>62</v>
      </c>
      <c r="T2021" s="7">
        <f>S2021*J2021</f>
        <v>1860</v>
      </c>
      <c r="U2021" s="267"/>
      <c r="V2021" s="260">
        <v>90</v>
      </c>
    </row>
    <row r="2022" spans="2:22" s="7" customFormat="1" ht="18" customHeight="1">
      <c r="B2022" s="12"/>
      <c r="C2022" s="6" t="s">
        <v>3104</v>
      </c>
      <c r="D2022" s="14" t="s">
        <v>1970</v>
      </c>
      <c r="E2022" s="82"/>
      <c r="F2022" s="102"/>
      <c r="G2022" s="22" t="s">
        <v>316</v>
      </c>
      <c r="H2022" s="8"/>
      <c r="I2022" s="35"/>
      <c r="J2022" s="38">
        <v>2</v>
      </c>
      <c r="K2022" s="39">
        <v>12</v>
      </c>
      <c r="L2022" s="39">
        <f>K2022*J2022</f>
        <v>24</v>
      </c>
      <c r="M2022" s="91"/>
      <c r="N2022" s="33">
        <v>44727</v>
      </c>
      <c r="O2022" s="32">
        <v>4288</v>
      </c>
      <c r="P2022" s="6"/>
      <c r="Q2022" s="322">
        <v>24</v>
      </c>
      <c r="R2022" s="322">
        <v>24</v>
      </c>
      <c r="S2022" s="7">
        <v>0</v>
      </c>
      <c r="T2022" s="7">
        <v>0</v>
      </c>
      <c r="U2022" s="21"/>
      <c r="V2022" s="260">
        <v>90</v>
      </c>
    </row>
    <row r="2023" spans="2:22" s="191" customFormat="1" ht="18" customHeight="1">
      <c r="B2023" s="190"/>
      <c r="C2023" s="179" t="s">
        <v>3104</v>
      </c>
      <c r="D2023" s="180" t="s">
        <v>1970</v>
      </c>
      <c r="E2023" s="181"/>
      <c r="F2023" s="622"/>
      <c r="G2023" s="182" t="s">
        <v>250</v>
      </c>
      <c r="H2023" s="184" t="s">
        <v>251</v>
      </c>
      <c r="I2023" s="185"/>
      <c r="J2023" s="183"/>
      <c r="K2023" s="192">
        <v>0</v>
      </c>
      <c r="L2023" s="188"/>
      <c r="M2023" s="187"/>
      <c r="N2023" s="187">
        <v>44727</v>
      </c>
      <c r="O2023" s="186">
        <v>4288</v>
      </c>
      <c r="P2023" s="179"/>
      <c r="Q2023" s="725">
        <v>0</v>
      </c>
      <c r="S2023" s="197">
        <v>0</v>
      </c>
      <c r="T2023" s="198">
        <v>0</v>
      </c>
      <c r="U2023" s="335"/>
      <c r="V2023" s="260">
        <v>90</v>
      </c>
    </row>
    <row r="2024" spans="2:22" s="7" customFormat="1" ht="18" customHeight="1">
      <c r="B2024" s="12"/>
      <c r="C2024" s="6" t="s">
        <v>3105</v>
      </c>
      <c r="D2024" s="14" t="s">
        <v>2162</v>
      </c>
      <c r="E2024" s="19" t="s">
        <v>2163</v>
      </c>
      <c r="F2024" s="37"/>
      <c r="G2024" s="37"/>
      <c r="H2024" s="108"/>
      <c r="I2024" s="108"/>
      <c r="J2024" s="108"/>
      <c r="K2024" s="110" t="s">
        <v>5</v>
      </c>
      <c r="L2024" s="139"/>
      <c r="M2024" s="33"/>
      <c r="N2024" s="33">
        <v>44734</v>
      </c>
      <c r="O2024" s="32">
        <v>4303</v>
      </c>
      <c r="P2024" s="6"/>
      <c r="Q2024" s="339"/>
      <c r="U2024" s="21"/>
      <c r="V2024" s="260">
        <v>90</v>
      </c>
    </row>
    <row r="2025" spans="2:22" s="7" customFormat="1" ht="18" customHeight="1">
      <c r="B2025" s="12" t="s">
        <v>300</v>
      </c>
      <c r="C2025" s="6" t="s">
        <v>3105</v>
      </c>
      <c r="D2025" s="14" t="s">
        <v>2162</v>
      </c>
      <c r="E2025" s="22">
        <v>5603</v>
      </c>
      <c r="F2025" s="37"/>
      <c r="G2025" s="396" t="s">
        <v>2164</v>
      </c>
      <c r="H2025" s="108">
        <v>50</v>
      </c>
      <c r="I2025" s="109">
        <v>10</v>
      </c>
      <c r="J2025" s="8">
        <f>I2025*H2025</f>
        <v>500</v>
      </c>
      <c r="K2025" s="39">
        <v>0.31</v>
      </c>
      <c r="L2025" s="39">
        <f>K2025*J2025</f>
        <v>155</v>
      </c>
      <c r="M2025" s="117" t="s">
        <v>349</v>
      </c>
      <c r="N2025" s="33">
        <v>44734</v>
      </c>
      <c r="O2025" s="32">
        <v>4303</v>
      </c>
      <c r="P2025" s="391">
        <f>ROUNDUP(S2025/V2025/VLOOKUP(B2025,$C$2:$F$6,3,FALSE),2)</f>
        <v>0.27</v>
      </c>
      <c r="Q2025" s="322">
        <v>0.27</v>
      </c>
      <c r="R2025" s="322">
        <f>Q2025*J2025</f>
        <v>135</v>
      </c>
      <c r="S2025" s="7">
        <v>16.7</v>
      </c>
      <c r="T2025" s="7">
        <f>S2025*J2025</f>
        <v>8350</v>
      </c>
      <c r="U2025" s="21"/>
      <c r="V2025" s="260">
        <v>90</v>
      </c>
    </row>
    <row r="2026" spans="2:22" s="7" customFormat="1" ht="18" customHeight="1">
      <c r="B2026" s="12"/>
      <c r="C2026" s="6" t="s">
        <v>3105</v>
      </c>
      <c r="D2026" s="14" t="s">
        <v>2162</v>
      </c>
      <c r="E2026" s="22"/>
      <c r="F2026" s="102"/>
      <c r="G2026" s="22" t="s">
        <v>316</v>
      </c>
      <c r="H2026" s="8"/>
      <c r="I2026" s="35"/>
      <c r="J2026" s="38">
        <v>1</v>
      </c>
      <c r="K2026" s="39">
        <v>12</v>
      </c>
      <c r="L2026" s="39">
        <f>K2026*J2026</f>
        <v>12</v>
      </c>
      <c r="M2026" s="117"/>
      <c r="N2026" s="33">
        <v>44734</v>
      </c>
      <c r="O2026" s="32">
        <v>4303</v>
      </c>
      <c r="P2026" s="6" t="s">
        <v>3</v>
      </c>
      <c r="Q2026" s="322">
        <v>12</v>
      </c>
      <c r="R2026" s="322">
        <f>Q2026*J2026</f>
        <v>12</v>
      </c>
      <c r="S2026" s="7">
        <v>1100</v>
      </c>
      <c r="T2026" s="7">
        <f>S2026*J2026</f>
        <v>1100</v>
      </c>
      <c r="U2026" s="21"/>
      <c r="V2026" s="260">
        <v>90</v>
      </c>
    </row>
    <row r="2027" spans="2:22" s="191" customFormat="1" ht="18" customHeight="1">
      <c r="B2027" s="190"/>
      <c r="C2027" s="179" t="s">
        <v>3105</v>
      </c>
      <c r="D2027" s="180" t="s">
        <v>2162</v>
      </c>
      <c r="E2027" s="181"/>
      <c r="F2027" s="182"/>
      <c r="G2027" s="182" t="s">
        <v>250</v>
      </c>
      <c r="H2027" s="184" t="s">
        <v>251</v>
      </c>
      <c r="I2027" s="185"/>
      <c r="J2027" s="183"/>
      <c r="K2027" s="192">
        <v>0</v>
      </c>
      <c r="L2027" s="188"/>
      <c r="M2027" s="187"/>
      <c r="N2027" s="187">
        <v>44734</v>
      </c>
      <c r="O2027" s="186">
        <v>4303</v>
      </c>
      <c r="P2027" s="179"/>
      <c r="Q2027" s="725">
        <v>0</v>
      </c>
      <c r="R2027" s="322">
        <f>Q2027*J2027</f>
        <v>0</v>
      </c>
      <c r="S2027" s="197">
        <v>0</v>
      </c>
      <c r="T2027" s="7">
        <f>S2027*J2027</f>
        <v>0</v>
      </c>
      <c r="U2027" s="335"/>
      <c r="V2027" s="260">
        <v>90</v>
      </c>
    </row>
    <row r="2028" spans="2:22" s="7" customFormat="1" ht="18" customHeight="1">
      <c r="B2028" s="12"/>
      <c r="C2028" s="6" t="s">
        <v>3106</v>
      </c>
      <c r="D2028" s="14" t="s">
        <v>2924</v>
      </c>
      <c r="E2028" s="19" t="s">
        <v>10</v>
      </c>
      <c r="F2028" s="107"/>
      <c r="G2028" s="22"/>
      <c r="H2028" s="108"/>
      <c r="I2028" s="109"/>
      <c r="J2028" s="108"/>
      <c r="K2028" s="29" t="s">
        <v>5</v>
      </c>
      <c r="L2028" s="39"/>
      <c r="M2028" s="91"/>
      <c r="N2028" s="33">
        <v>44740</v>
      </c>
      <c r="O2028" s="32">
        <v>4311</v>
      </c>
      <c r="P2028" s="14"/>
      <c r="Q2028" s="322"/>
      <c r="U2028" s="14"/>
      <c r="V2028" s="384">
        <v>120</v>
      </c>
    </row>
    <row r="2029" spans="2:22" s="7" customFormat="1" ht="18" customHeight="1">
      <c r="B2029" s="12" t="s">
        <v>302</v>
      </c>
      <c r="C2029" s="6" t="s">
        <v>3106</v>
      </c>
      <c r="D2029" s="14" t="s">
        <v>2924</v>
      </c>
      <c r="E2029" s="22" t="s">
        <v>6</v>
      </c>
      <c r="F2029" s="107">
        <v>160</v>
      </c>
      <c r="G2029" s="885" t="s">
        <v>3107</v>
      </c>
      <c r="H2029" s="108">
        <v>10</v>
      </c>
      <c r="I2029" s="109">
        <v>1</v>
      </c>
      <c r="J2029" s="8">
        <f>H2029*I2029</f>
        <v>10</v>
      </c>
      <c r="K2029" s="39">
        <v>5</v>
      </c>
      <c r="L2029" s="39">
        <f>K2029*J2029</f>
        <v>50</v>
      </c>
      <c r="M2029" s="117" t="s">
        <v>322</v>
      </c>
      <c r="N2029" s="33">
        <v>44740</v>
      </c>
      <c r="O2029" s="32">
        <v>4311</v>
      </c>
      <c r="P2029" s="391">
        <f>ROUNDUP(S2029/V2029/VLOOKUP(B2029,$C$2:$F$6,3,FALSE),2)</f>
        <v>3.4099999999999997</v>
      </c>
      <c r="Q2029" s="322">
        <v>3.41</v>
      </c>
      <c r="R2029" s="322">
        <f>Q2029*J2029</f>
        <v>34.1</v>
      </c>
      <c r="S2029" s="7">
        <v>360</v>
      </c>
      <c r="T2029" s="7">
        <f>S2029*J2029</f>
        <v>3600</v>
      </c>
      <c r="U2029" s="21"/>
      <c r="V2029" s="260">
        <v>120</v>
      </c>
    </row>
    <row r="2030" spans="2:22" s="7" customFormat="1" ht="18" customHeight="1">
      <c r="B2030" s="12"/>
      <c r="C2030" s="6" t="s">
        <v>3106</v>
      </c>
      <c r="D2030" s="14" t="s">
        <v>2924</v>
      </c>
      <c r="E2030" s="49"/>
      <c r="F2030" s="102"/>
      <c r="G2030" s="22" t="s">
        <v>2625</v>
      </c>
      <c r="H2030" s="38"/>
      <c r="I2030" s="35"/>
      <c r="J2030" s="38">
        <v>1</v>
      </c>
      <c r="K2030" s="39">
        <v>15</v>
      </c>
      <c r="L2030" s="39">
        <f>K2030*J2030</f>
        <v>15</v>
      </c>
      <c r="M2030" s="91"/>
      <c r="N2030" s="33">
        <v>44740</v>
      </c>
      <c r="O2030" s="32">
        <v>4311</v>
      </c>
      <c r="P2030" s="391">
        <v>12</v>
      </c>
      <c r="Q2030" s="322">
        <f>P2030*J2030</f>
        <v>12</v>
      </c>
      <c r="R2030" s="322">
        <v>12</v>
      </c>
      <c r="S2030" s="7">
        <v>1000</v>
      </c>
      <c r="T2030" s="7">
        <f>S2030*J2030</f>
        <v>1000</v>
      </c>
      <c r="U2030" s="21"/>
      <c r="V2030" s="260">
        <v>120</v>
      </c>
    </row>
    <row r="2031" spans="2:22" s="7" customFormat="1" ht="18" customHeight="1">
      <c r="B2031" s="12"/>
      <c r="C2031" s="6" t="s">
        <v>3106</v>
      </c>
      <c r="D2031" s="14" t="s">
        <v>2924</v>
      </c>
      <c r="E2031" s="22"/>
      <c r="F2031" s="102"/>
      <c r="G2031" s="22" t="s">
        <v>316</v>
      </c>
      <c r="H2031" s="8"/>
      <c r="I2031" s="35"/>
      <c r="J2031" s="38">
        <v>1</v>
      </c>
      <c r="K2031" s="39">
        <v>20</v>
      </c>
      <c r="L2031" s="39">
        <f>K2031*J2031</f>
        <v>20</v>
      </c>
      <c r="M2031" s="91"/>
      <c r="N2031" s="33">
        <v>44740</v>
      </c>
      <c r="O2031" s="32">
        <v>4311</v>
      </c>
      <c r="P2031" s="6" t="s">
        <v>3</v>
      </c>
      <c r="Q2031" s="322">
        <v>20</v>
      </c>
      <c r="R2031" s="322">
        <v>20</v>
      </c>
      <c r="S2031" s="7">
        <v>1000</v>
      </c>
      <c r="T2031" s="7">
        <f>S2031*J2031</f>
        <v>1000</v>
      </c>
      <c r="U2031" s="21"/>
      <c r="V2031" s="260">
        <v>120</v>
      </c>
    </row>
    <row r="2032" spans="2:22" s="191" customFormat="1" ht="18" customHeight="1">
      <c r="B2032" s="190"/>
      <c r="C2032" s="179" t="s">
        <v>3106</v>
      </c>
      <c r="D2032" s="180" t="s">
        <v>2924</v>
      </c>
      <c r="E2032" s="217"/>
      <c r="F2032" s="182"/>
      <c r="G2032" s="182" t="s">
        <v>250</v>
      </c>
      <c r="H2032" s="184" t="s">
        <v>252</v>
      </c>
      <c r="I2032" s="185"/>
      <c r="J2032" s="183"/>
      <c r="K2032" s="192">
        <v>39</v>
      </c>
      <c r="L2032" s="188"/>
      <c r="M2032" s="187"/>
      <c r="N2032" s="187">
        <v>44740</v>
      </c>
      <c r="O2032" s="186">
        <v>4311</v>
      </c>
      <c r="P2032" s="179"/>
      <c r="Q2032" s="747">
        <v>39</v>
      </c>
      <c r="R2032" s="334">
        <v>39</v>
      </c>
      <c r="S2032" s="212">
        <v>4665</v>
      </c>
      <c r="T2032" s="197">
        <v>4665</v>
      </c>
      <c r="U2032" s="335"/>
      <c r="V2032" s="260">
        <v>120</v>
      </c>
    </row>
    <row r="2033" spans="2:22" s="7" customFormat="1" ht="18" customHeight="1">
      <c r="B2033" s="12"/>
      <c r="C2033" s="6" t="s">
        <v>3108</v>
      </c>
      <c r="D2033" s="14" t="s">
        <v>2924</v>
      </c>
      <c r="E2033" s="19" t="s">
        <v>10</v>
      </c>
      <c r="F2033" s="107"/>
      <c r="G2033" s="22"/>
      <c r="H2033" s="108"/>
      <c r="I2033" s="109"/>
      <c r="J2033" s="108"/>
      <c r="K2033" s="29" t="s">
        <v>5</v>
      </c>
      <c r="L2033" s="39"/>
      <c r="M2033" s="91"/>
      <c r="N2033" s="33">
        <v>44746</v>
      </c>
      <c r="O2033" s="32">
        <v>4346</v>
      </c>
      <c r="P2033" s="14"/>
      <c r="Q2033" s="322"/>
      <c r="U2033" s="14"/>
      <c r="V2033" s="384">
        <v>120</v>
      </c>
    </row>
    <row r="2034" spans="2:22" s="7" customFormat="1" ht="18" customHeight="1">
      <c r="B2034" s="12" t="s">
        <v>302</v>
      </c>
      <c r="C2034" s="6" t="s">
        <v>3108</v>
      </c>
      <c r="D2034" s="14" t="s">
        <v>2924</v>
      </c>
      <c r="E2034" s="22" t="s">
        <v>6</v>
      </c>
      <c r="F2034" s="107">
        <v>160</v>
      </c>
      <c r="G2034" s="885" t="s">
        <v>3107</v>
      </c>
      <c r="H2034" s="108">
        <v>50</v>
      </c>
      <c r="I2034" s="109">
        <v>1</v>
      </c>
      <c r="J2034" s="8">
        <f>H2034*I2034</f>
        <v>50</v>
      </c>
      <c r="K2034" s="39">
        <v>5</v>
      </c>
      <c r="L2034" s="39">
        <f>K2034*J2034</f>
        <v>250</v>
      </c>
      <c r="M2034" s="117" t="s">
        <v>322</v>
      </c>
      <c r="N2034" s="33">
        <v>44746</v>
      </c>
      <c r="O2034" s="32">
        <v>4346</v>
      </c>
      <c r="P2034" s="391">
        <f>ROUNDUP(S2034/V2034/VLOOKUP(B2034,$C$2:$F$6,3,FALSE),2)</f>
        <v>3.4099999999999997</v>
      </c>
      <c r="Q2034" s="322">
        <v>3.41</v>
      </c>
      <c r="R2034" s="322">
        <f>Q2034*J2034</f>
        <v>170.5</v>
      </c>
      <c r="S2034" s="7">
        <v>360</v>
      </c>
      <c r="T2034" s="7">
        <f>S2034*J2034</f>
        <v>18000</v>
      </c>
      <c r="U2034" s="21"/>
      <c r="V2034" s="260">
        <v>120</v>
      </c>
    </row>
    <row r="2035" spans="2:22" s="7" customFormat="1" ht="18" customHeight="1">
      <c r="B2035" s="12"/>
      <c r="C2035" s="6" t="s">
        <v>3108</v>
      </c>
      <c r="D2035" s="14" t="s">
        <v>2924</v>
      </c>
      <c r="E2035" s="22"/>
      <c r="F2035" s="102"/>
      <c r="G2035" s="22" t="s">
        <v>316</v>
      </c>
      <c r="H2035" s="8"/>
      <c r="I2035" s="35"/>
      <c r="J2035" s="38">
        <v>1</v>
      </c>
      <c r="K2035" s="39">
        <v>20</v>
      </c>
      <c r="L2035" s="39">
        <f>K2035*J2035</f>
        <v>20</v>
      </c>
      <c r="M2035" s="91"/>
      <c r="N2035" s="33">
        <v>44746</v>
      </c>
      <c r="O2035" s="32">
        <v>4346</v>
      </c>
      <c r="P2035" s="6" t="s">
        <v>3</v>
      </c>
      <c r="Q2035" s="322">
        <v>20</v>
      </c>
      <c r="R2035" s="322">
        <v>20</v>
      </c>
      <c r="S2035" s="7">
        <v>1800</v>
      </c>
      <c r="T2035" s="7">
        <f>S2035*J2035</f>
        <v>1800</v>
      </c>
      <c r="U2035" s="21"/>
      <c r="V2035" s="260">
        <v>120</v>
      </c>
    </row>
    <row r="2036" spans="2:22" s="191" customFormat="1" ht="18" customHeight="1">
      <c r="B2036" s="190"/>
      <c r="C2036" s="179" t="s">
        <v>3108</v>
      </c>
      <c r="D2036" s="180" t="s">
        <v>2924</v>
      </c>
      <c r="E2036" s="217"/>
      <c r="F2036" s="182"/>
      <c r="G2036" s="182" t="s">
        <v>250</v>
      </c>
      <c r="H2036" s="184" t="s">
        <v>252</v>
      </c>
      <c r="I2036" s="185"/>
      <c r="J2036" s="183"/>
      <c r="K2036" s="192">
        <v>66</v>
      </c>
      <c r="L2036" s="188"/>
      <c r="M2036" s="187"/>
      <c r="N2036" s="187">
        <v>44746</v>
      </c>
      <c r="O2036" s="186">
        <v>4346</v>
      </c>
      <c r="P2036" s="179"/>
      <c r="Q2036" s="747">
        <v>66</v>
      </c>
      <c r="R2036" s="334">
        <v>66</v>
      </c>
      <c r="S2036" s="212">
        <v>7820</v>
      </c>
      <c r="T2036" s="197">
        <v>7820</v>
      </c>
      <c r="U2036" s="335"/>
      <c r="V2036" s="260">
        <v>120</v>
      </c>
    </row>
    <row r="2037" spans="2:22" s="7" customFormat="1" ht="18" customHeight="1">
      <c r="B2037" s="12"/>
      <c r="C2037" s="6" t="s">
        <v>3109</v>
      </c>
      <c r="D2037" s="14" t="s">
        <v>2004</v>
      </c>
      <c r="E2037" s="19" t="s">
        <v>1950</v>
      </c>
      <c r="F2037" s="37"/>
      <c r="G2037" s="37"/>
      <c r="H2037" s="108"/>
      <c r="I2037" s="108"/>
      <c r="J2037" s="108"/>
      <c r="K2037" s="29" t="s">
        <v>5</v>
      </c>
      <c r="L2037" s="139"/>
      <c r="M2037" s="33"/>
      <c r="N2037" s="33">
        <v>44747</v>
      </c>
      <c r="O2037" s="32">
        <v>4349</v>
      </c>
      <c r="P2037" s="6"/>
      <c r="Q2037" s="339"/>
      <c r="U2037" s="21"/>
      <c r="V2037" s="260">
        <v>120</v>
      </c>
    </row>
    <row r="2038" spans="2:22" s="7" customFormat="1" ht="18" customHeight="1">
      <c r="B2038" s="12" t="s">
        <v>300</v>
      </c>
      <c r="C2038" s="6" t="s">
        <v>3109</v>
      </c>
      <c r="D2038" s="14" t="s">
        <v>2004</v>
      </c>
      <c r="E2038" s="22">
        <v>3808</v>
      </c>
      <c r="F2038" s="37">
        <v>9</v>
      </c>
      <c r="G2038" s="396" t="s">
        <v>2557</v>
      </c>
      <c r="H2038" s="108">
        <v>50</v>
      </c>
      <c r="I2038" s="814">
        <v>2</v>
      </c>
      <c r="J2038" s="60">
        <f>H2038*I2038</f>
        <v>100</v>
      </c>
      <c r="K2038" s="39">
        <v>0.38</v>
      </c>
      <c r="L2038" s="39">
        <f>K2038*J2038</f>
        <v>38</v>
      </c>
      <c r="M2038" s="117" t="s">
        <v>349</v>
      </c>
      <c r="N2038" s="33">
        <v>44747</v>
      </c>
      <c r="O2038" s="32">
        <v>4349</v>
      </c>
      <c r="P2038" s="391">
        <f>ROUNDUP(S2038/V2038/VLOOKUP(B2038,$C$2:$F$6,3,FALSE),2)</f>
        <v>0.24000000000000002</v>
      </c>
      <c r="Q2038" s="725">
        <v>0.24</v>
      </c>
      <c r="R2038" s="322">
        <f>Q2038*J2038</f>
        <v>24</v>
      </c>
      <c r="S2038" s="7">
        <v>20</v>
      </c>
      <c r="T2038" s="7">
        <f>S2038*J2038</f>
        <v>2000</v>
      </c>
      <c r="U2038" s="267"/>
      <c r="V2038" s="260">
        <v>120</v>
      </c>
    </row>
    <row r="2039" spans="2:22" s="7" customFormat="1" ht="18" customHeight="1">
      <c r="B2039" s="12" t="s">
        <v>300</v>
      </c>
      <c r="C2039" s="6" t="s">
        <v>3109</v>
      </c>
      <c r="D2039" s="14" t="s">
        <v>2004</v>
      </c>
      <c r="E2039" s="22">
        <v>3808</v>
      </c>
      <c r="F2039" s="37">
        <v>9</v>
      </c>
      <c r="G2039" s="396" t="s">
        <v>3110</v>
      </c>
      <c r="H2039" s="108">
        <v>50</v>
      </c>
      <c r="I2039" s="814">
        <v>2</v>
      </c>
      <c r="J2039" s="60">
        <f>H2039*I2039</f>
        <v>100</v>
      </c>
      <c r="K2039" s="39">
        <v>0.38</v>
      </c>
      <c r="L2039" s="39">
        <f>K2039*J2039</f>
        <v>38</v>
      </c>
      <c r="M2039" s="117" t="s">
        <v>349</v>
      </c>
      <c r="N2039" s="33">
        <v>44747</v>
      </c>
      <c r="O2039" s="32">
        <v>4349</v>
      </c>
      <c r="P2039" s="391">
        <f>ROUNDUP(S2039/V2039/VLOOKUP(B2039,$C$2:$F$6,3,FALSE),2)</f>
        <v>0.24000000000000002</v>
      </c>
      <c r="Q2039" s="725">
        <v>0.24</v>
      </c>
      <c r="R2039" s="322">
        <f>Q2039*J2039</f>
        <v>24</v>
      </c>
      <c r="S2039" s="7">
        <v>20</v>
      </c>
      <c r="T2039" s="7">
        <f>S2039*J2039</f>
        <v>2000</v>
      </c>
      <c r="U2039" s="267"/>
      <c r="V2039" s="260">
        <v>120</v>
      </c>
    </row>
    <row r="2040" spans="2:22" s="7" customFormat="1" ht="18" customHeight="1">
      <c r="B2040" s="12" t="s">
        <v>300</v>
      </c>
      <c r="C2040" s="6" t="s">
        <v>3109</v>
      </c>
      <c r="D2040" s="14" t="s">
        <v>2004</v>
      </c>
      <c r="E2040" s="22">
        <v>3808</v>
      </c>
      <c r="F2040" s="37">
        <v>9</v>
      </c>
      <c r="G2040" s="396" t="s">
        <v>2701</v>
      </c>
      <c r="H2040" s="108">
        <v>50</v>
      </c>
      <c r="I2040" s="814">
        <v>1</v>
      </c>
      <c r="J2040" s="60">
        <f>H2040*I2040</f>
        <v>50</v>
      </c>
      <c r="K2040" s="39">
        <v>0.38</v>
      </c>
      <c r="L2040" s="39">
        <f>K2040*J2040</f>
        <v>19</v>
      </c>
      <c r="M2040" s="117" t="s">
        <v>349</v>
      </c>
      <c r="N2040" s="33">
        <v>44747</v>
      </c>
      <c r="O2040" s="32">
        <v>4349</v>
      </c>
      <c r="P2040" s="391">
        <f>ROUNDUP(S2040/V2040/VLOOKUP(B2040,$C$2:$F$6,3,FALSE),2)</f>
        <v>0.24000000000000002</v>
      </c>
      <c r="Q2040" s="725">
        <v>0.24</v>
      </c>
      <c r="R2040" s="322">
        <f>Q2040*J2040</f>
        <v>12</v>
      </c>
      <c r="S2040" s="7">
        <v>20</v>
      </c>
      <c r="T2040" s="7">
        <f>S2040*J2040</f>
        <v>1000</v>
      </c>
      <c r="U2040" s="267"/>
      <c r="V2040" s="260">
        <v>120</v>
      </c>
    </row>
    <row r="2041" spans="2:22" s="7" customFormat="1" ht="18" customHeight="1">
      <c r="B2041" s="12"/>
      <c r="C2041" s="6" t="s">
        <v>3109</v>
      </c>
      <c r="D2041" s="14" t="s">
        <v>2004</v>
      </c>
      <c r="E2041" s="22"/>
      <c r="F2041" s="102"/>
      <c r="G2041" s="22" t="s">
        <v>316</v>
      </c>
      <c r="H2041" s="8"/>
      <c r="I2041" s="35"/>
      <c r="J2041" s="38">
        <v>1</v>
      </c>
      <c r="K2041" s="39">
        <v>12</v>
      </c>
      <c r="L2041" s="39">
        <f>K2041*J2041</f>
        <v>12</v>
      </c>
      <c r="M2041" s="91"/>
      <c r="N2041" s="33">
        <v>44747</v>
      </c>
      <c r="O2041" s="32">
        <v>4349</v>
      </c>
      <c r="P2041" s="391" t="e">
        <f>ROUNDUP(S2041/V2041/VLOOKUP(B2041,$C$2:$F$6,3,FALSE),2)</f>
        <v>#N/A</v>
      </c>
      <c r="Q2041" s="322">
        <v>12</v>
      </c>
      <c r="R2041" s="322">
        <f>Q2041*J2041</f>
        <v>12</v>
      </c>
      <c r="S2041" s="7">
        <v>1000</v>
      </c>
      <c r="T2041" s="7">
        <f>S2041*J2041</f>
        <v>1000</v>
      </c>
      <c r="U2041" s="21"/>
      <c r="V2041" s="260">
        <v>120</v>
      </c>
    </row>
    <row r="2042" spans="2:22" s="191" customFormat="1" ht="18" customHeight="1">
      <c r="B2042" s="190"/>
      <c r="C2042" s="179" t="s">
        <v>3109</v>
      </c>
      <c r="D2042" s="180" t="s">
        <v>2004</v>
      </c>
      <c r="E2042" s="736"/>
      <c r="F2042" s="737"/>
      <c r="G2042" s="182" t="s">
        <v>1955</v>
      </c>
      <c r="H2042" s="184" t="s">
        <v>251</v>
      </c>
      <c r="I2042" s="185"/>
      <c r="J2042" s="183"/>
      <c r="K2042" s="192">
        <v>0</v>
      </c>
      <c r="L2042" s="187"/>
      <c r="M2042" s="187"/>
      <c r="N2042" s="187">
        <v>44747</v>
      </c>
      <c r="O2042" s="186">
        <v>4349</v>
      </c>
      <c r="P2042" s="179"/>
      <c r="Q2042" s="255">
        <v>0</v>
      </c>
      <c r="R2042" s="322">
        <v>0</v>
      </c>
      <c r="S2042" s="275">
        <v>0</v>
      </c>
      <c r="T2042" s="198">
        <v>0</v>
      </c>
      <c r="U2042" s="271"/>
      <c r="V2042" s="260">
        <v>120</v>
      </c>
    </row>
    <row r="2043" spans="2:22" customFormat="1" ht="18" customHeight="1">
      <c r="B2043" s="26"/>
      <c r="C2043" s="6" t="s">
        <v>3111</v>
      </c>
      <c r="D2043" s="14" t="s">
        <v>3112</v>
      </c>
      <c r="E2043" s="19" t="s">
        <v>59</v>
      </c>
      <c r="F2043" s="107"/>
      <c r="G2043" s="22"/>
      <c r="H2043" s="108"/>
      <c r="I2043" s="109"/>
      <c r="J2043" s="108"/>
      <c r="K2043" s="110" t="s">
        <v>5</v>
      </c>
      <c r="L2043" s="33"/>
      <c r="M2043" s="33"/>
      <c r="N2043" s="33">
        <v>44750</v>
      </c>
      <c r="O2043" s="32">
        <v>4367</v>
      </c>
      <c r="P2043" s="14"/>
      <c r="Q2043" s="254"/>
      <c r="R2043" s="1"/>
      <c r="S2043" s="261"/>
      <c r="T2043" s="92"/>
      <c r="U2043" s="264"/>
      <c r="V2043" s="260">
        <v>120</v>
      </c>
    </row>
    <row r="2044" spans="2:22" s="7" customFormat="1" ht="18" customHeight="1">
      <c r="B2044" s="12" t="s">
        <v>302</v>
      </c>
      <c r="C2044" s="6" t="s">
        <v>3111</v>
      </c>
      <c r="D2044" s="14" t="s">
        <v>3112</v>
      </c>
      <c r="E2044" s="22" t="s">
        <v>205</v>
      </c>
      <c r="F2044" s="107">
        <v>140</v>
      </c>
      <c r="G2044" s="22" t="s">
        <v>3113</v>
      </c>
      <c r="H2044" s="60"/>
      <c r="I2044" s="61"/>
      <c r="J2044" s="60">
        <v>1</v>
      </c>
      <c r="K2044" s="39">
        <v>10</v>
      </c>
      <c r="L2044" s="39">
        <f>K2044*J2044</f>
        <v>10</v>
      </c>
      <c r="M2044" s="117" t="s">
        <v>323</v>
      </c>
      <c r="N2044" s="33">
        <v>44750</v>
      </c>
      <c r="O2044" s="32">
        <v>4367</v>
      </c>
      <c r="P2044" s="391">
        <f>ROUNDUP(S2044/V2044/VLOOKUP(B2044,$C$2:$F$6,3,FALSE),2)</f>
        <v>6.8199999999999994</v>
      </c>
      <c r="Q2044" s="254">
        <v>6.82</v>
      </c>
      <c r="R2044" s="323">
        <f>Q2044*J2044</f>
        <v>6.82</v>
      </c>
      <c r="S2044" s="273">
        <v>720</v>
      </c>
      <c r="T2044" s="92">
        <f>S2044*J2044</f>
        <v>720</v>
      </c>
      <c r="U2044" s="266"/>
      <c r="V2044" s="260">
        <v>120</v>
      </c>
    </row>
    <row r="2045" spans="2:22" s="7" customFormat="1" ht="18" customHeight="1">
      <c r="B2045" s="12" t="s">
        <v>302</v>
      </c>
      <c r="C2045" s="6" t="s">
        <v>3111</v>
      </c>
      <c r="D2045" s="14" t="s">
        <v>3112</v>
      </c>
      <c r="E2045" s="22" t="s">
        <v>205</v>
      </c>
      <c r="F2045" s="107">
        <v>140</v>
      </c>
      <c r="G2045" s="22" t="s">
        <v>3114</v>
      </c>
      <c r="H2045" s="60"/>
      <c r="I2045" s="61"/>
      <c r="J2045" s="60">
        <v>1</v>
      </c>
      <c r="K2045" s="39">
        <v>10</v>
      </c>
      <c r="L2045" s="39">
        <f>K2045*J2045</f>
        <v>10</v>
      </c>
      <c r="M2045" s="117" t="s">
        <v>323</v>
      </c>
      <c r="N2045" s="33">
        <v>44750</v>
      </c>
      <c r="O2045" s="32">
        <v>4367</v>
      </c>
      <c r="P2045" s="391">
        <f>ROUNDUP(S2045/V2045/VLOOKUP(B2045,$C$2:$F$6,3,FALSE),2)</f>
        <v>6.8199999999999994</v>
      </c>
      <c r="Q2045" s="254">
        <v>6.82</v>
      </c>
      <c r="R2045" s="323">
        <f>Q2045*J2045</f>
        <v>6.82</v>
      </c>
      <c r="S2045" s="273">
        <v>720</v>
      </c>
      <c r="T2045" s="92">
        <f>S2045*J2045</f>
        <v>720</v>
      </c>
      <c r="U2045" s="266"/>
      <c r="V2045" s="260">
        <v>120</v>
      </c>
    </row>
    <row r="2046" spans="2:22" s="7" customFormat="1" ht="18" customHeight="1">
      <c r="B2046" s="12"/>
      <c r="C2046" s="6" t="s">
        <v>3111</v>
      </c>
      <c r="D2046" s="14" t="s">
        <v>3112</v>
      </c>
      <c r="E2046" s="49"/>
      <c r="F2046" s="102"/>
      <c r="G2046" s="22" t="s">
        <v>2625</v>
      </c>
      <c r="H2046" s="38"/>
      <c r="I2046" s="35"/>
      <c r="J2046" s="38">
        <v>2</v>
      </c>
      <c r="K2046" s="39">
        <v>15</v>
      </c>
      <c r="L2046" s="39">
        <f>K2046*J2046</f>
        <v>30</v>
      </c>
      <c r="M2046" s="91"/>
      <c r="N2046" s="33">
        <v>44750</v>
      </c>
      <c r="O2046" s="32">
        <v>4367</v>
      </c>
      <c r="P2046" s="391">
        <v>12</v>
      </c>
      <c r="Q2046" s="322">
        <f>P2046*J2046</f>
        <v>24</v>
      </c>
      <c r="R2046" s="322">
        <v>24</v>
      </c>
      <c r="S2046" s="7">
        <v>1000</v>
      </c>
      <c r="T2046" s="7">
        <f>S2046*J2046</f>
        <v>2000</v>
      </c>
      <c r="U2046" s="21"/>
      <c r="V2046" s="260">
        <v>120</v>
      </c>
    </row>
    <row r="2047" spans="2:22" s="7" customFormat="1" ht="18" customHeight="1">
      <c r="B2047" s="12"/>
      <c r="C2047" s="6" t="s">
        <v>3111</v>
      </c>
      <c r="D2047" s="14" t="s">
        <v>3112</v>
      </c>
      <c r="E2047" s="22"/>
      <c r="F2047" s="102"/>
      <c r="G2047" s="22" t="s">
        <v>316</v>
      </c>
      <c r="H2047" s="8"/>
      <c r="I2047" s="35"/>
      <c r="J2047" s="38">
        <v>1</v>
      </c>
      <c r="K2047" s="39">
        <v>12</v>
      </c>
      <c r="L2047" s="39">
        <f>K2047*J2047</f>
        <v>12</v>
      </c>
      <c r="M2047" s="91"/>
      <c r="N2047" s="33">
        <v>44750</v>
      </c>
      <c r="O2047" s="32">
        <v>4367</v>
      </c>
      <c r="P2047" s="391" t="e">
        <f>ROUNDUP(S2047/V2047/VLOOKUP(B2047,$C$2:$F$6,3,FALSE),2)</f>
        <v>#N/A</v>
      </c>
      <c r="Q2047" s="322">
        <v>12</v>
      </c>
      <c r="R2047" s="322">
        <f>Q2047*J2047</f>
        <v>12</v>
      </c>
      <c r="S2047" s="7">
        <v>1000</v>
      </c>
      <c r="T2047" s="7">
        <f>S2047*J2047</f>
        <v>1000</v>
      </c>
      <c r="U2047" s="21"/>
      <c r="V2047" s="260">
        <v>120</v>
      </c>
    </row>
    <row r="2048" spans="2:22" s="191" customFormat="1" ht="18" customHeight="1">
      <c r="B2048" s="190"/>
      <c r="C2048" s="179" t="s">
        <v>3111</v>
      </c>
      <c r="D2048" s="180" t="s">
        <v>3112</v>
      </c>
      <c r="E2048" s="736"/>
      <c r="F2048" s="737"/>
      <c r="G2048" s="182" t="s">
        <v>1955</v>
      </c>
      <c r="H2048" s="184" t="s">
        <v>251</v>
      </c>
      <c r="I2048" s="185"/>
      <c r="J2048" s="183"/>
      <c r="K2048" s="192">
        <v>0</v>
      </c>
      <c r="L2048" s="187"/>
      <c r="M2048" s="187"/>
      <c r="N2048" s="187">
        <v>44750</v>
      </c>
      <c r="O2048" s="186">
        <v>4367</v>
      </c>
      <c r="P2048" s="179"/>
      <c r="Q2048" s="255">
        <v>0</v>
      </c>
      <c r="R2048" s="322">
        <v>0</v>
      </c>
      <c r="S2048" s="275">
        <v>0</v>
      </c>
      <c r="T2048" s="198">
        <v>0</v>
      </c>
      <c r="U2048" s="271"/>
      <c r="V2048" s="260">
        <v>120</v>
      </c>
    </row>
    <row r="2049" spans="1:22" s="7" customFormat="1" ht="18" customHeight="1">
      <c r="B2049" s="12"/>
      <c r="C2049" s="6" t="s">
        <v>3115</v>
      </c>
      <c r="D2049" s="14" t="s">
        <v>3116</v>
      </c>
      <c r="E2049" s="19" t="s">
        <v>10</v>
      </c>
      <c r="F2049" s="107"/>
      <c r="G2049" s="22"/>
      <c r="H2049" s="108"/>
      <c r="I2049" s="109"/>
      <c r="J2049" s="108"/>
      <c r="K2049" s="29" t="s">
        <v>5</v>
      </c>
      <c r="L2049" s="39"/>
      <c r="M2049" s="91"/>
      <c r="N2049" s="33">
        <v>44755</v>
      </c>
      <c r="O2049" s="32">
        <v>4380</v>
      </c>
      <c r="P2049" s="14"/>
      <c r="Q2049" s="322"/>
      <c r="U2049" s="14"/>
      <c r="V2049" s="384">
        <v>120</v>
      </c>
    </row>
    <row r="2050" spans="1:22" s="7" customFormat="1" ht="18" customHeight="1">
      <c r="B2050" s="12" t="s">
        <v>302</v>
      </c>
      <c r="C2050" s="6" t="s">
        <v>3115</v>
      </c>
      <c r="D2050" s="14" t="s">
        <v>3116</v>
      </c>
      <c r="E2050" s="22" t="s">
        <v>190</v>
      </c>
      <c r="F2050" s="107">
        <v>160</v>
      </c>
      <c r="G2050" s="885" t="s">
        <v>3117</v>
      </c>
      <c r="H2050" s="108">
        <v>25</v>
      </c>
      <c r="I2050" s="109">
        <v>1</v>
      </c>
      <c r="J2050" s="8">
        <f>H2050*I2050</f>
        <v>25</v>
      </c>
      <c r="K2050" s="39">
        <v>5</v>
      </c>
      <c r="L2050" s="39">
        <f>K2050*J2050</f>
        <v>125</v>
      </c>
      <c r="M2050" s="117" t="s">
        <v>322</v>
      </c>
      <c r="N2050" s="33">
        <v>44755</v>
      </c>
      <c r="O2050" s="32">
        <v>4380</v>
      </c>
      <c r="P2050" s="391">
        <f>ROUNDUP(S2050/V2050/VLOOKUP(B2050,$C$2:$F$6,3,FALSE),2)</f>
        <v>3.4099999999999997</v>
      </c>
      <c r="Q2050" s="322">
        <v>3.41</v>
      </c>
      <c r="R2050" s="322">
        <f>Q2050*J2050</f>
        <v>85.25</v>
      </c>
      <c r="S2050" s="7">
        <v>360</v>
      </c>
      <c r="T2050" s="7">
        <f>S2050*J2050</f>
        <v>9000</v>
      </c>
      <c r="U2050" s="21"/>
      <c r="V2050" s="260">
        <v>120</v>
      </c>
    </row>
    <row r="2051" spans="1:22" s="7" customFormat="1" ht="18" customHeight="1">
      <c r="B2051" s="12" t="s">
        <v>302</v>
      </c>
      <c r="C2051" s="6" t="s">
        <v>3115</v>
      </c>
      <c r="D2051" s="14" t="s">
        <v>3116</v>
      </c>
      <c r="E2051" s="22" t="s">
        <v>190</v>
      </c>
      <c r="F2051" s="107">
        <v>160</v>
      </c>
      <c r="G2051" s="885" t="s">
        <v>3118</v>
      </c>
      <c r="H2051" s="108">
        <v>25</v>
      </c>
      <c r="I2051" s="109">
        <v>1</v>
      </c>
      <c r="J2051" s="8">
        <f>H2051*I2051</f>
        <v>25</v>
      </c>
      <c r="K2051" s="39">
        <v>5</v>
      </c>
      <c r="L2051" s="39">
        <f>K2051*J2051</f>
        <v>125</v>
      </c>
      <c r="M2051" s="117" t="s">
        <v>322</v>
      </c>
      <c r="N2051" s="33">
        <v>44755</v>
      </c>
      <c r="O2051" s="32">
        <v>4380</v>
      </c>
      <c r="P2051" s="391">
        <f>ROUNDUP(S2051/V2051/VLOOKUP(B2051,$C$2:$F$6,3,FALSE),2)</f>
        <v>3.4099999999999997</v>
      </c>
      <c r="Q2051" s="322">
        <v>3.41</v>
      </c>
      <c r="R2051" s="322">
        <f>Q2051*J2051</f>
        <v>85.25</v>
      </c>
      <c r="S2051" s="7">
        <v>360</v>
      </c>
      <c r="T2051" s="7">
        <f>S2051*J2051</f>
        <v>9000</v>
      </c>
      <c r="U2051" s="21"/>
      <c r="V2051" s="260">
        <v>120</v>
      </c>
    </row>
    <row r="2052" spans="1:22" s="7" customFormat="1" ht="18" customHeight="1">
      <c r="B2052" s="12"/>
      <c r="C2052" s="6" t="s">
        <v>3115</v>
      </c>
      <c r="D2052" s="14" t="s">
        <v>3116</v>
      </c>
      <c r="E2052" s="49"/>
      <c r="F2052" s="102"/>
      <c r="G2052" s="22" t="s">
        <v>2625</v>
      </c>
      <c r="H2052" s="38"/>
      <c r="I2052" s="35"/>
      <c r="J2052" s="38">
        <v>2</v>
      </c>
      <c r="K2052" s="39">
        <v>15</v>
      </c>
      <c r="L2052" s="39">
        <f>K2052*J2052</f>
        <v>30</v>
      </c>
      <c r="M2052" s="91"/>
      <c r="N2052" s="33">
        <v>44755</v>
      </c>
      <c r="O2052" s="32">
        <v>4380</v>
      </c>
      <c r="P2052" s="391">
        <v>12</v>
      </c>
      <c r="Q2052" s="322">
        <f>P2052*J2052</f>
        <v>24</v>
      </c>
      <c r="R2052" s="322">
        <v>24</v>
      </c>
      <c r="S2052" s="7">
        <v>1000</v>
      </c>
      <c r="T2052" s="7">
        <f>S2052*J2052</f>
        <v>2000</v>
      </c>
      <c r="U2052" s="21"/>
      <c r="V2052" s="260">
        <v>120</v>
      </c>
    </row>
    <row r="2053" spans="1:22" s="7" customFormat="1" ht="18" customHeight="1">
      <c r="B2053" s="12"/>
      <c r="C2053" s="6" t="s">
        <v>3115</v>
      </c>
      <c r="D2053" s="14" t="s">
        <v>3116</v>
      </c>
      <c r="E2053" s="22"/>
      <c r="F2053" s="102"/>
      <c r="G2053" s="22" t="s">
        <v>316</v>
      </c>
      <c r="H2053" s="8"/>
      <c r="I2053" s="35"/>
      <c r="J2053" s="38">
        <v>1</v>
      </c>
      <c r="K2053" s="39">
        <v>20</v>
      </c>
      <c r="L2053" s="39">
        <f>K2053*J2053</f>
        <v>20</v>
      </c>
      <c r="M2053" s="91"/>
      <c r="N2053" s="33">
        <v>44755</v>
      </c>
      <c r="O2053" s="32">
        <v>4380</v>
      </c>
      <c r="P2053" s="6" t="s">
        <v>3</v>
      </c>
      <c r="Q2053" s="322">
        <v>20</v>
      </c>
      <c r="R2053" s="322">
        <v>20</v>
      </c>
      <c r="S2053" s="7">
        <v>1000</v>
      </c>
      <c r="T2053" s="7">
        <f>S2053*J2053</f>
        <v>1000</v>
      </c>
      <c r="U2053" s="21"/>
      <c r="V2053" s="260">
        <v>120</v>
      </c>
    </row>
    <row r="2054" spans="1:22" s="191" customFormat="1" ht="18" customHeight="1">
      <c r="B2054" s="190"/>
      <c r="C2054" s="179" t="s">
        <v>3115</v>
      </c>
      <c r="D2054" s="180" t="s">
        <v>3116</v>
      </c>
      <c r="E2054" s="217"/>
      <c r="F2054" s="182"/>
      <c r="G2054" s="182" t="s">
        <v>250</v>
      </c>
      <c r="H2054" s="184" t="s">
        <v>251</v>
      </c>
      <c r="I2054" s="185"/>
      <c r="J2054" s="183"/>
      <c r="K2054" s="192">
        <v>0</v>
      </c>
      <c r="L2054" s="187"/>
      <c r="M2054" s="187"/>
      <c r="N2054" s="187">
        <v>44755</v>
      </c>
      <c r="O2054" s="186">
        <v>4380</v>
      </c>
      <c r="P2054" s="179"/>
      <c r="Q2054" s="255">
        <v>0</v>
      </c>
      <c r="R2054" s="322">
        <v>0</v>
      </c>
      <c r="S2054" s="275">
        <v>0</v>
      </c>
      <c r="T2054" s="198">
        <v>0</v>
      </c>
      <c r="U2054" s="271"/>
      <c r="V2054" s="260">
        <v>120</v>
      </c>
    </row>
    <row r="2055" spans="1:22" s="7" customFormat="1" ht="18" customHeight="1">
      <c r="B2055" s="12"/>
      <c r="C2055" s="6" t="s">
        <v>3119</v>
      </c>
      <c r="D2055" s="14" t="s">
        <v>3116</v>
      </c>
      <c r="E2055" s="20" t="s">
        <v>3120</v>
      </c>
      <c r="F2055" s="15"/>
      <c r="G2055" s="165"/>
      <c r="H2055" s="8"/>
      <c r="I2055" s="35"/>
      <c r="J2055" s="108"/>
      <c r="K2055" s="29" t="s">
        <v>5</v>
      </c>
      <c r="L2055" s="33"/>
      <c r="M2055" s="33"/>
      <c r="N2055" s="33"/>
      <c r="O2055" s="32"/>
      <c r="P2055" s="6"/>
      <c r="Q2055" s="322"/>
      <c r="U2055" s="39"/>
      <c r="V2055" s="260">
        <v>120</v>
      </c>
    </row>
    <row r="2056" spans="1:22" s="7" customFormat="1" ht="18" customHeight="1">
      <c r="B2056" s="12" t="s">
        <v>300</v>
      </c>
      <c r="C2056" s="6" t="s">
        <v>3119</v>
      </c>
      <c r="D2056" s="14" t="s">
        <v>3116</v>
      </c>
      <c r="E2056" s="49" t="s">
        <v>3121</v>
      </c>
      <c r="F2056" s="37"/>
      <c r="G2056" s="816"/>
      <c r="H2056" s="108"/>
      <c r="I2056" s="109"/>
      <c r="J2056" s="8"/>
      <c r="K2056" s="782"/>
      <c r="L2056" s="39"/>
      <c r="M2056" s="117" t="s">
        <v>322</v>
      </c>
      <c r="N2056" s="33"/>
      <c r="O2056" s="32"/>
      <c r="P2056" s="793"/>
      <c r="Q2056" s="334"/>
      <c r="R2056" s="944">
        <f>Q2056*J2056</f>
        <v>0</v>
      </c>
      <c r="S2056" s="322">
        <v>160</v>
      </c>
      <c r="T2056" s="322">
        <v>160</v>
      </c>
      <c r="U2056" s="772"/>
      <c r="V2056" s="260">
        <v>120</v>
      </c>
    </row>
    <row r="2057" spans="1:22" s="191" customFormat="1" ht="18" customHeight="1">
      <c r="A2057" s="7"/>
      <c r="B2057" s="190"/>
      <c r="C2057" s="179" t="s">
        <v>3119</v>
      </c>
      <c r="D2057" s="180" t="s">
        <v>3116</v>
      </c>
      <c r="E2057" s="217"/>
      <c r="F2057" s="182"/>
      <c r="G2057" s="182" t="s">
        <v>250</v>
      </c>
      <c r="H2057" s="184" t="s">
        <v>251</v>
      </c>
      <c r="I2057" s="185"/>
      <c r="J2057" s="183"/>
      <c r="K2057" s="192">
        <v>0</v>
      </c>
      <c r="L2057" s="188"/>
      <c r="M2057" s="187"/>
      <c r="N2057" s="187"/>
      <c r="O2057" s="186"/>
      <c r="P2057" s="179"/>
      <c r="Q2057" s="725">
        <v>0</v>
      </c>
      <c r="S2057" s="197">
        <v>0</v>
      </c>
      <c r="T2057" s="198">
        <v>0</v>
      </c>
      <c r="U2057" s="335"/>
      <c r="V2057" s="260">
        <v>120</v>
      </c>
    </row>
    <row r="2058" spans="1:22" s="7" customFormat="1" ht="18" customHeight="1">
      <c r="B2058" s="12"/>
      <c r="C2058" s="6" t="s">
        <v>3122</v>
      </c>
      <c r="D2058" s="14" t="s">
        <v>2479</v>
      </c>
      <c r="E2058" s="14" t="s">
        <v>2474</v>
      </c>
      <c r="F2058" s="163"/>
      <c r="G2058" s="770"/>
      <c r="H2058" s="126"/>
      <c r="I2058" s="109"/>
      <c r="J2058" s="108"/>
      <c r="K2058" s="29" t="s">
        <v>5</v>
      </c>
      <c r="L2058" s="139"/>
      <c r="M2058" s="33"/>
      <c r="N2058" s="33">
        <v>44757</v>
      </c>
      <c r="O2058" s="32">
        <v>4390</v>
      </c>
      <c r="P2058" s="6"/>
      <c r="Q2058" s="322"/>
      <c r="U2058" s="23"/>
      <c r="V2058" s="260">
        <v>120</v>
      </c>
    </row>
    <row r="2059" spans="1:22" s="7" customFormat="1" ht="18" customHeight="1">
      <c r="B2059" s="12" t="s">
        <v>300</v>
      </c>
      <c r="C2059" s="6" t="s">
        <v>3122</v>
      </c>
      <c r="D2059" s="14" t="s">
        <v>2479</v>
      </c>
      <c r="E2059" s="22" t="s">
        <v>2185</v>
      </c>
      <c r="F2059" s="163">
        <v>10</v>
      </c>
      <c r="G2059" s="22" t="s">
        <v>273</v>
      </c>
      <c r="H2059" s="108">
        <v>100</v>
      </c>
      <c r="I2059" s="109">
        <v>3</v>
      </c>
      <c r="J2059" s="8">
        <f>H2059*I2059</f>
        <v>300</v>
      </c>
      <c r="K2059" s="39">
        <v>1.06</v>
      </c>
      <c r="L2059" s="39">
        <f>K2059*J2059</f>
        <v>318</v>
      </c>
      <c r="M2059" s="117" t="s">
        <v>322</v>
      </c>
      <c r="N2059" s="33">
        <v>44757</v>
      </c>
      <c r="O2059" s="32">
        <v>4390</v>
      </c>
      <c r="P2059" s="391">
        <f>ROUNDUP(S2059/V2059/VLOOKUP(B2059,$C$2:$F$6,3,FALSE),2)</f>
        <v>0.68</v>
      </c>
      <c r="Q2059" s="322">
        <v>0.68</v>
      </c>
      <c r="R2059" s="322">
        <f>Q2059*J2059</f>
        <v>204.00000000000003</v>
      </c>
      <c r="S2059" s="7">
        <v>57</v>
      </c>
      <c r="T2059" s="7">
        <f>S2059*J2059</f>
        <v>17100</v>
      </c>
      <c r="U2059" s="39"/>
      <c r="V2059" s="260">
        <v>120</v>
      </c>
    </row>
    <row r="2060" spans="1:22" s="7" customFormat="1" ht="15">
      <c r="B2060" s="12"/>
      <c r="C2060" s="6" t="s">
        <v>3122</v>
      </c>
      <c r="D2060" s="14" t="s">
        <v>2479</v>
      </c>
      <c r="E2060" s="22"/>
      <c r="F2060" s="102"/>
      <c r="G2060" s="22" t="s">
        <v>14</v>
      </c>
      <c r="H2060" s="8"/>
      <c r="I2060" s="35"/>
      <c r="J2060" s="38">
        <v>1</v>
      </c>
      <c r="K2060" s="39">
        <v>12</v>
      </c>
      <c r="L2060" s="39">
        <f>K2060*J2060</f>
        <v>12</v>
      </c>
      <c r="M2060" s="33"/>
      <c r="N2060" s="33">
        <v>44757</v>
      </c>
      <c r="O2060" s="32">
        <v>4390</v>
      </c>
      <c r="P2060" s="6"/>
      <c r="Q2060" s="322">
        <v>12</v>
      </c>
      <c r="R2060" s="322">
        <f>Q2060*J2060</f>
        <v>12</v>
      </c>
      <c r="S2060" s="7">
        <v>1000</v>
      </c>
      <c r="T2060" s="7">
        <f>S2060*J2060</f>
        <v>1000</v>
      </c>
      <c r="U2060" s="21"/>
      <c r="V2060" s="260">
        <v>120</v>
      </c>
    </row>
    <row r="2061" spans="1:22" s="191" customFormat="1" ht="15">
      <c r="A2061" s="7"/>
      <c r="B2061" s="190"/>
      <c r="C2061" s="179" t="s">
        <v>3122</v>
      </c>
      <c r="D2061" s="180" t="s">
        <v>2479</v>
      </c>
      <c r="E2061" s="217"/>
      <c r="F2061" s="182"/>
      <c r="G2061" s="182" t="s">
        <v>250</v>
      </c>
      <c r="H2061" s="184" t="s">
        <v>251</v>
      </c>
      <c r="I2061" s="185"/>
      <c r="J2061" s="183"/>
      <c r="K2061" s="192">
        <v>0</v>
      </c>
      <c r="L2061" s="188"/>
      <c r="M2061" s="187"/>
      <c r="N2061" s="187">
        <v>44757</v>
      </c>
      <c r="O2061" s="186">
        <v>4390</v>
      </c>
      <c r="P2061" s="179"/>
      <c r="Q2061" s="725">
        <v>0</v>
      </c>
      <c r="S2061" s="197">
        <v>0</v>
      </c>
      <c r="T2061" s="198">
        <v>0</v>
      </c>
      <c r="U2061" s="335"/>
      <c r="V2061" s="260">
        <v>120</v>
      </c>
    </row>
    <row r="2062" spans="1:22" s="7" customFormat="1" ht="18" customHeight="1">
      <c r="B2062" s="12"/>
      <c r="C2062" s="6" t="s">
        <v>3123</v>
      </c>
      <c r="D2062" s="14" t="s">
        <v>2998</v>
      </c>
      <c r="E2062" s="20" t="s">
        <v>3124</v>
      </c>
      <c r="F2062" s="15"/>
      <c r="G2062" s="37"/>
      <c r="H2062" s="8"/>
      <c r="I2062" s="35"/>
      <c r="J2062" s="108"/>
      <c r="K2062" s="29" t="s">
        <v>5</v>
      </c>
      <c r="L2062" s="11"/>
      <c r="M2062" s="11"/>
      <c r="N2062" s="33">
        <v>44775</v>
      </c>
      <c r="O2062" s="32">
        <v>4461</v>
      </c>
      <c r="P2062" s="6"/>
      <c r="Q2062" s="322"/>
      <c r="U2062" s="39"/>
      <c r="V2062" s="260">
        <v>120</v>
      </c>
    </row>
    <row r="2063" spans="1:22" s="7" customFormat="1" ht="18" customHeight="1">
      <c r="B2063" s="12"/>
      <c r="C2063" s="6" t="s">
        <v>3123</v>
      </c>
      <c r="D2063" s="14" t="s">
        <v>2998</v>
      </c>
      <c r="E2063" s="19" t="s">
        <v>3125</v>
      </c>
      <c r="F2063" s="15"/>
      <c r="G2063" s="37" t="s">
        <v>3126</v>
      </c>
      <c r="H2063" s="8"/>
      <c r="I2063" s="35"/>
      <c r="J2063" s="38">
        <v>1</v>
      </c>
      <c r="K2063" s="39">
        <v>440</v>
      </c>
      <c r="L2063" s="39">
        <f>K2063*J2063</f>
        <v>440</v>
      </c>
      <c r="M2063" s="117" t="s">
        <v>322</v>
      </c>
      <c r="N2063" s="33">
        <v>44775</v>
      </c>
      <c r="O2063" s="32">
        <v>4461</v>
      </c>
      <c r="P2063" s="6"/>
      <c r="Q2063" s="334">
        <v>342.5</v>
      </c>
      <c r="R2063" s="334">
        <v>342.5</v>
      </c>
      <c r="S2063" s="322">
        <f>195+50</f>
        <v>245</v>
      </c>
      <c r="T2063" s="322">
        <f>195+50</f>
        <v>245</v>
      </c>
      <c r="U2063" s="39"/>
      <c r="V2063" s="260">
        <v>120</v>
      </c>
    </row>
    <row r="2064" spans="1:22" s="7" customFormat="1" ht="18" customHeight="1">
      <c r="B2064" s="12" t="s">
        <v>300</v>
      </c>
      <c r="C2064" s="6" t="s">
        <v>3127</v>
      </c>
      <c r="D2064" s="14" t="s">
        <v>2998</v>
      </c>
      <c r="E2064" s="19" t="s">
        <v>3125</v>
      </c>
      <c r="F2064" s="945">
        <v>4.5999999999999996</v>
      </c>
      <c r="G2064" s="37" t="s">
        <v>3128</v>
      </c>
      <c r="H2064" s="108"/>
      <c r="I2064" s="109"/>
      <c r="J2064" s="8">
        <v>20</v>
      </c>
      <c r="K2064" s="782"/>
      <c r="L2064" s="39">
        <f>K2064*J2064</f>
        <v>0</v>
      </c>
      <c r="M2064" s="117" t="s">
        <v>322</v>
      </c>
      <c r="N2064" s="33">
        <v>44775</v>
      </c>
      <c r="O2064" s="32">
        <v>4461</v>
      </c>
      <c r="P2064" s="793"/>
      <c r="Q2064" s="334"/>
      <c r="R2064" s="322">
        <f>Q2064*J2064</f>
        <v>0</v>
      </c>
      <c r="S2064" s="322"/>
      <c r="T2064" s="322"/>
      <c r="U2064" s="772"/>
      <c r="V2064" s="260">
        <v>120</v>
      </c>
    </row>
    <row r="2065" spans="1:22" s="7" customFormat="1" ht="18" customHeight="1">
      <c r="B2065" s="12" t="s">
        <v>300</v>
      </c>
      <c r="C2065" s="6" t="s">
        <v>3129</v>
      </c>
      <c r="D2065" s="14" t="s">
        <v>2998</v>
      </c>
      <c r="E2065" s="19" t="s">
        <v>3125</v>
      </c>
      <c r="F2065" s="945">
        <v>4.5999999999999996</v>
      </c>
      <c r="G2065" s="37" t="s">
        <v>3128</v>
      </c>
      <c r="H2065" s="108"/>
      <c r="I2065" s="109"/>
      <c r="J2065" s="8">
        <v>10</v>
      </c>
      <c r="K2065" s="782"/>
      <c r="L2065" s="39">
        <f>K2065*J2065</f>
        <v>0</v>
      </c>
      <c r="M2065" s="117" t="s">
        <v>322</v>
      </c>
      <c r="N2065" s="33">
        <v>44775</v>
      </c>
      <c r="O2065" s="32">
        <v>4461</v>
      </c>
      <c r="P2065" s="793"/>
      <c r="Q2065" s="334"/>
      <c r="R2065" s="322">
        <f>Q2065*J2065</f>
        <v>0</v>
      </c>
      <c r="S2065" s="322"/>
      <c r="T2065" s="322"/>
      <c r="U2065" s="772"/>
      <c r="V2065" s="260">
        <v>120</v>
      </c>
    </row>
    <row r="2066" spans="1:22" s="7" customFormat="1" ht="18" customHeight="1">
      <c r="B2066" s="12" t="s">
        <v>300</v>
      </c>
      <c r="C2066" s="6" t="s">
        <v>3130</v>
      </c>
      <c r="D2066" s="14" t="s">
        <v>2998</v>
      </c>
      <c r="E2066" s="19" t="s">
        <v>3125</v>
      </c>
      <c r="F2066" s="945">
        <v>4.5999999999999996</v>
      </c>
      <c r="G2066" s="37" t="s">
        <v>3128</v>
      </c>
      <c r="H2066" s="108"/>
      <c r="I2066" s="109"/>
      <c r="J2066" s="8">
        <v>2</v>
      </c>
      <c r="K2066" s="782"/>
      <c r="L2066" s="39">
        <f>K2066*J2066</f>
        <v>0</v>
      </c>
      <c r="M2066" s="117" t="s">
        <v>322</v>
      </c>
      <c r="N2066" s="13" t="s">
        <v>3131</v>
      </c>
      <c r="O2066" s="111"/>
      <c r="P2066" s="793"/>
      <c r="Q2066" s="334"/>
      <c r="R2066" s="322">
        <f>Q2066*J2066</f>
        <v>0</v>
      </c>
      <c r="S2066" s="322"/>
      <c r="T2066" s="322"/>
      <c r="U2066" s="772"/>
      <c r="V2066" s="260">
        <v>120</v>
      </c>
    </row>
    <row r="2067" spans="1:22" s="218" customFormat="1" ht="18" customHeight="1">
      <c r="A2067" s="7"/>
      <c r="B2067" s="189"/>
      <c r="C2067" s="179"/>
      <c r="D2067" s="180" t="s">
        <v>2998</v>
      </c>
      <c r="E2067" s="217"/>
      <c r="F2067" s="182"/>
      <c r="G2067" s="182" t="s">
        <v>250</v>
      </c>
      <c r="H2067" s="184" t="s">
        <v>251</v>
      </c>
      <c r="I2067" s="185"/>
      <c r="J2067" s="183"/>
      <c r="K2067" s="192">
        <v>0</v>
      </c>
      <c r="L2067" s="946"/>
      <c r="M2067" s="947"/>
      <c r="N2067" s="947"/>
      <c r="O2067" s="948"/>
      <c r="P2067" s="179"/>
      <c r="Q2067" s="725">
        <v>0</v>
      </c>
      <c r="S2067" s="197">
        <v>0</v>
      </c>
      <c r="T2067" s="197">
        <v>0</v>
      </c>
      <c r="U2067" s="335"/>
      <c r="V2067" s="260">
        <v>120</v>
      </c>
    </row>
    <row r="2068" spans="1:22" s="7" customFormat="1" ht="18" customHeight="1">
      <c r="B2068" s="12"/>
      <c r="C2068" s="6" t="s">
        <v>3132</v>
      </c>
      <c r="D2068" s="14" t="s">
        <v>3047</v>
      </c>
      <c r="E2068" s="19" t="s">
        <v>2011</v>
      </c>
      <c r="F2068" s="24"/>
      <c r="G2068" s="22"/>
      <c r="H2068" s="60"/>
      <c r="I2068" s="61"/>
      <c r="J2068" s="60"/>
      <c r="K2068" s="16" t="s">
        <v>5</v>
      </c>
      <c r="L2068" s="139"/>
      <c r="M2068" s="33"/>
      <c r="N2068" s="33">
        <v>44764</v>
      </c>
      <c r="O2068" s="32">
        <v>4414</v>
      </c>
      <c r="P2068" s="6" t="s">
        <v>3</v>
      </c>
      <c r="Q2068" s="358"/>
      <c r="U2068" s="120"/>
      <c r="V2068" s="260">
        <v>120</v>
      </c>
    </row>
    <row r="2069" spans="1:22" s="7" customFormat="1" ht="18" customHeight="1">
      <c r="B2069" s="12" t="s">
        <v>300</v>
      </c>
      <c r="C2069" s="6" t="s">
        <v>3133</v>
      </c>
      <c r="D2069" s="14" t="s">
        <v>700</v>
      </c>
      <c r="E2069" s="401" t="s">
        <v>3134</v>
      </c>
      <c r="F2069" s="24"/>
      <c r="G2069" s="22" t="s">
        <v>58</v>
      </c>
      <c r="H2069" s="108"/>
      <c r="I2069" s="109"/>
      <c r="J2069" s="8">
        <v>1</v>
      </c>
      <c r="K2069" s="39">
        <v>1.75</v>
      </c>
      <c r="L2069" s="39">
        <f t="shared" ref="L2069:L2079" si="117">K2069*J2069</f>
        <v>1.75</v>
      </c>
      <c r="M2069" s="117" t="s">
        <v>349</v>
      </c>
      <c r="N2069" s="33">
        <v>44764</v>
      </c>
      <c r="O2069" s="32">
        <v>4414</v>
      </c>
      <c r="P2069" s="391">
        <f t="shared" ref="P2069:P2078" si="118">ROUNDUP(S2069/V2069/VLOOKUP(B2069,$C$2:$F$6,3,FALSE),2)</f>
        <v>1.1200000000000001</v>
      </c>
      <c r="Q2069" s="322">
        <v>1.1200000000000001</v>
      </c>
      <c r="R2069" s="322">
        <f t="shared" ref="R2069:R2078" si="119">Q2069*J2069</f>
        <v>1.1200000000000001</v>
      </c>
      <c r="S2069" s="949">
        <v>94</v>
      </c>
      <c r="T2069" s="7">
        <f>S2069*J2069</f>
        <v>94</v>
      </c>
      <c r="U2069" s="386"/>
      <c r="V2069" s="260">
        <v>120</v>
      </c>
    </row>
    <row r="2070" spans="1:22" s="7" customFormat="1" ht="18" customHeight="1">
      <c r="B2070" s="12" t="s">
        <v>300</v>
      </c>
      <c r="C2070" s="6" t="s">
        <v>3132</v>
      </c>
      <c r="D2070" s="14" t="s">
        <v>3047</v>
      </c>
      <c r="E2070" s="401" t="s">
        <v>3135</v>
      </c>
      <c r="F2070" s="24"/>
      <c r="G2070" s="22" t="s">
        <v>58</v>
      </c>
      <c r="H2070" s="108"/>
      <c r="I2070" s="109"/>
      <c r="J2070" s="8">
        <v>1</v>
      </c>
      <c r="K2070" s="39">
        <v>2.4099999999999997</v>
      </c>
      <c r="L2070" s="39">
        <f t="shared" si="117"/>
        <v>2.4099999999999997</v>
      </c>
      <c r="M2070" s="117" t="s">
        <v>349</v>
      </c>
      <c r="N2070" s="33">
        <v>44764</v>
      </c>
      <c r="O2070" s="32">
        <v>4414</v>
      </c>
      <c r="P2070" s="391">
        <f t="shared" si="118"/>
        <v>1.55</v>
      </c>
      <c r="Q2070" s="322">
        <v>1.55</v>
      </c>
      <c r="R2070" s="322">
        <f t="shared" si="119"/>
        <v>1.55</v>
      </c>
      <c r="S2070" s="949">
        <v>130</v>
      </c>
      <c r="T2070" s="7">
        <f>S2070*J2070</f>
        <v>130</v>
      </c>
      <c r="U2070" s="386"/>
      <c r="V2070" s="260">
        <v>120</v>
      </c>
    </row>
    <row r="2071" spans="1:22" s="7" customFormat="1" ht="18" customHeight="1">
      <c r="B2071" s="12" t="s">
        <v>300</v>
      </c>
      <c r="C2071" s="6" t="s">
        <v>3132</v>
      </c>
      <c r="D2071" s="14" t="s">
        <v>3047</v>
      </c>
      <c r="E2071" s="401" t="s">
        <v>3136</v>
      </c>
      <c r="F2071" s="24"/>
      <c r="G2071" s="22" t="s">
        <v>58</v>
      </c>
      <c r="H2071" s="108"/>
      <c r="I2071" s="109"/>
      <c r="J2071" s="8">
        <v>1</v>
      </c>
      <c r="K2071" s="39">
        <v>2.75</v>
      </c>
      <c r="L2071" s="39">
        <f t="shared" si="117"/>
        <v>2.75</v>
      </c>
      <c r="M2071" s="117" t="s">
        <v>349</v>
      </c>
      <c r="N2071" s="33">
        <v>44764</v>
      </c>
      <c r="O2071" s="32">
        <v>4414</v>
      </c>
      <c r="P2071" s="391">
        <f t="shared" si="118"/>
        <v>1.77</v>
      </c>
      <c r="Q2071" s="322">
        <v>1.77</v>
      </c>
      <c r="R2071" s="322">
        <f t="shared" si="119"/>
        <v>1.77</v>
      </c>
      <c r="S2071" s="949">
        <v>148</v>
      </c>
      <c r="T2071" s="7">
        <f>S2071*J2071</f>
        <v>148</v>
      </c>
      <c r="U2071" s="386"/>
      <c r="V2071" s="260">
        <v>120</v>
      </c>
    </row>
    <row r="2072" spans="1:22" s="7" customFormat="1" ht="18" customHeight="1">
      <c r="B2072" s="12" t="s">
        <v>300</v>
      </c>
      <c r="C2072" s="6" t="s">
        <v>3132</v>
      </c>
      <c r="D2072" s="14" t="s">
        <v>3047</v>
      </c>
      <c r="E2072" s="401" t="s">
        <v>3137</v>
      </c>
      <c r="F2072" s="24"/>
      <c r="G2072" s="22" t="s">
        <v>58</v>
      </c>
      <c r="H2072" s="108"/>
      <c r="I2072" s="109"/>
      <c r="J2072" s="8">
        <v>1</v>
      </c>
      <c r="K2072" s="39">
        <v>1.06</v>
      </c>
      <c r="L2072" s="39">
        <f t="shared" si="117"/>
        <v>1.06</v>
      </c>
      <c r="M2072" s="117" t="s">
        <v>349</v>
      </c>
      <c r="N2072" s="33">
        <v>44764</v>
      </c>
      <c r="O2072" s="32">
        <v>4414</v>
      </c>
      <c r="P2072" s="391">
        <f t="shared" si="118"/>
        <v>0.68</v>
      </c>
      <c r="Q2072" s="322">
        <v>0.68</v>
      </c>
      <c r="R2072" s="322">
        <f t="shared" si="119"/>
        <v>0.68</v>
      </c>
      <c r="S2072" s="949">
        <v>57</v>
      </c>
      <c r="T2072" s="7">
        <f>S2072*J2072</f>
        <v>57</v>
      </c>
      <c r="U2072" s="386"/>
      <c r="V2072" s="260">
        <v>120</v>
      </c>
    </row>
    <row r="2073" spans="1:22" s="7" customFormat="1" ht="18" customHeight="1">
      <c r="B2073" s="12" t="s">
        <v>300</v>
      </c>
      <c r="C2073" s="6" t="s">
        <v>3132</v>
      </c>
      <c r="D2073" s="14" t="s">
        <v>3047</v>
      </c>
      <c r="E2073" s="401" t="s">
        <v>3138</v>
      </c>
      <c r="F2073" s="24"/>
      <c r="G2073" s="22" t="s">
        <v>58</v>
      </c>
      <c r="H2073" s="108"/>
      <c r="I2073" s="109"/>
      <c r="J2073" s="8">
        <v>1</v>
      </c>
      <c r="K2073" s="39">
        <v>1.04</v>
      </c>
      <c r="L2073" s="39">
        <f t="shared" si="117"/>
        <v>1.04</v>
      </c>
      <c r="M2073" s="117" t="s">
        <v>349</v>
      </c>
      <c r="N2073" s="33">
        <v>44764</v>
      </c>
      <c r="O2073" s="32">
        <v>4414</v>
      </c>
      <c r="P2073" s="391">
        <f t="shared" si="118"/>
        <v>0.67</v>
      </c>
      <c r="Q2073" s="322">
        <v>0.67</v>
      </c>
      <c r="R2073" s="322">
        <f t="shared" si="119"/>
        <v>0.67</v>
      </c>
      <c r="S2073" s="949">
        <v>56</v>
      </c>
      <c r="T2073" s="7">
        <f t="shared" ref="T2073:T2078" si="120">S2073*J2073</f>
        <v>56</v>
      </c>
      <c r="U2073" s="386"/>
      <c r="V2073" s="260">
        <v>120</v>
      </c>
    </row>
    <row r="2074" spans="1:22" s="7" customFormat="1" ht="18" customHeight="1">
      <c r="B2074" s="12" t="s">
        <v>300</v>
      </c>
      <c r="C2074" s="6" t="s">
        <v>3132</v>
      </c>
      <c r="D2074" s="14" t="s">
        <v>3047</v>
      </c>
      <c r="E2074" s="401" t="s">
        <v>3139</v>
      </c>
      <c r="F2074" s="24"/>
      <c r="G2074" s="22" t="s">
        <v>58</v>
      </c>
      <c r="H2074" s="108"/>
      <c r="I2074" s="109"/>
      <c r="J2074" s="8">
        <v>1</v>
      </c>
      <c r="K2074" s="39">
        <v>1.02</v>
      </c>
      <c r="L2074" s="39">
        <f t="shared" si="117"/>
        <v>1.02</v>
      </c>
      <c r="M2074" s="117" t="s">
        <v>349</v>
      </c>
      <c r="N2074" s="33">
        <v>44764</v>
      </c>
      <c r="O2074" s="32">
        <v>4414</v>
      </c>
      <c r="P2074" s="391">
        <f t="shared" si="118"/>
        <v>0.66</v>
      </c>
      <c r="Q2074" s="322">
        <v>0.66</v>
      </c>
      <c r="R2074" s="322">
        <f t="shared" si="119"/>
        <v>0.66</v>
      </c>
      <c r="S2074" s="949">
        <v>55</v>
      </c>
      <c r="T2074" s="7">
        <f t="shared" si="120"/>
        <v>55</v>
      </c>
      <c r="U2074" s="386"/>
      <c r="V2074" s="260">
        <v>120</v>
      </c>
    </row>
    <row r="2075" spans="1:22" s="7" customFormat="1" ht="18" customHeight="1">
      <c r="B2075" s="12" t="s">
        <v>300</v>
      </c>
      <c r="C2075" s="6" t="s">
        <v>3132</v>
      </c>
      <c r="D2075" s="14" t="s">
        <v>3047</v>
      </c>
      <c r="E2075" s="401" t="s">
        <v>3140</v>
      </c>
      <c r="F2075" s="24"/>
      <c r="G2075" s="22" t="s">
        <v>58</v>
      </c>
      <c r="H2075" s="108"/>
      <c r="I2075" s="109"/>
      <c r="J2075" s="8">
        <v>1</v>
      </c>
      <c r="K2075" s="39">
        <v>1.26</v>
      </c>
      <c r="L2075" s="39">
        <f t="shared" si="117"/>
        <v>1.26</v>
      </c>
      <c r="M2075" s="117" t="s">
        <v>349</v>
      </c>
      <c r="N2075" s="33">
        <v>44764</v>
      </c>
      <c r="O2075" s="32">
        <v>4414</v>
      </c>
      <c r="P2075" s="391">
        <f t="shared" si="118"/>
        <v>0.81</v>
      </c>
      <c r="Q2075" s="322">
        <v>0.81</v>
      </c>
      <c r="R2075" s="322">
        <f t="shared" si="119"/>
        <v>0.81</v>
      </c>
      <c r="S2075" s="949">
        <v>68</v>
      </c>
      <c r="T2075" s="7">
        <f t="shared" si="120"/>
        <v>68</v>
      </c>
      <c r="U2075" s="386"/>
      <c r="V2075" s="260">
        <v>120</v>
      </c>
    </row>
    <row r="2076" spans="1:22" s="7" customFormat="1" ht="18" customHeight="1">
      <c r="B2076" s="12" t="s">
        <v>300</v>
      </c>
      <c r="C2076" s="6" t="s">
        <v>3132</v>
      </c>
      <c r="D2076" s="14" t="s">
        <v>3047</v>
      </c>
      <c r="E2076" s="401" t="s">
        <v>3141</v>
      </c>
      <c r="F2076" s="24"/>
      <c r="G2076" s="22" t="s">
        <v>58</v>
      </c>
      <c r="H2076" s="108"/>
      <c r="I2076" s="109"/>
      <c r="J2076" s="8">
        <v>1</v>
      </c>
      <c r="K2076" s="39">
        <v>1.62</v>
      </c>
      <c r="L2076" s="39">
        <f t="shared" si="117"/>
        <v>1.62</v>
      </c>
      <c r="M2076" s="117" t="s">
        <v>349</v>
      </c>
      <c r="N2076" s="33">
        <v>44764</v>
      </c>
      <c r="O2076" s="32">
        <v>4414</v>
      </c>
      <c r="P2076" s="391">
        <f t="shared" si="118"/>
        <v>1.04</v>
      </c>
      <c r="Q2076" s="322">
        <v>1.04</v>
      </c>
      <c r="R2076" s="322">
        <f t="shared" si="119"/>
        <v>1.04</v>
      </c>
      <c r="S2076" s="949">
        <v>87</v>
      </c>
      <c r="T2076" s="7">
        <f t="shared" si="120"/>
        <v>87</v>
      </c>
      <c r="U2076" s="386"/>
      <c r="V2076" s="260">
        <v>120</v>
      </c>
    </row>
    <row r="2077" spans="1:22" s="7" customFormat="1" ht="18" customHeight="1">
      <c r="B2077" s="12" t="s">
        <v>300</v>
      </c>
      <c r="C2077" s="6" t="s">
        <v>3132</v>
      </c>
      <c r="D2077" s="14" t="s">
        <v>3047</v>
      </c>
      <c r="E2077" s="401" t="s">
        <v>3142</v>
      </c>
      <c r="F2077" s="24"/>
      <c r="G2077" s="22" t="s">
        <v>58</v>
      </c>
      <c r="H2077" s="108"/>
      <c r="I2077" s="109"/>
      <c r="J2077" s="8">
        <v>1</v>
      </c>
      <c r="K2077" s="39">
        <v>0.67</v>
      </c>
      <c r="L2077" s="39">
        <f t="shared" si="117"/>
        <v>0.67</v>
      </c>
      <c r="M2077" s="117" t="s">
        <v>349</v>
      </c>
      <c r="N2077" s="33">
        <v>44764</v>
      </c>
      <c r="O2077" s="32">
        <v>4414</v>
      </c>
      <c r="P2077" s="391">
        <f t="shared" si="118"/>
        <v>0.43</v>
      </c>
      <c r="Q2077" s="322">
        <v>0.43</v>
      </c>
      <c r="R2077" s="322">
        <f t="shared" si="119"/>
        <v>0.43</v>
      </c>
      <c r="S2077" s="949">
        <v>36</v>
      </c>
      <c r="T2077" s="7">
        <f t="shared" si="120"/>
        <v>36</v>
      </c>
      <c r="U2077" s="386"/>
      <c r="V2077" s="260">
        <v>120</v>
      </c>
    </row>
    <row r="2078" spans="1:22" s="7" customFormat="1" ht="18" customHeight="1">
      <c r="B2078" s="12" t="s">
        <v>300</v>
      </c>
      <c r="C2078" s="6" t="s">
        <v>3132</v>
      </c>
      <c r="D2078" s="14" t="s">
        <v>3047</v>
      </c>
      <c r="E2078" s="401" t="s">
        <v>3143</v>
      </c>
      <c r="F2078" s="24"/>
      <c r="G2078" s="22" t="s">
        <v>58</v>
      </c>
      <c r="H2078" s="108"/>
      <c r="I2078" s="109"/>
      <c r="J2078" s="8">
        <v>1</v>
      </c>
      <c r="K2078" s="39">
        <v>0.88</v>
      </c>
      <c r="L2078" s="39">
        <f t="shared" si="117"/>
        <v>0.88</v>
      </c>
      <c r="M2078" s="117" t="s">
        <v>349</v>
      </c>
      <c r="N2078" s="33">
        <v>44764</v>
      </c>
      <c r="O2078" s="32">
        <v>4414</v>
      </c>
      <c r="P2078" s="391">
        <f t="shared" si="118"/>
        <v>0.56000000000000005</v>
      </c>
      <c r="Q2078" s="322">
        <v>0.56000000000000005</v>
      </c>
      <c r="R2078" s="322">
        <f t="shared" si="119"/>
        <v>0.56000000000000005</v>
      </c>
      <c r="S2078" s="949">
        <v>47</v>
      </c>
      <c r="T2078" s="7">
        <f t="shared" si="120"/>
        <v>47</v>
      </c>
      <c r="U2078" s="386"/>
      <c r="V2078" s="260">
        <v>120</v>
      </c>
    </row>
    <row r="2079" spans="1:22" s="7" customFormat="1" ht="18" customHeight="1">
      <c r="B2079" s="12"/>
      <c r="C2079" s="6" t="s">
        <v>3132</v>
      </c>
      <c r="D2079" s="14" t="s">
        <v>3047</v>
      </c>
      <c r="E2079" s="22"/>
      <c r="F2079" s="340"/>
      <c r="G2079" s="22" t="s">
        <v>316</v>
      </c>
      <c r="H2079" s="8"/>
      <c r="I2079" s="109" ph="1"/>
      <c r="J2079" s="38">
        <v>1</v>
      </c>
      <c r="K2079" s="39">
        <v>12</v>
      </c>
      <c r="L2079" s="39">
        <f t="shared" si="117"/>
        <v>12</v>
      </c>
      <c r="M2079" s="91"/>
      <c r="N2079" s="33">
        <v>44764</v>
      </c>
      <c r="O2079" s="32">
        <v>4414</v>
      </c>
      <c r="P2079" s="6"/>
      <c r="Q2079" s="322">
        <v>12</v>
      </c>
      <c r="R2079" s="322">
        <v>12</v>
      </c>
      <c r="S2079" s="7">
        <v>900</v>
      </c>
      <c r="T2079" s="7">
        <v>900</v>
      </c>
      <c r="U2079" s="21"/>
      <c r="V2079" s="260">
        <v>120</v>
      </c>
    </row>
    <row r="2080" spans="1:22" s="191" customFormat="1" ht="18" customHeight="1">
      <c r="B2080" s="190"/>
      <c r="C2080" s="179" t="s">
        <v>3132</v>
      </c>
      <c r="D2080" s="180" t="s">
        <v>3047</v>
      </c>
      <c r="E2080" s="181"/>
      <c r="F2080" s="182"/>
      <c r="G2080" s="182" t="s">
        <v>250</v>
      </c>
      <c r="H2080" s="184" t="s">
        <v>251</v>
      </c>
      <c r="I2080" s="185"/>
      <c r="J2080" s="183"/>
      <c r="K2080" s="192">
        <v>0</v>
      </c>
      <c r="L2080" s="188"/>
      <c r="M2080" s="187"/>
      <c r="N2080" s="187">
        <v>44764</v>
      </c>
      <c r="O2080" s="186">
        <v>4414</v>
      </c>
      <c r="P2080" s="179"/>
      <c r="Q2080" s="725">
        <v>0</v>
      </c>
      <c r="S2080" s="197">
        <v>0</v>
      </c>
      <c r="T2080" s="198">
        <v>0</v>
      </c>
      <c r="U2080" s="335"/>
      <c r="V2080" s="260">
        <v>120</v>
      </c>
    </row>
    <row r="2081" spans="2:22" s="7" customFormat="1" ht="18" customHeight="1">
      <c r="B2081" s="12"/>
      <c r="C2081" s="6" t="s">
        <v>3144</v>
      </c>
      <c r="D2081" s="14" t="s">
        <v>3116</v>
      </c>
      <c r="E2081" s="19" t="s">
        <v>10</v>
      </c>
      <c r="F2081" s="107"/>
      <c r="G2081" s="22"/>
      <c r="H2081" s="108"/>
      <c r="I2081" s="109"/>
      <c r="J2081" s="108"/>
      <c r="K2081" s="29" t="s">
        <v>5</v>
      </c>
      <c r="L2081" s="39"/>
      <c r="M2081" s="91"/>
      <c r="N2081" s="33">
        <v>44767</v>
      </c>
      <c r="O2081" s="32">
        <v>4421</v>
      </c>
      <c r="P2081" s="14"/>
      <c r="Q2081" s="322"/>
      <c r="U2081" s="14"/>
      <c r="V2081" s="384">
        <v>120</v>
      </c>
    </row>
    <row r="2082" spans="2:22" s="7" customFormat="1" ht="18" customHeight="1">
      <c r="B2082" s="12" t="s">
        <v>302</v>
      </c>
      <c r="C2082" s="6" t="s">
        <v>3144</v>
      </c>
      <c r="D2082" s="14" t="s">
        <v>3116</v>
      </c>
      <c r="E2082" s="22" t="s">
        <v>190</v>
      </c>
      <c r="F2082" s="107">
        <v>160</v>
      </c>
      <c r="G2082" s="885" t="s">
        <v>3145</v>
      </c>
      <c r="H2082" s="108">
        <v>10</v>
      </c>
      <c r="I2082" s="109">
        <v>1</v>
      </c>
      <c r="J2082" s="8">
        <f>H2082*I2082</f>
        <v>10</v>
      </c>
      <c r="K2082" s="39">
        <v>5</v>
      </c>
      <c r="L2082" s="39">
        <f>K2082*J2082</f>
        <v>50</v>
      </c>
      <c r="M2082" s="117" t="s">
        <v>322</v>
      </c>
      <c r="N2082" s="33">
        <v>44767</v>
      </c>
      <c r="O2082" s="32">
        <v>4421</v>
      </c>
      <c r="P2082" s="391">
        <f>ROUNDUP(S2082/V2082/VLOOKUP(B2082,$C$2:$F$6,3,FALSE),2)</f>
        <v>3.4099999999999997</v>
      </c>
      <c r="Q2082" s="322">
        <v>3.41</v>
      </c>
      <c r="R2082" s="322">
        <f>Q2082*J2082</f>
        <v>34.1</v>
      </c>
      <c r="S2082" s="7">
        <v>360</v>
      </c>
      <c r="T2082" s="7">
        <f>S2082*J2082</f>
        <v>3600</v>
      </c>
      <c r="U2082" s="21"/>
      <c r="V2082" s="260">
        <v>120</v>
      </c>
    </row>
    <row r="2083" spans="2:22" s="7" customFormat="1" ht="18" customHeight="1">
      <c r="B2083" s="12"/>
      <c r="C2083" s="6" t="s">
        <v>3144</v>
      </c>
      <c r="D2083" s="14" t="s">
        <v>3116</v>
      </c>
      <c r="E2083" s="49"/>
      <c r="F2083" s="102"/>
      <c r="G2083" s="22" t="s">
        <v>2625</v>
      </c>
      <c r="H2083" s="38"/>
      <c r="I2083" s="35"/>
      <c r="J2083" s="38">
        <v>1</v>
      </c>
      <c r="K2083" s="39">
        <v>15</v>
      </c>
      <c r="L2083" s="39">
        <f>K2083*J2083</f>
        <v>15</v>
      </c>
      <c r="M2083" s="91"/>
      <c r="N2083" s="33">
        <v>44767</v>
      </c>
      <c r="O2083" s="32">
        <v>4421</v>
      </c>
      <c r="P2083" s="391">
        <v>12</v>
      </c>
      <c r="Q2083" s="322">
        <f>P2083*J2083</f>
        <v>12</v>
      </c>
      <c r="R2083" s="322">
        <v>12</v>
      </c>
      <c r="S2083" s="7">
        <v>1000</v>
      </c>
      <c r="T2083" s="7">
        <f>S2083*J2083</f>
        <v>1000</v>
      </c>
      <c r="U2083" s="21"/>
      <c r="V2083" s="260">
        <v>120</v>
      </c>
    </row>
    <row r="2084" spans="2:22" s="7" customFormat="1" ht="18" customHeight="1">
      <c r="B2084" s="12"/>
      <c r="C2084" s="6" t="s">
        <v>3144</v>
      </c>
      <c r="D2084" s="14" t="s">
        <v>3116</v>
      </c>
      <c r="E2084" s="22"/>
      <c r="F2084" s="102"/>
      <c r="G2084" s="22" t="s">
        <v>316</v>
      </c>
      <c r="H2084" s="8"/>
      <c r="I2084" s="35"/>
      <c r="J2084" s="38">
        <v>1</v>
      </c>
      <c r="K2084" s="39">
        <v>20</v>
      </c>
      <c r="L2084" s="39">
        <f>K2084*J2084</f>
        <v>20</v>
      </c>
      <c r="M2084" s="91"/>
      <c r="N2084" s="33">
        <v>44767</v>
      </c>
      <c r="O2084" s="32">
        <v>4421</v>
      </c>
      <c r="P2084" s="6" t="s">
        <v>3</v>
      </c>
      <c r="Q2084" s="322">
        <v>20</v>
      </c>
      <c r="R2084" s="322">
        <v>20</v>
      </c>
      <c r="S2084" s="7">
        <v>1000</v>
      </c>
      <c r="T2084" s="7">
        <f>S2084*J2084</f>
        <v>1000</v>
      </c>
      <c r="U2084" s="21"/>
      <c r="V2084" s="260">
        <v>120</v>
      </c>
    </row>
    <row r="2085" spans="2:22" s="191" customFormat="1" ht="18" customHeight="1">
      <c r="B2085" s="190"/>
      <c r="C2085" s="179" t="s">
        <v>3144</v>
      </c>
      <c r="D2085" s="180" t="s">
        <v>3116</v>
      </c>
      <c r="E2085" s="217"/>
      <c r="F2085" s="182"/>
      <c r="G2085" s="182" t="s">
        <v>250</v>
      </c>
      <c r="H2085" s="184" t="s">
        <v>251</v>
      </c>
      <c r="I2085" s="185"/>
      <c r="J2085" s="183"/>
      <c r="K2085" s="192">
        <v>0</v>
      </c>
      <c r="L2085" s="187"/>
      <c r="M2085" s="187"/>
      <c r="N2085" s="187">
        <v>44767</v>
      </c>
      <c r="O2085" s="186">
        <v>4421</v>
      </c>
      <c r="P2085" s="179"/>
      <c r="Q2085" s="255">
        <v>0</v>
      </c>
      <c r="R2085" s="322">
        <v>0</v>
      </c>
      <c r="S2085" s="275">
        <v>0</v>
      </c>
      <c r="T2085" s="198">
        <v>0</v>
      </c>
      <c r="U2085" s="271"/>
      <c r="V2085" s="260">
        <v>120</v>
      </c>
    </row>
    <row r="2086" spans="2:22" s="7" customFormat="1" ht="18" customHeight="1">
      <c r="B2086" s="12"/>
      <c r="C2086" s="6" t="s">
        <v>3146</v>
      </c>
      <c r="D2086" s="14" t="s">
        <v>2378</v>
      </c>
      <c r="E2086" s="19" t="s">
        <v>2011</v>
      </c>
      <c r="F2086" s="24"/>
      <c r="G2086" s="22"/>
      <c r="H2086" s="60"/>
      <c r="I2086" s="61"/>
      <c r="J2086" s="60"/>
      <c r="K2086" s="16" t="s">
        <v>5</v>
      </c>
      <c r="L2086" s="139"/>
      <c r="M2086" s="33"/>
      <c r="N2086" s="33">
        <v>44767</v>
      </c>
      <c r="O2086" s="32">
        <v>4420</v>
      </c>
      <c r="P2086" s="6" t="s">
        <v>3</v>
      </c>
      <c r="Q2086" s="358"/>
      <c r="U2086" s="120"/>
      <c r="V2086" s="260">
        <v>120</v>
      </c>
    </row>
    <row r="2087" spans="2:22" s="7" customFormat="1" ht="18" customHeight="1">
      <c r="B2087" s="12" t="s">
        <v>300</v>
      </c>
      <c r="C2087" s="6" t="s">
        <v>3146</v>
      </c>
      <c r="D2087" s="14" t="s">
        <v>2378</v>
      </c>
      <c r="E2087" s="22" t="s">
        <v>3147</v>
      </c>
      <c r="F2087" s="24"/>
      <c r="G2087" s="22" t="s">
        <v>3148</v>
      </c>
      <c r="H2087" s="108">
        <v>13.7</v>
      </c>
      <c r="I2087" s="109">
        <v>2</v>
      </c>
      <c r="J2087" s="131">
        <f>H2087*I2087</f>
        <v>27.4</v>
      </c>
      <c r="K2087" s="39">
        <v>2.2799999999999998</v>
      </c>
      <c r="L2087" s="39">
        <f>K2087*J2087</f>
        <v>62.471999999999994</v>
      </c>
      <c r="M2087" s="117" t="s">
        <v>349</v>
      </c>
      <c r="N2087" s="33">
        <v>44767</v>
      </c>
      <c r="O2087" s="32">
        <v>4420</v>
      </c>
      <c r="P2087" s="391">
        <f>ROUNDUP(S2087/V2087/VLOOKUP(B2087,$C$2:$F$6,3,FALSE),2)</f>
        <v>1.47</v>
      </c>
      <c r="Q2087" s="322">
        <v>1.47</v>
      </c>
      <c r="R2087" s="322">
        <f>Q2087*J2087</f>
        <v>40.277999999999999</v>
      </c>
      <c r="S2087" s="7">
        <v>123</v>
      </c>
      <c r="T2087" s="7">
        <f>S2087*J2087</f>
        <v>3370.2</v>
      </c>
      <c r="U2087" s="386"/>
      <c r="V2087" s="260">
        <v>120</v>
      </c>
    </row>
    <row r="2088" spans="2:22" s="7" customFormat="1" ht="18" customHeight="1">
      <c r="B2088" s="12"/>
      <c r="C2088" s="6" t="s">
        <v>3146</v>
      </c>
      <c r="D2088" s="14" t="s">
        <v>2378</v>
      </c>
      <c r="E2088" s="22"/>
      <c r="F2088" s="340"/>
      <c r="G2088" s="22" t="s">
        <v>316</v>
      </c>
      <c r="H2088" s="8"/>
      <c r="I2088" s="109" ph="1"/>
      <c r="J2088" s="38">
        <v>1</v>
      </c>
      <c r="K2088" s="39">
        <v>12</v>
      </c>
      <c r="L2088" s="39">
        <f>K2088*J2088</f>
        <v>12</v>
      </c>
      <c r="M2088" s="91"/>
      <c r="N2088" s="33">
        <v>44767</v>
      </c>
      <c r="O2088" s="32">
        <v>4420</v>
      </c>
      <c r="P2088" s="6"/>
      <c r="Q2088" s="322">
        <v>12</v>
      </c>
      <c r="R2088" s="322">
        <v>12</v>
      </c>
      <c r="S2088" s="7">
        <v>900</v>
      </c>
      <c r="T2088" s="7">
        <v>900</v>
      </c>
      <c r="U2088" s="21"/>
      <c r="V2088" s="260">
        <v>120</v>
      </c>
    </row>
    <row r="2089" spans="2:22" s="191" customFormat="1" ht="18" customHeight="1">
      <c r="B2089" s="190"/>
      <c r="C2089" s="179" t="s">
        <v>3146</v>
      </c>
      <c r="D2089" s="180" t="s">
        <v>2378</v>
      </c>
      <c r="E2089" s="181"/>
      <c r="F2089" s="182"/>
      <c r="G2089" s="182" t="s">
        <v>250</v>
      </c>
      <c r="H2089" s="184" t="s">
        <v>252</v>
      </c>
      <c r="I2089" s="185"/>
      <c r="J2089" s="183"/>
      <c r="K2089" s="333">
        <v>26</v>
      </c>
      <c r="L2089" s="188"/>
      <c r="M2089" s="187"/>
      <c r="N2089" s="187">
        <v>44767</v>
      </c>
      <c r="O2089" s="186">
        <v>4420</v>
      </c>
      <c r="P2089" s="179"/>
      <c r="Q2089" s="333">
        <v>26</v>
      </c>
      <c r="R2089" s="333">
        <v>26</v>
      </c>
      <c r="S2089" s="7">
        <v>3029</v>
      </c>
      <c r="T2089" s="7">
        <v>3029</v>
      </c>
      <c r="U2089" s="335"/>
      <c r="V2089" s="260">
        <v>120</v>
      </c>
    </row>
    <row r="2090" spans="2:22" s="7" customFormat="1" ht="15">
      <c r="B2090" s="12"/>
      <c r="C2090" s="6" t="s">
        <v>3149</v>
      </c>
      <c r="D2090" s="14" t="s">
        <v>3150</v>
      </c>
      <c r="E2090" s="19" t="s">
        <v>2244</v>
      </c>
      <c r="F2090" s="24"/>
      <c r="G2090" s="22"/>
      <c r="H2090" s="60"/>
      <c r="I2090" s="61"/>
      <c r="J2090" s="8"/>
      <c r="K2090" s="110" t="s">
        <v>5</v>
      </c>
      <c r="L2090" s="139"/>
      <c r="M2090" s="33"/>
      <c r="N2090" s="33">
        <v>44768</v>
      </c>
      <c r="O2090" s="32">
        <v>4419</v>
      </c>
      <c r="P2090" s="6" t="s">
        <v>8</v>
      </c>
      <c r="Q2090" s="358"/>
      <c r="U2090" s="120"/>
      <c r="V2090" s="260">
        <v>120</v>
      </c>
    </row>
    <row r="2091" spans="2:22" s="7" customFormat="1" ht="18" customHeight="1">
      <c r="B2091" s="12" t="s">
        <v>300</v>
      </c>
      <c r="C2091" s="6" t="s">
        <v>3149</v>
      </c>
      <c r="D2091" s="14" t="s">
        <v>3150</v>
      </c>
      <c r="E2091" s="22">
        <v>11700</v>
      </c>
      <c r="F2091" s="37">
        <v>9</v>
      </c>
      <c r="G2091" s="22" t="s">
        <v>184</v>
      </c>
      <c r="H2091" s="8">
        <v>10</v>
      </c>
      <c r="I2091" s="35">
        <v>1</v>
      </c>
      <c r="J2091" s="108">
        <f>H2091*I2091</f>
        <v>10</v>
      </c>
      <c r="K2091" s="39">
        <v>1.49</v>
      </c>
      <c r="L2091" s="39">
        <f>K2091*J2091</f>
        <v>14.9</v>
      </c>
      <c r="M2091" s="117" t="s">
        <v>349</v>
      </c>
      <c r="N2091" s="33">
        <v>44768</v>
      </c>
      <c r="O2091" s="32">
        <v>4419</v>
      </c>
      <c r="P2091" s="391">
        <f>ROUNDUP(S2091/V2091/VLOOKUP(B2091,$C$2:$F$6,3,FALSE),2)</f>
        <v>0.96</v>
      </c>
      <c r="Q2091" s="322">
        <v>0.96</v>
      </c>
      <c r="R2091" s="322">
        <f>Q2091*J2091</f>
        <v>9.6</v>
      </c>
      <c r="S2091" s="7">
        <v>80.3</v>
      </c>
      <c r="T2091" s="7">
        <f>S2091*J2091</f>
        <v>803</v>
      </c>
      <c r="U2091" s="39"/>
      <c r="V2091" s="260">
        <v>120</v>
      </c>
    </row>
    <row r="2092" spans="2:22" s="7" customFormat="1" ht="18" customHeight="1">
      <c r="B2092" s="12" t="s">
        <v>300</v>
      </c>
      <c r="C2092" s="6" t="s">
        <v>3149</v>
      </c>
      <c r="D2092" s="14" t="s">
        <v>3150</v>
      </c>
      <c r="E2092" s="22">
        <v>11700</v>
      </c>
      <c r="F2092" s="37">
        <v>18</v>
      </c>
      <c r="G2092" s="22" t="s">
        <v>118</v>
      </c>
      <c r="H2092" s="8">
        <v>10</v>
      </c>
      <c r="I2092" s="35">
        <v>1</v>
      </c>
      <c r="J2092" s="108">
        <f>H2092*I2092</f>
        <v>10</v>
      </c>
      <c r="K2092" s="39">
        <v>2.09</v>
      </c>
      <c r="L2092" s="39">
        <f>K2092*J2092</f>
        <v>20.9</v>
      </c>
      <c r="M2092" s="117" t="s">
        <v>349</v>
      </c>
      <c r="N2092" s="33">
        <v>44768</v>
      </c>
      <c r="O2092" s="32">
        <v>4419</v>
      </c>
      <c r="P2092" s="391">
        <f>ROUNDUP(S2092/V2092/VLOOKUP(B2092,$C$2:$F$6,3,FALSE),2)</f>
        <v>1.34</v>
      </c>
      <c r="Q2092" s="322">
        <v>1.34</v>
      </c>
      <c r="R2092" s="322">
        <f>Q2092*J2092</f>
        <v>13.4</v>
      </c>
      <c r="S2092" s="7">
        <v>112.4</v>
      </c>
      <c r="T2092" s="7">
        <f>S2092*J2092</f>
        <v>1124</v>
      </c>
      <c r="U2092" s="39"/>
      <c r="V2092" s="260">
        <v>120</v>
      </c>
    </row>
    <row r="2093" spans="2:22" s="7" customFormat="1" ht="18" customHeight="1">
      <c r="B2093" s="12"/>
      <c r="C2093" s="6" t="s">
        <v>3149</v>
      </c>
      <c r="D2093" s="14" t="s">
        <v>3150</v>
      </c>
      <c r="E2093" s="19" t="s">
        <v>361</v>
      </c>
      <c r="F2093" s="22"/>
      <c r="G2093" s="37"/>
      <c r="H2093" s="108"/>
      <c r="I2093" s="108"/>
      <c r="J2093" s="108"/>
      <c r="K2093" s="110" t="s">
        <v>5</v>
      </c>
      <c r="L2093" s="33"/>
      <c r="M2093" s="33"/>
      <c r="N2093" s="33">
        <v>44768</v>
      </c>
      <c r="O2093" s="32">
        <v>4419</v>
      </c>
      <c r="P2093" s="6"/>
      <c r="Q2093" s="223"/>
      <c r="S2093" s="257"/>
      <c r="T2093" s="92"/>
      <c r="U2093" s="266"/>
      <c r="V2093" s="260">
        <v>120</v>
      </c>
    </row>
    <row r="2094" spans="2:22" s="7" customFormat="1" ht="15.95" customHeight="1">
      <c r="B2094" s="12" t="s">
        <v>300</v>
      </c>
      <c r="C2094" s="6" t="s">
        <v>3149</v>
      </c>
      <c r="D2094" s="14" t="s">
        <v>3150</v>
      </c>
      <c r="E2094" s="22">
        <v>12720</v>
      </c>
      <c r="F2094" s="37">
        <v>9</v>
      </c>
      <c r="G2094" s="37" t="s">
        <v>3151</v>
      </c>
      <c r="H2094" s="60">
        <v>10</v>
      </c>
      <c r="I2094" s="61">
        <v>1</v>
      </c>
      <c r="J2094" s="60">
        <f>H2094*I2094</f>
        <v>10</v>
      </c>
      <c r="K2094" s="39">
        <v>0.97</v>
      </c>
      <c r="L2094" s="39">
        <f>K2094*J2094</f>
        <v>9.6999999999999993</v>
      </c>
      <c r="M2094" s="117" t="s">
        <v>323</v>
      </c>
      <c r="N2094" s="33">
        <v>44768</v>
      </c>
      <c r="O2094" s="32">
        <v>4419</v>
      </c>
      <c r="P2094" s="391">
        <f>ROUNDUP(S2094/V2094/VLOOKUP(B2094,$C$2:$F$6,3,FALSE),2)</f>
        <v>0.62</v>
      </c>
      <c r="Q2094" s="254">
        <v>0.62</v>
      </c>
      <c r="R2094" s="323">
        <f>Q2094*J2094</f>
        <v>6.2</v>
      </c>
      <c r="S2094" s="257">
        <v>52</v>
      </c>
      <c r="T2094" s="92">
        <f>S2094*J2094</f>
        <v>520</v>
      </c>
      <c r="U2094" s="376"/>
      <c r="V2094" s="260">
        <v>120</v>
      </c>
    </row>
    <row r="2095" spans="2:22" customFormat="1" ht="15.95" customHeight="1">
      <c r="B2095" s="12" t="s">
        <v>306</v>
      </c>
      <c r="C2095" s="6" t="s">
        <v>3149</v>
      </c>
      <c r="D2095" s="14" t="s">
        <v>3150</v>
      </c>
      <c r="E2095" s="22"/>
      <c r="F2095" s="102"/>
      <c r="G2095" s="37" t="s">
        <v>316</v>
      </c>
      <c r="H2095" s="8"/>
      <c r="I2095" s="35"/>
      <c r="J2095" s="38">
        <v>1</v>
      </c>
      <c r="K2095" s="39">
        <v>15</v>
      </c>
      <c r="L2095" s="39">
        <f>K2095*J2095</f>
        <v>15</v>
      </c>
      <c r="M2095" s="91"/>
      <c r="N2095" s="33">
        <v>44768</v>
      </c>
      <c r="O2095" s="32">
        <v>4419</v>
      </c>
      <c r="P2095" s="39"/>
      <c r="Q2095" s="322">
        <v>12</v>
      </c>
      <c r="R2095" s="323">
        <v>12</v>
      </c>
      <c r="S2095" s="7">
        <v>0</v>
      </c>
      <c r="T2095" s="7">
        <f>S2095*J2095</f>
        <v>0</v>
      </c>
      <c r="U2095" s="270"/>
      <c r="V2095" s="260">
        <v>120</v>
      </c>
    </row>
    <row r="2096" spans="2:22" s="191" customFormat="1" ht="15">
      <c r="B2096" s="190"/>
      <c r="C2096" s="179" t="s">
        <v>3149</v>
      </c>
      <c r="D2096" s="180" t="s">
        <v>3150</v>
      </c>
      <c r="E2096" s="181"/>
      <c r="F2096" s="182"/>
      <c r="G2096" s="182" t="s">
        <v>250</v>
      </c>
      <c r="H2096" s="184" t="s">
        <v>251</v>
      </c>
      <c r="I2096" s="185"/>
      <c r="J2096" s="183"/>
      <c r="K2096" s="192">
        <v>0</v>
      </c>
      <c r="L2096" s="187"/>
      <c r="M2096" s="187"/>
      <c r="N2096" s="187">
        <v>44768</v>
      </c>
      <c r="O2096" s="186">
        <v>4419</v>
      </c>
      <c r="P2096" s="179"/>
      <c r="Q2096" s="255">
        <v>0</v>
      </c>
      <c r="S2096" s="275">
        <v>0</v>
      </c>
      <c r="T2096" s="198">
        <v>0</v>
      </c>
      <c r="U2096" s="271"/>
      <c r="V2096" s="260">
        <v>120</v>
      </c>
    </row>
    <row r="2097" spans="2:22" customFormat="1" ht="18" customHeight="1">
      <c r="B2097" s="26"/>
      <c r="C2097" s="6" t="s">
        <v>3152</v>
      </c>
      <c r="D2097" s="14" t="s">
        <v>2059</v>
      </c>
      <c r="E2097" s="19" t="s">
        <v>326</v>
      </c>
      <c r="F2097" s="37"/>
      <c r="G2097" s="37"/>
      <c r="H2097" s="108"/>
      <c r="I2097" s="108"/>
      <c r="J2097" s="108"/>
      <c r="K2097" s="29" t="s">
        <v>101</v>
      </c>
      <c r="L2097" s="33"/>
      <c r="M2097" s="33"/>
      <c r="N2097" s="33">
        <v>44767</v>
      </c>
      <c r="O2097" s="32">
        <v>4418</v>
      </c>
      <c r="P2097" s="6"/>
      <c r="Q2097" s="272"/>
      <c r="R2097" s="1"/>
      <c r="S2097" s="325" t="s">
        <v>330</v>
      </c>
      <c r="T2097" s="92"/>
      <c r="U2097" s="324"/>
      <c r="V2097" s="260">
        <v>120</v>
      </c>
    </row>
    <row r="2098" spans="2:22" customFormat="1" ht="18" customHeight="1">
      <c r="B2098" s="26" t="s">
        <v>300</v>
      </c>
      <c r="C2098" s="6" t="s">
        <v>3152</v>
      </c>
      <c r="D2098" s="14" t="s">
        <v>2059</v>
      </c>
      <c r="E2098" s="22">
        <v>3806</v>
      </c>
      <c r="F2098" s="37">
        <v>15</v>
      </c>
      <c r="G2098" s="22" t="s">
        <v>3153</v>
      </c>
      <c r="H2098" s="108">
        <v>30</v>
      </c>
      <c r="I2098" s="109">
        <v>4</v>
      </c>
      <c r="J2098" s="60">
        <f>H2098*I2098</f>
        <v>120</v>
      </c>
      <c r="K2098" s="39">
        <v>0.28999999999999998</v>
      </c>
      <c r="L2098" s="39">
        <f>K2098*J2098</f>
        <v>34.799999999999997</v>
      </c>
      <c r="M2098" s="117" t="s">
        <v>323</v>
      </c>
      <c r="N2098" s="33">
        <v>44767</v>
      </c>
      <c r="O2098" s="32">
        <v>4418</v>
      </c>
      <c r="P2098" s="39">
        <f>K2098*(VLOOKUP(B2098,$C$2:$F$6,3,FALSE))</f>
        <v>0.20299999999999999</v>
      </c>
      <c r="Q2098" s="253">
        <v>0.2</v>
      </c>
      <c r="R2098" s="323">
        <f>Q2098*J2098</f>
        <v>24</v>
      </c>
      <c r="S2098" s="257">
        <v>16.23</v>
      </c>
      <c r="T2098" s="92">
        <f>S2098*J2098</f>
        <v>1947.6000000000001</v>
      </c>
      <c r="U2098" s="394" t="s">
        <v>3154</v>
      </c>
      <c r="V2098" s="260">
        <v>120</v>
      </c>
    </row>
    <row r="2099" spans="2:22" s="7" customFormat="1" ht="15.95" customHeight="1">
      <c r="B2099" s="12"/>
      <c r="C2099" s="6" t="s">
        <v>3152</v>
      </c>
      <c r="D2099" s="14" t="s">
        <v>2059</v>
      </c>
      <c r="E2099" s="22"/>
      <c r="F2099" s="102"/>
      <c r="G2099" s="37" t="s">
        <v>316</v>
      </c>
      <c r="H2099" s="8"/>
      <c r="I2099" s="35"/>
      <c r="J2099" s="38">
        <v>1</v>
      </c>
      <c r="K2099" s="39">
        <v>12</v>
      </c>
      <c r="L2099" s="39">
        <f>K2099*J2099</f>
        <v>12</v>
      </c>
      <c r="M2099" s="33"/>
      <c r="N2099" s="33">
        <v>44767</v>
      </c>
      <c r="O2099" s="32">
        <v>4418</v>
      </c>
      <c r="P2099" s="6"/>
      <c r="Q2099" s="254">
        <v>12</v>
      </c>
      <c r="R2099" s="323">
        <f>Q2099*J2099</f>
        <v>12</v>
      </c>
      <c r="S2099" s="257">
        <v>0</v>
      </c>
      <c r="T2099" s="92">
        <f>S2099*J2099</f>
        <v>0</v>
      </c>
      <c r="U2099" s="266"/>
      <c r="V2099" s="260">
        <v>120</v>
      </c>
    </row>
    <row r="2100" spans="2:22" s="191" customFormat="1" ht="15" customHeight="1">
      <c r="B2100" s="190"/>
      <c r="C2100" s="179" t="s">
        <v>3152</v>
      </c>
      <c r="D2100" s="180" t="s">
        <v>2059</v>
      </c>
      <c r="E2100" s="181"/>
      <c r="F2100" s="182"/>
      <c r="G2100" s="316" t="s">
        <v>250</v>
      </c>
      <c r="H2100" s="184" t="s">
        <v>251</v>
      </c>
      <c r="I2100" s="185"/>
      <c r="J2100" s="183"/>
      <c r="K2100" s="192">
        <v>0</v>
      </c>
      <c r="L2100" s="187"/>
      <c r="M2100" s="187"/>
      <c r="N2100" s="187">
        <v>44767</v>
      </c>
      <c r="O2100" s="186">
        <v>4418</v>
      </c>
      <c r="P2100" s="179"/>
      <c r="Q2100" s="255">
        <v>0</v>
      </c>
      <c r="S2100" s="275">
        <v>0</v>
      </c>
      <c r="T2100" s="198">
        <v>0</v>
      </c>
      <c r="U2100" s="271"/>
      <c r="V2100" s="260">
        <v>120</v>
      </c>
    </row>
    <row r="2101" spans="2:22" s="7" customFormat="1" ht="18" customHeight="1">
      <c r="B2101" s="12"/>
      <c r="C2101" s="6" t="s">
        <v>3155</v>
      </c>
      <c r="D2101" s="14" t="s">
        <v>2162</v>
      </c>
      <c r="E2101" s="19" t="s">
        <v>2163</v>
      </c>
      <c r="F2101" s="37"/>
      <c r="G2101" s="37"/>
      <c r="H2101" s="108"/>
      <c r="I2101" s="108"/>
      <c r="J2101" s="108"/>
      <c r="K2101" s="110" t="s">
        <v>5</v>
      </c>
      <c r="L2101" s="139"/>
      <c r="M2101" s="33"/>
      <c r="N2101" s="33">
        <v>44771</v>
      </c>
      <c r="O2101" s="32">
        <v>4423</v>
      </c>
      <c r="P2101" s="6"/>
      <c r="Q2101" s="339"/>
      <c r="U2101" s="21"/>
      <c r="V2101" s="260">
        <v>120</v>
      </c>
    </row>
    <row r="2102" spans="2:22" s="7" customFormat="1" ht="18" customHeight="1">
      <c r="B2102" s="12" t="s">
        <v>300</v>
      </c>
      <c r="C2102" s="6" t="s">
        <v>3155</v>
      </c>
      <c r="D2102" s="14" t="s">
        <v>2162</v>
      </c>
      <c r="E2102" s="22">
        <v>5603</v>
      </c>
      <c r="F2102" s="37"/>
      <c r="G2102" s="396" t="s">
        <v>3156</v>
      </c>
      <c r="H2102" s="108">
        <v>50</v>
      </c>
      <c r="I2102" s="950">
        <v>5</v>
      </c>
      <c r="J2102" s="8">
        <f>I2102*H2102</f>
        <v>250</v>
      </c>
      <c r="K2102" s="39">
        <v>0.31</v>
      </c>
      <c r="L2102" s="39">
        <f>K2102*J2102</f>
        <v>77.5</v>
      </c>
      <c r="M2102" s="117" t="s">
        <v>349</v>
      </c>
      <c r="N2102" s="33">
        <v>44771</v>
      </c>
      <c r="O2102" s="32">
        <v>4423</v>
      </c>
      <c r="P2102" s="391">
        <f>ROUNDUP(S2102/V2102/VLOOKUP(B2102,$C$2:$F$6,3,FALSE),2)</f>
        <v>0.2</v>
      </c>
      <c r="Q2102" s="322">
        <v>0.2</v>
      </c>
      <c r="R2102" s="322">
        <f t="shared" ref="R2102:R2107" si="121">Q2102*J2102</f>
        <v>50</v>
      </c>
      <c r="S2102" s="7">
        <v>16.7</v>
      </c>
      <c r="T2102" s="7">
        <f t="shared" ref="T2102:T2107" si="122">S2102*J2102</f>
        <v>4175</v>
      </c>
      <c r="U2102" s="21"/>
      <c r="V2102" s="260">
        <v>120</v>
      </c>
    </row>
    <row r="2103" spans="2:22" s="7" customFormat="1" ht="18" customHeight="1">
      <c r="B2103" s="12" t="s">
        <v>300</v>
      </c>
      <c r="C2103" s="6" t="s">
        <v>3155</v>
      </c>
      <c r="D2103" s="14" t="s">
        <v>2162</v>
      </c>
      <c r="E2103" s="22">
        <v>5603</v>
      </c>
      <c r="F2103" s="37"/>
      <c r="G2103" s="396" t="s">
        <v>2820</v>
      </c>
      <c r="H2103" s="108">
        <v>50</v>
      </c>
      <c r="I2103" s="950">
        <v>12</v>
      </c>
      <c r="J2103" s="8">
        <f>I2103*H2103</f>
        <v>600</v>
      </c>
      <c r="K2103" s="39">
        <v>0.31</v>
      </c>
      <c r="L2103" s="39">
        <f>K2103*J2103</f>
        <v>186</v>
      </c>
      <c r="M2103" s="117" t="s">
        <v>349</v>
      </c>
      <c r="N2103" s="33">
        <v>44771</v>
      </c>
      <c r="O2103" s="32">
        <v>4423</v>
      </c>
      <c r="P2103" s="391">
        <f>ROUNDUP(S2103/V2103/VLOOKUP(B2103,$C$2:$F$6,3,FALSE),2)</f>
        <v>0.2</v>
      </c>
      <c r="Q2103" s="322">
        <v>0.2</v>
      </c>
      <c r="R2103" s="322">
        <f t="shared" si="121"/>
        <v>120</v>
      </c>
      <c r="S2103" s="7">
        <v>16.7</v>
      </c>
      <c r="T2103" s="7">
        <f t="shared" si="122"/>
        <v>10020</v>
      </c>
      <c r="U2103" s="21"/>
      <c r="V2103" s="260">
        <v>120</v>
      </c>
    </row>
    <row r="2104" spans="2:22" s="7" customFormat="1" ht="18" customHeight="1">
      <c r="B2104" s="12" t="s">
        <v>300</v>
      </c>
      <c r="C2104" s="6" t="s">
        <v>3155</v>
      </c>
      <c r="D2104" s="14" t="s">
        <v>2162</v>
      </c>
      <c r="E2104" s="22">
        <v>5603</v>
      </c>
      <c r="F2104" s="37"/>
      <c r="G2104" s="396" t="s">
        <v>3157</v>
      </c>
      <c r="H2104" s="108">
        <v>50</v>
      </c>
      <c r="I2104" s="950">
        <v>20</v>
      </c>
      <c r="J2104" s="8">
        <f>I2104*H2104</f>
        <v>1000</v>
      </c>
      <c r="K2104" s="39">
        <v>0.31</v>
      </c>
      <c r="L2104" s="39">
        <f>K2104*J2104</f>
        <v>310</v>
      </c>
      <c r="M2104" s="117" t="s">
        <v>349</v>
      </c>
      <c r="N2104" s="33">
        <v>44771</v>
      </c>
      <c r="O2104" s="32">
        <v>4423</v>
      </c>
      <c r="P2104" s="391">
        <f>ROUNDUP(S2104/V2104/VLOOKUP(B2104,$C$2:$F$6,3,FALSE),2)</f>
        <v>0.2</v>
      </c>
      <c r="Q2104" s="322">
        <v>0.2</v>
      </c>
      <c r="R2104" s="322">
        <f t="shared" si="121"/>
        <v>200</v>
      </c>
      <c r="S2104" s="7">
        <v>16.7</v>
      </c>
      <c r="T2104" s="7">
        <f t="shared" si="122"/>
        <v>16700</v>
      </c>
      <c r="U2104" s="21"/>
      <c r="V2104" s="260">
        <v>120</v>
      </c>
    </row>
    <row r="2105" spans="2:22" s="7" customFormat="1" ht="18" customHeight="1">
      <c r="B2105" s="12" t="s">
        <v>300</v>
      </c>
      <c r="C2105" s="6" t="s">
        <v>3155</v>
      </c>
      <c r="D2105" s="14" t="s">
        <v>2162</v>
      </c>
      <c r="E2105" s="22">
        <v>5603</v>
      </c>
      <c r="F2105" s="37"/>
      <c r="G2105" s="396" t="s">
        <v>3158</v>
      </c>
      <c r="H2105" s="108">
        <v>50</v>
      </c>
      <c r="I2105" s="950">
        <v>3</v>
      </c>
      <c r="J2105" s="8">
        <f>I2105*H2105</f>
        <v>150</v>
      </c>
      <c r="K2105" s="39">
        <v>0.31</v>
      </c>
      <c r="L2105" s="39">
        <f>K2105*J2105</f>
        <v>46.5</v>
      </c>
      <c r="M2105" s="117" t="s">
        <v>349</v>
      </c>
      <c r="N2105" s="33">
        <v>44771</v>
      </c>
      <c r="O2105" s="32">
        <v>4423</v>
      </c>
      <c r="P2105" s="391">
        <f>ROUNDUP(S2105/V2105/VLOOKUP(B2105,$C$2:$F$6,3,FALSE),2)</f>
        <v>0.2</v>
      </c>
      <c r="Q2105" s="322">
        <v>0.2</v>
      </c>
      <c r="R2105" s="322">
        <f t="shared" si="121"/>
        <v>30</v>
      </c>
      <c r="S2105" s="7">
        <v>16.7</v>
      </c>
      <c r="T2105" s="7">
        <f t="shared" si="122"/>
        <v>2505</v>
      </c>
      <c r="U2105" s="21"/>
      <c r="V2105" s="260">
        <v>120</v>
      </c>
    </row>
    <row r="2106" spans="2:22" s="7" customFormat="1" ht="18" customHeight="1">
      <c r="B2106" s="12"/>
      <c r="C2106" s="6" t="s">
        <v>3155</v>
      </c>
      <c r="D2106" s="14" t="s">
        <v>2162</v>
      </c>
      <c r="E2106" s="22"/>
      <c r="F2106" s="102"/>
      <c r="G2106" s="22" t="s">
        <v>316</v>
      </c>
      <c r="H2106" s="8"/>
      <c r="I2106" s="35"/>
      <c r="J2106" s="38">
        <v>1</v>
      </c>
      <c r="K2106" s="39">
        <v>12</v>
      </c>
      <c r="L2106" s="39">
        <f>K2106*J2106</f>
        <v>12</v>
      </c>
      <c r="M2106" s="117"/>
      <c r="N2106" s="33">
        <v>44771</v>
      </c>
      <c r="O2106" s="32">
        <v>4423</v>
      </c>
      <c r="P2106" s="6" t="s">
        <v>3</v>
      </c>
      <c r="Q2106" s="322">
        <v>12</v>
      </c>
      <c r="R2106" s="322">
        <f t="shared" si="121"/>
        <v>12</v>
      </c>
      <c r="S2106" s="7">
        <v>1100</v>
      </c>
      <c r="T2106" s="7">
        <f t="shared" si="122"/>
        <v>1100</v>
      </c>
      <c r="U2106" s="21"/>
      <c r="V2106" s="260">
        <v>120</v>
      </c>
    </row>
    <row r="2107" spans="2:22" s="191" customFormat="1" ht="18" customHeight="1">
      <c r="B2107" s="190"/>
      <c r="C2107" s="179" t="s">
        <v>3155</v>
      </c>
      <c r="D2107" s="180" t="s">
        <v>2162</v>
      </c>
      <c r="E2107" s="181"/>
      <c r="F2107" s="182"/>
      <c r="G2107" s="182" t="s">
        <v>250</v>
      </c>
      <c r="H2107" s="184" t="s">
        <v>251</v>
      </c>
      <c r="I2107" s="185"/>
      <c r="J2107" s="183"/>
      <c r="K2107" s="192">
        <v>0</v>
      </c>
      <c r="L2107" s="188"/>
      <c r="M2107" s="187"/>
      <c r="N2107" s="187">
        <v>44771</v>
      </c>
      <c r="O2107" s="186">
        <v>4423</v>
      </c>
      <c r="P2107" s="179"/>
      <c r="Q2107" s="725">
        <v>0</v>
      </c>
      <c r="R2107" s="322">
        <f t="shared" si="121"/>
        <v>0</v>
      </c>
      <c r="S2107" s="197">
        <v>0</v>
      </c>
      <c r="T2107" s="7">
        <f t="shared" si="122"/>
        <v>0</v>
      </c>
      <c r="U2107" s="335"/>
      <c r="V2107" s="260">
        <v>120</v>
      </c>
    </row>
    <row r="2108" spans="2:22" s="7" customFormat="1" ht="18" customHeight="1">
      <c r="B2108" s="12"/>
      <c r="C2108" s="6" t="s">
        <v>3159</v>
      </c>
      <c r="D2108" s="14" t="s">
        <v>3116</v>
      </c>
      <c r="E2108" s="19" t="s">
        <v>10</v>
      </c>
      <c r="F2108" s="107"/>
      <c r="G2108" s="22"/>
      <c r="H2108" s="108"/>
      <c r="I2108" s="109"/>
      <c r="J2108" s="108"/>
      <c r="K2108" s="29" t="s">
        <v>5</v>
      </c>
      <c r="L2108" s="39"/>
      <c r="M2108" s="91"/>
      <c r="N2108" s="33">
        <v>44769</v>
      </c>
      <c r="O2108" s="32">
        <v>4424</v>
      </c>
      <c r="P2108" s="14"/>
      <c r="Q2108" s="322"/>
      <c r="U2108" s="14"/>
      <c r="V2108" s="384">
        <v>120</v>
      </c>
    </row>
    <row r="2109" spans="2:22" s="7" customFormat="1" ht="18" customHeight="1">
      <c r="B2109" s="12" t="s">
        <v>302</v>
      </c>
      <c r="C2109" s="6" t="s">
        <v>3159</v>
      </c>
      <c r="D2109" s="14" t="s">
        <v>3116</v>
      </c>
      <c r="E2109" s="22" t="s">
        <v>190</v>
      </c>
      <c r="F2109" s="107">
        <v>160</v>
      </c>
      <c r="G2109" s="885" t="s">
        <v>3160</v>
      </c>
      <c r="H2109" s="108">
        <v>10</v>
      </c>
      <c r="I2109" s="109">
        <v>1</v>
      </c>
      <c r="J2109" s="8">
        <f>H2109*I2109</f>
        <v>10</v>
      </c>
      <c r="K2109" s="39">
        <v>5</v>
      </c>
      <c r="L2109" s="39">
        <f>K2109*J2109</f>
        <v>50</v>
      </c>
      <c r="M2109" s="117" t="s">
        <v>322</v>
      </c>
      <c r="N2109" s="33">
        <v>44769</v>
      </c>
      <c r="O2109" s="32">
        <v>4424</v>
      </c>
      <c r="P2109" s="391">
        <f>ROUNDUP(S2109/V2109/VLOOKUP(B2109,$C$2:$F$6,3,FALSE),2)</f>
        <v>3.4099999999999997</v>
      </c>
      <c r="Q2109" s="322">
        <v>3.41</v>
      </c>
      <c r="R2109" s="322">
        <f>Q2109*J2109</f>
        <v>34.1</v>
      </c>
      <c r="S2109" s="7">
        <v>360</v>
      </c>
      <c r="T2109" s="7">
        <f>S2109*J2109</f>
        <v>3600</v>
      </c>
      <c r="U2109" s="21"/>
      <c r="V2109" s="260">
        <v>120</v>
      </c>
    </row>
    <row r="2110" spans="2:22" s="7" customFormat="1" ht="18" customHeight="1">
      <c r="B2110" s="12"/>
      <c r="C2110" s="6" t="s">
        <v>3159</v>
      </c>
      <c r="D2110" s="14" t="s">
        <v>3116</v>
      </c>
      <c r="E2110" s="49"/>
      <c r="F2110" s="102"/>
      <c r="G2110" s="22" t="s">
        <v>2625</v>
      </c>
      <c r="H2110" s="38"/>
      <c r="I2110" s="35"/>
      <c r="J2110" s="38">
        <v>1</v>
      </c>
      <c r="K2110" s="39">
        <v>15</v>
      </c>
      <c r="L2110" s="39">
        <f>K2110*J2110</f>
        <v>15</v>
      </c>
      <c r="M2110" s="91"/>
      <c r="N2110" s="33">
        <v>44769</v>
      </c>
      <c r="O2110" s="32">
        <v>4424</v>
      </c>
      <c r="P2110" s="391">
        <v>12</v>
      </c>
      <c r="Q2110" s="322">
        <f>P2110*J2110</f>
        <v>12</v>
      </c>
      <c r="R2110" s="322">
        <v>12</v>
      </c>
      <c r="S2110" s="7">
        <v>1000</v>
      </c>
      <c r="T2110" s="7">
        <f>S2110*J2110</f>
        <v>1000</v>
      </c>
      <c r="U2110" s="21"/>
      <c r="V2110" s="260">
        <v>120</v>
      </c>
    </row>
    <row r="2111" spans="2:22" s="7" customFormat="1" ht="18" customHeight="1">
      <c r="B2111" s="12"/>
      <c r="C2111" s="6" t="s">
        <v>3159</v>
      </c>
      <c r="D2111" s="14" t="s">
        <v>3116</v>
      </c>
      <c r="E2111" s="22"/>
      <c r="F2111" s="102"/>
      <c r="G2111" s="22" t="s">
        <v>316</v>
      </c>
      <c r="H2111" s="8"/>
      <c r="I2111" s="35"/>
      <c r="J2111" s="38">
        <v>1</v>
      </c>
      <c r="K2111" s="39">
        <v>20</v>
      </c>
      <c r="L2111" s="39">
        <f>K2111*J2111</f>
        <v>20</v>
      </c>
      <c r="M2111" s="91"/>
      <c r="N2111" s="33">
        <v>44769</v>
      </c>
      <c r="O2111" s="32">
        <v>4424</v>
      </c>
      <c r="P2111" s="6" t="s">
        <v>3</v>
      </c>
      <c r="Q2111" s="322">
        <v>20</v>
      </c>
      <c r="R2111" s="322">
        <v>20</v>
      </c>
      <c r="S2111" s="7">
        <v>1000</v>
      </c>
      <c r="T2111" s="7">
        <f>S2111*J2111</f>
        <v>1000</v>
      </c>
      <c r="U2111" s="21"/>
      <c r="V2111" s="260">
        <v>120</v>
      </c>
    </row>
    <row r="2112" spans="2:22" s="191" customFormat="1" ht="18" customHeight="1">
      <c r="B2112" s="190"/>
      <c r="C2112" s="179" t="s">
        <v>3159</v>
      </c>
      <c r="D2112" s="180" t="s">
        <v>3116</v>
      </c>
      <c r="E2112" s="217"/>
      <c r="F2112" s="182"/>
      <c r="G2112" s="182" t="s">
        <v>250</v>
      </c>
      <c r="H2112" s="184" t="s">
        <v>251</v>
      </c>
      <c r="I2112" s="185"/>
      <c r="J2112" s="183"/>
      <c r="K2112" s="192">
        <v>0</v>
      </c>
      <c r="L2112" s="187"/>
      <c r="M2112" s="187"/>
      <c r="N2112" s="187">
        <v>44769</v>
      </c>
      <c r="O2112" s="186">
        <v>4424</v>
      </c>
      <c r="P2112" s="179"/>
      <c r="Q2112" s="255">
        <v>0</v>
      </c>
      <c r="R2112" s="322">
        <v>0</v>
      </c>
      <c r="S2112" s="275">
        <v>0</v>
      </c>
      <c r="T2112" s="198">
        <v>0</v>
      </c>
      <c r="U2112" s="271"/>
      <c r="V2112" s="260">
        <v>120</v>
      </c>
    </row>
    <row r="2113" spans="2:22" s="7" customFormat="1" ht="18" customHeight="1">
      <c r="B2113" s="12"/>
      <c r="C2113" s="6" t="s">
        <v>3161</v>
      </c>
      <c r="D2113" s="14" t="s">
        <v>2059</v>
      </c>
      <c r="E2113" s="19" t="s">
        <v>3092</v>
      </c>
      <c r="F2113" s="37"/>
      <c r="G2113" s="37"/>
      <c r="H2113" s="108"/>
      <c r="I2113" s="108"/>
      <c r="J2113" s="108"/>
      <c r="K2113" s="29" t="s">
        <v>5</v>
      </c>
      <c r="L2113" s="139"/>
      <c r="M2113" s="33"/>
      <c r="N2113" s="33">
        <v>44770</v>
      </c>
      <c r="O2113" s="32">
        <v>4437</v>
      </c>
      <c r="P2113" s="6"/>
      <c r="Q2113" s="339"/>
      <c r="U2113" s="21"/>
      <c r="V2113" s="260">
        <v>120</v>
      </c>
    </row>
    <row r="2114" spans="2:22" s="7" customFormat="1" ht="18" customHeight="1">
      <c r="B2114" s="12" t="s">
        <v>300</v>
      </c>
      <c r="C2114" s="6" t="s">
        <v>3161</v>
      </c>
      <c r="D2114" s="14" t="s">
        <v>2059</v>
      </c>
      <c r="E2114" s="22">
        <v>5634</v>
      </c>
      <c r="F2114" s="37" t="s">
        <v>311</v>
      </c>
      <c r="G2114" s="396" t="s">
        <v>3162</v>
      </c>
      <c r="H2114" s="108">
        <v>50</v>
      </c>
      <c r="I2114" s="109">
        <v>1</v>
      </c>
      <c r="J2114" s="8">
        <f t="shared" ref="J2114:J2119" si="123">H2114*I2114</f>
        <v>50</v>
      </c>
      <c r="K2114" s="39">
        <v>0.31</v>
      </c>
      <c r="L2114" s="39">
        <f t="shared" ref="L2114:L2120" si="124">K2114*J2114</f>
        <v>15.5</v>
      </c>
      <c r="M2114" s="117" t="s">
        <v>349</v>
      </c>
      <c r="N2114" s="33">
        <v>44770</v>
      </c>
      <c r="O2114" s="32">
        <v>4437</v>
      </c>
      <c r="P2114" s="391">
        <f t="shared" ref="P2114:P2119" si="125">ROUNDUP(S2114/V2114/VLOOKUP(B2114,$C$2:$F$6,3,FALSE),2)</f>
        <v>0.2</v>
      </c>
      <c r="Q2114" s="322">
        <v>0.2</v>
      </c>
      <c r="R2114" s="322">
        <f t="shared" ref="R2114:R2120" si="126">Q2114*J2114</f>
        <v>10</v>
      </c>
      <c r="S2114" s="7">
        <v>16.3</v>
      </c>
      <c r="T2114" s="92">
        <f t="shared" ref="T2114:T2120" si="127">S2114*J2114</f>
        <v>815</v>
      </c>
      <c r="U2114" s="778"/>
      <c r="V2114" s="260">
        <v>120</v>
      </c>
    </row>
    <row r="2115" spans="2:22" s="7" customFormat="1" ht="18" customHeight="1">
      <c r="B2115" s="12" t="s">
        <v>300</v>
      </c>
      <c r="C2115" s="6" t="s">
        <v>3161</v>
      </c>
      <c r="D2115" s="14" t="s">
        <v>2059</v>
      </c>
      <c r="E2115" s="22">
        <v>5634</v>
      </c>
      <c r="F2115" s="37" t="s">
        <v>311</v>
      </c>
      <c r="G2115" s="396" t="s">
        <v>3163</v>
      </c>
      <c r="H2115" s="108">
        <v>50</v>
      </c>
      <c r="I2115" s="109">
        <v>1</v>
      </c>
      <c r="J2115" s="8">
        <f t="shared" si="123"/>
        <v>50</v>
      </c>
      <c r="K2115" s="39">
        <v>0.31</v>
      </c>
      <c r="L2115" s="39">
        <f t="shared" si="124"/>
        <v>15.5</v>
      </c>
      <c r="M2115" s="117" t="s">
        <v>349</v>
      </c>
      <c r="N2115" s="33">
        <v>44770</v>
      </c>
      <c r="O2115" s="32">
        <v>4437</v>
      </c>
      <c r="P2115" s="391">
        <f t="shared" si="125"/>
        <v>0.2</v>
      </c>
      <c r="Q2115" s="322">
        <v>0.2</v>
      </c>
      <c r="R2115" s="322">
        <f t="shared" si="126"/>
        <v>10</v>
      </c>
      <c r="S2115" s="7">
        <v>16.3</v>
      </c>
      <c r="T2115" s="92">
        <f t="shared" si="127"/>
        <v>815</v>
      </c>
      <c r="U2115" s="778"/>
      <c r="V2115" s="260">
        <v>120</v>
      </c>
    </row>
    <row r="2116" spans="2:22" s="7" customFormat="1" ht="18" customHeight="1">
      <c r="B2116" s="12" t="s">
        <v>300</v>
      </c>
      <c r="C2116" s="6" t="s">
        <v>3161</v>
      </c>
      <c r="D2116" s="14" t="s">
        <v>2059</v>
      </c>
      <c r="E2116" s="22">
        <v>5634</v>
      </c>
      <c r="F2116" s="37" t="s">
        <v>311</v>
      </c>
      <c r="G2116" s="396" t="s">
        <v>3164</v>
      </c>
      <c r="H2116" s="108">
        <v>50</v>
      </c>
      <c r="I2116" s="109">
        <v>1</v>
      </c>
      <c r="J2116" s="8">
        <f t="shared" si="123"/>
        <v>50</v>
      </c>
      <c r="K2116" s="39">
        <v>0.31</v>
      </c>
      <c r="L2116" s="39">
        <f t="shared" si="124"/>
        <v>15.5</v>
      </c>
      <c r="M2116" s="117" t="s">
        <v>349</v>
      </c>
      <c r="N2116" s="33">
        <v>44770</v>
      </c>
      <c r="O2116" s="32">
        <v>4437</v>
      </c>
      <c r="P2116" s="391">
        <f t="shared" si="125"/>
        <v>0.2</v>
      </c>
      <c r="Q2116" s="322">
        <v>0.2</v>
      </c>
      <c r="R2116" s="322">
        <f t="shared" si="126"/>
        <v>10</v>
      </c>
      <c r="S2116" s="7">
        <v>16.3</v>
      </c>
      <c r="T2116" s="92">
        <f t="shared" si="127"/>
        <v>815</v>
      </c>
      <c r="U2116" s="778"/>
      <c r="V2116" s="260">
        <v>120</v>
      </c>
    </row>
    <row r="2117" spans="2:22" s="7" customFormat="1" ht="18" customHeight="1">
      <c r="B2117" s="12" t="s">
        <v>300</v>
      </c>
      <c r="C2117" s="6" t="s">
        <v>3161</v>
      </c>
      <c r="D2117" s="14" t="s">
        <v>2059</v>
      </c>
      <c r="E2117" s="22">
        <v>5634</v>
      </c>
      <c r="F2117" s="37" t="s">
        <v>311</v>
      </c>
      <c r="G2117" s="396" t="s">
        <v>3165</v>
      </c>
      <c r="H2117" s="108">
        <v>50</v>
      </c>
      <c r="I2117" s="109">
        <v>1</v>
      </c>
      <c r="J2117" s="8">
        <f t="shared" si="123"/>
        <v>50</v>
      </c>
      <c r="K2117" s="39">
        <v>0.31</v>
      </c>
      <c r="L2117" s="39">
        <f t="shared" si="124"/>
        <v>15.5</v>
      </c>
      <c r="M2117" s="117" t="s">
        <v>349</v>
      </c>
      <c r="N2117" s="33">
        <v>44770</v>
      </c>
      <c r="O2117" s="32">
        <v>4437</v>
      </c>
      <c r="P2117" s="391">
        <f t="shared" si="125"/>
        <v>0.2</v>
      </c>
      <c r="Q2117" s="322">
        <v>0.2</v>
      </c>
      <c r="R2117" s="322">
        <f t="shared" si="126"/>
        <v>10</v>
      </c>
      <c r="S2117" s="7">
        <v>16.3</v>
      </c>
      <c r="T2117" s="92">
        <f t="shared" si="127"/>
        <v>815</v>
      </c>
      <c r="U2117" s="778"/>
      <c r="V2117" s="260">
        <v>120</v>
      </c>
    </row>
    <row r="2118" spans="2:22" s="7" customFormat="1" ht="18" customHeight="1">
      <c r="B2118" s="12" t="s">
        <v>300</v>
      </c>
      <c r="C2118" s="6" t="s">
        <v>3161</v>
      </c>
      <c r="D2118" s="14" t="s">
        <v>2059</v>
      </c>
      <c r="E2118" s="22">
        <v>5634</v>
      </c>
      <c r="F2118" s="37" t="s">
        <v>311</v>
      </c>
      <c r="G2118" s="396" t="s">
        <v>3166</v>
      </c>
      <c r="H2118" s="108">
        <v>50</v>
      </c>
      <c r="I2118" s="109">
        <v>1</v>
      </c>
      <c r="J2118" s="8">
        <f t="shared" si="123"/>
        <v>50</v>
      </c>
      <c r="K2118" s="39">
        <v>0.31</v>
      </c>
      <c r="L2118" s="39">
        <f t="shared" si="124"/>
        <v>15.5</v>
      </c>
      <c r="M2118" s="117" t="s">
        <v>349</v>
      </c>
      <c r="N2118" s="33">
        <v>44770</v>
      </c>
      <c r="O2118" s="32">
        <v>4437</v>
      </c>
      <c r="P2118" s="391">
        <f t="shared" si="125"/>
        <v>0.2</v>
      </c>
      <c r="Q2118" s="322">
        <v>0.2</v>
      </c>
      <c r="R2118" s="322">
        <f t="shared" si="126"/>
        <v>10</v>
      </c>
      <c r="S2118" s="7">
        <v>16.3</v>
      </c>
      <c r="T2118" s="92">
        <f t="shared" si="127"/>
        <v>815</v>
      </c>
      <c r="U2118" s="778"/>
      <c r="V2118" s="260">
        <v>120</v>
      </c>
    </row>
    <row r="2119" spans="2:22" s="7" customFormat="1" ht="18" customHeight="1">
      <c r="B2119" s="12" t="s">
        <v>300</v>
      </c>
      <c r="C2119" s="6" t="s">
        <v>3161</v>
      </c>
      <c r="D2119" s="14" t="s">
        <v>2059</v>
      </c>
      <c r="E2119" s="22">
        <v>5634</v>
      </c>
      <c r="F2119" s="37" t="s">
        <v>311</v>
      </c>
      <c r="G2119" s="396" t="s">
        <v>3167</v>
      </c>
      <c r="H2119" s="108">
        <v>50</v>
      </c>
      <c r="I2119" s="109">
        <v>1</v>
      </c>
      <c r="J2119" s="8">
        <f t="shared" si="123"/>
        <v>50</v>
      </c>
      <c r="K2119" s="39">
        <v>0.31</v>
      </c>
      <c r="L2119" s="39">
        <f t="shared" si="124"/>
        <v>15.5</v>
      </c>
      <c r="M2119" s="117" t="s">
        <v>349</v>
      </c>
      <c r="N2119" s="33">
        <v>44770</v>
      </c>
      <c r="O2119" s="32">
        <v>4437</v>
      </c>
      <c r="P2119" s="391">
        <f t="shared" si="125"/>
        <v>0.2</v>
      </c>
      <c r="Q2119" s="322">
        <v>0.2</v>
      </c>
      <c r="R2119" s="322">
        <f t="shared" si="126"/>
        <v>10</v>
      </c>
      <c r="S2119" s="7">
        <v>16.3</v>
      </c>
      <c r="T2119" s="92">
        <f t="shared" si="127"/>
        <v>815</v>
      </c>
      <c r="U2119" s="778"/>
      <c r="V2119" s="260">
        <v>120</v>
      </c>
    </row>
    <row r="2120" spans="2:22" s="7" customFormat="1" ht="18" customHeight="1">
      <c r="B2120" s="12"/>
      <c r="C2120" s="6" t="s">
        <v>3161</v>
      </c>
      <c r="D2120" s="14" t="s">
        <v>2059</v>
      </c>
      <c r="E2120" s="22"/>
      <c r="F2120" s="102"/>
      <c r="G2120" s="22" t="s">
        <v>316</v>
      </c>
      <c r="H2120" s="8"/>
      <c r="I2120" s="35"/>
      <c r="J2120" s="38">
        <v>1</v>
      </c>
      <c r="K2120" s="39">
        <v>12</v>
      </c>
      <c r="L2120" s="39">
        <f t="shared" si="124"/>
        <v>12</v>
      </c>
      <c r="M2120" s="91"/>
      <c r="N2120" s="33">
        <v>44770</v>
      </c>
      <c r="O2120" s="32">
        <v>4437</v>
      </c>
      <c r="P2120" s="6"/>
      <c r="Q2120" s="322">
        <v>12</v>
      </c>
      <c r="R2120" s="322">
        <f t="shared" si="126"/>
        <v>12</v>
      </c>
      <c r="S2120" s="7">
        <v>0</v>
      </c>
      <c r="T2120" s="7">
        <f t="shared" si="127"/>
        <v>0</v>
      </c>
      <c r="U2120" s="21"/>
      <c r="V2120" s="260">
        <v>120</v>
      </c>
    </row>
    <row r="2121" spans="2:22" s="191" customFormat="1" ht="18" customHeight="1">
      <c r="B2121" s="190"/>
      <c r="C2121" s="179" t="s">
        <v>3161</v>
      </c>
      <c r="D2121" s="180" t="s">
        <v>2059</v>
      </c>
      <c r="E2121" s="736"/>
      <c r="F2121" s="737"/>
      <c r="G2121" s="182" t="s">
        <v>250</v>
      </c>
      <c r="H2121" s="184" t="s">
        <v>251</v>
      </c>
      <c r="I2121" s="185"/>
      <c r="J2121" s="183"/>
      <c r="K2121" s="192">
        <v>0</v>
      </c>
      <c r="L2121" s="188"/>
      <c r="M2121" s="187"/>
      <c r="N2121" s="187">
        <v>44770</v>
      </c>
      <c r="O2121" s="186">
        <v>4437</v>
      </c>
      <c r="P2121" s="179"/>
      <c r="Q2121" s="725">
        <v>0</v>
      </c>
      <c r="S2121" s="197">
        <v>0</v>
      </c>
      <c r="T2121" s="198">
        <v>0</v>
      </c>
      <c r="U2121" s="335"/>
      <c r="V2121" s="260">
        <v>120</v>
      </c>
    </row>
    <row r="2122" spans="2:22" s="7" customFormat="1" ht="18" customHeight="1">
      <c r="B2122" s="12"/>
      <c r="C2122" s="6" t="s">
        <v>3168</v>
      </c>
      <c r="D2122" s="14" t="s">
        <v>2912</v>
      </c>
      <c r="E2122" s="19" t="s">
        <v>59</v>
      </c>
      <c r="F2122" s="107"/>
      <c r="G2122" s="22"/>
      <c r="H2122" s="108"/>
      <c r="I2122" s="109"/>
      <c r="J2122" s="108"/>
      <c r="K2122" s="29" t="s">
        <v>5</v>
      </c>
      <c r="L2122" s="144"/>
      <c r="M2122" s="11"/>
      <c r="N2122" s="33">
        <v>44770</v>
      </c>
      <c r="O2122" s="32">
        <v>4431</v>
      </c>
      <c r="P2122" s="14"/>
      <c r="Q2122" s="322"/>
      <c r="U2122" s="14"/>
      <c r="V2122" s="260">
        <v>120</v>
      </c>
    </row>
    <row r="2123" spans="2:22" s="7" customFormat="1" ht="18" customHeight="1">
      <c r="B2123" s="12" t="s">
        <v>302</v>
      </c>
      <c r="C2123" s="6" t="s">
        <v>3168</v>
      </c>
      <c r="D2123" s="14" t="s">
        <v>2912</v>
      </c>
      <c r="E2123" s="22" t="s">
        <v>2913</v>
      </c>
      <c r="F2123" s="107">
        <v>146</v>
      </c>
      <c r="G2123" s="22" t="s">
        <v>2914</v>
      </c>
      <c r="H2123" s="108">
        <v>46</v>
      </c>
      <c r="I2123" s="109">
        <v>1</v>
      </c>
      <c r="J2123" s="108">
        <f>H2123*I2123</f>
        <v>46</v>
      </c>
      <c r="K2123" s="39">
        <v>8.02</v>
      </c>
      <c r="L2123" s="39">
        <f>K2123*J2123</f>
        <v>368.91999999999996</v>
      </c>
      <c r="M2123" s="117" t="s">
        <v>349</v>
      </c>
      <c r="N2123" s="33">
        <v>44770</v>
      </c>
      <c r="O2123" s="32">
        <v>4431</v>
      </c>
      <c r="P2123" s="391">
        <f>ROUNDUP(S2123/V2123/VLOOKUP(B2123,$C$2:$F$6,3,FALSE),2)</f>
        <v>7.3</v>
      </c>
      <c r="Q2123" s="322">
        <v>7.3</v>
      </c>
      <c r="R2123" s="322">
        <f>Q2123*J2123</f>
        <v>335.8</v>
      </c>
      <c r="S2123" s="7">
        <v>770</v>
      </c>
      <c r="T2123" s="7">
        <f>S2123*J2123</f>
        <v>35420</v>
      </c>
      <c r="U2123" s="951" t="s">
        <v>3169</v>
      </c>
      <c r="V2123" s="260">
        <v>120</v>
      </c>
    </row>
    <row r="2124" spans="2:22" s="7" customFormat="1" ht="15">
      <c r="B2124" s="12"/>
      <c r="C2124" s="6" t="s">
        <v>3168</v>
      </c>
      <c r="D2124" s="14" t="s">
        <v>2912</v>
      </c>
      <c r="E2124" s="22"/>
      <c r="F2124" s="102"/>
      <c r="G2124" s="22" t="s">
        <v>316</v>
      </c>
      <c r="H2124" s="8"/>
      <c r="I2124" s="35"/>
      <c r="J2124" s="38">
        <v>1</v>
      </c>
      <c r="K2124" s="39">
        <v>20</v>
      </c>
      <c r="L2124" s="39">
        <f>K2124*J2124</f>
        <v>20</v>
      </c>
      <c r="M2124" s="91"/>
      <c r="N2124" s="33">
        <v>44770</v>
      </c>
      <c r="O2124" s="32">
        <v>4431</v>
      </c>
      <c r="P2124" s="6"/>
      <c r="Q2124" s="322">
        <v>20</v>
      </c>
      <c r="R2124" s="322">
        <f>Q2124*J2124</f>
        <v>20</v>
      </c>
      <c r="S2124" s="7">
        <v>0</v>
      </c>
      <c r="T2124" s="7">
        <f>S2124*J2124</f>
        <v>0</v>
      </c>
      <c r="U2124" s="21"/>
      <c r="V2124" s="260">
        <v>120</v>
      </c>
    </row>
    <row r="2125" spans="2:22" s="191" customFormat="1" ht="15">
      <c r="B2125" s="190"/>
      <c r="C2125" s="179" t="s">
        <v>3168</v>
      </c>
      <c r="D2125" s="180" t="s">
        <v>2912</v>
      </c>
      <c r="E2125" s="181"/>
      <c r="F2125" s="622"/>
      <c r="G2125" s="182" t="s">
        <v>250</v>
      </c>
      <c r="H2125" s="184" t="s">
        <v>251</v>
      </c>
      <c r="I2125" s="185"/>
      <c r="J2125" s="183"/>
      <c r="K2125" s="192">
        <v>0</v>
      </c>
      <c r="L2125" s="188"/>
      <c r="M2125" s="187"/>
      <c r="N2125" s="187">
        <v>44770</v>
      </c>
      <c r="O2125" s="186">
        <v>4431</v>
      </c>
      <c r="P2125" s="179"/>
      <c r="Q2125" s="725">
        <v>0</v>
      </c>
      <c r="S2125" s="197">
        <v>0</v>
      </c>
      <c r="T2125" s="198">
        <v>0</v>
      </c>
      <c r="U2125" s="335"/>
      <c r="V2125" s="260">
        <v>120</v>
      </c>
    </row>
    <row r="2126" spans="2:22" s="7" customFormat="1" ht="15" customHeight="1">
      <c r="B2126" s="12"/>
      <c r="C2126" s="6" t="s">
        <v>3170</v>
      </c>
      <c r="D2126" s="14" t="s">
        <v>2059</v>
      </c>
      <c r="E2126" s="19" t="s">
        <v>200</v>
      </c>
      <c r="F2126" s="24"/>
      <c r="G2126" s="22"/>
      <c r="H2126" s="60"/>
      <c r="I2126" s="61"/>
      <c r="J2126" s="60"/>
      <c r="K2126" s="16" t="s">
        <v>101</v>
      </c>
      <c r="L2126" s="33"/>
      <c r="M2126" s="33"/>
      <c r="N2126" s="33">
        <v>44776</v>
      </c>
      <c r="O2126" s="32">
        <v>4462</v>
      </c>
      <c r="P2126" s="123" t="s">
        <v>8</v>
      </c>
      <c r="Q2126" s="230" t="s">
        <v>226</v>
      </c>
      <c r="S2126" s="257"/>
      <c r="T2126" s="92"/>
      <c r="U2126" s="269"/>
      <c r="V2126" s="260">
        <v>120</v>
      </c>
    </row>
    <row r="2127" spans="2:22" s="7" customFormat="1" ht="18" customHeight="1">
      <c r="B2127" s="12" t="s">
        <v>300</v>
      </c>
      <c r="C2127" s="6" t="s">
        <v>3171</v>
      </c>
      <c r="D2127" s="14" t="s">
        <v>2059</v>
      </c>
      <c r="E2127" s="22">
        <v>5291</v>
      </c>
      <c r="F2127" s="24">
        <v>8</v>
      </c>
      <c r="G2127" s="22" t="s">
        <v>317</v>
      </c>
      <c r="H2127" s="60">
        <v>50</v>
      </c>
      <c r="I2127" s="61">
        <v>11</v>
      </c>
      <c r="J2127" s="60">
        <f>H2127*I2127</f>
        <v>550</v>
      </c>
      <c r="K2127" s="39">
        <v>0.49</v>
      </c>
      <c r="L2127" s="39">
        <f>K2127*J2127</f>
        <v>269.5</v>
      </c>
      <c r="M2127" s="117" t="s">
        <v>323</v>
      </c>
      <c r="N2127" s="33">
        <v>44776</v>
      </c>
      <c r="O2127" s="32">
        <v>4462</v>
      </c>
      <c r="P2127" s="391">
        <f>ROUNDUP(S2127/V2127/VLOOKUP(B2127,$C$2:$F$6,3,FALSE),2)</f>
        <v>0.28000000000000003</v>
      </c>
      <c r="Q2127" s="124">
        <v>0.28000000000000003</v>
      </c>
      <c r="R2127" s="323">
        <f>Q2127*J2127</f>
        <v>154.00000000000003</v>
      </c>
      <c r="S2127" s="257">
        <v>23</v>
      </c>
      <c r="T2127" s="92">
        <f>S2127*J2127</f>
        <v>12650</v>
      </c>
      <c r="U2127" s="341"/>
      <c r="V2127" s="260">
        <v>120</v>
      </c>
    </row>
    <row r="2128" spans="2:22" s="7" customFormat="1" ht="15">
      <c r="B2128" s="12"/>
      <c r="C2128" s="6" t="s">
        <v>3170</v>
      </c>
      <c r="D2128" s="14" t="s">
        <v>2059</v>
      </c>
      <c r="E2128" s="22"/>
      <c r="F2128" s="102"/>
      <c r="G2128" s="22" t="s">
        <v>316</v>
      </c>
      <c r="H2128" s="8"/>
      <c r="I2128" s="35"/>
      <c r="J2128" s="38">
        <v>1</v>
      </c>
      <c r="K2128" s="39">
        <v>12</v>
      </c>
      <c r="L2128" s="39">
        <f>K2128*J2128</f>
        <v>12</v>
      </c>
      <c r="M2128" s="91"/>
      <c r="N2128" s="33">
        <v>44776</v>
      </c>
      <c r="O2128" s="32">
        <v>4462</v>
      </c>
      <c r="P2128" s="6"/>
      <c r="Q2128" s="322">
        <v>12</v>
      </c>
      <c r="R2128" s="322">
        <v>12</v>
      </c>
      <c r="S2128" s="7">
        <v>850</v>
      </c>
      <c r="T2128" s="7">
        <f>S2128*J2128</f>
        <v>850</v>
      </c>
      <c r="U2128" s="21"/>
      <c r="V2128" s="260">
        <v>120</v>
      </c>
    </row>
    <row r="2129" spans="2:22" s="191" customFormat="1" ht="15.75">
      <c r="B2129" s="190"/>
      <c r="C2129" s="179" t="s">
        <v>3170</v>
      </c>
      <c r="D2129" s="180" t="s">
        <v>2059</v>
      </c>
      <c r="E2129" s="181"/>
      <c r="F2129" s="182"/>
      <c r="G2129" s="309" t="s">
        <v>324</v>
      </c>
      <c r="H2129" s="184" t="s">
        <v>252</v>
      </c>
      <c r="I2129" s="185"/>
      <c r="J2129" s="183"/>
      <c r="K2129" s="203">
        <v>94</v>
      </c>
      <c r="L2129" s="203">
        <v>94</v>
      </c>
      <c r="M2129" s="187"/>
      <c r="N2129" s="187">
        <v>44776</v>
      </c>
      <c r="O2129" s="186">
        <v>4462</v>
      </c>
      <c r="P2129" s="312"/>
      <c r="Q2129" s="313">
        <v>94</v>
      </c>
      <c r="R2129" s="359">
        <v>94</v>
      </c>
      <c r="S2129" s="328">
        <v>11236</v>
      </c>
      <c r="T2129" s="329">
        <v>11236</v>
      </c>
      <c r="U2129" s="314"/>
      <c r="V2129" s="260">
        <v>120</v>
      </c>
    </row>
    <row r="2130" spans="2:22" s="7" customFormat="1" ht="18" customHeight="1">
      <c r="B2130" s="12"/>
      <c r="C2130" s="6" t="s">
        <v>3172</v>
      </c>
      <c r="D2130" s="14" t="s">
        <v>2022</v>
      </c>
      <c r="E2130" s="19" t="s">
        <v>352</v>
      </c>
      <c r="F2130" s="107"/>
      <c r="G2130" s="22"/>
      <c r="H2130" s="108"/>
      <c r="I2130" s="109"/>
      <c r="J2130" s="108"/>
      <c r="K2130" s="110" t="s">
        <v>5</v>
      </c>
      <c r="L2130" s="139"/>
      <c r="M2130" s="33"/>
      <c r="N2130" s="33">
        <v>44776</v>
      </c>
      <c r="O2130" s="32">
        <v>4317</v>
      </c>
      <c r="P2130" s="14"/>
      <c r="Q2130" s="322"/>
      <c r="R2130" s="322">
        <f>Q2130*J2130</f>
        <v>0</v>
      </c>
      <c r="U2130" s="14"/>
      <c r="V2130" s="260">
        <v>120</v>
      </c>
    </row>
    <row r="2131" spans="2:22" s="7" customFormat="1" ht="18" customHeight="1">
      <c r="B2131" s="12" t="s">
        <v>302</v>
      </c>
      <c r="C2131" s="6" t="s">
        <v>3172</v>
      </c>
      <c r="D2131" s="14" t="s">
        <v>2022</v>
      </c>
      <c r="E2131" s="22" t="s">
        <v>242</v>
      </c>
      <c r="F2131" s="107">
        <v>148</v>
      </c>
      <c r="G2131" s="22" t="s">
        <v>2345</v>
      </c>
      <c r="H2131" s="108">
        <v>57</v>
      </c>
      <c r="I2131" s="109">
        <v>1</v>
      </c>
      <c r="J2131" s="8">
        <f>H2131*I2131</f>
        <v>57</v>
      </c>
      <c r="K2131" s="39">
        <v>10.42</v>
      </c>
      <c r="L2131" s="39">
        <f>K2131*J2131</f>
        <v>593.93999999999994</v>
      </c>
      <c r="M2131" s="117" t="s">
        <v>349</v>
      </c>
      <c r="N2131" s="33">
        <v>44776</v>
      </c>
      <c r="O2131" s="32">
        <v>4317</v>
      </c>
      <c r="P2131" s="391">
        <f>ROUNDUP(S2131/V2131/VLOOKUP(B2131,$C$2:$F$6,3,FALSE),2)</f>
        <v>7.1099999999999994</v>
      </c>
      <c r="Q2131" s="322">
        <v>7.11</v>
      </c>
      <c r="R2131" s="322">
        <f>Q2131*J2131</f>
        <v>405.27000000000004</v>
      </c>
      <c r="S2131" s="7">
        <v>750</v>
      </c>
      <c r="T2131" s="7">
        <f>S2131*J2131</f>
        <v>42750</v>
      </c>
      <c r="U2131" s="21"/>
      <c r="V2131" s="260">
        <v>120</v>
      </c>
    </row>
    <row r="2132" spans="2:22" s="7" customFormat="1" ht="18" customHeight="1">
      <c r="B2132" s="12"/>
      <c r="C2132" s="6" t="s">
        <v>3172</v>
      </c>
      <c r="D2132" s="14" t="s">
        <v>2022</v>
      </c>
      <c r="E2132" s="49"/>
      <c r="F2132" s="102"/>
      <c r="G2132" s="22" t="s">
        <v>316</v>
      </c>
      <c r="H2132" s="38"/>
      <c r="I2132" s="35"/>
      <c r="J2132" s="38">
        <v>1</v>
      </c>
      <c r="K2132" s="39">
        <v>20</v>
      </c>
      <c r="L2132" s="39">
        <f>K2132*J2132</f>
        <v>20</v>
      </c>
      <c r="M2132" s="33"/>
      <c r="N2132" s="33">
        <v>44776</v>
      </c>
      <c r="O2132" s="32">
        <v>4317</v>
      </c>
      <c r="P2132" s="6"/>
      <c r="Q2132" s="322">
        <v>20</v>
      </c>
      <c r="R2132" s="322">
        <f>Q2132*J2132</f>
        <v>20</v>
      </c>
      <c r="S2132" s="7">
        <v>1800</v>
      </c>
      <c r="T2132" s="7">
        <f>S2132*J2132</f>
        <v>1800</v>
      </c>
      <c r="U2132" s="21"/>
      <c r="V2132" s="260">
        <v>120</v>
      </c>
    </row>
    <row r="2133" spans="2:22" s="191" customFormat="1" ht="18" customHeight="1">
      <c r="B2133" s="190"/>
      <c r="C2133" s="179" t="s">
        <v>3172</v>
      </c>
      <c r="D2133" s="180" t="s">
        <v>2022</v>
      </c>
      <c r="E2133" s="217"/>
      <c r="F2133" s="182"/>
      <c r="G2133" s="182" t="s">
        <v>250</v>
      </c>
      <c r="H2133" s="184" t="s">
        <v>252</v>
      </c>
      <c r="I2133" s="185"/>
      <c r="J2133" s="183"/>
      <c r="K2133" s="192">
        <v>175</v>
      </c>
      <c r="L2133" s="192">
        <v>175</v>
      </c>
      <c r="M2133" s="187"/>
      <c r="N2133" s="187">
        <v>44776</v>
      </c>
      <c r="O2133" s="186">
        <v>4317</v>
      </c>
      <c r="P2133" s="179"/>
      <c r="Q2133" s="747">
        <v>175</v>
      </c>
      <c r="R2133" s="334">
        <v>175</v>
      </c>
      <c r="S2133" s="212">
        <v>10258</v>
      </c>
      <c r="T2133" s="212">
        <v>10258</v>
      </c>
      <c r="U2133" s="335"/>
      <c r="V2133" s="260">
        <v>120</v>
      </c>
    </row>
    <row r="2134" spans="2:22" s="7" customFormat="1" ht="18" customHeight="1">
      <c r="B2134" s="12"/>
      <c r="C2134" s="6" t="s">
        <v>3173</v>
      </c>
      <c r="D2134" s="14" t="s">
        <v>3047</v>
      </c>
      <c r="E2134" s="19" t="s">
        <v>358</v>
      </c>
      <c r="F2134" s="22"/>
      <c r="G2134" s="37"/>
      <c r="H2134" s="108"/>
      <c r="I2134" s="108"/>
      <c r="J2134" s="108"/>
      <c r="K2134" s="110" t="s">
        <v>5</v>
      </c>
      <c r="L2134" s="33"/>
      <c r="M2134" s="33"/>
      <c r="N2134" s="33">
        <v>44774</v>
      </c>
      <c r="O2134" s="32">
        <v>4448</v>
      </c>
      <c r="P2134" s="6"/>
      <c r="Q2134" s="223"/>
      <c r="S2134" s="257"/>
      <c r="T2134" s="92"/>
      <c r="U2134" s="266"/>
      <c r="V2134" s="260">
        <v>120</v>
      </c>
    </row>
    <row r="2135" spans="2:22" s="7" customFormat="1" ht="18" customHeight="1">
      <c r="B2135" s="12" t="s">
        <v>300</v>
      </c>
      <c r="C2135" s="6" t="s">
        <v>3173</v>
      </c>
      <c r="D2135" s="14" t="s">
        <v>3047</v>
      </c>
      <c r="E2135" s="22" t="s">
        <v>3136</v>
      </c>
      <c r="F2135" s="24"/>
      <c r="G2135" s="22" t="s">
        <v>100</v>
      </c>
      <c r="H2135" s="18">
        <v>13.7</v>
      </c>
      <c r="I2135" s="61">
        <v>2</v>
      </c>
      <c r="J2135" s="18">
        <f>H2135*I2135</f>
        <v>27.4</v>
      </c>
      <c r="K2135" s="39">
        <v>2.48</v>
      </c>
      <c r="L2135" s="39">
        <f t="shared" ref="L2135:L2140" si="128">K2135*J2135</f>
        <v>67.951999999999998</v>
      </c>
      <c r="M2135" s="117" t="s">
        <v>323</v>
      </c>
      <c r="N2135" s="33">
        <v>44774</v>
      </c>
      <c r="O2135" s="32">
        <v>4448</v>
      </c>
      <c r="P2135" s="391">
        <f>ROUNDUP(S2135/V2135/VLOOKUP(B2135,$C$2:$F$6,3,FALSE),2)</f>
        <v>1.77</v>
      </c>
      <c r="Q2135" s="124">
        <v>1.77</v>
      </c>
      <c r="R2135" s="323">
        <f>Q2135*J2135</f>
        <v>48.497999999999998</v>
      </c>
      <c r="S2135" s="7">
        <v>148</v>
      </c>
      <c r="T2135" s="92">
        <f>S2135*J2135</f>
        <v>4055.2</v>
      </c>
      <c r="U2135" s="341"/>
      <c r="V2135" s="260">
        <v>120</v>
      </c>
    </row>
    <row r="2136" spans="2:22" s="7" customFormat="1" ht="18" customHeight="1">
      <c r="B2136" s="12" t="s">
        <v>300</v>
      </c>
      <c r="C2136" s="6" t="s">
        <v>3173</v>
      </c>
      <c r="D2136" s="14" t="s">
        <v>3047</v>
      </c>
      <c r="E2136" s="22" t="s">
        <v>3135</v>
      </c>
      <c r="F2136" s="24"/>
      <c r="G2136" s="22" t="s">
        <v>100</v>
      </c>
      <c r="H2136" s="18">
        <v>13.7</v>
      </c>
      <c r="I2136" s="61">
        <v>2</v>
      </c>
      <c r="J2136" s="18">
        <f>H2136*I2136</f>
        <v>27.4</v>
      </c>
      <c r="K2136" s="39">
        <v>2.23</v>
      </c>
      <c r="L2136" s="39">
        <f t="shared" si="128"/>
        <v>61.101999999999997</v>
      </c>
      <c r="M2136" s="117" t="s">
        <v>323</v>
      </c>
      <c r="N2136" s="33">
        <v>44774</v>
      </c>
      <c r="O2136" s="32">
        <v>4448</v>
      </c>
      <c r="P2136" s="391">
        <f>ROUNDUP(S2136/V2136/VLOOKUP(B2136,$C$2:$F$6,3,FALSE),2)</f>
        <v>1.55</v>
      </c>
      <c r="Q2136" s="124">
        <v>1.55</v>
      </c>
      <c r="R2136" s="323">
        <f>Q2136*J2136</f>
        <v>42.47</v>
      </c>
      <c r="S2136" s="7">
        <v>130</v>
      </c>
      <c r="T2136" s="92">
        <f>S2136*J2136</f>
        <v>3562</v>
      </c>
      <c r="U2136" s="341"/>
      <c r="V2136" s="260">
        <v>120</v>
      </c>
    </row>
    <row r="2137" spans="2:22" s="7" customFormat="1" ht="18" customHeight="1">
      <c r="B2137" s="12" t="s">
        <v>300</v>
      </c>
      <c r="C2137" s="6" t="s">
        <v>3173</v>
      </c>
      <c r="D2137" s="14" t="s">
        <v>3047</v>
      </c>
      <c r="E2137" s="22" t="s">
        <v>3142</v>
      </c>
      <c r="F2137" s="24"/>
      <c r="G2137" s="22" t="s">
        <v>100</v>
      </c>
      <c r="H2137" s="18">
        <v>14</v>
      </c>
      <c r="I2137" s="61">
        <v>2</v>
      </c>
      <c r="J2137" s="18">
        <f>H2137*I2137</f>
        <v>28</v>
      </c>
      <c r="K2137" s="39">
        <v>0.92</v>
      </c>
      <c r="L2137" s="39">
        <f t="shared" si="128"/>
        <v>25.76</v>
      </c>
      <c r="M2137" s="117" t="s">
        <v>323</v>
      </c>
      <c r="N2137" s="33">
        <v>44774</v>
      </c>
      <c r="O2137" s="32">
        <v>4448</v>
      </c>
      <c r="P2137" s="391">
        <f>ROUNDUP(S2137/V2137/VLOOKUP(B2137,$C$2:$F$6,3,FALSE),2)</f>
        <v>0.43</v>
      </c>
      <c r="Q2137" s="124">
        <v>0.43</v>
      </c>
      <c r="R2137" s="323">
        <f>Q2137*J2137</f>
        <v>12.04</v>
      </c>
      <c r="S2137" s="7">
        <v>36</v>
      </c>
      <c r="T2137" s="92">
        <f>S2137*J2137</f>
        <v>1008</v>
      </c>
      <c r="U2137" s="341"/>
      <c r="V2137" s="260">
        <v>120</v>
      </c>
    </row>
    <row r="2138" spans="2:22" s="7" customFormat="1" ht="18" customHeight="1">
      <c r="B2138" s="12" t="s">
        <v>300</v>
      </c>
      <c r="C2138" s="6" t="s">
        <v>3173</v>
      </c>
      <c r="D2138" s="14" t="s">
        <v>3047</v>
      </c>
      <c r="E2138" s="22" t="s">
        <v>3137</v>
      </c>
      <c r="F2138" s="24"/>
      <c r="G2138" s="22" t="s">
        <v>100</v>
      </c>
      <c r="H2138" s="18">
        <v>14</v>
      </c>
      <c r="I2138" s="61">
        <v>2</v>
      </c>
      <c r="J2138" s="18">
        <f>H2138*I2138</f>
        <v>28</v>
      </c>
      <c r="K2138" s="39">
        <v>1.21</v>
      </c>
      <c r="L2138" s="39">
        <f t="shared" si="128"/>
        <v>33.879999999999995</v>
      </c>
      <c r="M2138" s="117" t="s">
        <v>323</v>
      </c>
      <c r="N2138" s="33">
        <v>44774</v>
      </c>
      <c r="O2138" s="32">
        <v>4448</v>
      </c>
      <c r="P2138" s="391">
        <f>ROUNDUP(S2138/V2138/VLOOKUP(B2138,$C$2:$F$6,3,FALSE),2)</f>
        <v>0.68</v>
      </c>
      <c r="Q2138" s="124">
        <v>0.68</v>
      </c>
      <c r="R2138" s="323">
        <f>Q2138*J2138</f>
        <v>19.040000000000003</v>
      </c>
      <c r="S2138" s="7">
        <v>57</v>
      </c>
      <c r="T2138" s="92">
        <f>S2138*J2138</f>
        <v>1596</v>
      </c>
      <c r="U2138" s="341"/>
      <c r="V2138" s="260">
        <v>120</v>
      </c>
    </row>
    <row r="2139" spans="2:22" s="7" customFormat="1" ht="18" customHeight="1">
      <c r="B2139" s="12"/>
      <c r="C2139" s="6" t="s">
        <v>3173</v>
      </c>
      <c r="D2139" s="14" t="s">
        <v>3047</v>
      </c>
      <c r="E2139" s="22"/>
      <c r="F2139" s="340"/>
      <c r="G2139" s="22" t="s">
        <v>316</v>
      </c>
      <c r="H2139" s="8"/>
      <c r="I2139" s="109" ph="1"/>
      <c r="J2139" s="38">
        <v>1</v>
      </c>
      <c r="K2139" s="39">
        <v>12</v>
      </c>
      <c r="L2139" s="39">
        <f t="shared" si="128"/>
        <v>12</v>
      </c>
      <c r="M2139" s="91"/>
      <c r="N2139" s="33">
        <v>44774</v>
      </c>
      <c r="O2139" s="32">
        <v>4448</v>
      </c>
      <c r="P2139" s="6"/>
      <c r="Q2139" s="322">
        <v>12</v>
      </c>
      <c r="R2139" s="322">
        <v>12</v>
      </c>
      <c r="S2139" s="7">
        <v>900</v>
      </c>
      <c r="T2139" s="7">
        <v>900</v>
      </c>
      <c r="U2139" s="21"/>
      <c r="V2139" s="260">
        <v>120</v>
      </c>
    </row>
    <row r="2140" spans="2:22" s="7" customFormat="1" ht="18" customHeight="1">
      <c r="B2140" s="12" t="s">
        <v>300</v>
      </c>
      <c r="C2140" s="6" t="s">
        <v>3173</v>
      </c>
      <c r="D2140" s="14" t="s">
        <v>3047</v>
      </c>
      <c r="E2140" s="22" t="s">
        <v>3174</v>
      </c>
      <c r="F2140" s="24"/>
      <c r="G2140" s="22" t="s">
        <v>100</v>
      </c>
      <c r="H2140" s="18">
        <v>14</v>
      </c>
      <c r="I2140" s="61">
        <v>2</v>
      </c>
      <c r="J2140" s="18">
        <f>H2140*I2140</f>
        <v>28</v>
      </c>
      <c r="K2140" s="39">
        <v>1.07</v>
      </c>
      <c r="L2140" s="39">
        <f t="shared" si="128"/>
        <v>29.96</v>
      </c>
      <c r="M2140" s="117" t="s">
        <v>323</v>
      </c>
      <c r="N2140" s="33">
        <v>44783</v>
      </c>
      <c r="O2140" s="32">
        <v>4478</v>
      </c>
      <c r="P2140" s="391">
        <f>ROUNDUP(S2140/V2140/VLOOKUP(B2140,$C$2:$F$6,3,FALSE),2)</f>
        <v>0.56000000000000005</v>
      </c>
      <c r="Q2140" s="124">
        <v>0.56000000000000005</v>
      </c>
      <c r="R2140" s="323">
        <f>Q2140*J2140</f>
        <v>15.680000000000001</v>
      </c>
      <c r="S2140" s="7">
        <v>47</v>
      </c>
      <c r="T2140" s="92">
        <f>S2140*J2140</f>
        <v>1316</v>
      </c>
      <c r="U2140" s="341"/>
      <c r="V2140" s="260">
        <v>120</v>
      </c>
    </row>
    <row r="2141" spans="2:22" s="191" customFormat="1" ht="15">
      <c r="B2141" s="190"/>
      <c r="C2141" s="179" t="s">
        <v>3173</v>
      </c>
      <c r="D2141" s="180" t="s">
        <v>3047</v>
      </c>
      <c r="E2141" s="181"/>
      <c r="F2141" s="622"/>
      <c r="G2141" s="182" t="s">
        <v>250</v>
      </c>
      <c r="H2141" s="184" t="s">
        <v>251</v>
      </c>
      <c r="I2141" s="185"/>
      <c r="J2141" s="183"/>
      <c r="K2141" s="192">
        <v>0</v>
      </c>
      <c r="L2141" s="188"/>
      <c r="M2141" s="187"/>
      <c r="N2141" s="187">
        <v>44783</v>
      </c>
      <c r="O2141" s="186">
        <v>4478</v>
      </c>
      <c r="P2141" s="179"/>
      <c r="Q2141" s="725">
        <v>0</v>
      </c>
      <c r="S2141" s="197">
        <v>0</v>
      </c>
      <c r="T2141" s="198">
        <v>0</v>
      </c>
      <c r="U2141" s="335"/>
      <c r="V2141" s="260">
        <v>120</v>
      </c>
    </row>
    <row r="2142" spans="2:22" s="7" customFormat="1" ht="18" customHeight="1">
      <c r="B2142" s="12"/>
      <c r="C2142" s="6" t="s">
        <v>3175</v>
      </c>
      <c r="D2142" s="14" t="s">
        <v>3047</v>
      </c>
      <c r="E2142" s="19" t="s">
        <v>358</v>
      </c>
      <c r="F2142" s="22"/>
      <c r="G2142" s="37"/>
      <c r="H2142" s="108"/>
      <c r="I2142" s="108"/>
      <c r="J2142" s="108"/>
      <c r="K2142" s="110" t="s">
        <v>5</v>
      </c>
      <c r="L2142" s="33"/>
      <c r="M2142" s="33"/>
      <c r="N2142" s="33">
        <v>44777</v>
      </c>
      <c r="O2142" s="32">
        <v>4463</v>
      </c>
      <c r="P2142" s="6"/>
      <c r="Q2142" s="223"/>
      <c r="S2142" s="257"/>
      <c r="T2142" s="92"/>
      <c r="U2142" s="266"/>
      <c r="V2142" s="260">
        <v>120</v>
      </c>
    </row>
    <row r="2143" spans="2:22" s="7" customFormat="1" ht="18" customHeight="1">
      <c r="B2143" s="12" t="s">
        <v>300</v>
      </c>
      <c r="C2143" s="6" t="s">
        <v>3175</v>
      </c>
      <c r="D2143" s="14" t="s">
        <v>3047</v>
      </c>
      <c r="E2143" s="22" t="s">
        <v>3136</v>
      </c>
      <c r="F2143" s="24"/>
      <c r="G2143" s="22" t="s">
        <v>100</v>
      </c>
      <c r="H2143" s="18">
        <v>13.7</v>
      </c>
      <c r="I2143" s="61">
        <v>1</v>
      </c>
      <c r="J2143" s="18">
        <f>H2143*I2143</f>
        <v>13.7</v>
      </c>
      <c r="K2143" s="39">
        <v>2.48</v>
      </c>
      <c r="L2143" s="39">
        <f t="shared" ref="L2143:L2149" si="129">K2143*J2143</f>
        <v>33.975999999999999</v>
      </c>
      <c r="M2143" s="117" t="s">
        <v>323</v>
      </c>
      <c r="N2143" s="33">
        <v>44777</v>
      </c>
      <c r="O2143" s="32">
        <v>4463</v>
      </c>
      <c r="P2143" s="391">
        <f>ROUNDUP(S2143/V2143/VLOOKUP(B2143,$C$2:$F$6,3,FALSE),2)</f>
        <v>1.77</v>
      </c>
      <c r="Q2143" s="124">
        <v>1.77</v>
      </c>
      <c r="R2143" s="323">
        <f>Q2143*J2143</f>
        <v>24.248999999999999</v>
      </c>
      <c r="S2143" s="7">
        <v>148</v>
      </c>
      <c r="T2143" s="92">
        <f>S2143*J2143</f>
        <v>2027.6</v>
      </c>
      <c r="U2143" s="341"/>
      <c r="V2143" s="260">
        <v>120</v>
      </c>
    </row>
    <row r="2144" spans="2:22" s="7" customFormat="1" ht="18" customHeight="1">
      <c r="B2144" s="12" t="s">
        <v>300</v>
      </c>
      <c r="C2144" s="6" t="s">
        <v>3175</v>
      </c>
      <c r="D2144" s="14" t="s">
        <v>3047</v>
      </c>
      <c r="E2144" s="22" t="s">
        <v>3135</v>
      </c>
      <c r="F2144" s="24"/>
      <c r="G2144" s="22" t="s">
        <v>100</v>
      </c>
      <c r="H2144" s="18">
        <v>13.7</v>
      </c>
      <c r="I2144" s="61">
        <v>1</v>
      </c>
      <c r="J2144" s="18">
        <f>H2144*I2144</f>
        <v>13.7</v>
      </c>
      <c r="K2144" s="39">
        <v>2.23</v>
      </c>
      <c r="L2144" s="39">
        <f t="shared" si="129"/>
        <v>30.550999999999998</v>
      </c>
      <c r="M2144" s="117" t="s">
        <v>323</v>
      </c>
      <c r="N2144" s="33">
        <v>44777</v>
      </c>
      <c r="O2144" s="32">
        <v>4463</v>
      </c>
      <c r="P2144" s="391">
        <f>ROUNDUP(S2144/V2144/VLOOKUP(B2144,$C$2:$F$6,3,FALSE),2)</f>
        <v>1.55</v>
      </c>
      <c r="Q2144" s="124">
        <v>1.55</v>
      </c>
      <c r="R2144" s="323">
        <f>Q2144*J2144</f>
        <v>21.234999999999999</v>
      </c>
      <c r="S2144" s="7">
        <v>130</v>
      </c>
      <c r="T2144" s="92">
        <f>S2144*J2144</f>
        <v>1781</v>
      </c>
      <c r="U2144" s="341"/>
      <c r="V2144" s="260">
        <v>120</v>
      </c>
    </row>
    <row r="2145" spans="2:22" s="7" customFormat="1" ht="18" customHeight="1">
      <c r="B2145" s="12" t="s">
        <v>300</v>
      </c>
      <c r="C2145" s="6" t="s">
        <v>3175</v>
      </c>
      <c r="D2145" s="14" t="s">
        <v>3047</v>
      </c>
      <c r="E2145" s="22" t="s">
        <v>3142</v>
      </c>
      <c r="F2145" s="24"/>
      <c r="G2145" s="22" t="s">
        <v>100</v>
      </c>
      <c r="H2145" s="18">
        <v>14</v>
      </c>
      <c r="I2145" s="61">
        <v>1</v>
      </c>
      <c r="J2145" s="18">
        <f>H2145*I2145</f>
        <v>14</v>
      </c>
      <c r="K2145" s="39">
        <v>0.92</v>
      </c>
      <c r="L2145" s="39">
        <f t="shared" si="129"/>
        <v>12.88</v>
      </c>
      <c r="M2145" s="117" t="s">
        <v>323</v>
      </c>
      <c r="N2145" s="33">
        <v>44777</v>
      </c>
      <c r="O2145" s="32">
        <v>4463</v>
      </c>
      <c r="P2145" s="391">
        <f>ROUNDUP(S2145/V2145/VLOOKUP(B2145,$C$2:$F$6,3,FALSE),2)</f>
        <v>0.43</v>
      </c>
      <c r="Q2145" s="124">
        <v>0.43</v>
      </c>
      <c r="R2145" s="323">
        <f>Q2145*J2145</f>
        <v>6.02</v>
      </c>
      <c r="S2145" s="7">
        <v>36</v>
      </c>
      <c r="T2145" s="92">
        <f>S2145*J2145</f>
        <v>504</v>
      </c>
      <c r="U2145" s="341"/>
      <c r="V2145" s="260">
        <v>120</v>
      </c>
    </row>
    <row r="2146" spans="2:22" s="7" customFormat="1" ht="18" customHeight="1">
      <c r="B2146" s="12" t="s">
        <v>300</v>
      </c>
      <c r="C2146" s="6" t="s">
        <v>3175</v>
      </c>
      <c r="D2146" s="14" t="s">
        <v>3047</v>
      </c>
      <c r="E2146" s="22" t="s">
        <v>3137</v>
      </c>
      <c r="F2146" s="24"/>
      <c r="G2146" s="22" t="s">
        <v>100</v>
      </c>
      <c r="H2146" s="18">
        <v>14</v>
      </c>
      <c r="I2146" s="61">
        <v>1</v>
      </c>
      <c r="J2146" s="18">
        <f>H2146*I2146</f>
        <v>14</v>
      </c>
      <c r="K2146" s="39">
        <v>1.21</v>
      </c>
      <c r="L2146" s="39">
        <f t="shared" si="129"/>
        <v>16.939999999999998</v>
      </c>
      <c r="M2146" s="117" t="s">
        <v>323</v>
      </c>
      <c r="N2146" s="33">
        <v>44777</v>
      </c>
      <c r="O2146" s="32">
        <v>4463</v>
      </c>
      <c r="P2146" s="391">
        <f>ROUNDUP(S2146/V2146/VLOOKUP(B2146,$C$2:$F$6,3,FALSE),2)</f>
        <v>0.68</v>
      </c>
      <c r="Q2146" s="124">
        <v>0.68</v>
      </c>
      <c r="R2146" s="323">
        <f>Q2146*J2146</f>
        <v>9.5200000000000014</v>
      </c>
      <c r="S2146" s="7">
        <v>57</v>
      </c>
      <c r="T2146" s="92">
        <f>S2146*J2146</f>
        <v>798</v>
      </c>
      <c r="U2146" s="341"/>
      <c r="V2146" s="260">
        <v>120</v>
      </c>
    </row>
    <row r="2147" spans="2:22" s="7" customFormat="1" ht="18" customHeight="1">
      <c r="B2147" s="12"/>
      <c r="C2147" s="6" t="s">
        <v>3175</v>
      </c>
      <c r="D2147" s="14" t="s">
        <v>3047</v>
      </c>
      <c r="E2147" s="49"/>
      <c r="F2147" s="340"/>
      <c r="G2147" s="22" t="s">
        <v>316</v>
      </c>
      <c r="H2147" s="8"/>
      <c r="I2147" s="109" ph="1"/>
      <c r="J2147" s="38">
        <v>1</v>
      </c>
      <c r="K2147" s="39">
        <v>12</v>
      </c>
      <c r="L2147" s="39">
        <f t="shared" si="129"/>
        <v>12</v>
      </c>
      <c r="M2147" s="91"/>
      <c r="N2147" s="33">
        <v>44777</v>
      </c>
      <c r="O2147" s="32">
        <v>4463</v>
      </c>
      <c r="P2147" s="6"/>
      <c r="Q2147" s="322">
        <v>12</v>
      </c>
      <c r="R2147" s="322">
        <v>12</v>
      </c>
      <c r="S2147" s="7">
        <v>900</v>
      </c>
      <c r="T2147" s="7">
        <v>900</v>
      </c>
      <c r="U2147" s="21"/>
      <c r="V2147" s="260">
        <v>120</v>
      </c>
    </row>
    <row r="2148" spans="2:22" s="7" customFormat="1" ht="18" customHeight="1">
      <c r="B2148" s="12" t="s">
        <v>300</v>
      </c>
      <c r="C2148" s="6" t="s">
        <v>3175</v>
      </c>
      <c r="D2148" s="14" t="s">
        <v>3047</v>
      </c>
      <c r="E2148" s="22" t="s">
        <v>3174</v>
      </c>
      <c r="F2148" s="24"/>
      <c r="G2148" s="22" t="s">
        <v>100</v>
      </c>
      <c r="H2148" s="18">
        <v>14</v>
      </c>
      <c r="I2148" s="61">
        <v>1</v>
      </c>
      <c r="J2148" s="18">
        <f>H2148*I2148</f>
        <v>14</v>
      </c>
      <c r="K2148" s="39">
        <v>1.07</v>
      </c>
      <c r="L2148" s="39">
        <f t="shared" si="129"/>
        <v>14.98</v>
      </c>
      <c r="M2148" s="117" t="s">
        <v>323</v>
      </c>
      <c r="N2148" s="33">
        <v>44783</v>
      </c>
      <c r="O2148" s="32">
        <v>4478</v>
      </c>
      <c r="P2148" s="391">
        <f>ROUNDUP(S2148/V2148/VLOOKUP(B2148,$C$2:$F$6,3,FALSE),2)</f>
        <v>0.56000000000000005</v>
      </c>
      <c r="Q2148" s="124">
        <v>0.56000000000000005</v>
      </c>
      <c r="R2148" s="323">
        <f>Q2148*J2148</f>
        <v>7.8400000000000007</v>
      </c>
      <c r="S2148" s="7">
        <v>47</v>
      </c>
      <c r="T2148" s="92">
        <f>S2148*J2148</f>
        <v>658</v>
      </c>
      <c r="U2148" s="341"/>
      <c r="V2148" s="260">
        <v>120</v>
      </c>
    </row>
    <row r="2149" spans="2:22" s="7" customFormat="1" ht="18" customHeight="1">
      <c r="B2149" s="12"/>
      <c r="C2149" s="6" t="s">
        <v>3175</v>
      </c>
      <c r="D2149" s="14" t="s">
        <v>3047</v>
      </c>
      <c r="E2149" s="82"/>
      <c r="F2149" s="340"/>
      <c r="G2149" s="22" t="s">
        <v>316</v>
      </c>
      <c r="H2149" s="8"/>
      <c r="I2149" s="109" ph="1"/>
      <c r="J2149" s="38">
        <v>1</v>
      </c>
      <c r="K2149" s="39">
        <v>12</v>
      </c>
      <c r="L2149" s="39">
        <f t="shared" si="129"/>
        <v>12</v>
      </c>
      <c r="M2149" s="91"/>
      <c r="N2149" s="33">
        <v>44783</v>
      </c>
      <c r="O2149" s="32">
        <v>4478</v>
      </c>
      <c r="P2149" s="6"/>
      <c r="Q2149" s="322">
        <v>12</v>
      </c>
      <c r="R2149" s="322">
        <v>12</v>
      </c>
      <c r="S2149" s="7">
        <v>900</v>
      </c>
      <c r="T2149" s="7">
        <v>900</v>
      </c>
      <c r="U2149" s="21"/>
      <c r="V2149" s="260">
        <v>120</v>
      </c>
    </row>
    <row r="2150" spans="2:22" s="191" customFormat="1" ht="15">
      <c r="B2150" s="190"/>
      <c r="C2150" s="179" t="s">
        <v>3175</v>
      </c>
      <c r="D2150" s="180" t="s">
        <v>3047</v>
      </c>
      <c r="E2150" s="181"/>
      <c r="F2150" s="622"/>
      <c r="G2150" s="182" t="s">
        <v>250</v>
      </c>
      <c r="H2150" s="184" t="s">
        <v>251</v>
      </c>
      <c r="I2150" s="185"/>
      <c r="J2150" s="183"/>
      <c r="K2150" s="192">
        <v>0</v>
      </c>
      <c r="L2150" s="188"/>
      <c r="M2150" s="187"/>
      <c r="N2150" s="187">
        <v>44783</v>
      </c>
      <c r="O2150" s="186">
        <v>4478</v>
      </c>
      <c r="P2150" s="179"/>
      <c r="Q2150" s="725">
        <v>0</v>
      </c>
      <c r="S2150" s="197">
        <v>0</v>
      </c>
      <c r="T2150" s="198">
        <v>0</v>
      </c>
      <c r="U2150" s="335"/>
      <c r="V2150" s="260">
        <v>120</v>
      </c>
    </row>
    <row r="2151" spans="2:22" s="7" customFormat="1" ht="18" customHeight="1">
      <c r="B2151" s="12"/>
      <c r="C2151" s="6" t="s">
        <v>3176</v>
      </c>
      <c r="D2151" s="14" t="s">
        <v>3177</v>
      </c>
      <c r="E2151" s="19" t="s">
        <v>2358</v>
      </c>
      <c r="F2151" s="24"/>
      <c r="G2151" s="22"/>
      <c r="H2151" s="60"/>
      <c r="I2151" s="61"/>
      <c r="J2151" s="60"/>
      <c r="K2151" s="16" t="s">
        <v>5</v>
      </c>
      <c r="L2151" s="139"/>
      <c r="M2151" s="33"/>
      <c r="N2151" s="33">
        <v>44778</v>
      </c>
      <c r="O2151" s="32">
        <v>4465</v>
      </c>
      <c r="P2151" s="6" t="s">
        <v>3</v>
      </c>
      <c r="Q2151" s="358"/>
      <c r="U2151" s="120"/>
      <c r="V2151" s="260">
        <v>120</v>
      </c>
    </row>
    <row r="2152" spans="2:22" s="7" customFormat="1" ht="18" customHeight="1">
      <c r="B2152" s="12" t="s">
        <v>300</v>
      </c>
      <c r="C2152" s="6" t="s">
        <v>3176</v>
      </c>
      <c r="D2152" s="14" t="s">
        <v>3177</v>
      </c>
      <c r="E2152" s="22" t="s">
        <v>3178</v>
      </c>
      <c r="F2152" s="24"/>
      <c r="G2152" s="22" t="s">
        <v>3179</v>
      </c>
      <c r="H2152" s="108"/>
      <c r="I2152" s="109"/>
      <c r="J2152" s="8">
        <v>15</v>
      </c>
      <c r="K2152" s="39">
        <v>1.75</v>
      </c>
      <c r="L2152" s="39">
        <f>K2152*J2152</f>
        <v>26.25</v>
      </c>
      <c r="M2152" s="117" t="s">
        <v>349</v>
      </c>
      <c r="N2152" s="33">
        <v>44778</v>
      </c>
      <c r="O2152" s="32">
        <v>4465</v>
      </c>
      <c r="P2152" s="391">
        <f>ROUNDUP(S2152/V2152/VLOOKUP(B2152,$C$2:$F$6,3,FALSE),2)</f>
        <v>1.5</v>
      </c>
      <c r="Q2152" s="322">
        <v>1.5</v>
      </c>
      <c r="R2152" s="322">
        <f>Q2152*J2152</f>
        <v>22.5</v>
      </c>
      <c r="S2152" s="7">
        <v>126</v>
      </c>
      <c r="T2152" s="7">
        <f>S2152*J2152</f>
        <v>1890</v>
      </c>
      <c r="U2152" s="386"/>
      <c r="V2152" s="260">
        <v>120</v>
      </c>
    </row>
    <row r="2153" spans="2:22" s="7" customFormat="1" ht="18" customHeight="1">
      <c r="B2153" s="12" t="s">
        <v>300</v>
      </c>
      <c r="C2153" s="6" t="s">
        <v>3176</v>
      </c>
      <c r="D2153" s="14" t="s">
        <v>3177</v>
      </c>
      <c r="E2153" s="22" t="s">
        <v>3178</v>
      </c>
      <c r="F2153" s="24"/>
      <c r="G2153" s="22" t="s">
        <v>3180</v>
      </c>
      <c r="H2153" s="108"/>
      <c r="I2153" s="109"/>
      <c r="J2153" s="8">
        <v>15</v>
      </c>
      <c r="K2153" s="39">
        <v>1.75</v>
      </c>
      <c r="L2153" s="39">
        <f>K2153*J2153</f>
        <v>26.25</v>
      </c>
      <c r="M2153" s="117" t="s">
        <v>349</v>
      </c>
      <c r="N2153" s="33">
        <v>44778</v>
      </c>
      <c r="O2153" s="32">
        <v>4465</v>
      </c>
      <c r="P2153" s="391">
        <f>ROUNDUP(S2153/V2153/VLOOKUP(B2153,$C$2:$F$6,3,FALSE),2)</f>
        <v>1.5</v>
      </c>
      <c r="Q2153" s="322">
        <v>1.5</v>
      </c>
      <c r="R2153" s="322">
        <f>Q2153*J2153</f>
        <v>22.5</v>
      </c>
      <c r="S2153" s="7">
        <v>126</v>
      </c>
      <c r="T2153" s="7">
        <f>S2153*J2153</f>
        <v>1890</v>
      </c>
      <c r="U2153" s="386"/>
      <c r="V2153" s="260">
        <v>120</v>
      </c>
    </row>
    <row r="2154" spans="2:22" s="7" customFormat="1" ht="18" customHeight="1">
      <c r="B2154" s="12" t="s">
        <v>306</v>
      </c>
      <c r="C2154" s="6" t="s">
        <v>3176</v>
      </c>
      <c r="D2154" s="14" t="s">
        <v>3177</v>
      </c>
      <c r="E2154" s="22"/>
      <c r="F2154" s="24"/>
      <c r="G2154" s="22" t="s">
        <v>3181</v>
      </c>
      <c r="H2154" s="108"/>
      <c r="I2154" s="109"/>
      <c r="J2154" s="38">
        <v>2</v>
      </c>
      <c r="K2154" s="39">
        <v>65</v>
      </c>
      <c r="L2154" s="39">
        <f>K2154*J2154</f>
        <v>130</v>
      </c>
      <c r="M2154" s="117" t="s">
        <v>349</v>
      </c>
      <c r="N2154" s="33">
        <v>44778</v>
      </c>
      <c r="O2154" s="32">
        <v>4465</v>
      </c>
      <c r="P2154" s="391">
        <f>ROUNDUP(S2154/V2154/VLOOKUP(B2154,$C$2:$F$6,3,FALSE),2)</f>
        <v>56.82</v>
      </c>
      <c r="Q2154" s="322">
        <v>56.82</v>
      </c>
      <c r="R2154" s="322">
        <f>Q2154*J2154</f>
        <v>113.64</v>
      </c>
      <c r="S2154" s="7">
        <v>6000</v>
      </c>
      <c r="T2154" s="7">
        <f>S2154*J2154</f>
        <v>12000</v>
      </c>
      <c r="U2154" s="386"/>
      <c r="V2154" s="260">
        <v>120</v>
      </c>
    </row>
    <row r="2155" spans="2:22" s="7" customFormat="1" ht="18" customHeight="1">
      <c r="B2155" s="12"/>
      <c r="C2155" s="6" t="s">
        <v>3176</v>
      </c>
      <c r="D2155" s="14" t="s">
        <v>3177</v>
      </c>
      <c r="E2155" s="22"/>
      <c r="F2155" s="340"/>
      <c r="G2155" s="22" t="s">
        <v>316</v>
      </c>
      <c r="H2155" s="8"/>
      <c r="I2155" s="109" ph="1"/>
      <c r="J2155" s="38">
        <v>1</v>
      </c>
      <c r="K2155" s="39">
        <v>15</v>
      </c>
      <c r="L2155" s="39">
        <f>K2155*J2155</f>
        <v>15</v>
      </c>
      <c r="M2155" s="91"/>
      <c r="N2155" s="33">
        <v>44778</v>
      </c>
      <c r="O2155" s="32">
        <v>4465</v>
      </c>
      <c r="P2155" s="6"/>
      <c r="Q2155" s="322">
        <v>12</v>
      </c>
      <c r="R2155" s="322">
        <v>12</v>
      </c>
      <c r="S2155" s="7">
        <v>0</v>
      </c>
      <c r="T2155" s="7">
        <v>0</v>
      </c>
      <c r="U2155" s="21"/>
      <c r="V2155" s="260">
        <v>120</v>
      </c>
    </row>
    <row r="2156" spans="2:22" s="191" customFormat="1" ht="18" customHeight="1">
      <c r="B2156" s="190"/>
      <c r="C2156" s="179" t="s">
        <v>3176</v>
      </c>
      <c r="D2156" s="180" t="s">
        <v>3177</v>
      </c>
      <c r="E2156" s="181"/>
      <c r="F2156" s="182"/>
      <c r="G2156" s="182" t="s">
        <v>250</v>
      </c>
      <c r="H2156" s="184" t="s">
        <v>252</v>
      </c>
      <c r="I2156" s="185"/>
      <c r="J2156" s="183"/>
      <c r="K2156" s="333">
        <v>25</v>
      </c>
      <c r="L2156" s="333">
        <v>25</v>
      </c>
      <c r="M2156" s="187"/>
      <c r="N2156" s="187">
        <v>44778</v>
      </c>
      <c r="O2156" s="186">
        <v>4465</v>
      </c>
      <c r="P2156" s="179"/>
      <c r="Q2156" s="333">
        <v>25</v>
      </c>
      <c r="R2156" s="333">
        <v>25</v>
      </c>
      <c r="S2156" s="7">
        <v>2293</v>
      </c>
      <c r="T2156" s="7">
        <v>2293</v>
      </c>
      <c r="U2156" s="335"/>
      <c r="V2156" s="260">
        <v>120</v>
      </c>
    </row>
    <row r="2157" spans="2:22" s="7" customFormat="1" ht="18" customHeight="1">
      <c r="B2157" s="12"/>
      <c r="C2157" s="6" t="s">
        <v>3182</v>
      </c>
      <c r="D2157" s="14" t="s">
        <v>2059</v>
      </c>
      <c r="E2157" s="19" t="s">
        <v>3092</v>
      </c>
      <c r="F2157" s="37"/>
      <c r="G2157" s="37"/>
      <c r="H2157" s="108"/>
      <c r="I2157" s="108"/>
      <c r="J2157" s="108"/>
      <c r="K2157" s="29" t="s">
        <v>5</v>
      </c>
      <c r="L2157" s="139"/>
      <c r="M2157" s="33"/>
      <c r="N2157" s="33">
        <v>44783</v>
      </c>
      <c r="O2157" s="32">
        <v>4477</v>
      </c>
      <c r="P2157" s="6"/>
      <c r="Q2157" s="339"/>
      <c r="U2157" s="21"/>
      <c r="V2157" s="260">
        <v>120</v>
      </c>
    </row>
    <row r="2158" spans="2:22" s="7" customFormat="1" ht="18" customHeight="1">
      <c r="B2158" s="12" t="s">
        <v>300</v>
      </c>
      <c r="C2158" s="6" t="s">
        <v>3182</v>
      </c>
      <c r="D2158" s="14" t="s">
        <v>2059</v>
      </c>
      <c r="E2158" s="22">
        <v>5634</v>
      </c>
      <c r="F2158" s="37" t="s">
        <v>311</v>
      </c>
      <c r="G2158" s="396" t="s">
        <v>3162</v>
      </c>
      <c r="H2158" s="108">
        <v>50</v>
      </c>
      <c r="I2158" s="109">
        <v>2</v>
      </c>
      <c r="J2158" s="8">
        <f t="shared" ref="J2158:J2163" si="130">H2158*I2158</f>
        <v>100</v>
      </c>
      <c r="K2158" s="39">
        <v>0.31</v>
      </c>
      <c r="L2158" s="39">
        <f t="shared" ref="L2158:L2164" si="131">K2158*J2158</f>
        <v>31</v>
      </c>
      <c r="M2158" s="117" t="s">
        <v>349</v>
      </c>
      <c r="N2158" s="33">
        <v>44783</v>
      </c>
      <c r="O2158" s="32">
        <v>4477</v>
      </c>
      <c r="P2158" s="391">
        <f t="shared" ref="P2158:P2163" si="132">ROUNDUP(S2158/V2158/VLOOKUP(B2158,$C$2:$F$6,3,FALSE),2)</f>
        <v>0.2</v>
      </c>
      <c r="Q2158" s="322">
        <v>0.2</v>
      </c>
      <c r="R2158" s="322">
        <f t="shared" ref="R2158:R2164" si="133">Q2158*J2158</f>
        <v>20</v>
      </c>
      <c r="S2158" s="7">
        <v>16.3</v>
      </c>
      <c r="T2158" s="92">
        <f t="shared" ref="T2158:T2164" si="134">S2158*J2158</f>
        <v>1630</v>
      </c>
      <c r="U2158" s="778"/>
      <c r="V2158" s="260">
        <v>120</v>
      </c>
    </row>
    <row r="2159" spans="2:22" s="7" customFormat="1" ht="18" customHeight="1">
      <c r="B2159" s="12" t="s">
        <v>300</v>
      </c>
      <c r="C2159" s="6" t="s">
        <v>3182</v>
      </c>
      <c r="D2159" s="14" t="s">
        <v>2059</v>
      </c>
      <c r="E2159" s="22">
        <v>5634</v>
      </c>
      <c r="F2159" s="37" t="s">
        <v>311</v>
      </c>
      <c r="G2159" s="396" t="s">
        <v>3163</v>
      </c>
      <c r="H2159" s="108">
        <v>50</v>
      </c>
      <c r="I2159" s="109">
        <v>2</v>
      </c>
      <c r="J2159" s="8">
        <f t="shared" si="130"/>
        <v>100</v>
      </c>
      <c r="K2159" s="39">
        <v>0.31</v>
      </c>
      <c r="L2159" s="39">
        <f t="shared" si="131"/>
        <v>31</v>
      </c>
      <c r="M2159" s="117" t="s">
        <v>349</v>
      </c>
      <c r="N2159" s="33">
        <v>44783</v>
      </c>
      <c r="O2159" s="32">
        <v>4477</v>
      </c>
      <c r="P2159" s="391">
        <f t="shared" si="132"/>
        <v>0.2</v>
      </c>
      <c r="Q2159" s="322">
        <v>0.2</v>
      </c>
      <c r="R2159" s="322">
        <f t="shared" si="133"/>
        <v>20</v>
      </c>
      <c r="S2159" s="7">
        <v>16.3</v>
      </c>
      <c r="T2159" s="92">
        <f t="shared" si="134"/>
        <v>1630</v>
      </c>
      <c r="U2159" s="778"/>
      <c r="V2159" s="260">
        <v>120</v>
      </c>
    </row>
    <row r="2160" spans="2:22" s="7" customFormat="1" ht="18" customHeight="1">
      <c r="B2160" s="12" t="s">
        <v>300</v>
      </c>
      <c r="C2160" s="6" t="s">
        <v>3182</v>
      </c>
      <c r="D2160" s="14" t="s">
        <v>2059</v>
      </c>
      <c r="E2160" s="22">
        <v>5634</v>
      </c>
      <c r="F2160" s="37" t="s">
        <v>311</v>
      </c>
      <c r="G2160" s="396" t="s">
        <v>3164</v>
      </c>
      <c r="H2160" s="108">
        <v>50</v>
      </c>
      <c r="I2160" s="109">
        <v>2</v>
      </c>
      <c r="J2160" s="8">
        <f t="shared" si="130"/>
        <v>100</v>
      </c>
      <c r="K2160" s="39">
        <v>0.31</v>
      </c>
      <c r="L2160" s="39">
        <f t="shared" si="131"/>
        <v>31</v>
      </c>
      <c r="M2160" s="117" t="s">
        <v>349</v>
      </c>
      <c r="N2160" s="33">
        <v>44783</v>
      </c>
      <c r="O2160" s="32">
        <v>4477</v>
      </c>
      <c r="P2160" s="391">
        <f t="shared" si="132"/>
        <v>0.2</v>
      </c>
      <c r="Q2160" s="322">
        <v>0.2</v>
      </c>
      <c r="R2160" s="322">
        <f t="shared" si="133"/>
        <v>20</v>
      </c>
      <c r="S2160" s="7">
        <v>16.3</v>
      </c>
      <c r="T2160" s="92">
        <f t="shared" si="134"/>
        <v>1630</v>
      </c>
      <c r="U2160" s="778"/>
      <c r="V2160" s="260">
        <v>120</v>
      </c>
    </row>
    <row r="2161" spans="2:22" s="7" customFormat="1" ht="18" customHeight="1">
      <c r="B2161" s="12" t="s">
        <v>300</v>
      </c>
      <c r="C2161" s="6" t="s">
        <v>3182</v>
      </c>
      <c r="D2161" s="14" t="s">
        <v>2059</v>
      </c>
      <c r="E2161" s="22">
        <v>5634</v>
      </c>
      <c r="F2161" s="37" t="s">
        <v>311</v>
      </c>
      <c r="G2161" s="396" t="s">
        <v>3165</v>
      </c>
      <c r="H2161" s="108">
        <v>50</v>
      </c>
      <c r="I2161" s="109">
        <v>2</v>
      </c>
      <c r="J2161" s="8">
        <f t="shared" si="130"/>
        <v>100</v>
      </c>
      <c r="K2161" s="39">
        <v>0.31</v>
      </c>
      <c r="L2161" s="39">
        <f t="shared" si="131"/>
        <v>31</v>
      </c>
      <c r="M2161" s="117" t="s">
        <v>349</v>
      </c>
      <c r="N2161" s="33">
        <v>44783</v>
      </c>
      <c r="O2161" s="32">
        <v>4477</v>
      </c>
      <c r="P2161" s="391">
        <f t="shared" si="132"/>
        <v>0.2</v>
      </c>
      <c r="Q2161" s="322">
        <v>0.2</v>
      </c>
      <c r="R2161" s="322">
        <f t="shared" si="133"/>
        <v>20</v>
      </c>
      <c r="S2161" s="7">
        <v>16.3</v>
      </c>
      <c r="T2161" s="92">
        <f t="shared" si="134"/>
        <v>1630</v>
      </c>
      <c r="U2161" s="778"/>
      <c r="V2161" s="260">
        <v>120</v>
      </c>
    </row>
    <row r="2162" spans="2:22" s="7" customFormat="1" ht="18" customHeight="1">
      <c r="B2162" s="12" t="s">
        <v>300</v>
      </c>
      <c r="C2162" s="6" t="s">
        <v>3182</v>
      </c>
      <c r="D2162" s="14" t="s">
        <v>2059</v>
      </c>
      <c r="E2162" s="22">
        <v>5634</v>
      </c>
      <c r="F2162" s="37" t="s">
        <v>311</v>
      </c>
      <c r="G2162" s="396" t="s">
        <v>3166</v>
      </c>
      <c r="H2162" s="108">
        <v>50</v>
      </c>
      <c r="I2162" s="109">
        <v>2</v>
      </c>
      <c r="J2162" s="8">
        <f t="shared" si="130"/>
        <v>100</v>
      </c>
      <c r="K2162" s="39">
        <v>0.31</v>
      </c>
      <c r="L2162" s="39">
        <f t="shared" si="131"/>
        <v>31</v>
      </c>
      <c r="M2162" s="117" t="s">
        <v>349</v>
      </c>
      <c r="N2162" s="33">
        <v>44783</v>
      </c>
      <c r="O2162" s="32">
        <v>4477</v>
      </c>
      <c r="P2162" s="391">
        <f t="shared" si="132"/>
        <v>0.2</v>
      </c>
      <c r="Q2162" s="322">
        <v>0.2</v>
      </c>
      <c r="R2162" s="322">
        <f t="shared" si="133"/>
        <v>20</v>
      </c>
      <c r="S2162" s="7">
        <v>16.3</v>
      </c>
      <c r="T2162" s="92">
        <f t="shared" si="134"/>
        <v>1630</v>
      </c>
      <c r="U2162" s="778"/>
      <c r="V2162" s="260">
        <v>120</v>
      </c>
    </row>
    <row r="2163" spans="2:22" s="7" customFormat="1" ht="18" customHeight="1">
      <c r="B2163" s="12" t="s">
        <v>300</v>
      </c>
      <c r="C2163" s="6" t="s">
        <v>3182</v>
      </c>
      <c r="D2163" s="14" t="s">
        <v>2059</v>
      </c>
      <c r="E2163" s="22">
        <v>5634</v>
      </c>
      <c r="F2163" s="37" t="s">
        <v>311</v>
      </c>
      <c r="G2163" s="396" t="s">
        <v>3167</v>
      </c>
      <c r="H2163" s="108">
        <v>50</v>
      </c>
      <c r="I2163" s="109">
        <v>2</v>
      </c>
      <c r="J2163" s="8">
        <f t="shared" si="130"/>
        <v>100</v>
      </c>
      <c r="K2163" s="39">
        <v>0.31</v>
      </c>
      <c r="L2163" s="39">
        <f t="shared" si="131"/>
        <v>31</v>
      </c>
      <c r="M2163" s="117" t="s">
        <v>349</v>
      </c>
      <c r="N2163" s="33">
        <v>44783</v>
      </c>
      <c r="O2163" s="32">
        <v>4477</v>
      </c>
      <c r="P2163" s="391">
        <f t="shared" si="132"/>
        <v>0.2</v>
      </c>
      <c r="Q2163" s="322">
        <v>0.2</v>
      </c>
      <c r="R2163" s="322">
        <f t="shared" si="133"/>
        <v>20</v>
      </c>
      <c r="S2163" s="7">
        <v>16.3</v>
      </c>
      <c r="T2163" s="92">
        <f t="shared" si="134"/>
        <v>1630</v>
      </c>
      <c r="U2163" s="778"/>
      <c r="V2163" s="260">
        <v>120</v>
      </c>
    </row>
    <row r="2164" spans="2:22" s="7" customFormat="1" ht="18" customHeight="1">
      <c r="B2164" s="12"/>
      <c r="C2164" s="6" t="s">
        <v>3182</v>
      </c>
      <c r="D2164" s="14" t="s">
        <v>2059</v>
      </c>
      <c r="E2164" s="22"/>
      <c r="F2164" s="102"/>
      <c r="G2164" s="22" t="s">
        <v>316</v>
      </c>
      <c r="H2164" s="8"/>
      <c r="I2164" s="35"/>
      <c r="J2164" s="38">
        <v>1</v>
      </c>
      <c r="K2164" s="39">
        <v>12</v>
      </c>
      <c r="L2164" s="39">
        <f t="shared" si="131"/>
        <v>12</v>
      </c>
      <c r="M2164" s="91"/>
      <c r="N2164" s="33">
        <v>44783</v>
      </c>
      <c r="O2164" s="32">
        <v>4477</v>
      </c>
      <c r="P2164" s="6"/>
      <c r="Q2164" s="322">
        <v>12</v>
      </c>
      <c r="R2164" s="322">
        <f t="shared" si="133"/>
        <v>12</v>
      </c>
      <c r="S2164" s="7">
        <v>1100</v>
      </c>
      <c r="T2164" s="7">
        <f t="shared" si="134"/>
        <v>1100</v>
      </c>
      <c r="U2164" s="21"/>
      <c r="V2164" s="260">
        <v>120</v>
      </c>
    </row>
    <row r="2165" spans="2:22" s="191" customFormat="1" ht="18" customHeight="1">
      <c r="B2165" s="190"/>
      <c r="C2165" s="179" t="s">
        <v>3182</v>
      </c>
      <c r="D2165" s="180" t="s">
        <v>2059</v>
      </c>
      <c r="E2165" s="736"/>
      <c r="F2165" s="737"/>
      <c r="G2165" s="182" t="s">
        <v>250</v>
      </c>
      <c r="H2165" s="184" t="s">
        <v>251</v>
      </c>
      <c r="I2165" s="185"/>
      <c r="J2165" s="183"/>
      <c r="K2165" s="192">
        <v>0</v>
      </c>
      <c r="L2165" s="188"/>
      <c r="M2165" s="187"/>
      <c r="N2165" s="187">
        <v>44783</v>
      </c>
      <c r="O2165" s="186">
        <v>4477</v>
      </c>
      <c r="P2165" s="179"/>
      <c r="Q2165" s="725">
        <v>0</v>
      </c>
      <c r="S2165" s="197">
        <v>0</v>
      </c>
      <c r="T2165" s="198">
        <v>0</v>
      </c>
      <c r="U2165" s="335"/>
      <c r="V2165" s="260">
        <v>120</v>
      </c>
    </row>
    <row r="2166" spans="2:22" s="7" customFormat="1" ht="18" customHeight="1">
      <c r="B2166" s="12"/>
      <c r="C2166" s="6" t="s">
        <v>3183</v>
      </c>
      <c r="D2166" s="14" t="s">
        <v>2608</v>
      </c>
      <c r="E2166" s="17" t="s">
        <v>2687</v>
      </c>
      <c r="F2166" s="319"/>
      <c r="G2166" s="299"/>
      <c r="H2166" s="300"/>
      <c r="I2166" s="320"/>
      <c r="J2166" s="321"/>
      <c r="K2166" s="110" t="s">
        <v>5</v>
      </c>
      <c r="L2166" s="139"/>
      <c r="M2166" s="33"/>
      <c r="N2166" s="33">
        <v>44776</v>
      </c>
      <c r="O2166" s="32">
        <v>4460</v>
      </c>
      <c r="P2166" s="6"/>
      <c r="Q2166" s="322"/>
      <c r="U2166" s="39"/>
      <c r="V2166" s="260">
        <v>120</v>
      </c>
    </row>
    <row r="2167" spans="2:22" s="7" customFormat="1" ht="18" customHeight="1">
      <c r="B2167" s="12" t="s">
        <v>300</v>
      </c>
      <c r="C2167" s="6" t="s">
        <v>3183</v>
      </c>
      <c r="D2167" s="14" t="s">
        <v>2608</v>
      </c>
      <c r="E2167" s="22">
        <v>5637</v>
      </c>
      <c r="F2167" s="24" t="s">
        <v>311</v>
      </c>
      <c r="G2167" s="22" t="s">
        <v>3184</v>
      </c>
      <c r="H2167" s="813">
        <v>50</v>
      </c>
      <c r="I2167" s="814">
        <v>1</v>
      </c>
      <c r="J2167" s="8">
        <f>H2167*I2167</f>
        <v>50</v>
      </c>
      <c r="K2167" s="137">
        <v>0.22</v>
      </c>
      <c r="L2167" s="39">
        <f>K2167*J2167</f>
        <v>11</v>
      </c>
      <c r="M2167" s="117" t="s">
        <v>349</v>
      </c>
      <c r="N2167" s="33">
        <v>44776</v>
      </c>
      <c r="O2167" s="32">
        <v>4460</v>
      </c>
      <c r="P2167" s="391">
        <f>ROUNDUP(S2167/V2167/VLOOKUP(B2167,$C$2:$F$6,3,FALSE),2)</f>
        <v>0.15000000000000002</v>
      </c>
      <c r="Q2167" s="322">
        <v>0.15</v>
      </c>
      <c r="R2167" s="322">
        <f>Q2167*J2167</f>
        <v>7.5</v>
      </c>
      <c r="S2167" s="752">
        <v>11.9</v>
      </c>
      <c r="T2167" s="7">
        <f>S2167*J2167</f>
        <v>595</v>
      </c>
      <c r="U2167" s="778"/>
      <c r="V2167" s="260">
        <v>120</v>
      </c>
    </row>
    <row r="2168" spans="2:22" s="7" customFormat="1" ht="15">
      <c r="B2168" s="12"/>
      <c r="C2168" s="6" t="s">
        <v>3183</v>
      </c>
      <c r="D2168" s="14" t="s">
        <v>2608</v>
      </c>
      <c r="E2168" s="22"/>
      <c r="F2168" s="102"/>
      <c r="G2168" s="22" t="s">
        <v>316</v>
      </c>
      <c r="H2168" s="8"/>
      <c r="I2168" s="35"/>
      <c r="J2168" s="38">
        <v>1</v>
      </c>
      <c r="K2168" s="39">
        <v>12</v>
      </c>
      <c r="L2168" s="39">
        <f>K2168*J2168</f>
        <v>12</v>
      </c>
      <c r="M2168" s="91"/>
      <c r="N2168" s="33">
        <v>44776</v>
      </c>
      <c r="O2168" s="32">
        <v>4460</v>
      </c>
      <c r="P2168" s="6"/>
      <c r="Q2168" s="322">
        <v>12</v>
      </c>
      <c r="R2168" s="322">
        <f>Q2168*J2168</f>
        <v>12</v>
      </c>
      <c r="S2168" s="7">
        <v>1100</v>
      </c>
      <c r="T2168" s="7">
        <f>S2168*J2168</f>
        <v>1100</v>
      </c>
      <c r="U2168" s="21"/>
      <c r="V2168" s="260">
        <v>120</v>
      </c>
    </row>
    <row r="2169" spans="2:22" s="191" customFormat="1" ht="15">
      <c r="B2169" s="190"/>
      <c r="C2169" s="179" t="s">
        <v>3183</v>
      </c>
      <c r="D2169" s="180" t="s">
        <v>2608</v>
      </c>
      <c r="E2169" s="181"/>
      <c r="F2169" s="622"/>
      <c r="G2169" s="182" t="s">
        <v>250</v>
      </c>
      <c r="H2169" s="184" t="s">
        <v>251</v>
      </c>
      <c r="I2169" s="185"/>
      <c r="J2169" s="183"/>
      <c r="K2169" s="192">
        <v>0</v>
      </c>
      <c r="L2169" s="188"/>
      <c r="M2169" s="187"/>
      <c r="N2169" s="187">
        <v>44776</v>
      </c>
      <c r="O2169" s="186">
        <v>4460</v>
      </c>
      <c r="P2169" s="179"/>
      <c r="Q2169" s="725">
        <v>0</v>
      </c>
      <c r="S2169" s="197">
        <v>0</v>
      </c>
      <c r="T2169" s="198">
        <v>0</v>
      </c>
      <c r="U2169" s="335"/>
      <c r="V2169" s="260">
        <v>120</v>
      </c>
    </row>
    <row r="2170" spans="2:22" s="7" customFormat="1" ht="18" customHeight="1">
      <c r="B2170" s="12"/>
      <c r="C2170" s="6" t="s">
        <v>3185</v>
      </c>
      <c r="D2170" s="14" t="s">
        <v>2022</v>
      </c>
      <c r="E2170" s="19" t="s">
        <v>59</v>
      </c>
      <c r="F2170" s="107"/>
      <c r="G2170" s="22"/>
      <c r="H2170" s="108"/>
      <c r="I2170" s="109"/>
      <c r="J2170" s="108"/>
      <c r="K2170" s="29" t="s">
        <v>5</v>
      </c>
      <c r="L2170" s="39"/>
      <c r="M2170" s="91"/>
      <c r="N2170" s="33">
        <v>44781</v>
      </c>
      <c r="O2170" s="32">
        <v>4452</v>
      </c>
      <c r="P2170" s="14"/>
      <c r="Q2170" s="322"/>
      <c r="U2170" s="14"/>
      <c r="V2170" s="260">
        <v>120</v>
      </c>
    </row>
    <row r="2171" spans="2:22" s="7" customFormat="1" ht="18" customHeight="1">
      <c r="B2171" s="12" t="s">
        <v>302</v>
      </c>
      <c r="C2171" s="6" t="s">
        <v>3185</v>
      </c>
      <c r="D2171" s="14" t="s">
        <v>2022</v>
      </c>
      <c r="E2171" s="22" t="s">
        <v>7</v>
      </c>
      <c r="F2171" s="102">
        <v>132</v>
      </c>
      <c r="G2171" s="22" t="s">
        <v>3186</v>
      </c>
      <c r="H2171" s="108">
        <v>50</v>
      </c>
      <c r="I2171" s="109">
        <v>1</v>
      </c>
      <c r="J2171" s="8">
        <f>H2171*I2171</f>
        <v>50</v>
      </c>
      <c r="K2171" s="39">
        <v>5</v>
      </c>
      <c r="L2171" s="39">
        <f>K2171*J2171</f>
        <v>250</v>
      </c>
      <c r="M2171" s="117" t="s">
        <v>349</v>
      </c>
      <c r="N2171" s="33">
        <v>44781</v>
      </c>
      <c r="O2171" s="32">
        <v>4452</v>
      </c>
      <c r="P2171" s="391">
        <f>ROUNDUP(S2171/V2171/VLOOKUP(B2171,$C$2:$F$6,3,FALSE),2)</f>
        <v>3.4099999999999997</v>
      </c>
      <c r="Q2171" s="322">
        <v>3.41</v>
      </c>
      <c r="R2171" s="322">
        <f>Q2171*J2171</f>
        <v>170.5</v>
      </c>
      <c r="S2171" s="7">
        <v>360</v>
      </c>
      <c r="T2171" s="7">
        <f>S2171*J2171</f>
        <v>18000</v>
      </c>
      <c r="U2171" s="21"/>
      <c r="V2171" s="260">
        <v>120</v>
      </c>
    </row>
    <row r="2172" spans="2:22" s="7" customFormat="1" ht="15">
      <c r="B2172" s="12"/>
      <c r="C2172" s="6" t="s">
        <v>3185</v>
      </c>
      <c r="D2172" s="14" t="s">
        <v>2022</v>
      </c>
      <c r="E2172" s="22"/>
      <c r="F2172" s="102"/>
      <c r="G2172" s="22" t="s">
        <v>316</v>
      </c>
      <c r="H2172" s="8"/>
      <c r="I2172" s="35"/>
      <c r="J2172" s="38">
        <v>1</v>
      </c>
      <c r="K2172" s="39">
        <v>20</v>
      </c>
      <c r="L2172" s="39">
        <f>K2172*J2172</f>
        <v>20</v>
      </c>
      <c r="M2172" s="91"/>
      <c r="N2172" s="33">
        <v>44781</v>
      </c>
      <c r="O2172" s="32">
        <v>4452</v>
      </c>
      <c r="P2172" s="6" t="s">
        <v>3</v>
      </c>
      <c r="Q2172" s="322">
        <v>20</v>
      </c>
      <c r="R2172" s="322">
        <f>Q2172*J2172</f>
        <v>20</v>
      </c>
      <c r="S2172" s="7">
        <v>1800</v>
      </c>
      <c r="T2172" s="7">
        <f>S2172*J2172</f>
        <v>1800</v>
      </c>
      <c r="U2172" s="21"/>
      <c r="V2172" s="260">
        <v>120</v>
      </c>
    </row>
    <row r="2173" spans="2:22" s="191" customFormat="1" ht="15">
      <c r="B2173" s="190"/>
      <c r="C2173" s="179" t="s">
        <v>3185</v>
      </c>
      <c r="D2173" s="180" t="s">
        <v>2022</v>
      </c>
      <c r="E2173" s="217"/>
      <c r="F2173" s="182"/>
      <c r="G2173" s="182" t="s">
        <v>324</v>
      </c>
      <c r="H2173" s="184" t="s">
        <v>251</v>
      </c>
      <c r="I2173" s="185"/>
      <c r="J2173" s="183"/>
      <c r="K2173" s="203">
        <v>249</v>
      </c>
      <c r="L2173" s="203">
        <v>249</v>
      </c>
      <c r="M2173" s="187"/>
      <c r="N2173" s="187">
        <v>44781</v>
      </c>
      <c r="O2173" s="186">
        <v>4452</v>
      </c>
      <c r="P2173" s="179"/>
      <c r="Q2173" s="747">
        <v>249</v>
      </c>
      <c r="R2173" s="322">
        <v>249</v>
      </c>
      <c r="S2173" s="197">
        <v>24331</v>
      </c>
      <c r="T2173" s="197">
        <v>24331</v>
      </c>
      <c r="U2173" s="335"/>
      <c r="V2173" s="260">
        <v>120</v>
      </c>
    </row>
    <row r="2174" spans="2:22" s="7" customFormat="1" ht="18" customHeight="1">
      <c r="B2174" s="12"/>
      <c r="C2174" s="6" t="s">
        <v>3187</v>
      </c>
      <c r="D2174" s="14" t="s">
        <v>2059</v>
      </c>
      <c r="E2174" s="19" t="s">
        <v>3092</v>
      </c>
      <c r="F2174" s="37"/>
      <c r="G2174" s="37"/>
      <c r="H2174" s="108"/>
      <c r="I2174" s="108"/>
      <c r="J2174" s="108"/>
      <c r="K2174" s="29" t="s">
        <v>5</v>
      </c>
      <c r="L2174" s="139"/>
      <c r="M2174" s="33"/>
      <c r="N2174" s="33">
        <v>44783</v>
      </c>
      <c r="O2174" s="32">
        <v>4477</v>
      </c>
      <c r="P2174" s="6"/>
      <c r="Q2174" s="339"/>
      <c r="U2174" s="21"/>
      <c r="V2174" s="260">
        <v>120</v>
      </c>
    </row>
    <row r="2175" spans="2:22" s="7" customFormat="1" ht="18" customHeight="1">
      <c r="B2175" s="12" t="s">
        <v>300</v>
      </c>
      <c r="C2175" s="6" t="s">
        <v>3187</v>
      </c>
      <c r="D2175" s="14" t="s">
        <v>2059</v>
      </c>
      <c r="E2175" s="22">
        <v>5634</v>
      </c>
      <c r="F2175" s="37" t="s">
        <v>311</v>
      </c>
      <c r="G2175" s="396" t="s">
        <v>3162</v>
      </c>
      <c r="H2175" s="108">
        <v>50</v>
      </c>
      <c r="I2175" s="109">
        <v>1</v>
      </c>
      <c r="J2175" s="8">
        <f t="shared" ref="J2175:J2180" si="135">H2175*I2175</f>
        <v>50</v>
      </c>
      <c r="K2175" s="39">
        <v>0.31</v>
      </c>
      <c r="L2175" s="39">
        <f t="shared" ref="L2175:L2181" si="136">K2175*J2175</f>
        <v>15.5</v>
      </c>
      <c r="M2175" s="117" t="s">
        <v>349</v>
      </c>
      <c r="N2175" s="33">
        <v>44783</v>
      </c>
      <c r="O2175" s="32">
        <v>4477</v>
      </c>
      <c r="P2175" s="391">
        <f t="shared" ref="P2175:P2180" si="137">ROUNDUP(S2175/V2175/VLOOKUP(B2175,$C$2:$F$6,3,FALSE),2)</f>
        <v>0.2</v>
      </c>
      <c r="Q2175" s="322">
        <v>0.2</v>
      </c>
      <c r="R2175" s="322">
        <f t="shared" ref="R2175:R2181" si="138">Q2175*J2175</f>
        <v>10</v>
      </c>
      <c r="S2175" s="7">
        <v>16.3</v>
      </c>
      <c r="T2175" s="92">
        <f t="shared" ref="T2175:T2181" si="139">S2175*J2175</f>
        <v>815</v>
      </c>
      <c r="U2175" s="778"/>
      <c r="V2175" s="260">
        <v>120</v>
      </c>
    </row>
    <row r="2176" spans="2:22" s="7" customFormat="1" ht="18" customHeight="1">
      <c r="B2176" s="12" t="s">
        <v>300</v>
      </c>
      <c r="C2176" s="6" t="s">
        <v>3187</v>
      </c>
      <c r="D2176" s="14" t="s">
        <v>2059</v>
      </c>
      <c r="E2176" s="22">
        <v>5634</v>
      </c>
      <c r="F2176" s="37" t="s">
        <v>311</v>
      </c>
      <c r="G2176" s="396" t="s">
        <v>3163</v>
      </c>
      <c r="H2176" s="108">
        <v>50</v>
      </c>
      <c r="I2176" s="109">
        <v>1</v>
      </c>
      <c r="J2176" s="8">
        <f t="shared" si="135"/>
        <v>50</v>
      </c>
      <c r="K2176" s="39">
        <v>0.31</v>
      </c>
      <c r="L2176" s="39">
        <f t="shared" si="136"/>
        <v>15.5</v>
      </c>
      <c r="M2176" s="117" t="s">
        <v>349</v>
      </c>
      <c r="N2176" s="33">
        <v>44783</v>
      </c>
      <c r="O2176" s="32">
        <v>4477</v>
      </c>
      <c r="P2176" s="391">
        <f t="shared" si="137"/>
        <v>0.2</v>
      </c>
      <c r="Q2176" s="322">
        <v>0.2</v>
      </c>
      <c r="R2176" s="322">
        <f t="shared" si="138"/>
        <v>10</v>
      </c>
      <c r="S2176" s="7">
        <v>16.3</v>
      </c>
      <c r="T2176" s="92">
        <f t="shared" si="139"/>
        <v>815</v>
      </c>
      <c r="U2176" s="778"/>
      <c r="V2176" s="260">
        <v>120</v>
      </c>
    </row>
    <row r="2177" spans="2:22" s="7" customFormat="1" ht="18" customHeight="1">
      <c r="B2177" s="12" t="s">
        <v>300</v>
      </c>
      <c r="C2177" s="6" t="s">
        <v>3187</v>
      </c>
      <c r="D2177" s="14" t="s">
        <v>2059</v>
      </c>
      <c r="E2177" s="22">
        <v>5634</v>
      </c>
      <c r="F2177" s="37" t="s">
        <v>311</v>
      </c>
      <c r="G2177" s="396" t="s">
        <v>3164</v>
      </c>
      <c r="H2177" s="108">
        <v>50</v>
      </c>
      <c r="I2177" s="109">
        <v>1</v>
      </c>
      <c r="J2177" s="8">
        <f t="shared" si="135"/>
        <v>50</v>
      </c>
      <c r="K2177" s="39">
        <v>0.31</v>
      </c>
      <c r="L2177" s="39">
        <f t="shared" si="136"/>
        <v>15.5</v>
      </c>
      <c r="M2177" s="117" t="s">
        <v>349</v>
      </c>
      <c r="N2177" s="33">
        <v>44783</v>
      </c>
      <c r="O2177" s="32">
        <v>4477</v>
      </c>
      <c r="P2177" s="391">
        <f t="shared" si="137"/>
        <v>0.2</v>
      </c>
      <c r="Q2177" s="322">
        <v>0.2</v>
      </c>
      <c r="R2177" s="322">
        <f t="shared" si="138"/>
        <v>10</v>
      </c>
      <c r="S2177" s="7">
        <v>16.3</v>
      </c>
      <c r="T2177" s="92">
        <f t="shared" si="139"/>
        <v>815</v>
      </c>
      <c r="U2177" s="778"/>
      <c r="V2177" s="260">
        <v>120</v>
      </c>
    </row>
    <row r="2178" spans="2:22" s="7" customFormat="1" ht="18" customHeight="1">
      <c r="B2178" s="12" t="s">
        <v>300</v>
      </c>
      <c r="C2178" s="6" t="s">
        <v>3187</v>
      </c>
      <c r="D2178" s="14" t="s">
        <v>2059</v>
      </c>
      <c r="E2178" s="22">
        <v>5634</v>
      </c>
      <c r="F2178" s="37" t="s">
        <v>311</v>
      </c>
      <c r="G2178" s="396" t="s">
        <v>3165</v>
      </c>
      <c r="H2178" s="108">
        <v>50</v>
      </c>
      <c r="I2178" s="109">
        <v>1</v>
      </c>
      <c r="J2178" s="8">
        <f t="shared" si="135"/>
        <v>50</v>
      </c>
      <c r="K2178" s="39">
        <v>0.31</v>
      </c>
      <c r="L2178" s="39">
        <f t="shared" si="136"/>
        <v>15.5</v>
      </c>
      <c r="M2178" s="117" t="s">
        <v>349</v>
      </c>
      <c r="N2178" s="33">
        <v>44783</v>
      </c>
      <c r="O2178" s="32">
        <v>4477</v>
      </c>
      <c r="P2178" s="391">
        <f t="shared" si="137"/>
        <v>0.2</v>
      </c>
      <c r="Q2178" s="322">
        <v>0.2</v>
      </c>
      <c r="R2178" s="322">
        <f t="shared" si="138"/>
        <v>10</v>
      </c>
      <c r="S2178" s="7">
        <v>16.3</v>
      </c>
      <c r="T2178" s="92">
        <f t="shared" si="139"/>
        <v>815</v>
      </c>
      <c r="U2178" s="778"/>
      <c r="V2178" s="260">
        <v>120</v>
      </c>
    </row>
    <row r="2179" spans="2:22" s="7" customFormat="1" ht="18" customHeight="1">
      <c r="B2179" s="12" t="s">
        <v>300</v>
      </c>
      <c r="C2179" s="6" t="s">
        <v>3187</v>
      </c>
      <c r="D2179" s="14" t="s">
        <v>2059</v>
      </c>
      <c r="E2179" s="22">
        <v>5634</v>
      </c>
      <c r="F2179" s="37" t="s">
        <v>311</v>
      </c>
      <c r="G2179" s="396" t="s">
        <v>3166</v>
      </c>
      <c r="H2179" s="108">
        <v>50</v>
      </c>
      <c r="I2179" s="109">
        <v>1</v>
      </c>
      <c r="J2179" s="8">
        <f t="shared" si="135"/>
        <v>50</v>
      </c>
      <c r="K2179" s="39">
        <v>0.31</v>
      </c>
      <c r="L2179" s="39">
        <f t="shared" si="136"/>
        <v>15.5</v>
      </c>
      <c r="M2179" s="117" t="s">
        <v>349</v>
      </c>
      <c r="N2179" s="33">
        <v>44783</v>
      </c>
      <c r="O2179" s="32">
        <v>4477</v>
      </c>
      <c r="P2179" s="391">
        <f t="shared" si="137"/>
        <v>0.2</v>
      </c>
      <c r="Q2179" s="322">
        <v>0.2</v>
      </c>
      <c r="R2179" s="322">
        <f t="shared" si="138"/>
        <v>10</v>
      </c>
      <c r="S2179" s="7">
        <v>16.3</v>
      </c>
      <c r="T2179" s="92">
        <f t="shared" si="139"/>
        <v>815</v>
      </c>
      <c r="U2179" s="778"/>
      <c r="V2179" s="260">
        <v>120</v>
      </c>
    </row>
    <row r="2180" spans="2:22" s="7" customFormat="1" ht="18" customHeight="1">
      <c r="B2180" s="12" t="s">
        <v>300</v>
      </c>
      <c r="C2180" s="6" t="s">
        <v>3187</v>
      </c>
      <c r="D2180" s="14" t="s">
        <v>2059</v>
      </c>
      <c r="E2180" s="22">
        <v>5634</v>
      </c>
      <c r="F2180" s="37" t="s">
        <v>311</v>
      </c>
      <c r="G2180" s="396" t="s">
        <v>3167</v>
      </c>
      <c r="H2180" s="108">
        <v>50</v>
      </c>
      <c r="I2180" s="109">
        <v>1</v>
      </c>
      <c r="J2180" s="8">
        <f t="shared" si="135"/>
        <v>50</v>
      </c>
      <c r="K2180" s="39">
        <v>0.31</v>
      </c>
      <c r="L2180" s="39">
        <f t="shared" si="136"/>
        <v>15.5</v>
      </c>
      <c r="M2180" s="117" t="s">
        <v>349</v>
      </c>
      <c r="N2180" s="33">
        <v>44783</v>
      </c>
      <c r="O2180" s="32">
        <v>4477</v>
      </c>
      <c r="P2180" s="391">
        <f t="shared" si="137"/>
        <v>0.2</v>
      </c>
      <c r="Q2180" s="322">
        <v>0.2</v>
      </c>
      <c r="R2180" s="322">
        <f t="shared" si="138"/>
        <v>10</v>
      </c>
      <c r="S2180" s="7">
        <v>16.3</v>
      </c>
      <c r="T2180" s="92">
        <f t="shared" si="139"/>
        <v>815</v>
      </c>
      <c r="U2180" s="778"/>
      <c r="V2180" s="260">
        <v>120</v>
      </c>
    </row>
    <row r="2181" spans="2:22" s="7" customFormat="1" ht="18" customHeight="1">
      <c r="B2181" s="12"/>
      <c r="C2181" s="6" t="s">
        <v>3187</v>
      </c>
      <c r="D2181" s="14" t="s">
        <v>2059</v>
      </c>
      <c r="E2181" s="22"/>
      <c r="F2181" s="102"/>
      <c r="G2181" s="22" t="s">
        <v>316</v>
      </c>
      <c r="H2181" s="8"/>
      <c r="I2181" s="35"/>
      <c r="J2181" s="38">
        <v>1</v>
      </c>
      <c r="K2181" s="39">
        <v>12</v>
      </c>
      <c r="L2181" s="39">
        <f t="shared" si="136"/>
        <v>12</v>
      </c>
      <c r="M2181" s="91"/>
      <c r="N2181" s="33">
        <v>44783</v>
      </c>
      <c r="O2181" s="32">
        <v>4477</v>
      </c>
      <c r="P2181" s="6"/>
      <c r="Q2181" s="322">
        <v>12</v>
      </c>
      <c r="R2181" s="322">
        <f t="shared" si="138"/>
        <v>12</v>
      </c>
      <c r="S2181" s="7">
        <v>1100</v>
      </c>
      <c r="T2181" s="7">
        <f t="shared" si="139"/>
        <v>1100</v>
      </c>
      <c r="U2181" s="21"/>
      <c r="V2181" s="260">
        <v>120</v>
      </c>
    </row>
    <row r="2182" spans="2:22" s="191" customFormat="1" ht="18" customHeight="1">
      <c r="B2182" s="190"/>
      <c r="C2182" s="179" t="s">
        <v>3187</v>
      </c>
      <c r="D2182" s="180" t="s">
        <v>2059</v>
      </c>
      <c r="E2182" s="736"/>
      <c r="F2182" s="737"/>
      <c r="G2182" s="182" t="s">
        <v>250</v>
      </c>
      <c r="H2182" s="184" t="s">
        <v>251</v>
      </c>
      <c r="I2182" s="185"/>
      <c r="J2182" s="183"/>
      <c r="K2182" s="192">
        <v>0</v>
      </c>
      <c r="L2182" s="188"/>
      <c r="M2182" s="187"/>
      <c r="N2182" s="187">
        <v>44783</v>
      </c>
      <c r="O2182" s="186">
        <v>4477</v>
      </c>
      <c r="P2182" s="179"/>
      <c r="Q2182" s="725">
        <v>0</v>
      </c>
      <c r="S2182" s="197">
        <v>0</v>
      </c>
      <c r="T2182" s="198">
        <v>0</v>
      </c>
      <c r="U2182" s="335"/>
      <c r="V2182" s="260">
        <v>120</v>
      </c>
    </row>
    <row r="2183" spans="2:22" s="7" customFormat="1" ht="15">
      <c r="B2183" s="12"/>
      <c r="C2183" s="6" t="s">
        <v>3188</v>
      </c>
      <c r="D2183" s="14" t="s">
        <v>3189</v>
      </c>
      <c r="E2183" s="19" t="s">
        <v>160</v>
      </c>
      <c r="F2183" s="24"/>
      <c r="G2183" s="22"/>
      <c r="H2183" s="60"/>
      <c r="I2183" s="61"/>
      <c r="J2183" s="60"/>
      <c r="K2183" s="16" t="s">
        <v>101</v>
      </c>
      <c r="L2183" s="33"/>
      <c r="M2183" s="33"/>
      <c r="N2183" s="33">
        <v>44791</v>
      </c>
      <c r="O2183" s="32">
        <v>4480</v>
      </c>
      <c r="P2183" s="6" t="s">
        <v>8</v>
      </c>
      <c r="Q2183" s="252"/>
      <c r="S2183" s="257"/>
      <c r="T2183" s="92"/>
      <c r="U2183" s="265"/>
      <c r="V2183" s="260">
        <v>120</v>
      </c>
    </row>
    <row r="2184" spans="2:22" s="7" customFormat="1" ht="15.75">
      <c r="B2184" s="12" t="s">
        <v>300</v>
      </c>
      <c r="C2184" s="6" t="s">
        <v>3188</v>
      </c>
      <c r="D2184" s="14" t="s">
        <v>3189</v>
      </c>
      <c r="E2184" s="22">
        <v>14552</v>
      </c>
      <c r="F2184" s="24">
        <v>10</v>
      </c>
      <c r="G2184" s="22" t="s">
        <v>3190</v>
      </c>
      <c r="H2184" s="108">
        <v>30</v>
      </c>
      <c r="I2184" s="109">
        <v>3</v>
      </c>
      <c r="J2184" s="60">
        <f>H2184*I2184</f>
        <v>90</v>
      </c>
      <c r="K2184" s="23">
        <v>0.69</v>
      </c>
      <c r="L2184" s="39">
        <f>K2184*J2184</f>
        <v>62.099999999999994</v>
      </c>
      <c r="M2184" s="117" t="s">
        <v>323</v>
      </c>
      <c r="N2184" s="33">
        <v>44791</v>
      </c>
      <c r="O2184" s="32">
        <v>4480</v>
      </c>
      <c r="P2184" s="391">
        <f>ROUNDUP(S2184/V2184/VLOOKUP(B2184,$C$2:$F$6,3,FALSE),2)</f>
        <v>0.45</v>
      </c>
      <c r="Q2184" s="253">
        <v>0.45</v>
      </c>
      <c r="R2184" s="323">
        <f>Q2184*J2184</f>
        <v>40.5</v>
      </c>
      <c r="S2184" s="257">
        <v>37</v>
      </c>
      <c r="T2184" s="287">
        <f>S2184*J2184</f>
        <v>3330</v>
      </c>
      <c r="U2184" s="265"/>
      <c r="V2184" s="260">
        <v>120</v>
      </c>
    </row>
    <row r="2185" spans="2:22" s="7" customFormat="1" ht="15.75">
      <c r="B2185" s="12" t="s">
        <v>300</v>
      </c>
      <c r="C2185" s="6" t="s">
        <v>3188</v>
      </c>
      <c r="D2185" s="14" t="s">
        <v>3189</v>
      </c>
      <c r="E2185" s="22">
        <v>14552</v>
      </c>
      <c r="F2185" s="24">
        <v>10</v>
      </c>
      <c r="G2185" s="22" t="s">
        <v>3191</v>
      </c>
      <c r="H2185" s="108">
        <v>30</v>
      </c>
      <c r="I2185" s="109">
        <v>3</v>
      </c>
      <c r="J2185" s="60">
        <f>H2185*I2185</f>
        <v>90</v>
      </c>
      <c r="K2185" s="23">
        <v>0.69</v>
      </c>
      <c r="L2185" s="39">
        <f>K2185*J2185</f>
        <v>62.099999999999994</v>
      </c>
      <c r="M2185" s="117" t="s">
        <v>323</v>
      </c>
      <c r="N2185" s="33">
        <v>44791</v>
      </c>
      <c r="O2185" s="32">
        <v>4480</v>
      </c>
      <c r="P2185" s="391">
        <f>ROUNDUP(S2185/V2185/VLOOKUP(B2185,$C$2:$F$6,3,FALSE),2)</f>
        <v>0.45</v>
      </c>
      <c r="Q2185" s="253">
        <v>0.45</v>
      </c>
      <c r="R2185" s="323">
        <f>Q2185*J2185</f>
        <v>40.5</v>
      </c>
      <c r="S2185" s="257">
        <v>37</v>
      </c>
      <c r="T2185" s="287">
        <f>S2185*J2185</f>
        <v>3330</v>
      </c>
      <c r="U2185" s="265"/>
      <c r="V2185" s="260">
        <v>120</v>
      </c>
    </row>
    <row r="2186" spans="2:22" s="7" customFormat="1" ht="15.95" customHeight="1">
      <c r="B2186" s="12"/>
      <c r="C2186" s="6" t="s">
        <v>3188</v>
      </c>
      <c r="D2186" s="14" t="s">
        <v>3189</v>
      </c>
      <c r="E2186" s="22"/>
      <c r="F2186" s="102"/>
      <c r="G2186" s="37" t="s">
        <v>316</v>
      </c>
      <c r="H2186" s="8"/>
      <c r="I2186" s="35"/>
      <c r="J2186" s="38">
        <v>1</v>
      </c>
      <c r="K2186" s="39">
        <v>12</v>
      </c>
      <c r="L2186" s="39">
        <f>K2186*J2186</f>
        <v>12</v>
      </c>
      <c r="M2186" s="33"/>
      <c r="N2186" s="33">
        <v>44791</v>
      </c>
      <c r="O2186" s="32">
        <v>4480</v>
      </c>
      <c r="P2186" s="6"/>
      <c r="Q2186" s="254">
        <v>12</v>
      </c>
      <c r="R2186" s="323">
        <f>Q2186*J2186</f>
        <v>12</v>
      </c>
      <c r="S2186" s="257">
        <v>1000</v>
      </c>
      <c r="T2186" s="92">
        <f>S2186*J2186</f>
        <v>1000</v>
      </c>
      <c r="U2186" s="266"/>
      <c r="V2186" s="260">
        <v>120</v>
      </c>
    </row>
    <row r="2187" spans="2:22" s="191" customFormat="1" ht="15.75">
      <c r="B2187" s="190"/>
      <c r="C2187" s="179" t="s">
        <v>3188</v>
      </c>
      <c r="D2187" s="180" t="s">
        <v>3189</v>
      </c>
      <c r="E2187" s="181"/>
      <c r="F2187" s="182"/>
      <c r="G2187" s="309" t="s">
        <v>324</v>
      </c>
      <c r="H2187" s="184" t="s">
        <v>251</v>
      </c>
      <c r="I2187" s="185"/>
      <c r="J2187" s="183"/>
      <c r="K2187" s="192">
        <v>0</v>
      </c>
      <c r="L2187" s="188"/>
      <c r="M2187" s="187"/>
      <c r="N2187" s="187">
        <v>44791</v>
      </c>
      <c r="O2187" s="186">
        <v>4480</v>
      </c>
      <c r="P2187" s="179"/>
      <c r="Q2187" s="725">
        <v>0</v>
      </c>
      <c r="S2187" s="197">
        <v>0</v>
      </c>
      <c r="T2187" s="198">
        <v>0</v>
      </c>
      <c r="U2187" s="335"/>
      <c r="V2187" s="260">
        <v>120</v>
      </c>
    </row>
    <row r="2188" spans="2:22" s="7" customFormat="1" ht="18" customHeight="1">
      <c r="B2188" s="12"/>
      <c r="C2188" s="6" t="s">
        <v>3192</v>
      </c>
      <c r="D2188" s="14" t="s">
        <v>3116</v>
      </c>
      <c r="E2188" s="19" t="s">
        <v>2358</v>
      </c>
      <c r="F2188" s="24"/>
      <c r="G2188" s="22"/>
      <c r="H2188" s="60"/>
      <c r="I2188" s="61"/>
      <c r="J2188" s="60"/>
      <c r="K2188" s="16" t="s">
        <v>5</v>
      </c>
      <c r="L2188" s="139"/>
      <c r="M2188" s="33"/>
      <c r="N2188" s="33">
        <v>44792</v>
      </c>
      <c r="O2188" s="32">
        <v>4496</v>
      </c>
      <c r="P2188" s="6" t="s">
        <v>3</v>
      </c>
      <c r="Q2188" s="358"/>
      <c r="U2188" s="120"/>
      <c r="V2188" s="260">
        <v>120</v>
      </c>
    </row>
    <row r="2189" spans="2:22" s="7" customFormat="1" ht="18" customHeight="1">
      <c r="B2189" s="12" t="s">
        <v>300</v>
      </c>
      <c r="C2189" s="6" t="s">
        <v>3192</v>
      </c>
      <c r="D2189" s="14" t="s">
        <v>3116</v>
      </c>
      <c r="E2189" s="22" t="s">
        <v>3178</v>
      </c>
      <c r="F2189" s="24"/>
      <c r="G2189" s="22" t="s">
        <v>58</v>
      </c>
      <c r="H2189" s="108"/>
      <c r="I2189" s="109"/>
      <c r="J2189" s="8">
        <v>2</v>
      </c>
      <c r="K2189" s="39">
        <v>1.75</v>
      </c>
      <c r="L2189" s="39">
        <f>K2189*J2189</f>
        <v>3.5</v>
      </c>
      <c r="M2189" s="117" t="s">
        <v>349</v>
      </c>
      <c r="N2189" s="33">
        <v>44792</v>
      </c>
      <c r="O2189" s="32">
        <v>4496</v>
      </c>
      <c r="P2189" s="391">
        <f>ROUNDUP(S2189/V2189/VLOOKUP(B2189,$C$2:$F$6,3,FALSE),2)</f>
        <v>1.1399999999999999</v>
      </c>
      <c r="Q2189" s="322">
        <v>1.1399999999999999</v>
      </c>
      <c r="R2189" s="323">
        <f>Q2189*J2189</f>
        <v>2.2799999999999998</v>
      </c>
      <c r="S2189" s="7">
        <v>95</v>
      </c>
      <c r="T2189" s="7">
        <f>S2189*J2189</f>
        <v>190</v>
      </c>
      <c r="U2189" s="386"/>
      <c r="V2189" s="260">
        <v>120</v>
      </c>
    </row>
    <row r="2190" spans="2:22" s="7" customFormat="1" ht="18" customHeight="1">
      <c r="B2190" s="12"/>
      <c r="C2190" s="6" t="s">
        <v>3192</v>
      </c>
      <c r="D2190" s="14" t="s">
        <v>3116</v>
      </c>
      <c r="E2190" s="22"/>
      <c r="F2190" s="340"/>
      <c r="G2190" s="22" t="s">
        <v>316</v>
      </c>
      <c r="H2190" s="8"/>
      <c r="I2190" s="109" ph="1"/>
      <c r="J2190" s="38">
        <v>1</v>
      </c>
      <c r="K2190" s="39">
        <v>12</v>
      </c>
      <c r="L2190" s="39">
        <v>12</v>
      </c>
      <c r="M2190" s="91"/>
      <c r="N2190" s="33">
        <v>44792</v>
      </c>
      <c r="O2190" s="32">
        <v>4496</v>
      </c>
      <c r="P2190" s="6"/>
      <c r="Q2190" s="322">
        <v>12</v>
      </c>
      <c r="R2190" s="323">
        <f>Q2190*J2190</f>
        <v>12</v>
      </c>
      <c r="S2190" s="7">
        <v>0</v>
      </c>
      <c r="T2190" s="7">
        <f>S2190*J2190</f>
        <v>0</v>
      </c>
      <c r="U2190" s="21"/>
      <c r="V2190" s="260">
        <v>120</v>
      </c>
    </row>
    <row r="2191" spans="2:22" s="7" customFormat="1" ht="18" customHeight="1">
      <c r="B2191" s="12"/>
      <c r="C2191" s="6" t="s">
        <v>3193</v>
      </c>
      <c r="D2191" s="14" t="s">
        <v>3116</v>
      </c>
      <c r="E2191" s="19" t="s">
        <v>2358</v>
      </c>
      <c r="F2191" s="24"/>
      <c r="G2191" s="22"/>
      <c r="H2191" s="60"/>
      <c r="I2191" s="61"/>
      <c r="J2191" s="60"/>
      <c r="K2191" s="16" t="s">
        <v>5</v>
      </c>
      <c r="L2191" s="139"/>
      <c r="M2191" s="33"/>
      <c r="N2191" s="33">
        <v>44792</v>
      </c>
      <c r="O2191" s="32">
        <v>4496</v>
      </c>
      <c r="P2191" s="6" t="s">
        <v>3</v>
      </c>
      <c r="Q2191" s="358"/>
      <c r="U2191" s="120"/>
      <c r="V2191" s="260">
        <v>120</v>
      </c>
    </row>
    <row r="2192" spans="2:22" s="7" customFormat="1" ht="18" customHeight="1">
      <c r="B2192" s="12" t="s">
        <v>300</v>
      </c>
      <c r="C2192" s="6" t="s">
        <v>3193</v>
      </c>
      <c r="D2192" s="14" t="s">
        <v>3116</v>
      </c>
      <c r="E2192" s="22" t="s">
        <v>3178</v>
      </c>
      <c r="F2192" s="24"/>
      <c r="G2192" s="22" t="s">
        <v>58</v>
      </c>
      <c r="H2192" s="108"/>
      <c r="I2192" s="109"/>
      <c r="J2192" s="8">
        <v>6</v>
      </c>
      <c r="K2192" s="39">
        <v>1.75</v>
      </c>
      <c r="L2192" s="39">
        <f>K2192*J2192</f>
        <v>10.5</v>
      </c>
      <c r="M2192" s="117" t="s">
        <v>349</v>
      </c>
      <c r="N2192" s="33">
        <v>44792</v>
      </c>
      <c r="O2192" s="32">
        <v>4496</v>
      </c>
      <c r="P2192" s="391">
        <f>ROUNDUP(S2192/V2192/VLOOKUP(B2192,$C$2:$F$6,3,FALSE),2)</f>
        <v>1.1399999999999999</v>
      </c>
      <c r="Q2192" s="322">
        <v>1.1399999999999999</v>
      </c>
      <c r="R2192" s="323">
        <f>Q2192*J2192</f>
        <v>6.84</v>
      </c>
      <c r="S2192" s="7">
        <v>95</v>
      </c>
      <c r="T2192" s="7">
        <f>S2192*J2192</f>
        <v>570</v>
      </c>
      <c r="U2192" s="386"/>
      <c r="V2192" s="260">
        <v>120</v>
      </c>
    </row>
    <row r="2193" spans="2:22" s="7" customFormat="1" ht="18" customHeight="1">
      <c r="B2193" s="12"/>
      <c r="C2193" s="6" t="s">
        <v>3193</v>
      </c>
      <c r="D2193" s="14" t="s">
        <v>3116</v>
      </c>
      <c r="E2193" s="22"/>
      <c r="F2193" s="340"/>
      <c r="G2193" s="22" t="s">
        <v>316</v>
      </c>
      <c r="H2193" s="8"/>
      <c r="I2193" s="109" ph="1"/>
      <c r="J2193" s="38">
        <v>1</v>
      </c>
      <c r="K2193" s="39">
        <v>12</v>
      </c>
      <c r="L2193" s="39">
        <v>12</v>
      </c>
      <c r="M2193" s="91"/>
      <c r="N2193" s="33">
        <v>44792</v>
      </c>
      <c r="O2193" s="32">
        <v>4496</v>
      </c>
      <c r="P2193" s="6"/>
      <c r="Q2193" s="322">
        <v>12</v>
      </c>
      <c r="R2193" s="323">
        <f>Q2193*J2193</f>
        <v>12</v>
      </c>
      <c r="S2193" s="7">
        <v>900</v>
      </c>
      <c r="T2193" s="7">
        <f>S2193*J2193</f>
        <v>900</v>
      </c>
      <c r="U2193" s="21"/>
      <c r="V2193" s="260">
        <v>120</v>
      </c>
    </row>
    <row r="2194" spans="2:22" s="191" customFormat="1" ht="18" customHeight="1">
      <c r="B2194" s="190"/>
      <c r="C2194" s="179" t="s">
        <v>3194</v>
      </c>
      <c r="D2194" s="180" t="s">
        <v>3116</v>
      </c>
      <c r="E2194" s="181"/>
      <c r="F2194" s="182"/>
      <c r="G2194" s="182" t="s">
        <v>250</v>
      </c>
      <c r="H2194" s="184" t="s">
        <v>251</v>
      </c>
      <c r="I2194" s="185"/>
      <c r="J2194" s="183"/>
      <c r="K2194" s="192">
        <v>0</v>
      </c>
      <c r="L2194" s="188"/>
      <c r="M2194" s="187"/>
      <c r="N2194" s="187">
        <v>44792</v>
      </c>
      <c r="O2194" s="186">
        <v>4496</v>
      </c>
      <c r="P2194" s="179"/>
      <c r="Q2194" s="725">
        <v>0</v>
      </c>
      <c r="S2194" s="197">
        <v>0</v>
      </c>
      <c r="T2194" s="198">
        <v>0</v>
      </c>
      <c r="U2194" s="335"/>
      <c r="V2194" s="260">
        <v>120</v>
      </c>
    </row>
    <row r="2195" spans="2:22" s="7" customFormat="1" ht="18" customHeight="1">
      <c r="B2195" s="12"/>
      <c r="C2195" s="6" t="s">
        <v>3195</v>
      </c>
      <c r="D2195" s="14" t="s">
        <v>3116</v>
      </c>
      <c r="E2195" s="19" t="s">
        <v>10</v>
      </c>
      <c r="F2195" s="107"/>
      <c r="G2195" s="22"/>
      <c r="H2195" s="108"/>
      <c r="I2195" s="109"/>
      <c r="J2195" s="108"/>
      <c r="K2195" s="29" t="s">
        <v>5</v>
      </c>
      <c r="L2195" s="39"/>
      <c r="M2195" s="91"/>
      <c r="N2195" s="33">
        <v>44792</v>
      </c>
      <c r="O2195" s="32">
        <v>4496</v>
      </c>
      <c r="P2195" s="14"/>
      <c r="Q2195" s="322"/>
      <c r="U2195" s="14"/>
      <c r="V2195" s="384">
        <v>120</v>
      </c>
    </row>
    <row r="2196" spans="2:22" s="7" customFormat="1" ht="18" customHeight="1">
      <c r="B2196" s="12" t="s">
        <v>302</v>
      </c>
      <c r="C2196" s="6" t="s">
        <v>3195</v>
      </c>
      <c r="D2196" s="14" t="s">
        <v>3116</v>
      </c>
      <c r="E2196" s="22" t="s">
        <v>190</v>
      </c>
      <c r="F2196" s="107">
        <v>160</v>
      </c>
      <c r="G2196" s="885" t="s">
        <v>3196</v>
      </c>
      <c r="H2196" s="108">
        <v>25</v>
      </c>
      <c r="I2196" s="109">
        <v>1</v>
      </c>
      <c r="J2196" s="8">
        <f>H2196*I2196</f>
        <v>25</v>
      </c>
      <c r="K2196" s="39">
        <v>5</v>
      </c>
      <c r="L2196" s="39">
        <f>K2196*J2196</f>
        <v>125</v>
      </c>
      <c r="M2196" s="117" t="s">
        <v>322</v>
      </c>
      <c r="N2196" s="33">
        <v>44792</v>
      </c>
      <c r="O2196" s="32">
        <v>4496</v>
      </c>
      <c r="P2196" s="391">
        <f>ROUNDUP(S2196/V2196/VLOOKUP(B2196,$C$2:$F$6,3,FALSE),2)</f>
        <v>3.4099999999999997</v>
      </c>
      <c r="Q2196" s="322">
        <v>3.41</v>
      </c>
      <c r="R2196" s="322">
        <f>Q2196*J2196</f>
        <v>85.25</v>
      </c>
      <c r="S2196" s="7">
        <v>360</v>
      </c>
      <c r="T2196" s="7">
        <f>S2196*J2196</f>
        <v>9000</v>
      </c>
      <c r="U2196" s="21"/>
      <c r="V2196" s="260">
        <v>120</v>
      </c>
    </row>
    <row r="2197" spans="2:22" s="7" customFormat="1" ht="18" customHeight="1">
      <c r="B2197" s="12" t="s">
        <v>302</v>
      </c>
      <c r="C2197" s="6" t="s">
        <v>3195</v>
      </c>
      <c r="D2197" s="14" t="s">
        <v>3116</v>
      </c>
      <c r="E2197" s="22" t="s">
        <v>190</v>
      </c>
      <c r="F2197" s="107">
        <v>160</v>
      </c>
      <c r="G2197" s="885" t="s">
        <v>3118</v>
      </c>
      <c r="H2197" s="108">
        <v>25</v>
      </c>
      <c r="I2197" s="109">
        <v>1</v>
      </c>
      <c r="J2197" s="8">
        <f>H2197*I2197</f>
        <v>25</v>
      </c>
      <c r="K2197" s="39">
        <v>5</v>
      </c>
      <c r="L2197" s="39">
        <f>K2197*J2197</f>
        <v>125</v>
      </c>
      <c r="M2197" s="117" t="s">
        <v>322</v>
      </c>
      <c r="N2197" s="33">
        <v>44792</v>
      </c>
      <c r="O2197" s="32">
        <v>4496</v>
      </c>
      <c r="P2197" s="391">
        <f>ROUNDUP(S2197/V2197/VLOOKUP(B2197,$C$2:$F$6,3,FALSE),2)</f>
        <v>3.4099999999999997</v>
      </c>
      <c r="Q2197" s="322">
        <v>3.41</v>
      </c>
      <c r="R2197" s="322">
        <f>Q2197*J2197</f>
        <v>85.25</v>
      </c>
      <c r="S2197" s="7">
        <v>360</v>
      </c>
      <c r="T2197" s="7">
        <f>S2197*J2197</f>
        <v>9000</v>
      </c>
      <c r="U2197" s="21"/>
      <c r="V2197" s="260">
        <v>120</v>
      </c>
    </row>
    <row r="2198" spans="2:22" s="7" customFormat="1" ht="18" customHeight="1">
      <c r="B2198" s="12"/>
      <c r="C2198" s="6" t="s">
        <v>3195</v>
      </c>
      <c r="D2198" s="14" t="s">
        <v>3116</v>
      </c>
      <c r="E2198" s="49"/>
      <c r="F2198" s="102"/>
      <c r="G2198" s="22" t="s">
        <v>2625</v>
      </c>
      <c r="H2198" s="38"/>
      <c r="I2198" s="35"/>
      <c r="J2198" s="38">
        <v>2</v>
      </c>
      <c r="K2198" s="39">
        <v>15</v>
      </c>
      <c r="L2198" s="39">
        <f>K2198*J2198</f>
        <v>30</v>
      </c>
      <c r="M2198" s="91"/>
      <c r="N2198" s="33">
        <v>44792</v>
      </c>
      <c r="O2198" s="32">
        <v>4496</v>
      </c>
      <c r="P2198" s="391">
        <v>12</v>
      </c>
      <c r="Q2198" s="322">
        <f>P2198*J2198</f>
        <v>24</v>
      </c>
      <c r="R2198" s="322">
        <v>24</v>
      </c>
      <c r="S2198" s="7">
        <v>1000</v>
      </c>
      <c r="T2198" s="7">
        <f>S2198*J2198</f>
        <v>2000</v>
      </c>
      <c r="U2198" s="21"/>
      <c r="V2198" s="260">
        <v>120</v>
      </c>
    </row>
    <row r="2199" spans="2:22" s="7" customFormat="1" ht="18" customHeight="1">
      <c r="B2199" s="12"/>
      <c r="C2199" s="6" t="s">
        <v>3195</v>
      </c>
      <c r="D2199" s="14" t="s">
        <v>3116</v>
      </c>
      <c r="E2199" s="22"/>
      <c r="F2199" s="102"/>
      <c r="G2199" s="22" t="s">
        <v>316</v>
      </c>
      <c r="H2199" s="8"/>
      <c r="I2199" s="35"/>
      <c r="J2199" s="38">
        <v>1</v>
      </c>
      <c r="K2199" s="39">
        <v>20</v>
      </c>
      <c r="L2199" s="39">
        <f>K2199*J2199</f>
        <v>20</v>
      </c>
      <c r="M2199" s="91"/>
      <c r="N2199" s="33">
        <v>44792</v>
      </c>
      <c r="O2199" s="32">
        <v>4496</v>
      </c>
      <c r="P2199" s="6" t="s">
        <v>3</v>
      </c>
      <c r="Q2199" s="322">
        <v>20</v>
      </c>
      <c r="R2199" s="322">
        <v>20</v>
      </c>
      <c r="S2199" s="7">
        <v>1000</v>
      </c>
      <c r="T2199" s="7">
        <f>S2199*J2199</f>
        <v>1000</v>
      </c>
      <c r="U2199" s="21"/>
      <c r="V2199" s="260">
        <v>120</v>
      </c>
    </row>
    <row r="2200" spans="2:22" s="191" customFormat="1" ht="18" customHeight="1">
      <c r="B2200" s="190"/>
      <c r="C2200" s="179" t="s">
        <v>3195</v>
      </c>
      <c r="D2200" s="180" t="s">
        <v>3116</v>
      </c>
      <c r="E2200" s="217"/>
      <c r="F2200" s="182"/>
      <c r="G2200" s="182" t="s">
        <v>250</v>
      </c>
      <c r="H2200" s="184" t="s">
        <v>251</v>
      </c>
      <c r="I2200" s="185"/>
      <c r="J2200" s="183"/>
      <c r="K2200" s="192">
        <v>0</v>
      </c>
      <c r="L2200" s="187"/>
      <c r="M2200" s="187"/>
      <c r="N2200" s="187">
        <v>44792</v>
      </c>
      <c r="O2200" s="186">
        <v>4496</v>
      </c>
      <c r="P2200" s="179"/>
      <c r="Q2200" s="255">
        <v>0</v>
      </c>
      <c r="R2200" s="322">
        <v>0</v>
      </c>
      <c r="S2200" s="275">
        <v>0</v>
      </c>
      <c r="T2200" s="198">
        <v>0</v>
      </c>
      <c r="U2200" s="271"/>
      <c r="V2200" s="260">
        <v>120</v>
      </c>
    </row>
    <row r="2201" spans="2:22" s="7" customFormat="1" ht="18" customHeight="1">
      <c r="B2201" s="12"/>
      <c r="C2201" s="6" t="s">
        <v>3197</v>
      </c>
      <c r="D2201" s="14" t="s">
        <v>1970</v>
      </c>
      <c r="E2201" s="17" t="s">
        <v>160</v>
      </c>
      <c r="F2201" s="319"/>
      <c r="G2201" s="299"/>
      <c r="H2201" s="300" t="s">
        <v>355</v>
      </c>
      <c r="I2201" s="320"/>
      <c r="J2201" s="321"/>
      <c r="K2201" s="110" t="s">
        <v>101</v>
      </c>
      <c r="L2201" s="139"/>
      <c r="M2201" s="33"/>
      <c r="N2201" s="33">
        <v>44791</v>
      </c>
      <c r="O2201" s="32">
        <v>4494</v>
      </c>
      <c r="P2201" s="6"/>
      <c r="Q2201" s="322"/>
      <c r="U2201" s="39"/>
      <c r="V2201" s="260">
        <v>120</v>
      </c>
    </row>
    <row r="2202" spans="2:22" s="7" customFormat="1" ht="18" customHeight="1">
      <c r="B2202" s="12" t="s">
        <v>300</v>
      </c>
      <c r="C2202" s="6" t="s">
        <v>3197</v>
      </c>
      <c r="D2202" s="14" t="s">
        <v>1970</v>
      </c>
      <c r="E2202" s="22">
        <v>14552</v>
      </c>
      <c r="F2202" s="24">
        <v>25</v>
      </c>
      <c r="G2202" s="22" t="s">
        <v>176</v>
      </c>
      <c r="H2202" s="108">
        <v>30</v>
      </c>
      <c r="I2202" s="109">
        <v>3</v>
      </c>
      <c r="J2202" s="8">
        <f>H2202*I2202</f>
        <v>90</v>
      </c>
      <c r="K2202" s="39">
        <v>1.21</v>
      </c>
      <c r="L2202" s="39">
        <f>K2202*J2202</f>
        <v>108.89999999999999</v>
      </c>
      <c r="M2202" s="117" t="s">
        <v>349</v>
      </c>
      <c r="N2202" s="33">
        <v>44791</v>
      </c>
      <c r="O2202" s="32">
        <v>4494</v>
      </c>
      <c r="P2202" s="391">
        <f>ROUNDUP(S2202/V2202/VLOOKUP(B2202,$C$2:$F$6,3,FALSE),2)</f>
        <v>0.78</v>
      </c>
      <c r="Q2202" s="358">
        <v>0.78</v>
      </c>
      <c r="R2202" s="322">
        <f>Q2202*J2202</f>
        <v>70.2</v>
      </c>
      <c r="S2202" s="7">
        <v>65</v>
      </c>
      <c r="T2202" s="7">
        <f>S2202*J2202</f>
        <v>5850</v>
      </c>
      <c r="U2202" s="267"/>
      <c r="V2202" s="260">
        <v>120</v>
      </c>
    </row>
    <row r="2203" spans="2:22" s="7" customFormat="1" ht="18" customHeight="1">
      <c r="B2203" s="12" t="s">
        <v>300</v>
      </c>
      <c r="C2203" s="6" t="s">
        <v>3197</v>
      </c>
      <c r="D2203" s="14" t="s">
        <v>1970</v>
      </c>
      <c r="E2203" s="22">
        <v>14552</v>
      </c>
      <c r="F2203" s="24">
        <v>25</v>
      </c>
      <c r="G2203" s="22" t="s">
        <v>3198</v>
      </c>
      <c r="H2203" s="108">
        <v>30</v>
      </c>
      <c r="I2203" s="109">
        <v>5</v>
      </c>
      <c r="J2203" s="8">
        <f>H2203*I2203</f>
        <v>150</v>
      </c>
      <c r="K2203" s="39">
        <v>1.21</v>
      </c>
      <c r="L2203" s="39">
        <f>K2203*J2203</f>
        <v>181.5</v>
      </c>
      <c r="M2203" s="117" t="s">
        <v>349</v>
      </c>
      <c r="N2203" s="33">
        <v>44791</v>
      </c>
      <c r="O2203" s="32">
        <v>4494</v>
      </c>
      <c r="P2203" s="391">
        <f>ROUNDUP(S2203/V2203/VLOOKUP(B2203,$C$2:$F$6,3,FALSE),2)</f>
        <v>0.78</v>
      </c>
      <c r="Q2203" s="358">
        <v>0.78</v>
      </c>
      <c r="R2203" s="322">
        <f>Q2203*J2203</f>
        <v>117</v>
      </c>
      <c r="S2203" s="7">
        <v>65</v>
      </c>
      <c r="T2203" s="7">
        <f>S2203*J2203</f>
        <v>9750</v>
      </c>
      <c r="U2203" s="267"/>
      <c r="V2203" s="260">
        <v>120</v>
      </c>
    </row>
    <row r="2204" spans="2:22" s="7" customFormat="1" ht="15">
      <c r="B2204" s="12"/>
      <c r="C2204" s="6" t="s">
        <v>3197</v>
      </c>
      <c r="D2204" s="14" t="s">
        <v>1970</v>
      </c>
      <c r="E2204" s="22"/>
      <c r="F2204" s="102"/>
      <c r="G2204" s="22" t="s">
        <v>316</v>
      </c>
      <c r="H2204" s="8"/>
      <c r="I2204" s="35"/>
      <c r="J2204" s="38">
        <v>1</v>
      </c>
      <c r="K2204" s="39">
        <v>12</v>
      </c>
      <c r="L2204" s="39">
        <f>K2204*J2204</f>
        <v>12</v>
      </c>
      <c r="M2204" s="91"/>
      <c r="N2204" s="33">
        <v>44791</v>
      </c>
      <c r="O2204" s="32">
        <v>4494</v>
      </c>
      <c r="P2204" s="391">
        <v>12</v>
      </c>
      <c r="Q2204" s="322">
        <v>12</v>
      </c>
      <c r="R2204" s="322">
        <v>12</v>
      </c>
      <c r="S2204" s="7">
        <v>1000</v>
      </c>
      <c r="T2204" s="7">
        <f>S2204*J2204</f>
        <v>1000</v>
      </c>
      <c r="U2204" s="21"/>
      <c r="V2204" s="260">
        <v>120</v>
      </c>
    </row>
    <row r="2205" spans="2:22" s="191" customFormat="1" ht="15">
      <c r="B2205" s="190"/>
      <c r="C2205" s="179" t="s">
        <v>3197</v>
      </c>
      <c r="D2205" s="180" t="s">
        <v>1970</v>
      </c>
      <c r="E2205" s="181"/>
      <c r="F2205" s="622"/>
      <c r="G2205" s="182" t="s">
        <v>250</v>
      </c>
      <c r="H2205" s="184" t="s">
        <v>251</v>
      </c>
      <c r="I2205" s="185"/>
      <c r="J2205" s="183"/>
      <c r="K2205" s="192">
        <v>0</v>
      </c>
      <c r="L2205" s="188"/>
      <c r="M2205" s="187"/>
      <c r="N2205" s="187">
        <v>44791</v>
      </c>
      <c r="O2205" s="186">
        <v>4494</v>
      </c>
      <c r="P2205" s="179"/>
      <c r="Q2205" s="725">
        <v>0</v>
      </c>
      <c r="S2205" s="197">
        <v>0</v>
      </c>
      <c r="T2205" s="198">
        <v>0</v>
      </c>
      <c r="U2205" s="335"/>
      <c r="V2205" s="260">
        <v>120</v>
      </c>
    </row>
    <row r="2206" spans="2:22" s="7" customFormat="1" ht="18" customHeight="1">
      <c r="B2206" s="12"/>
      <c r="C2206" s="6" t="s">
        <v>3199</v>
      </c>
      <c r="D2206" s="14" t="s">
        <v>3047</v>
      </c>
      <c r="E2206" s="19" t="s">
        <v>358</v>
      </c>
      <c r="F2206" s="22"/>
      <c r="G2206" s="37"/>
      <c r="H2206" s="108"/>
      <c r="I2206" s="108"/>
      <c r="J2206" s="108"/>
      <c r="K2206" s="110" t="s">
        <v>5</v>
      </c>
      <c r="L2206" s="33"/>
      <c r="M2206" s="33"/>
      <c r="N2206" s="33">
        <v>44791</v>
      </c>
      <c r="O2206" s="32">
        <v>4495</v>
      </c>
      <c r="P2206" s="6"/>
      <c r="Q2206" s="223"/>
      <c r="S2206" s="257"/>
      <c r="T2206" s="92"/>
      <c r="U2206" s="266"/>
      <c r="V2206" s="260">
        <v>120</v>
      </c>
    </row>
    <row r="2207" spans="2:22" s="7" customFormat="1" ht="18" customHeight="1">
      <c r="B2207" s="12" t="s">
        <v>300</v>
      </c>
      <c r="C2207" s="6" t="s">
        <v>3199</v>
      </c>
      <c r="D2207" s="14" t="s">
        <v>3047</v>
      </c>
      <c r="E2207" s="22" t="s">
        <v>213</v>
      </c>
      <c r="F2207" s="24"/>
      <c r="G2207" s="22" t="s">
        <v>100</v>
      </c>
      <c r="H2207" s="60">
        <v>10</v>
      </c>
      <c r="I2207" s="61">
        <v>1</v>
      </c>
      <c r="J2207" s="60">
        <f>H2207*I2207</f>
        <v>10</v>
      </c>
      <c r="K2207" s="39">
        <v>0.63</v>
      </c>
      <c r="L2207" s="39">
        <f>K2207*J2207</f>
        <v>6.3</v>
      </c>
      <c r="M2207" s="117" t="s">
        <v>323</v>
      </c>
      <c r="N2207" s="33">
        <v>44791</v>
      </c>
      <c r="O2207" s="32">
        <v>4495</v>
      </c>
      <c r="P2207" s="391">
        <f>ROUNDUP(S2207/V2207/VLOOKUP(B2207,$C$2:$F$6,3,FALSE),2)</f>
        <v>0.41000000000000003</v>
      </c>
      <c r="Q2207" s="124">
        <v>0.41</v>
      </c>
      <c r="R2207" s="323">
        <f>Q2207*J2207</f>
        <v>4.0999999999999996</v>
      </c>
      <c r="S2207" s="7">
        <v>34</v>
      </c>
      <c r="T2207" s="92">
        <f>S2207*J2207</f>
        <v>340</v>
      </c>
      <c r="U2207" s="341"/>
      <c r="V2207" s="260">
        <v>120</v>
      </c>
    </row>
    <row r="2208" spans="2:22" s="7" customFormat="1" ht="18" customHeight="1">
      <c r="B2208" s="12"/>
      <c r="C2208" s="6" t="s">
        <v>3199</v>
      </c>
      <c r="D2208" s="14" t="s">
        <v>3047</v>
      </c>
      <c r="E2208" s="82"/>
      <c r="F2208" s="340"/>
      <c r="G2208" s="22" t="s">
        <v>316</v>
      </c>
      <c r="H2208" s="8"/>
      <c r="I2208" s="109" ph="1"/>
      <c r="J2208" s="38">
        <v>1</v>
      </c>
      <c r="K2208" s="39">
        <v>12</v>
      </c>
      <c r="L2208" s="39">
        <f>K2208*J2208</f>
        <v>12</v>
      </c>
      <c r="M2208" s="91"/>
      <c r="N2208" s="33">
        <v>44791</v>
      </c>
      <c r="O2208" s="32">
        <v>4495</v>
      </c>
      <c r="P2208" s="6"/>
      <c r="Q2208" s="322">
        <v>12</v>
      </c>
      <c r="R2208" s="322">
        <v>12</v>
      </c>
      <c r="S2208" s="7">
        <v>900</v>
      </c>
      <c r="T2208" s="7">
        <v>900</v>
      </c>
      <c r="U2208" s="21"/>
      <c r="V2208" s="260">
        <v>120</v>
      </c>
    </row>
    <row r="2209" spans="1:22" s="191" customFormat="1" ht="15">
      <c r="B2209" s="190"/>
      <c r="C2209" s="179" t="s">
        <v>3199</v>
      </c>
      <c r="D2209" s="180" t="s">
        <v>3047</v>
      </c>
      <c r="E2209" s="181"/>
      <c r="F2209" s="622"/>
      <c r="G2209" s="182" t="s">
        <v>250</v>
      </c>
      <c r="H2209" s="184" t="s">
        <v>251</v>
      </c>
      <c r="I2209" s="185"/>
      <c r="J2209" s="183"/>
      <c r="K2209" s="192">
        <v>0</v>
      </c>
      <c r="L2209" s="188"/>
      <c r="M2209" s="187"/>
      <c r="N2209" s="187">
        <v>44791</v>
      </c>
      <c r="O2209" s="186">
        <v>4495</v>
      </c>
      <c r="P2209" s="179"/>
      <c r="Q2209" s="725">
        <v>0</v>
      </c>
      <c r="S2209" s="197">
        <v>0</v>
      </c>
      <c r="T2209" s="198">
        <v>0</v>
      </c>
      <c r="U2209" s="335"/>
      <c r="V2209" s="260">
        <v>120</v>
      </c>
    </row>
    <row r="2210" spans="1:22" s="7" customFormat="1" ht="18" customHeight="1">
      <c r="B2210" s="12"/>
      <c r="C2210" s="6" t="s">
        <v>3200</v>
      </c>
      <c r="D2210" s="14" t="s">
        <v>2378</v>
      </c>
      <c r="E2210" s="19" t="s">
        <v>2882</v>
      </c>
      <c r="F2210" s="107"/>
      <c r="G2210" s="22"/>
      <c r="H2210" s="108"/>
      <c r="I2210" s="109"/>
      <c r="J2210" s="108"/>
      <c r="K2210" s="29" t="s">
        <v>5</v>
      </c>
      <c r="L2210" s="139"/>
      <c r="M2210" s="33"/>
      <c r="N2210" s="33">
        <v>44791</v>
      </c>
      <c r="O2210" s="32">
        <v>4493</v>
      </c>
      <c r="P2210" s="14"/>
      <c r="Q2210" s="322"/>
      <c r="U2210" s="14"/>
      <c r="V2210" s="260">
        <v>120</v>
      </c>
    </row>
    <row r="2211" spans="1:22" s="7" customFormat="1" ht="18" customHeight="1">
      <c r="B2211" s="12" t="s">
        <v>300</v>
      </c>
      <c r="C2211" s="6" t="s">
        <v>3200</v>
      </c>
      <c r="D2211" s="14" t="s">
        <v>2378</v>
      </c>
      <c r="E2211" s="22" t="s">
        <v>2468</v>
      </c>
      <c r="F2211" s="107"/>
      <c r="G2211" s="22" t="s">
        <v>100</v>
      </c>
      <c r="H2211" s="108">
        <v>13.7</v>
      </c>
      <c r="I2211" s="109">
        <v>6</v>
      </c>
      <c r="J2211" s="131">
        <f>H2211*I2211</f>
        <v>82.199999999999989</v>
      </c>
      <c r="K2211" s="39">
        <v>1.75</v>
      </c>
      <c r="L2211" s="39">
        <f>K2211*J2211</f>
        <v>143.84999999999997</v>
      </c>
      <c r="M2211" s="117" t="s">
        <v>349</v>
      </c>
      <c r="N2211" s="33">
        <v>44791</v>
      </c>
      <c r="O2211" s="32">
        <v>4493</v>
      </c>
      <c r="P2211" s="391">
        <f>ROUNDUP(S2211/V2211/VLOOKUP(B2211,$C$2:$F$6,3,FALSE),2)</f>
        <v>0.77</v>
      </c>
      <c r="Q2211" s="611">
        <v>0.77</v>
      </c>
      <c r="R2211" s="322">
        <f>Q2211*J2211</f>
        <v>63.29399999999999</v>
      </c>
      <c r="S2211" s="7">
        <v>64</v>
      </c>
      <c r="T2211" s="7">
        <f>S2211*J2211</f>
        <v>5260.7999999999993</v>
      </c>
      <c r="U2211" s="21"/>
      <c r="V2211" s="260">
        <v>120</v>
      </c>
    </row>
    <row r="2212" spans="1:22" s="7" customFormat="1" ht="18" customHeight="1">
      <c r="B2212" s="12"/>
      <c r="C2212" s="6" t="s">
        <v>3200</v>
      </c>
      <c r="D2212" s="14" t="s">
        <v>2378</v>
      </c>
      <c r="E2212" s="22"/>
      <c r="F2212" s="102"/>
      <c r="G2212" s="22" t="s">
        <v>316</v>
      </c>
      <c r="H2212" s="8"/>
      <c r="I2212" s="35"/>
      <c r="J2212" s="38">
        <v>1</v>
      </c>
      <c r="K2212" s="39">
        <v>12</v>
      </c>
      <c r="L2212" s="39">
        <f>K2212*J2212</f>
        <v>12</v>
      </c>
      <c r="M2212" s="33"/>
      <c r="N2212" s="33">
        <v>44791</v>
      </c>
      <c r="O2212" s="32">
        <v>4493</v>
      </c>
      <c r="P2212" s="391">
        <v>12</v>
      </c>
      <c r="Q2212" s="322">
        <v>12</v>
      </c>
      <c r="R2212" s="322">
        <v>12</v>
      </c>
      <c r="S2212" s="7">
        <v>0</v>
      </c>
      <c r="T2212" s="7">
        <f>S2212*J2212</f>
        <v>0</v>
      </c>
      <c r="U2212" s="21"/>
      <c r="V2212" s="260">
        <v>120</v>
      </c>
    </row>
    <row r="2213" spans="1:22" s="191" customFormat="1" ht="15">
      <c r="A2213" s="7"/>
      <c r="B2213" s="12"/>
      <c r="C2213" s="179" t="s">
        <v>3200</v>
      </c>
      <c r="D2213" s="180" t="s">
        <v>2378</v>
      </c>
      <c r="E2213" s="217"/>
      <c r="F2213" s="182"/>
      <c r="G2213" s="182" t="s">
        <v>250</v>
      </c>
      <c r="H2213" s="184" t="s">
        <v>252</v>
      </c>
      <c r="I2213" s="185"/>
      <c r="J2213" s="183"/>
      <c r="K2213" s="203">
        <v>25</v>
      </c>
      <c r="L2213" s="203">
        <v>25</v>
      </c>
      <c r="M2213" s="187"/>
      <c r="N2213" s="187">
        <v>44791</v>
      </c>
      <c r="O2213" s="186">
        <v>4493</v>
      </c>
      <c r="P2213" s="312"/>
      <c r="Q2213" s="313">
        <v>25</v>
      </c>
      <c r="R2213" s="359">
        <v>25</v>
      </c>
      <c r="S2213" s="328">
        <v>2966</v>
      </c>
      <c r="T2213" s="329">
        <v>2966</v>
      </c>
      <c r="U2213" s="314"/>
      <c r="V2213" s="260">
        <v>120</v>
      </c>
    </row>
    <row r="2214" spans="1:22" customFormat="1" ht="18" customHeight="1">
      <c r="A2214" s="1"/>
      <c r="B2214" s="26"/>
      <c r="C2214" s="6" t="s">
        <v>3201</v>
      </c>
      <c r="D2214" s="14" t="s">
        <v>3202</v>
      </c>
      <c r="E2214" s="19" t="s">
        <v>59</v>
      </c>
      <c r="F2214" s="107"/>
      <c r="G2214" s="22"/>
      <c r="H2214" s="108"/>
      <c r="I2214" s="109"/>
      <c r="J2214" s="108"/>
      <c r="K2214" s="110" t="s">
        <v>5</v>
      </c>
      <c r="L2214" s="33"/>
      <c r="M2214" s="33"/>
      <c r="N2214" s="33">
        <v>44795</v>
      </c>
      <c r="O2214" s="32">
        <v>4502</v>
      </c>
      <c r="P2214" s="14"/>
      <c r="Q2214" s="254"/>
      <c r="R2214" s="1"/>
      <c r="S2214" s="261"/>
      <c r="T2214" s="92"/>
      <c r="U2214" s="264"/>
      <c r="V2214" s="260">
        <v>120</v>
      </c>
    </row>
    <row r="2215" spans="1:22" customFormat="1" ht="18" customHeight="1">
      <c r="A2215" s="1"/>
      <c r="B2215" s="12" t="s">
        <v>302</v>
      </c>
      <c r="C2215" s="6" t="s">
        <v>3201</v>
      </c>
      <c r="D2215" s="14" t="s">
        <v>3202</v>
      </c>
      <c r="E2215" s="22">
        <v>2440</v>
      </c>
      <c r="F2215" s="107">
        <v>140</v>
      </c>
      <c r="G2215" s="22" t="s">
        <v>2367</v>
      </c>
      <c r="H2215" s="60">
        <v>58</v>
      </c>
      <c r="I2215" s="61">
        <v>5</v>
      </c>
      <c r="J2215" s="60">
        <f>H2215*I2215</f>
        <v>290</v>
      </c>
      <c r="K2215" s="39">
        <v>3.89</v>
      </c>
      <c r="L2215" s="39">
        <f>K2215*J2215</f>
        <v>1128.1000000000001</v>
      </c>
      <c r="M2215" s="117" t="s">
        <v>323</v>
      </c>
      <c r="N2215" s="33">
        <v>44795</v>
      </c>
      <c r="O2215" s="32">
        <v>4502</v>
      </c>
      <c r="P2215" s="391">
        <f>ROUNDUP(S2215/V2215/VLOOKUP(B2215,$C$2:$F$6,3,FALSE),2)</f>
        <v>2.6599999999999997</v>
      </c>
      <c r="Q2215" s="254">
        <v>2.66</v>
      </c>
      <c r="R2215" s="323">
        <f>Q2215*J2215</f>
        <v>771.40000000000009</v>
      </c>
      <c r="S2215" s="273">
        <v>280</v>
      </c>
      <c r="T2215" s="287">
        <f>S2215*J2215</f>
        <v>81200</v>
      </c>
      <c r="U2215" s="264"/>
      <c r="V2215" s="260">
        <v>120</v>
      </c>
    </row>
    <row r="2216" spans="1:22" s="7" customFormat="1" ht="18" customHeight="1">
      <c r="B2216" s="12"/>
      <c r="C2216" s="6" t="s">
        <v>3201</v>
      </c>
      <c r="D2216" s="14" t="s">
        <v>3202</v>
      </c>
      <c r="E2216" s="22"/>
      <c r="F2216" s="340"/>
      <c r="G2216" s="22" t="s">
        <v>316</v>
      </c>
      <c r="H2216" s="8"/>
      <c r="I2216" s="109" ph="1"/>
      <c r="J2216" s="38">
        <v>1</v>
      </c>
      <c r="K2216" s="39">
        <v>20</v>
      </c>
      <c r="L2216" s="39">
        <f>K2216*J2216</f>
        <v>20</v>
      </c>
      <c r="M2216" s="91"/>
      <c r="N2216" s="33">
        <v>44795</v>
      </c>
      <c r="O2216" s="32">
        <v>4502</v>
      </c>
      <c r="P2216" s="6"/>
      <c r="Q2216" s="322">
        <v>20</v>
      </c>
      <c r="R2216" s="322">
        <v>20</v>
      </c>
      <c r="S2216" s="7">
        <f>900+900</f>
        <v>1800</v>
      </c>
      <c r="T2216" s="7">
        <f>900+900</f>
        <v>1800</v>
      </c>
      <c r="U2216" s="21"/>
      <c r="V2216" s="260">
        <v>120</v>
      </c>
    </row>
    <row r="2217" spans="1:22" s="191" customFormat="1" ht="18" customHeight="1">
      <c r="B2217" s="190"/>
      <c r="C2217" s="179" t="s">
        <v>3201</v>
      </c>
      <c r="D2217" s="180" t="s">
        <v>3202</v>
      </c>
      <c r="E2217" s="181"/>
      <c r="F2217" s="182"/>
      <c r="G2217" s="182" t="s">
        <v>250</v>
      </c>
      <c r="H2217" s="184" t="s">
        <v>252</v>
      </c>
      <c r="I2217" s="185"/>
      <c r="J2217" s="183"/>
      <c r="K2217" s="203">
        <v>156</v>
      </c>
      <c r="L2217" s="203">
        <v>156</v>
      </c>
      <c r="M2217" s="187"/>
      <c r="N2217" s="187">
        <v>44795</v>
      </c>
      <c r="O2217" s="186">
        <v>4502</v>
      </c>
      <c r="P2217" s="312"/>
      <c r="Q2217" s="203">
        <v>156</v>
      </c>
      <c r="R2217" s="203">
        <v>156</v>
      </c>
      <c r="S2217" s="328">
        <v>18668</v>
      </c>
      <c r="T2217" s="328">
        <v>18668</v>
      </c>
      <c r="U2217" s="314"/>
      <c r="V2217" s="260">
        <v>120</v>
      </c>
    </row>
    <row r="2218" spans="1:22" customFormat="1" ht="18" customHeight="1">
      <c r="A2218" s="1"/>
      <c r="B2218" s="26"/>
      <c r="C2218" s="6" t="s">
        <v>3201</v>
      </c>
      <c r="D2218" s="14" t="s">
        <v>3202</v>
      </c>
      <c r="E2218" s="19" t="s">
        <v>59</v>
      </c>
      <c r="F2218" s="107"/>
      <c r="G2218" s="22"/>
      <c r="H2218" s="108"/>
      <c r="I2218" s="109"/>
      <c r="J2218" s="108"/>
      <c r="K2218" s="110" t="s">
        <v>5</v>
      </c>
      <c r="L2218" s="33"/>
      <c r="M2218" s="33"/>
      <c r="N2218" s="33">
        <v>44817</v>
      </c>
      <c r="O2218" s="32">
        <v>4557</v>
      </c>
      <c r="P2218" s="14"/>
      <c r="Q2218" s="254"/>
      <c r="R2218" s="1"/>
      <c r="S2218" s="261"/>
      <c r="T2218" s="92"/>
      <c r="U2218" s="264"/>
      <c r="V2218" s="260">
        <v>120</v>
      </c>
    </row>
    <row r="2219" spans="1:22" customFormat="1" ht="18" customHeight="1">
      <c r="A2219" s="1"/>
      <c r="B2219" s="12" t="s">
        <v>302</v>
      </c>
      <c r="C2219" s="6" t="s">
        <v>3201</v>
      </c>
      <c r="D2219" s="14" t="s">
        <v>3202</v>
      </c>
      <c r="E2219" s="22">
        <v>5521</v>
      </c>
      <c r="F2219" s="107">
        <v>148</v>
      </c>
      <c r="G2219" s="22" t="s">
        <v>212</v>
      </c>
      <c r="H2219" s="60">
        <v>58</v>
      </c>
      <c r="I2219" s="61">
        <v>4</v>
      </c>
      <c r="J2219" s="60">
        <f>H2219*I2219</f>
        <v>232</v>
      </c>
      <c r="K2219" s="39">
        <v>7.92</v>
      </c>
      <c r="L2219" s="39">
        <f>K2219*J2219</f>
        <v>1837.44</v>
      </c>
      <c r="M2219" s="117" t="s">
        <v>323</v>
      </c>
      <c r="N2219" s="33">
        <v>44817</v>
      </c>
      <c r="O2219" s="32">
        <v>4557</v>
      </c>
      <c r="P2219" s="391">
        <f>ROUNDUP(S2219/V2219/VLOOKUP(B2219,$C$2:$F$6,3,FALSE),2)</f>
        <v>5.3999999999999995</v>
      </c>
      <c r="Q2219" s="254">
        <v>5.4</v>
      </c>
      <c r="R2219" s="323">
        <f>Q2219*J2219</f>
        <v>1252.8000000000002</v>
      </c>
      <c r="S2219" s="273">
        <v>570</v>
      </c>
      <c r="T2219" s="287">
        <f>S2219*J2219</f>
        <v>132240</v>
      </c>
      <c r="U2219" s="264"/>
      <c r="V2219" s="260">
        <v>120</v>
      </c>
    </row>
    <row r="2220" spans="1:22" s="7" customFormat="1" ht="18" customHeight="1">
      <c r="B2220" s="12"/>
      <c r="C2220" s="6" t="s">
        <v>3201</v>
      </c>
      <c r="D2220" s="14" t="s">
        <v>3202</v>
      </c>
      <c r="E2220" s="22"/>
      <c r="F2220" s="340"/>
      <c r="G2220" s="22" t="s">
        <v>316</v>
      </c>
      <c r="H2220" s="8"/>
      <c r="I2220" s="109" ph="1"/>
      <c r="J2220" s="38">
        <v>1</v>
      </c>
      <c r="K2220" s="39">
        <v>20</v>
      </c>
      <c r="L2220" s="39">
        <f>K2220*J2220</f>
        <v>20</v>
      </c>
      <c r="M2220" s="91"/>
      <c r="N2220" s="33">
        <v>44817</v>
      </c>
      <c r="O2220" s="32">
        <v>4557</v>
      </c>
      <c r="P2220" s="6"/>
      <c r="Q2220" s="322">
        <v>20</v>
      </c>
      <c r="R2220" s="322">
        <v>20</v>
      </c>
      <c r="S2220" s="7">
        <f>900+900</f>
        <v>1800</v>
      </c>
      <c r="T2220" s="7">
        <f>900+900</f>
        <v>1800</v>
      </c>
      <c r="U2220" s="21"/>
      <c r="V2220" s="260">
        <v>120</v>
      </c>
    </row>
    <row r="2221" spans="1:22" s="191" customFormat="1" ht="18" customHeight="1">
      <c r="B2221" s="190"/>
      <c r="C2221" s="179" t="s">
        <v>3201</v>
      </c>
      <c r="D2221" s="180" t="s">
        <v>3202</v>
      </c>
      <c r="E2221" s="181"/>
      <c r="F2221" s="182"/>
      <c r="G2221" s="182" t="s">
        <v>250</v>
      </c>
      <c r="H2221" s="184" t="s">
        <v>252</v>
      </c>
      <c r="I2221" s="185"/>
      <c r="J2221" s="183"/>
      <c r="K2221" s="203">
        <v>258</v>
      </c>
      <c r="L2221" s="203">
        <v>258</v>
      </c>
      <c r="M2221" s="187"/>
      <c r="N2221" s="187">
        <v>44817</v>
      </c>
      <c r="O2221" s="186">
        <v>4557</v>
      </c>
      <c r="P2221" s="312"/>
      <c r="Q2221" s="313">
        <v>258</v>
      </c>
      <c r="R2221" s="359">
        <v>258</v>
      </c>
      <c r="S2221" s="328">
        <v>30856</v>
      </c>
      <c r="T2221" s="329">
        <v>30856</v>
      </c>
      <c r="U2221" s="314"/>
      <c r="V2221" s="260">
        <v>120</v>
      </c>
    </row>
    <row r="2222" spans="1:22" s="7" customFormat="1" ht="18" customHeight="1">
      <c r="B2222" s="12"/>
      <c r="C2222" s="6" t="s">
        <v>3203</v>
      </c>
      <c r="D2222" s="14" t="s">
        <v>3204</v>
      </c>
      <c r="E2222" s="19" t="s">
        <v>3205</v>
      </c>
      <c r="F2222" s="107"/>
      <c r="G2222" s="22"/>
      <c r="H2222" s="108"/>
      <c r="I2222" s="109"/>
      <c r="J2222" s="108"/>
      <c r="K2222" s="29" t="s">
        <v>5</v>
      </c>
      <c r="L2222" s="139"/>
      <c r="M2222" s="33"/>
      <c r="N2222" s="33">
        <v>44797</v>
      </c>
      <c r="O2222" s="32">
        <v>4511</v>
      </c>
      <c r="P2222" s="14"/>
      <c r="Q2222" s="322"/>
      <c r="U2222" s="14"/>
      <c r="V2222" s="260">
        <v>120</v>
      </c>
    </row>
    <row r="2223" spans="1:22" s="7" customFormat="1" ht="18" customHeight="1">
      <c r="B2223" s="12" t="s">
        <v>300</v>
      </c>
      <c r="C2223" s="6" t="s">
        <v>3203</v>
      </c>
      <c r="D2223" s="14" t="s">
        <v>3204</v>
      </c>
      <c r="E2223" s="890" t="s">
        <v>3206</v>
      </c>
      <c r="F2223" s="107"/>
      <c r="G2223" s="22" t="s">
        <v>100</v>
      </c>
      <c r="H2223" s="108">
        <v>13.7</v>
      </c>
      <c r="I2223" s="109">
        <v>1</v>
      </c>
      <c r="J2223" s="131">
        <f>H2223*I2223</f>
        <v>13.7</v>
      </c>
      <c r="K2223" s="39">
        <v>4.6500000000000004</v>
      </c>
      <c r="L2223" s="39">
        <f>K2223*J2223</f>
        <v>63.704999999999998</v>
      </c>
      <c r="M2223" s="117" t="s">
        <v>349</v>
      </c>
      <c r="N2223" s="33">
        <v>44797</v>
      </c>
      <c r="O2223" s="32">
        <v>4511</v>
      </c>
      <c r="P2223" s="391">
        <f>ROUNDUP(S2223/V2223/VLOOKUP(B2223,$C$2:$F$6,3,FALSE),2)</f>
        <v>2.46</v>
      </c>
      <c r="Q2223" s="611">
        <v>2.46</v>
      </c>
      <c r="R2223" s="322">
        <f>Q2223*J2223</f>
        <v>33.701999999999998</v>
      </c>
      <c r="S2223" s="7">
        <v>206</v>
      </c>
      <c r="T2223" s="7">
        <f>S2223*J2223</f>
        <v>2822.2</v>
      </c>
      <c r="U2223" s="21"/>
      <c r="V2223" s="260">
        <v>120</v>
      </c>
    </row>
    <row r="2224" spans="1:22" s="7" customFormat="1" ht="18" customHeight="1">
      <c r="B2224" s="12" t="s">
        <v>300</v>
      </c>
      <c r="C2224" s="6" t="s">
        <v>3203</v>
      </c>
      <c r="D2224" s="14" t="s">
        <v>3204</v>
      </c>
      <c r="E2224" s="890" t="s">
        <v>3207</v>
      </c>
      <c r="F2224" s="107"/>
      <c r="G2224" s="22" t="s">
        <v>100</v>
      </c>
      <c r="H2224" s="108">
        <v>13.7</v>
      </c>
      <c r="I2224" s="109">
        <v>1</v>
      </c>
      <c r="J2224" s="131">
        <f>H2224*I2224</f>
        <v>13.7</v>
      </c>
      <c r="K2224" s="39">
        <v>5.12</v>
      </c>
      <c r="L2224" s="39">
        <f>K2224*J2224</f>
        <v>70.143999999999991</v>
      </c>
      <c r="M2224" s="117" t="s">
        <v>349</v>
      </c>
      <c r="N2224" s="33">
        <v>44797</v>
      </c>
      <c r="O2224" s="32">
        <v>4511</v>
      </c>
      <c r="P2224" s="391">
        <f>ROUNDUP(S2224/V2224/VLOOKUP(B2224,$C$2:$F$6,3,FALSE),2)</f>
        <v>2.75</v>
      </c>
      <c r="Q2224" s="611">
        <v>2.75</v>
      </c>
      <c r="R2224" s="322">
        <f>Q2224*J2224</f>
        <v>37.674999999999997</v>
      </c>
      <c r="S2224" s="7">
        <v>231</v>
      </c>
      <c r="T2224" s="7">
        <f>S2224*J2224</f>
        <v>3164.7</v>
      </c>
      <c r="U2224" s="21"/>
      <c r="V2224" s="260">
        <v>120</v>
      </c>
    </row>
    <row r="2225" spans="1:22" s="7" customFormat="1" ht="18" customHeight="1">
      <c r="B2225" s="12"/>
      <c r="C2225" s="6" t="s">
        <v>3203</v>
      </c>
      <c r="D2225" s="14" t="s">
        <v>3204</v>
      </c>
      <c r="E2225" s="19" t="s">
        <v>3208</v>
      </c>
      <c r="F2225" s="107"/>
      <c r="G2225" s="22"/>
      <c r="H2225" s="108"/>
      <c r="I2225" s="109"/>
      <c r="J2225" s="108"/>
      <c r="K2225" s="29" t="s">
        <v>5</v>
      </c>
      <c r="L2225" s="139"/>
      <c r="M2225" s="33"/>
      <c r="N2225" s="33">
        <v>44797</v>
      </c>
      <c r="O2225" s="32">
        <v>4511</v>
      </c>
      <c r="P2225" s="14"/>
      <c r="Q2225" s="322"/>
      <c r="U2225" s="14"/>
      <c r="V2225" s="260">
        <v>120</v>
      </c>
    </row>
    <row r="2226" spans="1:22" s="7" customFormat="1" ht="18" customHeight="1">
      <c r="B2226" s="12" t="s">
        <v>300</v>
      </c>
      <c r="C2226" s="6" t="s">
        <v>3203</v>
      </c>
      <c r="D2226" s="14" t="s">
        <v>3204</v>
      </c>
      <c r="E2226" s="890" t="s">
        <v>3209</v>
      </c>
      <c r="F2226" s="107"/>
      <c r="G2226" s="22" t="s">
        <v>100</v>
      </c>
      <c r="H2226" s="108">
        <v>13.7</v>
      </c>
      <c r="I2226" s="109">
        <v>1</v>
      </c>
      <c r="J2226" s="131">
        <f>H2226*I2226</f>
        <v>13.7</v>
      </c>
      <c r="K2226" s="39">
        <v>4.13</v>
      </c>
      <c r="L2226" s="39">
        <f>K2226*J2226</f>
        <v>56.580999999999996</v>
      </c>
      <c r="M2226" s="117" t="s">
        <v>349</v>
      </c>
      <c r="N2226" s="33">
        <v>44797</v>
      </c>
      <c r="O2226" s="32">
        <v>4511</v>
      </c>
      <c r="P2226" s="391">
        <f>ROUNDUP(S2226/V2226/VLOOKUP(B2226,$C$2:$F$6,3,FALSE),2)</f>
        <v>2.2399999999999998</v>
      </c>
      <c r="Q2226" s="611">
        <v>2.2400000000000002</v>
      </c>
      <c r="R2226" s="322">
        <f>Q2226*J2226</f>
        <v>30.688000000000002</v>
      </c>
      <c r="S2226" s="7">
        <v>188</v>
      </c>
      <c r="T2226" s="7">
        <f>S2226*J2226</f>
        <v>2575.6</v>
      </c>
      <c r="U2226" s="21"/>
      <c r="V2226" s="260">
        <v>120</v>
      </c>
    </row>
    <row r="2227" spans="1:22" s="7" customFormat="1" ht="18" customHeight="1">
      <c r="B2227" s="12"/>
      <c r="C2227" s="6" t="s">
        <v>3203</v>
      </c>
      <c r="D2227" s="14" t="s">
        <v>3204</v>
      </c>
      <c r="E2227" s="22"/>
      <c r="F2227" s="102"/>
      <c r="G2227" s="22" t="s">
        <v>316</v>
      </c>
      <c r="H2227" s="8"/>
      <c r="I2227" s="35"/>
      <c r="J2227" s="38">
        <v>1</v>
      </c>
      <c r="K2227" s="39">
        <v>12</v>
      </c>
      <c r="L2227" s="39">
        <f>K2227*J2227</f>
        <v>12</v>
      </c>
      <c r="M2227" s="33"/>
      <c r="N2227" s="33">
        <v>44797</v>
      </c>
      <c r="O2227" s="32">
        <v>4511</v>
      </c>
      <c r="P2227" s="391">
        <v>12</v>
      </c>
      <c r="Q2227" s="322">
        <v>12</v>
      </c>
      <c r="R2227" s="322">
        <v>12</v>
      </c>
      <c r="S2227" s="7">
        <v>900</v>
      </c>
      <c r="T2227" s="7">
        <f>S2227*J2227</f>
        <v>900</v>
      </c>
      <c r="U2227" s="21"/>
      <c r="V2227" s="260">
        <v>120</v>
      </c>
    </row>
    <row r="2228" spans="1:22" s="191" customFormat="1" ht="15">
      <c r="A2228" s="7"/>
      <c r="B2228" s="12"/>
      <c r="C2228" s="179" t="s">
        <v>3203</v>
      </c>
      <c r="D2228" s="180" t="s">
        <v>3204</v>
      </c>
      <c r="E2228" s="217"/>
      <c r="F2228" s="182"/>
      <c r="G2228" s="182" t="s">
        <v>250</v>
      </c>
      <c r="H2228" s="184" t="s">
        <v>252</v>
      </c>
      <c r="I2228" s="185"/>
      <c r="J2228" s="183"/>
      <c r="K2228" s="203">
        <v>30</v>
      </c>
      <c r="L2228" s="203">
        <v>30</v>
      </c>
      <c r="M2228" s="187"/>
      <c r="N2228" s="187">
        <v>44797</v>
      </c>
      <c r="O2228" s="186">
        <v>4511</v>
      </c>
      <c r="P2228" s="312"/>
      <c r="Q2228" s="313">
        <v>30</v>
      </c>
      <c r="R2228" s="359">
        <v>30</v>
      </c>
      <c r="S2228" s="328">
        <v>3495</v>
      </c>
      <c r="T2228" s="329">
        <v>3495</v>
      </c>
      <c r="U2228" s="314"/>
      <c r="V2228" s="260">
        <v>120</v>
      </c>
    </row>
    <row r="2229" spans="1:22" s="52" customFormat="1" ht="18" customHeight="1">
      <c r="B2229" s="612"/>
      <c r="C2229" s="889" t="s">
        <v>3210</v>
      </c>
      <c r="D2229" s="890" t="s">
        <v>2998</v>
      </c>
      <c r="E2229" s="891" t="s">
        <v>2999</v>
      </c>
      <c r="F2229" s="892"/>
      <c r="G2229" s="893" t="s">
        <v>3211</v>
      </c>
      <c r="H2229" s="894"/>
      <c r="I2229" s="895"/>
      <c r="J2229" s="896"/>
      <c r="K2229" s="897" t="s">
        <v>102</v>
      </c>
      <c r="L2229" s="898"/>
      <c r="M2229" s="898"/>
      <c r="N2229" s="33">
        <v>44798</v>
      </c>
      <c r="O2229" s="32">
        <v>4512</v>
      </c>
      <c r="P2229" s="889"/>
      <c r="Q2229" s="899"/>
      <c r="U2229" s="900"/>
      <c r="V2229" s="260">
        <v>120</v>
      </c>
    </row>
    <row r="2230" spans="1:22" s="52" customFormat="1" ht="18" customHeight="1">
      <c r="B2230" s="612"/>
      <c r="C2230" s="889" t="s">
        <v>3212</v>
      </c>
      <c r="D2230" s="890" t="s">
        <v>2998</v>
      </c>
      <c r="E2230" s="401" t="s">
        <v>3000</v>
      </c>
      <c r="F2230" s="893">
        <v>39</v>
      </c>
      <c r="G2230" s="940" t="s">
        <v>3213</v>
      </c>
      <c r="H2230" s="896"/>
      <c r="I2230" s="903"/>
      <c r="J2230" s="38">
        <v>1</v>
      </c>
      <c r="K2230" s="904">
        <v>363.95</v>
      </c>
      <c r="L2230" s="39">
        <f>K2230*J2230</f>
        <v>363.95</v>
      </c>
      <c r="M2230" s="403" t="s">
        <v>322</v>
      </c>
      <c r="N2230" s="33">
        <v>44798</v>
      </c>
      <c r="O2230" s="32">
        <v>4512</v>
      </c>
      <c r="P2230" s="793"/>
      <c r="Q2230" s="611">
        <v>283.48</v>
      </c>
      <c r="R2230" s="611">
        <v>283.48</v>
      </c>
      <c r="S2230" s="899">
        <f>135+68</f>
        <v>203</v>
      </c>
      <c r="T2230" s="899">
        <f>135+68</f>
        <v>203</v>
      </c>
      <c r="U2230" s="905"/>
      <c r="V2230" s="260">
        <v>120</v>
      </c>
    </row>
    <row r="2231" spans="1:22" s="918" customFormat="1" ht="15">
      <c r="A2231" s="52"/>
      <c r="B2231" s="906"/>
      <c r="C2231" s="907" t="s">
        <v>3212</v>
      </c>
      <c r="D2231" s="908" t="s">
        <v>2998</v>
      </c>
      <c r="E2231" s="909"/>
      <c r="F2231" s="910"/>
      <c r="G2231" s="910" t="s">
        <v>250</v>
      </c>
      <c r="H2231" s="911" t="s">
        <v>251</v>
      </c>
      <c r="I2231" s="912"/>
      <c r="J2231" s="913"/>
      <c r="K2231" s="914">
        <v>0</v>
      </c>
      <c r="L2231" s="915"/>
      <c r="M2231" s="916"/>
      <c r="N2231" s="187">
        <v>44798</v>
      </c>
      <c r="O2231" s="186">
        <v>4512</v>
      </c>
      <c r="P2231" s="907"/>
      <c r="Q2231" s="917">
        <v>0</v>
      </c>
      <c r="S2231" s="919">
        <v>0</v>
      </c>
      <c r="T2231" s="919">
        <v>0</v>
      </c>
      <c r="U2231" s="920"/>
      <c r="V2231" s="260">
        <v>120</v>
      </c>
    </row>
    <row r="2232" spans="1:22" s="52" customFormat="1" ht="18" customHeight="1">
      <c r="B2232" s="612"/>
      <c r="C2232" s="889" t="s">
        <v>3214</v>
      </c>
      <c r="D2232" s="890" t="s">
        <v>2998</v>
      </c>
      <c r="E2232" s="891" t="s">
        <v>2999</v>
      </c>
      <c r="F2232" s="892"/>
      <c r="G2232" s="893" t="s">
        <v>3215</v>
      </c>
      <c r="H2232" s="894"/>
      <c r="I2232" s="895"/>
      <c r="J2232" s="896"/>
      <c r="K2232" s="897" t="s">
        <v>102</v>
      </c>
      <c r="L2232" s="898"/>
      <c r="M2232" s="898"/>
      <c r="N2232" s="33">
        <v>44798</v>
      </c>
      <c r="O2232" s="32">
        <v>4512</v>
      </c>
      <c r="P2232" s="889"/>
      <c r="Q2232" s="899"/>
      <c r="U2232" s="900"/>
      <c r="V2232" s="260">
        <v>120</v>
      </c>
    </row>
    <row r="2233" spans="1:22" s="52" customFormat="1" ht="18" customHeight="1">
      <c r="B2233" s="612"/>
      <c r="C2233" s="889" t="s">
        <v>3214</v>
      </c>
      <c r="D2233" s="890" t="s">
        <v>2998</v>
      </c>
      <c r="E2233" s="401" t="s">
        <v>3000</v>
      </c>
      <c r="F2233" s="893">
        <v>39</v>
      </c>
      <c r="G2233" s="940" t="s">
        <v>3216</v>
      </c>
      <c r="H2233" s="896"/>
      <c r="I2233" s="903"/>
      <c r="J2233" s="38">
        <v>1</v>
      </c>
      <c r="K2233" s="904">
        <v>136.05000000000001</v>
      </c>
      <c r="L2233" s="39">
        <f>K2233*J2233</f>
        <v>136.05000000000001</v>
      </c>
      <c r="M2233" s="403" t="s">
        <v>322</v>
      </c>
      <c r="N2233" s="33">
        <v>44798</v>
      </c>
      <c r="O2233" s="32">
        <v>4512</v>
      </c>
      <c r="P2233" s="793"/>
      <c r="Q2233" s="611">
        <v>135.53</v>
      </c>
      <c r="R2233" s="611">
        <v>135.53</v>
      </c>
      <c r="S2233" s="899">
        <v>135</v>
      </c>
      <c r="T2233" s="899">
        <v>135</v>
      </c>
      <c r="U2233" s="905"/>
      <c r="V2233" s="260">
        <v>120</v>
      </c>
    </row>
    <row r="2234" spans="1:22" s="918" customFormat="1" ht="15">
      <c r="A2234" s="52"/>
      <c r="B2234" s="906"/>
      <c r="C2234" s="907" t="s">
        <v>3214</v>
      </c>
      <c r="D2234" s="908" t="s">
        <v>2998</v>
      </c>
      <c r="E2234" s="909"/>
      <c r="F2234" s="910"/>
      <c r="G2234" s="910" t="s">
        <v>250</v>
      </c>
      <c r="H2234" s="911" t="s">
        <v>251</v>
      </c>
      <c r="I2234" s="912"/>
      <c r="J2234" s="913"/>
      <c r="K2234" s="914">
        <v>0</v>
      </c>
      <c r="L2234" s="915"/>
      <c r="M2234" s="916"/>
      <c r="N2234" s="187">
        <v>44798</v>
      </c>
      <c r="O2234" s="186">
        <v>4512</v>
      </c>
      <c r="P2234" s="907"/>
      <c r="Q2234" s="917">
        <v>0</v>
      </c>
      <c r="S2234" s="919">
        <v>0</v>
      </c>
      <c r="T2234" s="919">
        <v>0</v>
      </c>
      <c r="U2234" s="920"/>
      <c r="V2234" s="260">
        <v>120</v>
      </c>
    </row>
    <row r="2235" spans="1:22" s="7" customFormat="1" ht="18" customHeight="1">
      <c r="B2235" s="12"/>
      <c r="C2235" s="6" t="s">
        <v>3217</v>
      </c>
      <c r="D2235" s="14" t="s">
        <v>2505</v>
      </c>
      <c r="E2235" s="20" t="s">
        <v>3218</v>
      </c>
      <c r="F2235" s="15"/>
      <c r="G2235" s="893" t="s">
        <v>3215</v>
      </c>
      <c r="H2235" s="8"/>
      <c r="I2235" s="35"/>
      <c r="J2235" s="108"/>
      <c r="K2235" s="29" t="s">
        <v>5</v>
      </c>
      <c r="L2235" s="33"/>
      <c r="M2235" s="33"/>
      <c r="N2235" s="33">
        <v>44832</v>
      </c>
      <c r="O2235" s="32">
        <v>4514</v>
      </c>
      <c r="P2235" s="6"/>
      <c r="Q2235" s="322"/>
      <c r="U2235" s="39"/>
      <c r="V2235" s="260">
        <v>120</v>
      </c>
    </row>
    <row r="2236" spans="1:22" s="7" customFormat="1" ht="18" customHeight="1">
      <c r="B2236" s="12" t="s">
        <v>300</v>
      </c>
      <c r="C2236" s="6" t="s">
        <v>3217</v>
      </c>
      <c r="D2236" s="14" t="s">
        <v>2505</v>
      </c>
      <c r="E2236" s="19" t="s">
        <v>2508</v>
      </c>
      <c r="F2236" s="37">
        <v>39</v>
      </c>
      <c r="G2236" s="940" t="s">
        <v>3216</v>
      </c>
      <c r="H2236" s="108"/>
      <c r="I2236" s="109"/>
      <c r="J2236" s="8">
        <v>1100</v>
      </c>
      <c r="K2236" s="782">
        <v>2.1</v>
      </c>
      <c r="L2236" s="39">
        <f>K2236*J2236</f>
        <v>2310</v>
      </c>
      <c r="M2236" s="117" t="s">
        <v>322</v>
      </c>
      <c r="N2236" s="33">
        <v>44832</v>
      </c>
      <c r="O2236" s="32">
        <v>4514</v>
      </c>
      <c r="P2236" s="793"/>
      <c r="Q2236" s="334">
        <v>1.48</v>
      </c>
      <c r="R2236" s="322">
        <f>Q2236*J2236</f>
        <v>1628</v>
      </c>
      <c r="S2236" s="322">
        <v>0.87</v>
      </c>
      <c r="T2236" s="322">
        <f>S2236*J2236</f>
        <v>957</v>
      </c>
      <c r="U2236" s="772"/>
      <c r="V2236" s="260">
        <v>120</v>
      </c>
    </row>
    <row r="2237" spans="1:22" s="7" customFormat="1" ht="18" customHeight="1">
      <c r="B2237" s="12" t="s">
        <v>300</v>
      </c>
      <c r="C2237" s="6" t="s">
        <v>3217</v>
      </c>
      <c r="D2237" s="14" t="s">
        <v>2505</v>
      </c>
      <c r="E2237" s="19" t="s">
        <v>2508</v>
      </c>
      <c r="F2237" s="37">
        <v>39</v>
      </c>
      <c r="G2237" s="940" t="s">
        <v>3216</v>
      </c>
      <c r="H2237" s="108"/>
      <c r="I2237" s="109"/>
      <c r="J2237" s="8">
        <v>5</v>
      </c>
      <c r="K2237" s="782">
        <v>2.1</v>
      </c>
      <c r="L2237" s="39">
        <v>0</v>
      </c>
      <c r="M2237" s="117" t="s">
        <v>322</v>
      </c>
      <c r="N2237" s="952" t="s">
        <v>3219</v>
      </c>
      <c r="O2237" s="32">
        <v>4514</v>
      </c>
      <c r="P2237" s="793"/>
      <c r="Q2237" s="334">
        <v>1.48</v>
      </c>
      <c r="R2237" s="322">
        <f>Q2237*J2237</f>
        <v>7.4</v>
      </c>
      <c r="S2237" s="322">
        <v>0.87</v>
      </c>
      <c r="T2237" s="322">
        <f>S2237*J2237</f>
        <v>4.3499999999999996</v>
      </c>
      <c r="U2237" s="772"/>
      <c r="V2237" s="260">
        <v>120</v>
      </c>
    </row>
    <row r="2238" spans="1:22" s="7" customFormat="1" ht="18" customHeight="1">
      <c r="B2238" s="12" t="s">
        <v>300</v>
      </c>
      <c r="C2238" s="6" t="s">
        <v>3217</v>
      </c>
      <c r="D2238" s="14" t="s">
        <v>2505</v>
      </c>
      <c r="E2238" s="399"/>
      <c r="F2238" s="37"/>
      <c r="G2238" s="893" t="s">
        <v>3220</v>
      </c>
      <c r="H2238" s="108"/>
      <c r="I2238" s="109"/>
      <c r="J2238" s="38">
        <v>1</v>
      </c>
      <c r="K2238" s="953">
        <v>-100.86</v>
      </c>
      <c r="L2238" s="954">
        <f>K2238*J2238</f>
        <v>-100.86</v>
      </c>
      <c r="M2238" s="955" t="s">
        <v>3221</v>
      </c>
      <c r="N2238" s="33">
        <v>44832</v>
      </c>
      <c r="O2238" s="32">
        <v>4514</v>
      </c>
      <c r="P2238" s="793"/>
      <c r="Q2238" s="953">
        <v>-50.43</v>
      </c>
      <c r="R2238" s="322">
        <f>Q2238*J2238</f>
        <v>-50.43</v>
      </c>
      <c r="S2238" s="956" t="s">
        <v>3222</v>
      </c>
      <c r="T2238" s="953"/>
      <c r="U2238" s="772"/>
      <c r="V2238" s="260">
        <v>120</v>
      </c>
    </row>
    <row r="2239" spans="1:22" s="7" customFormat="1" ht="18" customHeight="1">
      <c r="B2239" s="12" t="s">
        <v>300</v>
      </c>
      <c r="C2239" s="6" t="s">
        <v>3217</v>
      </c>
      <c r="D2239" s="14" t="s">
        <v>2505</v>
      </c>
      <c r="E2239" s="399"/>
      <c r="F2239" s="37"/>
      <c r="G2239" s="893" t="s">
        <v>3223</v>
      </c>
      <c r="H2239" s="108"/>
      <c r="I2239" s="109"/>
      <c r="J2239" s="38">
        <v>1</v>
      </c>
      <c r="K2239" s="953">
        <v>-443.72</v>
      </c>
      <c r="L2239" s="954">
        <f>K2239*J2239</f>
        <v>-443.72</v>
      </c>
      <c r="M2239" s="117"/>
      <c r="N2239" s="955" t="s">
        <v>3221</v>
      </c>
      <c r="O2239" s="957" t="s">
        <v>3224</v>
      </c>
      <c r="P2239" s="793"/>
      <c r="Q2239" s="953">
        <v>-221.86</v>
      </c>
      <c r="R2239" s="322">
        <f>Q2239*J2239</f>
        <v>-221.86</v>
      </c>
      <c r="S2239" s="956" t="s">
        <v>3222</v>
      </c>
      <c r="T2239" s="322"/>
      <c r="U2239" s="772"/>
      <c r="V2239" s="260">
        <v>120</v>
      </c>
    </row>
    <row r="2240" spans="1:22" s="191" customFormat="1" ht="18" customHeight="1">
      <c r="A2240" s="7"/>
      <c r="B2240" s="190"/>
      <c r="C2240" s="179" t="s">
        <v>3217</v>
      </c>
      <c r="D2240" s="180" t="s">
        <v>2505</v>
      </c>
      <c r="E2240" s="217"/>
      <c r="F2240" s="182"/>
      <c r="G2240" s="182" t="s">
        <v>250</v>
      </c>
      <c r="H2240" s="184" t="s">
        <v>251</v>
      </c>
      <c r="I2240" s="185"/>
      <c r="J2240" s="183"/>
      <c r="K2240" s="192">
        <v>0</v>
      </c>
      <c r="L2240" s="188"/>
      <c r="M2240" s="187"/>
      <c r="N2240" s="187"/>
      <c r="O2240" s="186"/>
      <c r="P2240" s="179"/>
      <c r="Q2240" s="725">
        <v>0</v>
      </c>
      <c r="S2240" s="197">
        <v>0</v>
      </c>
      <c r="T2240" s="198">
        <v>0</v>
      </c>
      <c r="U2240" s="335"/>
      <c r="V2240" s="260">
        <v>120</v>
      </c>
    </row>
    <row r="2241" spans="2:22" s="7" customFormat="1" ht="18" customHeight="1">
      <c r="B2241" s="12"/>
      <c r="C2241" s="6" t="s">
        <v>3225</v>
      </c>
      <c r="D2241" s="14" t="s">
        <v>3116</v>
      </c>
      <c r="E2241" s="19" t="s">
        <v>10</v>
      </c>
      <c r="F2241" s="107"/>
      <c r="G2241" s="22"/>
      <c r="H2241" s="108"/>
      <c r="I2241" s="109"/>
      <c r="J2241" s="108"/>
      <c r="K2241" s="29" t="s">
        <v>5</v>
      </c>
      <c r="L2241" s="39"/>
      <c r="M2241" s="91"/>
      <c r="N2241" s="33">
        <v>44798</v>
      </c>
      <c r="O2241" s="32">
        <v>4513</v>
      </c>
      <c r="P2241" s="14"/>
      <c r="Q2241" s="322"/>
      <c r="U2241" s="14"/>
      <c r="V2241" s="384">
        <v>120</v>
      </c>
    </row>
    <row r="2242" spans="2:22" s="7" customFormat="1" ht="18" customHeight="1">
      <c r="B2242" s="12" t="s">
        <v>302</v>
      </c>
      <c r="C2242" s="6" t="s">
        <v>3225</v>
      </c>
      <c r="D2242" s="14" t="s">
        <v>3116</v>
      </c>
      <c r="E2242" s="22" t="s">
        <v>190</v>
      </c>
      <c r="F2242" s="107">
        <v>160</v>
      </c>
      <c r="G2242" s="885" t="s">
        <v>3226</v>
      </c>
      <c r="H2242" s="108">
        <v>50</v>
      </c>
      <c r="I2242" s="109">
        <v>1</v>
      </c>
      <c r="J2242" s="8">
        <f>H2242*I2242</f>
        <v>50</v>
      </c>
      <c r="K2242" s="39">
        <v>5</v>
      </c>
      <c r="L2242" s="39">
        <f>K2242*J2242</f>
        <v>250</v>
      </c>
      <c r="M2242" s="117" t="s">
        <v>322</v>
      </c>
      <c r="N2242" s="33">
        <v>44798</v>
      </c>
      <c r="O2242" s="32">
        <v>4513</v>
      </c>
      <c r="P2242" s="391">
        <f>ROUNDUP(S2242/V2242/VLOOKUP(B2242,$C$2:$F$6,3,FALSE),2)</f>
        <v>3.4099999999999997</v>
      </c>
      <c r="Q2242" s="322">
        <v>3.41</v>
      </c>
      <c r="R2242" s="322">
        <f>Q2242*J2242</f>
        <v>170.5</v>
      </c>
      <c r="S2242" s="7">
        <v>360</v>
      </c>
      <c r="T2242" s="7">
        <f>S2242*J2242</f>
        <v>18000</v>
      </c>
      <c r="U2242" s="21"/>
      <c r="V2242" s="260">
        <v>120</v>
      </c>
    </row>
    <row r="2243" spans="2:22" s="7" customFormat="1" ht="18" customHeight="1">
      <c r="B2243" s="12"/>
      <c r="C2243" s="6" t="s">
        <v>3225</v>
      </c>
      <c r="D2243" s="14" t="s">
        <v>3116</v>
      </c>
      <c r="E2243" s="22"/>
      <c r="F2243" s="102"/>
      <c r="G2243" s="22" t="s">
        <v>316</v>
      </c>
      <c r="H2243" s="8"/>
      <c r="I2243" s="35"/>
      <c r="J2243" s="38">
        <v>1</v>
      </c>
      <c r="K2243" s="39">
        <v>20</v>
      </c>
      <c r="L2243" s="39">
        <f>K2243*J2243</f>
        <v>20</v>
      </c>
      <c r="M2243" s="91"/>
      <c r="N2243" s="33">
        <v>44798</v>
      </c>
      <c r="O2243" s="32">
        <v>4513</v>
      </c>
      <c r="P2243" s="6" t="s">
        <v>3</v>
      </c>
      <c r="Q2243" s="322">
        <v>20</v>
      </c>
      <c r="R2243" s="322">
        <v>20</v>
      </c>
      <c r="S2243" s="7">
        <v>1800</v>
      </c>
      <c r="T2243" s="7">
        <f>S2243*J2243</f>
        <v>1800</v>
      </c>
      <c r="U2243" s="21"/>
      <c r="V2243" s="260">
        <v>120</v>
      </c>
    </row>
    <row r="2244" spans="2:22" s="191" customFormat="1" ht="18" customHeight="1">
      <c r="B2244" s="190"/>
      <c r="C2244" s="179" t="s">
        <v>3225</v>
      </c>
      <c r="D2244" s="180" t="s">
        <v>3116</v>
      </c>
      <c r="E2244" s="217"/>
      <c r="F2244" s="182"/>
      <c r="G2244" s="182" t="s">
        <v>250</v>
      </c>
      <c r="H2244" s="184" t="s">
        <v>251</v>
      </c>
      <c r="I2244" s="185"/>
      <c r="J2244" s="183"/>
      <c r="K2244" s="192">
        <v>0</v>
      </c>
      <c r="L2244" s="187"/>
      <c r="M2244" s="187"/>
      <c r="N2244" s="187">
        <v>44798</v>
      </c>
      <c r="O2244" s="186">
        <v>4513</v>
      </c>
      <c r="P2244" s="179"/>
      <c r="Q2244" s="255">
        <v>0</v>
      </c>
      <c r="R2244" s="322">
        <v>0</v>
      </c>
      <c r="S2244" s="275">
        <v>0</v>
      </c>
      <c r="T2244" s="198">
        <v>0</v>
      </c>
      <c r="U2244" s="271"/>
      <c r="V2244" s="260">
        <v>120</v>
      </c>
    </row>
    <row r="2245" spans="2:22" s="7" customFormat="1" ht="18" customHeight="1">
      <c r="B2245" s="12"/>
      <c r="C2245" s="6" t="s">
        <v>3227</v>
      </c>
      <c r="D2245" s="14" t="s">
        <v>3177</v>
      </c>
      <c r="E2245" s="19" t="s">
        <v>2358</v>
      </c>
      <c r="F2245" s="24"/>
      <c r="G2245" s="22"/>
      <c r="H2245" s="60"/>
      <c r="I2245" s="61"/>
      <c r="J2245" s="60"/>
      <c r="K2245" s="16" t="s">
        <v>5</v>
      </c>
      <c r="L2245" s="139"/>
      <c r="M2245" s="33"/>
      <c r="N2245" s="33">
        <v>44799</v>
      </c>
      <c r="O2245" s="32">
        <v>4520</v>
      </c>
      <c r="P2245" s="6" t="s">
        <v>3</v>
      </c>
      <c r="Q2245" s="358"/>
      <c r="U2245" s="120"/>
      <c r="V2245" s="260">
        <v>120</v>
      </c>
    </row>
    <row r="2246" spans="2:22" s="7" customFormat="1" ht="18" customHeight="1">
      <c r="B2246" s="12" t="s">
        <v>300</v>
      </c>
      <c r="C2246" s="6" t="s">
        <v>3227</v>
      </c>
      <c r="D2246" s="14" t="s">
        <v>3177</v>
      </c>
      <c r="E2246" s="22" t="s">
        <v>3178</v>
      </c>
      <c r="F2246" s="24"/>
      <c r="G2246" s="22" t="s">
        <v>3179</v>
      </c>
      <c r="H2246" s="108"/>
      <c r="I2246" s="109"/>
      <c r="J2246" s="8">
        <v>20</v>
      </c>
      <c r="K2246" s="39">
        <v>1.75</v>
      </c>
      <c r="L2246" s="39">
        <f>K2246*J2246</f>
        <v>35</v>
      </c>
      <c r="M2246" s="117" t="s">
        <v>349</v>
      </c>
      <c r="N2246" s="33">
        <v>44799</v>
      </c>
      <c r="O2246" s="32">
        <v>4520</v>
      </c>
      <c r="P2246" s="391">
        <f>ROUNDUP(S2246/V2246/VLOOKUP(B2246,$C$2:$F$6,3,FALSE),2)</f>
        <v>1.5</v>
      </c>
      <c r="Q2246" s="322">
        <v>1.5</v>
      </c>
      <c r="R2246" s="322">
        <f>Q2246*J2246</f>
        <v>30</v>
      </c>
      <c r="S2246" s="7">
        <v>126</v>
      </c>
      <c r="T2246" s="7">
        <f>S2246*J2246</f>
        <v>2520</v>
      </c>
      <c r="U2246" s="386"/>
      <c r="V2246" s="260">
        <v>120</v>
      </c>
    </row>
    <row r="2247" spans="2:22" s="7" customFormat="1" ht="18" customHeight="1">
      <c r="B2247" s="12"/>
      <c r="C2247" s="6" t="s">
        <v>3227</v>
      </c>
      <c r="D2247" s="14" t="s">
        <v>3177</v>
      </c>
      <c r="E2247" s="22"/>
      <c r="F2247" s="340"/>
      <c r="G2247" s="22" t="s">
        <v>316</v>
      </c>
      <c r="H2247" s="8"/>
      <c r="I2247" s="109" ph="1"/>
      <c r="J2247" s="38">
        <v>1</v>
      </c>
      <c r="K2247" s="39">
        <v>15</v>
      </c>
      <c r="L2247" s="39">
        <f>K2247*J2247</f>
        <v>15</v>
      </c>
      <c r="M2247" s="91"/>
      <c r="N2247" s="33">
        <v>44799</v>
      </c>
      <c r="O2247" s="32">
        <v>4520</v>
      </c>
      <c r="P2247" s="6"/>
      <c r="Q2247" s="322">
        <v>15</v>
      </c>
      <c r="R2247" s="322">
        <v>15</v>
      </c>
      <c r="S2247" s="7">
        <v>900</v>
      </c>
      <c r="T2247" s="7">
        <f>S2247*J2247</f>
        <v>900</v>
      </c>
      <c r="U2247" s="21"/>
      <c r="V2247" s="260">
        <v>120</v>
      </c>
    </row>
    <row r="2248" spans="2:22" s="191" customFormat="1" ht="18" customHeight="1">
      <c r="B2248" s="190"/>
      <c r="C2248" s="179" t="s">
        <v>3227</v>
      </c>
      <c r="D2248" s="180" t="s">
        <v>3177</v>
      </c>
      <c r="E2248" s="181"/>
      <c r="F2248" s="182"/>
      <c r="G2248" s="182" t="s">
        <v>250</v>
      </c>
      <c r="H2248" s="184" t="s">
        <v>252</v>
      </c>
      <c r="I2248" s="185"/>
      <c r="J2248" s="183"/>
      <c r="K2248" s="333">
        <v>25</v>
      </c>
      <c r="L2248" s="333">
        <v>25</v>
      </c>
      <c r="M2248" s="187"/>
      <c r="N2248" s="187">
        <v>44799</v>
      </c>
      <c r="O2248" s="186">
        <v>4520</v>
      </c>
      <c r="P2248" s="179"/>
      <c r="Q2248" s="333">
        <v>25</v>
      </c>
      <c r="R2248" s="333">
        <v>25</v>
      </c>
      <c r="S2248" s="7">
        <v>2261</v>
      </c>
      <c r="T2248" s="7">
        <v>2261</v>
      </c>
      <c r="U2248" s="335"/>
      <c r="V2248" s="260">
        <v>120</v>
      </c>
    </row>
    <row r="2249" spans="2:22" s="7" customFormat="1" ht="18" customHeight="1">
      <c r="B2249" s="12"/>
      <c r="C2249" s="6" t="s">
        <v>3228</v>
      </c>
      <c r="D2249" s="14" t="s">
        <v>2231</v>
      </c>
      <c r="E2249" s="19" t="s">
        <v>2270</v>
      </c>
      <c r="F2249" s="37"/>
      <c r="G2249" s="37"/>
      <c r="H2249" s="108"/>
      <c r="I2249" s="108"/>
      <c r="J2249" s="108"/>
      <c r="K2249" s="29" t="s">
        <v>5</v>
      </c>
      <c r="L2249" s="139"/>
      <c r="M2249" s="33"/>
      <c r="N2249" s="33">
        <v>44832</v>
      </c>
      <c r="O2249" s="32">
        <v>4527</v>
      </c>
      <c r="P2249" s="6"/>
      <c r="Q2249" s="339"/>
      <c r="U2249" s="21"/>
      <c r="V2249" s="260">
        <v>120</v>
      </c>
    </row>
    <row r="2250" spans="2:22" s="7" customFormat="1" ht="18" customHeight="1">
      <c r="B2250" s="12" t="s">
        <v>300</v>
      </c>
      <c r="C2250" s="6" t="s">
        <v>3228</v>
      </c>
      <c r="D2250" s="14" t="s">
        <v>2231</v>
      </c>
      <c r="E2250" s="22">
        <v>5636</v>
      </c>
      <c r="F2250" s="37" t="s">
        <v>230</v>
      </c>
      <c r="G2250" s="839" t="s">
        <v>283</v>
      </c>
      <c r="H2250" s="108">
        <v>50</v>
      </c>
      <c r="I2250" s="109">
        <v>14</v>
      </c>
      <c r="J2250" s="8">
        <f>H2250*I2250</f>
        <v>700</v>
      </c>
      <c r="K2250" s="39">
        <v>0.27</v>
      </c>
      <c r="L2250" s="39">
        <f>K2250*J2250</f>
        <v>189</v>
      </c>
      <c r="M2250" s="117" t="s">
        <v>349</v>
      </c>
      <c r="N2250" s="33">
        <v>44832</v>
      </c>
      <c r="O2250" s="32">
        <v>4527</v>
      </c>
      <c r="P2250" s="391">
        <f>ROUNDUP(S2250/V2250/VLOOKUP(B2250,$C$2:$F$6,3,FALSE),2)</f>
        <v>0.13</v>
      </c>
      <c r="Q2250" s="322">
        <v>0.13</v>
      </c>
      <c r="R2250" s="322">
        <f>Q2250*J2250</f>
        <v>91</v>
      </c>
      <c r="S2250" s="752">
        <v>10.7</v>
      </c>
      <c r="T2250" s="7">
        <f>S2250*J2250</f>
        <v>7489.9999999999991</v>
      </c>
      <c r="U2250" s="876"/>
      <c r="V2250" s="260">
        <v>120</v>
      </c>
    </row>
    <row r="2251" spans="2:22" s="7" customFormat="1" ht="18" customHeight="1">
      <c r="B2251" s="12"/>
      <c r="C2251" s="6" t="s">
        <v>3228</v>
      </c>
      <c r="D2251" s="14" t="s">
        <v>2231</v>
      </c>
      <c r="E2251" s="82"/>
      <c r="F2251" s="102"/>
      <c r="G2251" s="22" t="s">
        <v>316</v>
      </c>
      <c r="H2251" s="8"/>
      <c r="I2251" s="35"/>
      <c r="J2251" s="38">
        <v>1</v>
      </c>
      <c r="K2251" s="39">
        <v>12</v>
      </c>
      <c r="L2251" s="39">
        <f>K2251*J2251</f>
        <v>12</v>
      </c>
      <c r="M2251" s="91"/>
      <c r="N2251" s="33">
        <v>44832</v>
      </c>
      <c r="O2251" s="32">
        <v>4527</v>
      </c>
      <c r="P2251" s="6"/>
      <c r="Q2251" s="322">
        <v>12</v>
      </c>
      <c r="R2251" s="322">
        <f>Q2251*J2251</f>
        <v>12</v>
      </c>
      <c r="S2251" s="7">
        <v>1100</v>
      </c>
      <c r="T2251" s="7">
        <f>S2251*J2251</f>
        <v>1100</v>
      </c>
      <c r="U2251" s="21"/>
      <c r="V2251" s="260">
        <v>120</v>
      </c>
    </row>
    <row r="2252" spans="2:22" s="191" customFormat="1" ht="18" customHeight="1">
      <c r="B2252" s="190"/>
      <c r="C2252" s="179" t="s">
        <v>3228</v>
      </c>
      <c r="D2252" s="180" t="s">
        <v>2231</v>
      </c>
      <c r="E2252" s="181"/>
      <c r="F2252" s="622"/>
      <c r="G2252" s="182" t="s">
        <v>250</v>
      </c>
      <c r="H2252" s="184" t="s">
        <v>251</v>
      </c>
      <c r="I2252" s="185"/>
      <c r="J2252" s="183"/>
      <c r="K2252" s="192">
        <v>0</v>
      </c>
      <c r="L2252" s="188"/>
      <c r="M2252" s="187"/>
      <c r="N2252" s="187">
        <v>44832</v>
      </c>
      <c r="O2252" s="186">
        <v>4527</v>
      </c>
      <c r="P2252" s="179"/>
      <c r="Q2252" s="725">
        <v>0</v>
      </c>
      <c r="S2252" s="197">
        <v>0</v>
      </c>
      <c r="T2252" s="198">
        <v>0</v>
      </c>
      <c r="U2252" s="335"/>
      <c r="V2252" s="260">
        <v>120</v>
      </c>
    </row>
    <row r="2253" spans="2:22" s="7" customFormat="1" ht="18" customHeight="1">
      <c r="B2253" s="12"/>
      <c r="C2253" s="6" t="s">
        <v>3229</v>
      </c>
      <c r="D2253" s="14" t="s">
        <v>2231</v>
      </c>
      <c r="E2253" s="19" t="s">
        <v>2270</v>
      </c>
      <c r="F2253" s="37"/>
      <c r="G2253" s="37"/>
      <c r="H2253" s="108"/>
      <c r="I2253" s="108"/>
      <c r="J2253" s="108"/>
      <c r="K2253" s="29" t="s">
        <v>5</v>
      </c>
      <c r="L2253" s="139"/>
      <c r="M2253" s="33"/>
      <c r="N2253" s="33">
        <v>44832</v>
      </c>
      <c r="O2253" s="32">
        <v>4527</v>
      </c>
      <c r="P2253" s="6"/>
      <c r="Q2253" s="339"/>
      <c r="U2253" s="21"/>
      <c r="V2253" s="260">
        <v>120</v>
      </c>
    </row>
    <row r="2254" spans="2:22" s="7" customFormat="1" ht="18" customHeight="1">
      <c r="B2254" s="12" t="s">
        <v>300</v>
      </c>
      <c r="C2254" s="6" t="s">
        <v>3229</v>
      </c>
      <c r="D2254" s="14" t="s">
        <v>2231</v>
      </c>
      <c r="E2254" s="22">
        <v>5636</v>
      </c>
      <c r="F2254" s="37" t="s">
        <v>230</v>
      </c>
      <c r="G2254" s="839" t="s">
        <v>283</v>
      </c>
      <c r="H2254" s="108">
        <v>50</v>
      </c>
      <c r="I2254" s="109">
        <v>25</v>
      </c>
      <c r="J2254" s="8">
        <f>H2254*I2254</f>
        <v>1250</v>
      </c>
      <c r="K2254" s="39">
        <v>0.27</v>
      </c>
      <c r="L2254" s="39">
        <f>K2254*J2254</f>
        <v>337.5</v>
      </c>
      <c r="M2254" s="117" t="s">
        <v>349</v>
      </c>
      <c r="N2254" s="33">
        <v>44832</v>
      </c>
      <c r="O2254" s="32">
        <v>4527</v>
      </c>
      <c r="P2254" s="391">
        <f>ROUNDUP(S2254/V2254/VLOOKUP(B2254,$C$2:$F$6,3,FALSE),2)</f>
        <v>0.13</v>
      </c>
      <c r="Q2254" s="322">
        <v>0.13</v>
      </c>
      <c r="R2254" s="322">
        <f>Q2254*J2254</f>
        <v>162.5</v>
      </c>
      <c r="S2254" s="752">
        <v>10.7</v>
      </c>
      <c r="T2254" s="7">
        <f>S2254*J2254</f>
        <v>13375</v>
      </c>
      <c r="U2254" s="876"/>
      <c r="V2254" s="260">
        <v>120</v>
      </c>
    </row>
    <row r="2255" spans="2:22" s="7" customFormat="1" ht="18" customHeight="1">
      <c r="B2255" s="12" t="s">
        <v>300</v>
      </c>
      <c r="C2255" s="6" t="s">
        <v>3229</v>
      </c>
      <c r="D2255" s="14" t="s">
        <v>2231</v>
      </c>
      <c r="E2255" s="22">
        <v>5636</v>
      </c>
      <c r="F2255" s="37" t="s">
        <v>230</v>
      </c>
      <c r="G2255" s="396" t="s">
        <v>3230</v>
      </c>
      <c r="H2255" s="108">
        <v>50</v>
      </c>
      <c r="I2255" s="109">
        <v>8</v>
      </c>
      <c r="J2255" s="8">
        <f>H2255*I2255</f>
        <v>400</v>
      </c>
      <c r="K2255" s="39">
        <v>0.27</v>
      </c>
      <c r="L2255" s="39">
        <f>K2255*J2255</f>
        <v>108</v>
      </c>
      <c r="M2255" s="117" t="s">
        <v>349</v>
      </c>
      <c r="N2255" s="33">
        <v>44832</v>
      </c>
      <c r="O2255" s="32">
        <v>4527</v>
      </c>
      <c r="P2255" s="391">
        <f>ROUNDUP(S2255/V2255/VLOOKUP(B2255,$C$2:$F$6,3,FALSE),2)</f>
        <v>0.18000000000000002</v>
      </c>
      <c r="Q2255" s="322">
        <v>0.18</v>
      </c>
      <c r="R2255" s="322">
        <f>Q2255*J2255</f>
        <v>72</v>
      </c>
      <c r="S2255" s="7">
        <v>14.6</v>
      </c>
      <c r="T2255" s="7">
        <f>S2255*J2255</f>
        <v>5840</v>
      </c>
      <c r="U2255" s="778"/>
      <c r="V2255" s="260">
        <v>120</v>
      </c>
    </row>
    <row r="2256" spans="2:22" s="7" customFormat="1" ht="18" customHeight="1">
      <c r="B2256" s="12"/>
      <c r="C2256" s="6" t="s">
        <v>3229</v>
      </c>
      <c r="D2256" s="14" t="s">
        <v>2231</v>
      </c>
      <c r="E2256" s="82"/>
      <c r="F2256" s="102"/>
      <c r="G2256" s="22" t="s">
        <v>316</v>
      </c>
      <c r="H2256" s="8"/>
      <c r="I2256" s="35"/>
      <c r="J2256" s="38">
        <v>1</v>
      </c>
      <c r="K2256" s="39">
        <v>12</v>
      </c>
      <c r="L2256" s="39">
        <f>K2256*J2256</f>
        <v>12</v>
      </c>
      <c r="M2256" s="91"/>
      <c r="N2256" s="33">
        <v>44832</v>
      </c>
      <c r="O2256" s="32">
        <v>4527</v>
      </c>
      <c r="P2256" s="6"/>
      <c r="Q2256" s="322">
        <v>12</v>
      </c>
      <c r="R2256" s="322">
        <f>Q2256*J2256</f>
        <v>12</v>
      </c>
      <c r="S2256" s="7">
        <v>1100</v>
      </c>
      <c r="T2256" s="7">
        <f>S2256*J2256</f>
        <v>1100</v>
      </c>
      <c r="U2256" s="21"/>
      <c r="V2256" s="260">
        <v>120</v>
      </c>
    </row>
    <row r="2257" spans="2:22" s="191" customFormat="1" ht="18" customHeight="1">
      <c r="B2257" s="190"/>
      <c r="C2257" s="179" t="s">
        <v>3229</v>
      </c>
      <c r="D2257" s="180" t="s">
        <v>2231</v>
      </c>
      <c r="E2257" s="181"/>
      <c r="F2257" s="622"/>
      <c r="G2257" s="182" t="s">
        <v>250</v>
      </c>
      <c r="H2257" s="184" t="s">
        <v>251</v>
      </c>
      <c r="I2257" s="185"/>
      <c r="J2257" s="183"/>
      <c r="K2257" s="192">
        <v>0</v>
      </c>
      <c r="L2257" s="188"/>
      <c r="M2257" s="187"/>
      <c r="N2257" s="187">
        <v>44832</v>
      </c>
      <c r="O2257" s="186">
        <v>4527</v>
      </c>
      <c r="P2257" s="179"/>
      <c r="Q2257" s="725">
        <v>0</v>
      </c>
      <c r="S2257" s="197">
        <v>0</v>
      </c>
      <c r="T2257" s="198">
        <v>0</v>
      </c>
      <c r="U2257" s="335"/>
      <c r="V2257" s="260">
        <v>120</v>
      </c>
    </row>
    <row r="2258" spans="2:22" s="7" customFormat="1" ht="18" customHeight="1">
      <c r="B2258" s="12"/>
      <c r="C2258" s="6" t="s">
        <v>3231</v>
      </c>
      <c r="D2258" s="14" t="s">
        <v>2194</v>
      </c>
      <c r="E2258" s="19" t="s">
        <v>10</v>
      </c>
      <c r="F2258" s="107"/>
      <c r="G2258" s="22"/>
      <c r="H2258" s="108"/>
      <c r="I2258" s="109"/>
      <c r="J2258" s="108"/>
      <c r="K2258" s="110" t="s">
        <v>5</v>
      </c>
      <c r="L2258" s="139"/>
      <c r="M2258" s="33"/>
      <c r="N2258" s="33">
        <v>44806</v>
      </c>
      <c r="O2258" s="32">
        <v>4540</v>
      </c>
      <c r="P2258" s="14"/>
      <c r="Q2258" s="322"/>
      <c r="U2258" s="14"/>
      <c r="V2258" s="260">
        <v>120</v>
      </c>
    </row>
    <row r="2259" spans="2:22" s="7" customFormat="1" ht="18" customHeight="1">
      <c r="B2259" s="12" t="s">
        <v>302</v>
      </c>
      <c r="C2259" s="6" t="s">
        <v>3231</v>
      </c>
      <c r="D2259" s="14" t="s">
        <v>2194</v>
      </c>
      <c r="E2259" s="22" t="s">
        <v>206</v>
      </c>
      <c r="F2259" s="107">
        <v>162</v>
      </c>
      <c r="G2259" s="22" t="s">
        <v>2195</v>
      </c>
      <c r="H2259" s="108">
        <v>50</v>
      </c>
      <c r="I2259" s="109">
        <v>4</v>
      </c>
      <c r="J2259" s="8">
        <f>H2259*I2259</f>
        <v>200</v>
      </c>
      <c r="K2259" s="39">
        <v>4.59</v>
      </c>
      <c r="L2259" s="39">
        <f>K2259*J2259</f>
        <v>918</v>
      </c>
      <c r="M2259" s="117" t="s">
        <v>322</v>
      </c>
      <c r="N2259" s="33">
        <v>44806</v>
      </c>
      <c r="O2259" s="32">
        <v>4540</v>
      </c>
      <c r="P2259" s="391">
        <f>ROUNDUP(S2259/V2259/VLOOKUP(B2259,$C$2:$F$6,3,FALSE),2)</f>
        <v>3.13</v>
      </c>
      <c r="Q2259" s="322">
        <v>3.13</v>
      </c>
      <c r="R2259" s="322">
        <f>Q2259*J2259</f>
        <v>626</v>
      </c>
      <c r="S2259" s="7">
        <v>330</v>
      </c>
      <c r="T2259" s="7">
        <f>S2259*J2259</f>
        <v>66000</v>
      </c>
      <c r="U2259" s="21"/>
      <c r="V2259" s="260">
        <v>120</v>
      </c>
    </row>
    <row r="2260" spans="2:22" s="7" customFormat="1" ht="18" customHeight="1">
      <c r="B2260" s="12"/>
      <c r="C2260" s="6" t="s">
        <v>3231</v>
      </c>
      <c r="D2260" s="14" t="s">
        <v>2194</v>
      </c>
      <c r="E2260" s="159"/>
      <c r="F2260" s="37"/>
      <c r="G2260" s="22" t="s">
        <v>363</v>
      </c>
      <c r="H2260" s="8"/>
      <c r="I2260" s="109" ph="1"/>
      <c r="J2260" s="38">
        <v>1</v>
      </c>
      <c r="K2260" s="39">
        <v>20</v>
      </c>
      <c r="L2260" s="39">
        <f>K2260*J2260</f>
        <v>20</v>
      </c>
      <c r="M2260" s="91"/>
      <c r="N2260" s="33">
        <v>44806</v>
      </c>
      <c r="O2260" s="32">
        <v>4540</v>
      </c>
      <c r="P2260" s="6"/>
      <c r="Q2260" s="322">
        <v>20</v>
      </c>
      <c r="R2260" s="322">
        <f>Q2260*J2260</f>
        <v>20</v>
      </c>
      <c r="S2260" s="7">
        <v>1800</v>
      </c>
      <c r="T2260" s="7">
        <v>1800</v>
      </c>
      <c r="U2260" s="21"/>
      <c r="V2260" s="260">
        <v>120</v>
      </c>
    </row>
    <row r="2261" spans="2:22" s="191" customFormat="1" ht="18" customHeight="1">
      <c r="B2261" s="190"/>
      <c r="C2261" s="179" t="s">
        <v>3231</v>
      </c>
      <c r="D2261" s="180" t="s">
        <v>2194</v>
      </c>
      <c r="E2261" s="217"/>
      <c r="F2261" s="182"/>
      <c r="G2261" s="182" t="s">
        <v>250</v>
      </c>
      <c r="H2261" s="184" t="s">
        <v>252</v>
      </c>
      <c r="I2261" s="185"/>
      <c r="J2261" s="183"/>
      <c r="K2261" s="333">
        <v>176</v>
      </c>
      <c r="L2261" s="333">
        <v>176</v>
      </c>
      <c r="M2261" s="187"/>
      <c r="N2261" s="187">
        <v>44806</v>
      </c>
      <c r="O2261" s="186">
        <v>4540</v>
      </c>
      <c r="P2261" s="179"/>
      <c r="Q2261" s="334">
        <v>176</v>
      </c>
      <c r="R2261" s="334">
        <v>176</v>
      </c>
      <c r="S2261" s="197">
        <v>21080</v>
      </c>
      <c r="T2261" s="197">
        <v>21080</v>
      </c>
      <c r="U2261" s="335"/>
      <c r="V2261" s="260">
        <v>120</v>
      </c>
    </row>
    <row r="2262" spans="2:22" s="7" customFormat="1" ht="18" customHeight="1">
      <c r="B2262" s="12"/>
      <c r="C2262" s="6" t="s">
        <v>3232</v>
      </c>
      <c r="D2262" s="14" t="s">
        <v>2231</v>
      </c>
      <c r="E2262" s="19" t="s">
        <v>2270</v>
      </c>
      <c r="F2262" s="37"/>
      <c r="G2262" s="37"/>
      <c r="H2262" s="108"/>
      <c r="I2262" s="108"/>
      <c r="J2262" s="108"/>
      <c r="K2262" s="29" t="s">
        <v>5</v>
      </c>
      <c r="L2262" s="139"/>
      <c r="M2262" s="33"/>
      <c r="N2262" s="33">
        <v>44832</v>
      </c>
      <c r="O2262" s="32">
        <v>4527</v>
      </c>
      <c r="P2262" s="6"/>
      <c r="Q2262" s="339"/>
      <c r="U2262" s="21"/>
      <c r="V2262" s="260">
        <v>120</v>
      </c>
    </row>
    <row r="2263" spans="2:22" s="7" customFormat="1" ht="18" customHeight="1">
      <c r="B2263" s="12" t="s">
        <v>300</v>
      </c>
      <c r="C2263" s="6" t="s">
        <v>3232</v>
      </c>
      <c r="D2263" s="14" t="s">
        <v>2231</v>
      </c>
      <c r="E2263" s="22">
        <v>5636</v>
      </c>
      <c r="F2263" s="37" t="s">
        <v>230</v>
      </c>
      <c r="G2263" s="839" t="s">
        <v>283</v>
      </c>
      <c r="H2263" s="108">
        <v>50</v>
      </c>
      <c r="I2263" s="109">
        <v>89</v>
      </c>
      <c r="J2263" s="8">
        <f>H2263*I2263</f>
        <v>4450</v>
      </c>
      <c r="K2263" s="39">
        <v>0.27</v>
      </c>
      <c r="L2263" s="39">
        <f>K2263*J2263</f>
        <v>1201.5</v>
      </c>
      <c r="M2263" s="117" t="s">
        <v>349</v>
      </c>
      <c r="N2263" s="33">
        <v>44832</v>
      </c>
      <c r="O2263" s="32">
        <v>4527</v>
      </c>
      <c r="P2263" s="391">
        <f>ROUNDUP(S2263/V2263/VLOOKUP(B2263,$C$2:$F$6,3,FALSE),2)</f>
        <v>0.13</v>
      </c>
      <c r="Q2263" s="322">
        <v>0.13</v>
      </c>
      <c r="R2263" s="322">
        <f>Q2263*J2263</f>
        <v>578.5</v>
      </c>
      <c r="S2263" s="752">
        <v>10.7</v>
      </c>
      <c r="T2263" s="7">
        <f>S2263*J2263</f>
        <v>47615</v>
      </c>
      <c r="U2263" s="876"/>
      <c r="V2263" s="260">
        <v>120</v>
      </c>
    </row>
    <row r="2264" spans="2:22" s="7" customFormat="1" ht="18" customHeight="1">
      <c r="B2264" s="12" t="s">
        <v>300</v>
      </c>
      <c r="C2264" s="6" t="s">
        <v>3232</v>
      </c>
      <c r="D2264" s="14" t="s">
        <v>2231</v>
      </c>
      <c r="E2264" s="22">
        <v>5636</v>
      </c>
      <c r="F2264" s="37" t="s">
        <v>230</v>
      </c>
      <c r="G2264" s="396" t="s">
        <v>3230</v>
      </c>
      <c r="H2264" s="108">
        <v>50</v>
      </c>
      <c r="I2264" s="109">
        <v>10</v>
      </c>
      <c r="J2264" s="8">
        <f>H2264*I2264</f>
        <v>500</v>
      </c>
      <c r="K2264" s="39">
        <v>0.27</v>
      </c>
      <c r="L2264" s="39">
        <f>K2264*J2264</f>
        <v>135</v>
      </c>
      <c r="M2264" s="117" t="s">
        <v>349</v>
      </c>
      <c r="N2264" s="33">
        <v>44832</v>
      </c>
      <c r="O2264" s="32">
        <v>4527</v>
      </c>
      <c r="P2264" s="391">
        <f>ROUNDUP(S2264/V2264/VLOOKUP(B2264,$C$2:$F$6,3,FALSE),2)</f>
        <v>0.18000000000000002</v>
      </c>
      <c r="Q2264" s="322">
        <v>0.18</v>
      </c>
      <c r="R2264" s="322">
        <f>Q2264*J2264</f>
        <v>90</v>
      </c>
      <c r="S2264" s="7">
        <v>14.6</v>
      </c>
      <c r="T2264" s="7">
        <f>S2264*J2264</f>
        <v>7300</v>
      </c>
      <c r="U2264" s="778"/>
      <c r="V2264" s="260">
        <v>120</v>
      </c>
    </row>
    <row r="2265" spans="2:22" s="7" customFormat="1" ht="18" customHeight="1">
      <c r="B2265" s="12" t="s">
        <v>300</v>
      </c>
      <c r="C2265" s="6" t="s">
        <v>3232</v>
      </c>
      <c r="D2265" s="14" t="s">
        <v>2231</v>
      </c>
      <c r="E2265" s="22">
        <v>5636</v>
      </c>
      <c r="F2265" s="37" t="s">
        <v>230</v>
      </c>
      <c r="G2265" s="396" t="s">
        <v>3233</v>
      </c>
      <c r="H2265" s="108">
        <v>50</v>
      </c>
      <c r="I2265" s="109">
        <v>20</v>
      </c>
      <c r="J2265" s="8">
        <f>H2265*I2265</f>
        <v>1000</v>
      </c>
      <c r="K2265" s="39">
        <v>0.27</v>
      </c>
      <c r="L2265" s="39">
        <f>K2265*J2265</f>
        <v>270</v>
      </c>
      <c r="M2265" s="117" t="s">
        <v>349</v>
      </c>
      <c r="N2265" s="33">
        <v>44832</v>
      </c>
      <c r="O2265" s="32">
        <v>4527</v>
      </c>
      <c r="P2265" s="391">
        <f>ROUNDUP(S2265/V2265/VLOOKUP(B2265,$C$2:$F$6,3,FALSE),2)</f>
        <v>0.18000000000000002</v>
      </c>
      <c r="Q2265" s="322">
        <v>0.18</v>
      </c>
      <c r="R2265" s="322">
        <f>Q2265*J2265</f>
        <v>180</v>
      </c>
      <c r="S2265" s="7">
        <v>14.6</v>
      </c>
      <c r="T2265" s="7">
        <f>S2265*J2265</f>
        <v>14600</v>
      </c>
      <c r="U2265" s="778"/>
      <c r="V2265" s="260">
        <v>120</v>
      </c>
    </row>
    <row r="2266" spans="2:22" s="7" customFormat="1" ht="18" customHeight="1">
      <c r="B2266" s="12"/>
      <c r="C2266" s="6" t="s">
        <v>3232</v>
      </c>
      <c r="D2266" s="14" t="s">
        <v>2231</v>
      </c>
      <c r="E2266" s="82"/>
      <c r="F2266" s="102"/>
      <c r="G2266" s="22" t="s">
        <v>316</v>
      </c>
      <c r="H2266" s="8"/>
      <c r="I2266" s="35"/>
      <c r="J2266" s="38">
        <v>2</v>
      </c>
      <c r="K2266" s="39">
        <v>12</v>
      </c>
      <c r="L2266" s="39">
        <f>K2266*J2266</f>
        <v>24</v>
      </c>
      <c r="M2266" s="91"/>
      <c r="N2266" s="33">
        <v>44832</v>
      </c>
      <c r="O2266" s="32">
        <v>4527</v>
      </c>
      <c r="P2266" s="6"/>
      <c r="Q2266" s="322">
        <v>24</v>
      </c>
      <c r="R2266" s="322">
        <v>24</v>
      </c>
      <c r="S2266" s="7">
        <v>1100</v>
      </c>
      <c r="T2266" s="7">
        <f>S2266*J2266</f>
        <v>2200</v>
      </c>
      <c r="U2266" s="21"/>
      <c r="V2266" s="260">
        <v>120</v>
      </c>
    </row>
    <row r="2267" spans="2:22" s="191" customFormat="1" ht="18" customHeight="1">
      <c r="B2267" s="190"/>
      <c r="C2267" s="179" t="s">
        <v>3232</v>
      </c>
      <c r="D2267" s="180" t="s">
        <v>2231</v>
      </c>
      <c r="E2267" s="181"/>
      <c r="F2267" s="622"/>
      <c r="G2267" s="182" t="s">
        <v>250</v>
      </c>
      <c r="H2267" s="184" t="s">
        <v>251</v>
      </c>
      <c r="I2267" s="185"/>
      <c r="J2267" s="183"/>
      <c r="K2267" s="192">
        <v>0</v>
      </c>
      <c r="L2267" s="188"/>
      <c r="M2267" s="187"/>
      <c r="N2267" s="187">
        <v>44832</v>
      </c>
      <c r="O2267" s="186">
        <v>4527</v>
      </c>
      <c r="P2267" s="179"/>
      <c r="Q2267" s="725">
        <v>0</v>
      </c>
      <c r="S2267" s="197">
        <v>0</v>
      </c>
      <c r="T2267" s="198">
        <v>0</v>
      </c>
      <c r="U2267" s="335"/>
      <c r="V2267" s="260">
        <v>120</v>
      </c>
    </row>
    <row r="2268" spans="2:22" s="7" customFormat="1" ht="18" customHeight="1">
      <c r="B2268" s="12"/>
      <c r="C2268" s="6" t="s">
        <v>3234</v>
      </c>
      <c r="D2268" s="14" t="s">
        <v>2211</v>
      </c>
      <c r="E2268" s="19" t="s">
        <v>1950</v>
      </c>
      <c r="F2268" s="37"/>
      <c r="G2268" s="37"/>
      <c r="H2268" s="108"/>
      <c r="I2268" s="108"/>
      <c r="J2268" s="108"/>
      <c r="K2268" s="29" t="s">
        <v>5</v>
      </c>
      <c r="L2268" s="139"/>
      <c r="M2268" s="33"/>
      <c r="N2268" s="33">
        <v>44816</v>
      </c>
      <c r="O2268" s="32">
        <v>4546</v>
      </c>
      <c r="P2268" s="6"/>
      <c r="Q2268" s="339"/>
      <c r="U2268" s="21"/>
      <c r="V2268" s="260">
        <v>120</v>
      </c>
    </row>
    <row r="2269" spans="2:22" s="7" customFormat="1" ht="17.25" customHeight="1">
      <c r="B2269" s="12" t="s">
        <v>300</v>
      </c>
      <c r="C2269" s="6" t="s">
        <v>3234</v>
      </c>
      <c r="D2269" s="14" t="s">
        <v>2211</v>
      </c>
      <c r="E2269" s="22">
        <v>3808</v>
      </c>
      <c r="F2269" s="37">
        <v>9</v>
      </c>
      <c r="G2269" s="812" t="s">
        <v>3235</v>
      </c>
      <c r="H2269" s="108">
        <v>50</v>
      </c>
      <c r="I2269" s="814">
        <v>4</v>
      </c>
      <c r="J2269" s="60">
        <f>H2269*I2269</f>
        <v>200</v>
      </c>
      <c r="K2269" s="39">
        <v>0.56999999999999995</v>
      </c>
      <c r="L2269" s="39">
        <f>K2269*J2269</f>
        <v>113.99999999999999</v>
      </c>
      <c r="M2269" s="117" t="s">
        <v>349</v>
      </c>
      <c r="N2269" s="33">
        <v>44816</v>
      </c>
      <c r="O2269" s="32">
        <v>4546</v>
      </c>
      <c r="P2269" s="391">
        <f>ROUNDUP(S2269/V2269/VLOOKUP(B2269,$C$2:$F$6,3,FALSE),2)</f>
        <v>0.24000000000000002</v>
      </c>
      <c r="Q2269" s="725">
        <v>0.24</v>
      </c>
      <c r="R2269" s="322">
        <f>Q2269*J2269</f>
        <v>48</v>
      </c>
      <c r="S2269" s="7">
        <v>20</v>
      </c>
      <c r="T2269" s="7">
        <f>S2269*J2269</f>
        <v>4000</v>
      </c>
      <c r="U2269" s="267"/>
      <c r="V2269" s="260">
        <v>120</v>
      </c>
    </row>
    <row r="2270" spans="2:22" s="7" customFormat="1" ht="17.25" customHeight="1">
      <c r="B2270" s="12" t="s">
        <v>300</v>
      </c>
      <c r="C2270" s="6" t="s">
        <v>3234</v>
      </c>
      <c r="D2270" s="14" t="s">
        <v>2211</v>
      </c>
      <c r="E2270" s="22">
        <v>3808</v>
      </c>
      <c r="F2270" s="37">
        <v>9</v>
      </c>
      <c r="G2270" s="812" t="s">
        <v>3236</v>
      </c>
      <c r="H2270" s="108">
        <v>50</v>
      </c>
      <c r="I2270" s="814">
        <v>4</v>
      </c>
      <c r="J2270" s="60">
        <f>H2270*I2270</f>
        <v>200</v>
      </c>
      <c r="K2270" s="39">
        <v>0.56999999999999995</v>
      </c>
      <c r="L2270" s="39">
        <f>K2270*J2270</f>
        <v>113.99999999999999</v>
      </c>
      <c r="M2270" s="117" t="s">
        <v>349</v>
      </c>
      <c r="N2270" s="33">
        <v>44816</v>
      </c>
      <c r="O2270" s="32">
        <v>4546</v>
      </c>
      <c r="P2270" s="391">
        <f>ROUNDUP(S2270/V2270/VLOOKUP(B2270,$C$2:$F$6,3,FALSE),2)</f>
        <v>0.24000000000000002</v>
      </c>
      <c r="Q2270" s="725">
        <v>0.24</v>
      </c>
      <c r="R2270" s="322">
        <f>Q2270*J2270</f>
        <v>48</v>
      </c>
      <c r="S2270" s="7">
        <v>20</v>
      </c>
      <c r="T2270" s="7">
        <f>S2270*J2270</f>
        <v>4000</v>
      </c>
      <c r="U2270" s="267"/>
      <c r="V2270" s="260">
        <v>120</v>
      </c>
    </row>
    <row r="2271" spans="2:22" s="7" customFormat="1" ht="15">
      <c r="B2271" s="12"/>
      <c r="C2271" s="6" t="s">
        <v>3234</v>
      </c>
      <c r="D2271" s="14" t="s">
        <v>2211</v>
      </c>
      <c r="E2271" s="22"/>
      <c r="F2271" s="102"/>
      <c r="G2271" s="22" t="s">
        <v>316</v>
      </c>
      <c r="H2271" s="8"/>
      <c r="I2271" s="35"/>
      <c r="J2271" s="38">
        <v>1</v>
      </c>
      <c r="K2271" s="39">
        <v>12</v>
      </c>
      <c r="L2271" s="39">
        <f>K2271*J2271</f>
        <v>12</v>
      </c>
      <c r="M2271" s="91"/>
      <c r="N2271" s="33">
        <v>44816</v>
      </c>
      <c r="O2271" s="32">
        <v>4546</v>
      </c>
      <c r="P2271" s="391" t="e">
        <f>ROUNDUP(S2271/V2271/VLOOKUP(B2271,$C$2:$F$6,3,FALSE),2)</f>
        <v>#N/A</v>
      </c>
      <c r="Q2271" s="322">
        <v>12</v>
      </c>
      <c r="R2271" s="322">
        <f>Q2271*J2271</f>
        <v>12</v>
      </c>
      <c r="S2271" s="7">
        <v>1000</v>
      </c>
      <c r="T2271" s="7">
        <f>S2271*J2271</f>
        <v>1000</v>
      </c>
      <c r="U2271" s="21"/>
      <c r="V2271" s="260">
        <v>120</v>
      </c>
    </row>
    <row r="2272" spans="2:22" s="191" customFormat="1" ht="18" customHeight="1">
      <c r="B2272" s="190"/>
      <c r="C2272" s="179" t="s">
        <v>3234</v>
      </c>
      <c r="D2272" s="180" t="s">
        <v>2211</v>
      </c>
      <c r="E2272" s="736"/>
      <c r="F2272" s="737"/>
      <c r="G2272" s="182" t="s">
        <v>1955</v>
      </c>
      <c r="H2272" s="222"/>
      <c r="I2272" s="222"/>
      <c r="J2272" s="222">
        <v>400</v>
      </c>
      <c r="K2272" s="192">
        <v>0.19</v>
      </c>
      <c r="L2272" s="192"/>
      <c r="M2272" s="331"/>
      <c r="N2272" s="187">
        <v>44816</v>
      </c>
      <c r="O2272" s="186">
        <v>4546</v>
      </c>
      <c r="P2272" s="327"/>
      <c r="Q2272" s="334">
        <v>76</v>
      </c>
      <c r="R2272" s="334">
        <v>76</v>
      </c>
      <c r="S2272" s="786">
        <v>2986</v>
      </c>
      <c r="T2272" s="786">
        <v>2986</v>
      </c>
      <c r="U2272" s="267"/>
      <c r="V2272" s="260">
        <v>120</v>
      </c>
    </row>
    <row r="2273" spans="2:22" customFormat="1" ht="18" customHeight="1">
      <c r="B2273" s="26"/>
      <c r="C2273" s="6" t="s">
        <v>3237</v>
      </c>
      <c r="D2273" s="14" t="s">
        <v>3238</v>
      </c>
      <c r="E2273" s="19" t="s">
        <v>59</v>
      </c>
      <c r="F2273" s="107"/>
      <c r="G2273" s="22"/>
      <c r="H2273" s="108"/>
      <c r="I2273" s="109"/>
      <c r="J2273" s="108"/>
      <c r="K2273" s="110" t="s">
        <v>5</v>
      </c>
      <c r="L2273" s="33"/>
      <c r="M2273" s="33"/>
      <c r="N2273" s="33">
        <v>44818</v>
      </c>
      <c r="O2273" s="32">
        <v>4563</v>
      </c>
      <c r="P2273" s="14"/>
      <c r="Q2273" s="254"/>
      <c r="R2273" s="1"/>
      <c r="S2273" s="261"/>
      <c r="T2273" s="92"/>
      <c r="U2273" s="264"/>
      <c r="V2273" s="260">
        <v>120</v>
      </c>
    </row>
    <row r="2274" spans="2:22" customFormat="1" ht="18" customHeight="1">
      <c r="B2274" s="12" t="s">
        <v>302</v>
      </c>
      <c r="C2274" s="6" t="s">
        <v>3237</v>
      </c>
      <c r="D2274" s="14" t="s">
        <v>3238</v>
      </c>
      <c r="E2274" s="22">
        <v>2440</v>
      </c>
      <c r="F2274" s="107">
        <v>140</v>
      </c>
      <c r="G2274" s="22" t="s">
        <v>3239</v>
      </c>
      <c r="H2274" s="60">
        <v>10</v>
      </c>
      <c r="I2274" s="61">
        <v>1</v>
      </c>
      <c r="J2274" s="60">
        <f>H2274*I2274</f>
        <v>10</v>
      </c>
      <c r="K2274" s="39">
        <v>3.89</v>
      </c>
      <c r="L2274" s="39">
        <f t="shared" ref="L2274:L2279" si="140">K2274*J2274</f>
        <v>38.9</v>
      </c>
      <c r="M2274" s="117" t="s">
        <v>323</v>
      </c>
      <c r="N2274" s="33">
        <v>44818</v>
      </c>
      <c r="O2274" s="32">
        <v>4563</v>
      </c>
      <c r="P2274" s="391">
        <f>ROUNDUP(S2274/V2274/VLOOKUP(B2274,$C$2:$F$6,3,FALSE),2)</f>
        <v>2.6599999999999997</v>
      </c>
      <c r="Q2274" s="254">
        <v>2.66</v>
      </c>
      <c r="R2274" s="323">
        <f>Q2274*J2274</f>
        <v>26.6</v>
      </c>
      <c r="S2274" s="273">
        <v>280</v>
      </c>
      <c r="T2274" s="287">
        <f t="shared" ref="T2274:T2279" si="141">S2274*J2274</f>
        <v>2800</v>
      </c>
      <c r="U2274" s="264"/>
      <c r="V2274" s="260">
        <v>120</v>
      </c>
    </row>
    <row r="2275" spans="2:22" s="7" customFormat="1" ht="18" customHeight="1">
      <c r="B2275" s="12"/>
      <c r="C2275" s="6" t="s">
        <v>3237</v>
      </c>
      <c r="D2275" s="14" t="s">
        <v>3238</v>
      </c>
      <c r="E2275" s="22"/>
      <c r="F2275" s="340"/>
      <c r="G2275" s="22" t="s">
        <v>236</v>
      </c>
      <c r="H2275" s="8"/>
      <c r="I2275" s="109" ph="1"/>
      <c r="J2275" s="38">
        <v>1</v>
      </c>
      <c r="K2275" s="39">
        <v>15</v>
      </c>
      <c r="L2275" s="39">
        <f t="shared" si="140"/>
        <v>15</v>
      </c>
      <c r="M2275" s="91"/>
      <c r="N2275" s="33">
        <v>44818</v>
      </c>
      <c r="O2275" s="32">
        <v>4563</v>
      </c>
      <c r="P2275" s="6"/>
      <c r="Q2275" s="322">
        <v>12</v>
      </c>
      <c r="R2275" s="322">
        <v>12</v>
      </c>
      <c r="S2275" s="7">
        <v>1000</v>
      </c>
      <c r="T2275" s="287">
        <f t="shared" si="141"/>
        <v>1000</v>
      </c>
      <c r="U2275" s="21"/>
      <c r="V2275" s="260">
        <v>120</v>
      </c>
    </row>
    <row r="2276" spans="2:22" customFormat="1" ht="18" customHeight="1">
      <c r="B2276" s="12" t="s">
        <v>302</v>
      </c>
      <c r="C2276" s="6" t="s">
        <v>3240</v>
      </c>
      <c r="D2276" s="14" t="s">
        <v>3238</v>
      </c>
      <c r="E2276" s="22">
        <v>2440</v>
      </c>
      <c r="F2276" s="107">
        <v>140</v>
      </c>
      <c r="G2276" s="22" t="s">
        <v>3241</v>
      </c>
      <c r="H2276" s="60">
        <v>10</v>
      </c>
      <c r="I2276" s="61">
        <v>1</v>
      </c>
      <c r="J2276" s="60">
        <f>H2276*I2276</f>
        <v>10</v>
      </c>
      <c r="K2276" s="39">
        <v>3.89</v>
      </c>
      <c r="L2276" s="39">
        <f t="shared" si="140"/>
        <v>38.9</v>
      </c>
      <c r="M2276" s="117" t="s">
        <v>323</v>
      </c>
      <c r="N2276" s="33">
        <v>44818</v>
      </c>
      <c r="O2276" s="32">
        <v>4563</v>
      </c>
      <c r="P2276" s="391">
        <f>ROUNDUP(S2276/V2276/VLOOKUP(B2276,$C$2:$F$6,3,FALSE),2)</f>
        <v>2.6599999999999997</v>
      </c>
      <c r="Q2276" s="254">
        <v>2.66</v>
      </c>
      <c r="R2276" s="323">
        <f>Q2276*J2276</f>
        <v>26.6</v>
      </c>
      <c r="S2276" s="273">
        <v>280</v>
      </c>
      <c r="T2276" s="287">
        <f t="shared" si="141"/>
        <v>2800</v>
      </c>
      <c r="U2276" s="264"/>
      <c r="V2276" s="260">
        <v>120</v>
      </c>
    </row>
    <row r="2277" spans="2:22" customFormat="1" ht="18" customHeight="1">
      <c r="B2277" s="12" t="s">
        <v>302</v>
      </c>
      <c r="C2277" s="6" t="s">
        <v>3240</v>
      </c>
      <c r="D2277" s="14" t="s">
        <v>3238</v>
      </c>
      <c r="E2277" s="22">
        <v>2440</v>
      </c>
      <c r="F2277" s="107">
        <v>140</v>
      </c>
      <c r="G2277" s="22" t="s">
        <v>3242</v>
      </c>
      <c r="H2277" s="60">
        <v>10</v>
      </c>
      <c r="I2277" s="61">
        <v>1</v>
      </c>
      <c r="J2277" s="60">
        <f>H2277*I2277</f>
        <v>10</v>
      </c>
      <c r="K2277" s="39">
        <v>3.89</v>
      </c>
      <c r="L2277" s="39">
        <f t="shared" si="140"/>
        <v>38.9</v>
      </c>
      <c r="M2277" s="117" t="s">
        <v>323</v>
      </c>
      <c r="N2277" s="33">
        <v>44818</v>
      </c>
      <c r="O2277" s="32">
        <v>4563</v>
      </c>
      <c r="P2277" s="391">
        <f>ROUNDUP(S2277/V2277/VLOOKUP(B2277,$C$2:$F$6,3,FALSE),2)</f>
        <v>2.6599999999999997</v>
      </c>
      <c r="Q2277" s="254">
        <v>2.66</v>
      </c>
      <c r="R2277" s="323">
        <f>Q2277*J2277</f>
        <v>26.6</v>
      </c>
      <c r="S2277" s="273">
        <v>280</v>
      </c>
      <c r="T2277" s="287">
        <f t="shared" si="141"/>
        <v>2800</v>
      </c>
      <c r="U2277" s="264"/>
      <c r="V2277" s="260">
        <v>120</v>
      </c>
    </row>
    <row r="2278" spans="2:22" s="7" customFormat="1" ht="18" customHeight="1">
      <c r="B2278" s="12"/>
      <c r="C2278" s="6" t="s">
        <v>3240</v>
      </c>
      <c r="D2278" s="14" t="s">
        <v>3238</v>
      </c>
      <c r="E2278" s="22"/>
      <c r="F2278" s="340"/>
      <c r="G2278" s="22" t="s">
        <v>236</v>
      </c>
      <c r="H2278" s="8"/>
      <c r="I2278" s="109" ph="1"/>
      <c r="J2278" s="38">
        <v>2</v>
      </c>
      <c r="K2278" s="39">
        <v>15</v>
      </c>
      <c r="L2278" s="39">
        <f t="shared" si="140"/>
        <v>30</v>
      </c>
      <c r="M2278" s="91"/>
      <c r="N2278" s="33">
        <v>44818</v>
      </c>
      <c r="O2278" s="32">
        <v>4563</v>
      </c>
      <c r="P2278" s="6"/>
      <c r="Q2278" s="322">
        <v>24</v>
      </c>
      <c r="R2278" s="322">
        <v>24</v>
      </c>
      <c r="S2278" s="7">
        <v>1000</v>
      </c>
      <c r="T2278" s="287">
        <f t="shared" si="141"/>
        <v>2000</v>
      </c>
      <c r="U2278" s="21"/>
      <c r="V2278" s="260">
        <v>120</v>
      </c>
    </row>
    <row r="2279" spans="2:22" s="7" customFormat="1" ht="18" customHeight="1">
      <c r="B2279" s="12"/>
      <c r="C2279" s="6" t="s">
        <v>3243</v>
      </c>
      <c r="D2279" s="14" t="s">
        <v>3238</v>
      </c>
      <c r="E2279" s="22"/>
      <c r="F2279" s="340"/>
      <c r="G2279" s="22" t="s">
        <v>316</v>
      </c>
      <c r="H2279" s="8"/>
      <c r="I2279" s="109" ph="1"/>
      <c r="J2279" s="38">
        <v>1</v>
      </c>
      <c r="K2279" s="39">
        <v>20</v>
      </c>
      <c r="L2279" s="39">
        <f t="shared" si="140"/>
        <v>20</v>
      </c>
      <c r="M2279" s="91"/>
      <c r="N2279" s="33">
        <v>44818</v>
      </c>
      <c r="O2279" s="32">
        <v>4563</v>
      </c>
      <c r="P2279" s="6"/>
      <c r="Q2279" s="322">
        <v>20</v>
      </c>
      <c r="R2279" s="322">
        <v>20</v>
      </c>
      <c r="S2279" s="7">
        <v>1000</v>
      </c>
      <c r="T2279" s="287">
        <f t="shared" si="141"/>
        <v>1000</v>
      </c>
      <c r="U2279" s="21"/>
      <c r="V2279" s="260">
        <v>120</v>
      </c>
    </row>
    <row r="2280" spans="2:22" s="191" customFormat="1" ht="18" customHeight="1">
      <c r="B2280" s="190"/>
      <c r="C2280" s="179" t="s">
        <v>3243</v>
      </c>
      <c r="D2280" s="180" t="s">
        <v>3238</v>
      </c>
      <c r="E2280" s="181"/>
      <c r="F2280" s="182"/>
      <c r="G2280" s="182" t="s">
        <v>250</v>
      </c>
      <c r="H2280" s="184" t="s">
        <v>251</v>
      </c>
      <c r="I2280" s="185"/>
      <c r="J2280" s="183"/>
      <c r="K2280" s="192">
        <v>0</v>
      </c>
      <c r="L2280" s="188"/>
      <c r="M2280" s="187"/>
      <c r="N2280" s="187">
        <v>44818</v>
      </c>
      <c r="O2280" s="186">
        <v>4563</v>
      </c>
      <c r="P2280" s="179"/>
      <c r="Q2280" s="725">
        <v>0</v>
      </c>
      <c r="S2280" s="197">
        <v>0</v>
      </c>
      <c r="T2280" s="198">
        <v>0</v>
      </c>
      <c r="U2280" s="335"/>
      <c r="V2280" s="260">
        <v>120</v>
      </c>
    </row>
    <row r="2281" spans="2:22" s="7" customFormat="1" ht="15">
      <c r="B2281" s="12"/>
      <c r="C2281" s="6" t="s">
        <v>3244</v>
      </c>
      <c r="D2281" s="14" t="s">
        <v>3150</v>
      </c>
      <c r="E2281" s="19" t="s">
        <v>2244</v>
      </c>
      <c r="F2281" s="24"/>
      <c r="G2281" s="22"/>
      <c r="H2281" s="60"/>
      <c r="I2281" s="61"/>
      <c r="J2281" s="8"/>
      <c r="K2281" s="110" t="s">
        <v>5</v>
      </c>
      <c r="L2281" s="139"/>
      <c r="M2281" s="33"/>
      <c r="N2281" s="33">
        <v>44824</v>
      </c>
      <c r="O2281" s="32">
        <v>4577</v>
      </c>
      <c r="P2281" s="6" t="s">
        <v>8</v>
      </c>
      <c r="Q2281" s="358"/>
      <c r="U2281" s="120"/>
      <c r="V2281" s="260">
        <v>120</v>
      </c>
    </row>
    <row r="2282" spans="2:22" s="7" customFormat="1" ht="18" customHeight="1">
      <c r="B2282" s="12" t="s">
        <v>300</v>
      </c>
      <c r="C2282" s="6" t="s">
        <v>3244</v>
      </c>
      <c r="D2282" s="14" t="s">
        <v>3150</v>
      </c>
      <c r="E2282" s="22">
        <v>11700</v>
      </c>
      <c r="F2282" s="37">
        <v>3</v>
      </c>
      <c r="G2282" s="22" t="s">
        <v>118</v>
      </c>
      <c r="H2282" s="8">
        <v>40</v>
      </c>
      <c r="I2282" s="35">
        <v>1</v>
      </c>
      <c r="J2282" s="108">
        <f t="shared" ref="J2282:J2291" si="142">H2282*I2282</f>
        <v>40</v>
      </c>
      <c r="K2282" s="958">
        <v>1.29</v>
      </c>
      <c r="L2282" s="39">
        <f t="shared" ref="L2282:L2291" si="143">K2282*J2282</f>
        <v>51.6</v>
      </c>
      <c r="M2282" s="117" t="s">
        <v>349</v>
      </c>
      <c r="N2282" s="33">
        <v>44824</v>
      </c>
      <c r="O2282" s="32">
        <v>4577</v>
      </c>
      <c r="P2282" s="391">
        <f t="shared" ref="P2282:P2291" si="144">ROUNDUP(S2282/V2282/VLOOKUP(B2282,$C$2:$F$6,3,FALSE),2)</f>
        <v>0.83</v>
      </c>
      <c r="Q2282" s="322">
        <v>0.83</v>
      </c>
      <c r="R2282" s="322">
        <f t="shared" ref="R2282:R2291" si="145">Q2282*J2282</f>
        <v>33.199999999999996</v>
      </c>
      <c r="S2282" s="7">
        <v>69.25</v>
      </c>
      <c r="T2282" s="7">
        <f t="shared" ref="T2282:T2293" si="146">S2282*J2282</f>
        <v>2770</v>
      </c>
      <c r="U2282" s="39"/>
      <c r="V2282" s="260">
        <v>120</v>
      </c>
    </row>
    <row r="2283" spans="2:22" s="7" customFormat="1" ht="18" customHeight="1">
      <c r="B2283" s="12" t="s">
        <v>300</v>
      </c>
      <c r="C2283" s="6" t="s">
        <v>3244</v>
      </c>
      <c r="D2283" s="14" t="s">
        <v>3150</v>
      </c>
      <c r="E2283" s="22">
        <v>11700</v>
      </c>
      <c r="F2283" s="37">
        <v>6</v>
      </c>
      <c r="G2283" s="22" t="s">
        <v>118</v>
      </c>
      <c r="H2283" s="8">
        <v>10</v>
      </c>
      <c r="I2283" s="35">
        <v>1</v>
      </c>
      <c r="J2283" s="108">
        <f t="shared" si="142"/>
        <v>10</v>
      </c>
      <c r="K2283" s="958">
        <v>1.35</v>
      </c>
      <c r="L2283" s="39">
        <f t="shared" si="143"/>
        <v>13.5</v>
      </c>
      <c r="M2283" s="117" t="s">
        <v>349</v>
      </c>
      <c r="N2283" s="33">
        <v>44824</v>
      </c>
      <c r="O2283" s="32">
        <v>4577</v>
      </c>
      <c r="P2283" s="391">
        <f t="shared" si="144"/>
        <v>0.87</v>
      </c>
      <c r="Q2283" s="322">
        <v>0.87</v>
      </c>
      <c r="R2283" s="322">
        <f t="shared" si="145"/>
        <v>8.6999999999999993</v>
      </c>
      <c r="S2283" s="7">
        <v>72.599999999999994</v>
      </c>
      <c r="T2283" s="7">
        <f t="shared" si="146"/>
        <v>726</v>
      </c>
      <c r="U2283" s="39"/>
      <c r="V2283" s="260">
        <v>120</v>
      </c>
    </row>
    <row r="2284" spans="2:22" s="7" customFormat="1" ht="18" customHeight="1">
      <c r="B2284" s="12" t="s">
        <v>300</v>
      </c>
      <c r="C2284" s="6" t="s">
        <v>3244</v>
      </c>
      <c r="D2284" s="14" t="s">
        <v>3150</v>
      </c>
      <c r="E2284" s="22">
        <v>11700</v>
      </c>
      <c r="F2284" s="37">
        <v>9</v>
      </c>
      <c r="G2284" s="22" t="s">
        <v>118</v>
      </c>
      <c r="H2284" s="8">
        <v>10</v>
      </c>
      <c r="I2284" s="35">
        <v>1</v>
      </c>
      <c r="J2284" s="108">
        <f t="shared" si="142"/>
        <v>10</v>
      </c>
      <c r="K2284" s="958">
        <v>1.49</v>
      </c>
      <c r="L2284" s="39">
        <f t="shared" si="143"/>
        <v>14.9</v>
      </c>
      <c r="M2284" s="117" t="s">
        <v>349</v>
      </c>
      <c r="N2284" s="33">
        <v>44824</v>
      </c>
      <c r="O2284" s="32">
        <v>4577</v>
      </c>
      <c r="P2284" s="391">
        <f t="shared" si="144"/>
        <v>0.96</v>
      </c>
      <c r="Q2284" s="322">
        <v>0.96</v>
      </c>
      <c r="R2284" s="322">
        <f t="shared" si="145"/>
        <v>9.6</v>
      </c>
      <c r="S2284" s="7">
        <v>80.3</v>
      </c>
      <c r="T2284" s="7">
        <f t="shared" si="146"/>
        <v>803</v>
      </c>
      <c r="U2284" s="39"/>
      <c r="V2284" s="260">
        <v>120</v>
      </c>
    </row>
    <row r="2285" spans="2:22" s="7" customFormat="1" ht="18" customHeight="1">
      <c r="B2285" s="12" t="s">
        <v>300</v>
      </c>
      <c r="C2285" s="6" t="s">
        <v>3244</v>
      </c>
      <c r="D2285" s="14" t="s">
        <v>3150</v>
      </c>
      <c r="E2285" s="22">
        <v>11700</v>
      </c>
      <c r="F2285" s="37">
        <v>12</v>
      </c>
      <c r="G2285" s="22" t="s">
        <v>118</v>
      </c>
      <c r="H2285" s="8">
        <v>10</v>
      </c>
      <c r="I2285" s="35">
        <v>1</v>
      </c>
      <c r="J2285" s="108">
        <f t="shared" si="142"/>
        <v>10</v>
      </c>
      <c r="K2285" s="958">
        <v>1.61</v>
      </c>
      <c r="L2285" s="39">
        <f t="shared" si="143"/>
        <v>16.100000000000001</v>
      </c>
      <c r="M2285" s="117" t="s">
        <v>349</v>
      </c>
      <c r="N2285" s="33">
        <v>44824</v>
      </c>
      <c r="O2285" s="32">
        <v>4577</v>
      </c>
      <c r="P2285" s="391">
        <f t="shared" si="144"/>
        <v>1.04</v>
      </c>
      <c r="Q2285" s="322">
        <v>1.04</v>
      </c>
      <c r="R2285" s="322">
        <f t="shared" si="145"/>
        <v>10.4</v>
      </c>
      <c r="S2285" s="7">
        <v>86.8</v>
      </c>
      <c r="T2285" s="7">
        <f t="shared" si="146"/>
        <v>868</v>
      </c>
      <c r="U2285" s="39"/>
      <c r="V2285" s="260">
        <v>120</v>
      </c>
    </row>
    <row r="2286" spans="2:22" s="7" customFormat="1" ht="18" customHeight="1">
      <c r="B2286" s="12" t="s">
        <v>300</v>
      </c>
      <c r="C2286" s="6" t="s">
        <v>3244</v>
      </c>
      <c r="D2286" s="14" t="s">
        <v>3150</v>
      </c>
      <c r="E2286" s="22">
        <v>11700</v>
      </c>
      <c r="F2286" s="37">
        <v>18</v>
      </c>
      <c r="G2286" s="22" t="s">
        <v>118</v>
      </c>
      <c r="H2286" s="8">
        <v>10</v>
      </c>
      <c r="I2286" s="35">
        <v>3</v>
      </c>
      <c r="J2286" s="108">
        <f t="shared" si="142"/>
        <v>30</v>
      </c>
      <c r="K2286" s="958">
        <v>2.09</v>
      </c>
      <c r="L2286" s="39">
        <f t="shared" si="143"/>
        <v>62.699999999999996</v>
      </c>
      <c r="M2286" s="117" t="s">
        <v>349</v>
      </c>
      <c r="N2286" s="33">
        <v>44824</v>
      </c>
      <c r="O2286" s="32">
        <v>4577</v>
      </c>
      <c r="P2286" s="391">
        <f t="shared" si="144"/>
        <v>1.34</v>
      </c>
      <c r="Q2286" s="322">
        <v>1.34</v>
      </c>
      <c r="R2286" s="322">
        <f t="shared" si="145"/>
        <v>40.200000000000003</v>
      </c>
      <c r="S2286" s="7">
        <v>112.4</v>
      </c>
      <c r="T2286" s="7">
        <f t="shared" si="146"/>
        <v>3372</v>
      </c>
      <c r="U2286" s="39"/>
      <c r="V2286" s="260">
        <v>120</v>
      </c>
    </row>
    <row r="2287" spans="2:22" s="7" customFormat="1" ht="18" customHeight="1">
      <c r="B2287" s="12" t="s">
        <v>300</v>
      </c>
      <c r="C2287" s="6" t="s">
        <v>3244</v>
      </c>
      <c r="D2287" s="14" t="s">
        <v>3150</v>
      </c>
      <c r="E2287" s="22">
        <v>11700</v>
      </c>
      <c r="F2287" s="37">
        <v>24</v>
      </c>
      <c r="G2287" s="22" t="s">
        <v>118</v>
      </c>
      <c r="H2287" s="8">
        <v>10</v>
      </c>
      <c r="I2287" s="35">
        <v>1</v>
      </c>
      <c r="J2287" s="108">
        <f t="shared" si="142"/>
        <v>10</v>
      </c>
      <c r="K2287" s="958">
        <v>2.59</v>
      </c>
      <c r="L2287" s="39">
        <f t="shared" si="143"/>
        <v>25.9</v>
      </c>
      <c r="M2287" s="117" t="s">
        <v>349</v>
      </c>
      <c r="N2287" s="33">
        <v>44824</v>
      </c>
      <c r="O2287" s="32">
        <v>4577</v>
      </c>
      <c r="P2287" s="391">
        <f t="shared" si="144"/>
        <v>1.66</v>
      </c>
      <c r="Q2287" s="322">
        <v>1.66</v>
      </c>
      <c r="R2287" s="322">
        <f t="shared" si="145"/>
        <v>16.599999999999998</v>
      </c>
      <c r="S2287" s="7">
        <v>139.4</v>
      </c>
      <c r="T2287" s="7">
        <f t="shared" si="146"/>
        <v>1394</v>
      </c>
      <c r="U2287" s="39"/>
      <c r="V2287" s="260">
        <v>120</v>
      </c>
    </row>
    <row r="2288" spans="2:22" s="7" customFormat="1" ht="18" customHeight="1">
      <c r="B2288" s="12" t="s">
        <v>300</v>
      </c>
      <c r="C2288" s="6" t="s">
        <v>3244</v>
      </c>
      <c r="D2288" s="14" t="s">
        <v>3150</v>
      </c>
      <c r="E2288" s="22">
        <v>11700</v>
      </c>
      <c r="F2288" s="37">
        <v>36</v>
      </c>
      <c r="G2288" s="22" t="s">
        <v>118</v>
      </c>
      <c r="H2288" s="8">
        <v>10</v>
      </c>
      <c r="I2288" s="35">
        <v>1</v>
      </c>
      <c r="J2288" s="108">
        <f t="shared" si="142"/>
        <v>10</v>
      </c>
      <c r="K2288" s="958">
        <v>4.3</v>
      </c>
      <c r="L2288" s="39">
        <f t="shared" si="143"/>
        <v>43</v>
      </c>
      <c r="M2288" s="117" t="s">
        <v>349</v>
      </c>
      <c r="N2288" s="33">
        <v>44824</v>
      </c>
      <c r="O2288" s="32">
        <v>4577</v>
      </c>
      <c r="P2288" s="391">
        <f t="shared" si="144"/>
        <v>2.7699999999999996</v>
      </c>
      <c r="Q2288" s="322">
        <v>2.77</v>
      </c>
      <c r="R2288" s="322">
        <f t="shared" si="145"/>
        <v>27.7</v>
      </c>
      <c r="S2288" s="7">
        <v>231.9</v>
      </c>
      <c r="T2288" s="7">
        <f t="shared" si="146"/>
        <v>2319</v>
      </c>
      <c r="U2288" s="39"/>
      <c r="V2288" s="260">
        <v>120</v>
      </c>
    </row>
    <row r="2289" spans="2:22" s="7" customFormat="1" ht="18" customHeight="1">
      <c r="B2289" s="12" t="s">
        <v>300</v>
      </c>
      <c r="C2289" s="6" t="s">
        <v>3244</v>
      </c>
      <c r="D2289" s="14" t="s">
        <v>3150</v>
      </c>
      <c r="E2289" s="22">
        <v>11700</v>
      </c>
      <c r="F2289" s="37">
        <v>48</v>
      </c>
      <c r="G2289" s="22" t="s">
        <v>118</v>
      </c>
      <c r="H2289" s="8">
        <v>10</v>
      </c>
      <c r="I2289" s="35">
        <v>1</v>
      </c>
      <c r="J2289" s="108">
        <f t="shared" si="142"/>
        <v>10</v>
      </c>
      <c r="K2289" s="958">
        <v>6.33</v>
      </c>
      <c r="L2289" s="39">
        <f t="shared" si="143"/>
        <v>63.3</v>
      </c>
      <c r="M2289" s="117" t="s">
        <v>349</v>
      </c>
      <c r="N2289" s="33">
        <v>44824</v>
      </c>
      <c r="O2289" s="32">
        <v>4577</v>
      </c>
      <c r="P2289" s="391">
        <f t="shared" si="144"/>
        <v>4.0699999999999994</v>
      </c>
      <c r="Q2289" s="322">
        <v>4.07</v>
      </c>
      <c r="R2289" s="322">
        <f t="shared" si="145"/>
        <v>40.700000000000003</v>
      </c>
      <c r="S2289" s="7">
        <v>341.8</v>
      </c>
      <c r="T2289" s="7">
        <f t="shared" si="146"/>
        <v>3418</v>
      </c>
      <c r="U2289" s="39"/>
      <c r="V2289" s="260">
        <v>120</v>
      </c>
    </row>
    <row r="2290" spans="2:22" s="7" customFormat="1" ht="18" customHeight="1">
      <c r="B2290" s="12" t="s">
        <v>300</v>
      </c>
      <c r="C2290" s="6" t="s">
        <v>3245</v>
      </c>
      <c r="D2290" s="14" t="s">
        <v>3150</v>
      </c>
      <c r="E2290" s="22">
        <v>11700</v>
      </c>
      <c r="F2290" s="37">
        <v>18</v>
      </c>
      <c r="G2290" s="22" t="s">
        <v>184</v>
      </c>
      <c r="H2290" s="8">
        <v>10</v>
      </c>
      <c r="I2290" s="35">
        <v>5</v>
      </c>
      <c r="J2290" s="108">
        <f t="shared" si="142"/>
        <v>50</v>
      </c>
      <c r="K2290" s="958">
        <v>2.09</v>
      </c>
      <c r="L2290" s="39">
        <f t="shared" si="143"/>
        <v>104.5</v>
      </c>
      <c r="M2290" s="117" t="s">
        <v>349</v>
      </c>
      <c r="N2290" s="33">
        <v>44833</v>
      </c>
      <c r="O2290" s="32">
        <v>4608</v>
      </c>
      <c r="P2290" s="391">
        <f t="shared" si="144"/>
        <v>1.34</v>
      </c>
      <c r="Q2290" s="322">
        <v>1.34</v>
      </c>
      <c r="R2290" s="322">
        <f t="shared" si="145"/>
        <v>67</v>
      </c>
      <c r="S2290" s="7">
        <v>112.4</v>
      </c>
      <c r="T2290" s="7">
        <f t="shared" si="146"/>
        <v>5620</v>
      </c>
      <c r="U2290" s="39"/>
      <c r="V2290" s="260">
        <v>120</v>
      </c>
    </row>
    <row r="2291" spans="2:22" s="7" customFormat="1" ht="18" customHeight="1">
      <c r="B2291" s="12" t="s">
        <v>300</v>
      </c>
      <c r="C2291" s="6" t="s">
        <v>3245</v>
      </c>
      <c r="D2291" s="14" t="s">
        <v>3150</v>
      </c>
      <c r="E2291" s="22">
        <v>11700</v>
      </c>
      <c r="F2291" s="37">
        <v>18</v>
      </c>
      <c r="G2291" s="22" t="s">
        <v>277</v>
      </c>
      <c r="H2291" s="8">
        <v>10</v>
      </c>
      <c r="I2291" s="35">
        <v>5</v>
      </c>
      <c r="J2291" s="108">
        <f t="shared" si="142"/>
        <v>50</v>
      </c>
      <c r="K2291" s="958">
        <v>2.09</v>
      </c>
      <c r="L2291" s="39">
        <f t="shared" si="143"/>
        <v>104.5</v>
      </c>
      <c r="M2291" s="117" t="s">
        <v>349</v>
      </c>
      <c r="N2291" s="33">
        <v>44824</v>
      </c>
      <c r="O2291" s="32">
        <v>4577</v>
      </c>
      <c r="P2291" s="391">
        <f t="shared" si="144"/>
        <v>1.34</v>
      </c>
      <c r="Q2291" s="322">
        <v>1.34</v>
      </c>
      <c r="R2291" s="322">
        <f t="shared" si="145"/>
        <v>67</v>
      </c>
      <c r="S2291" s="7">
        <v>112.4</v>
      </c>
      <c r="T2291" s="7">
        <f t="shared" si="146"/>
        <v>5620</v>
      </c>
      <c r="U2291" s="39"/>
      <c r="V2291" s="260">
        <v>120</v>
      </c>
    </row>
    <row r="2292" spans="2:22" s="7" customFormat="1" ht="18" customHeight="1">
      <c r="B2292" s="12"/>
      <c r="C2292" s="6" t="s">
        <v>3245</v>
      </c>
      <c r="D2292" s="14" t="s">
        <v>3150</v>
      </c>
      <c r="E2292" s="17" t="s">
        <v>1976</v>
      </c>
      <c r="F2292" s="37"/>
      <c r="G2292" s="37"/>
      <c r="H2292" s="108"/>
      <c r="I2292" s="108"/>
      <c r="J2292" s="108"/>
      <c r="K2292" s="110" t="s">
        <v>5</v>
      </c>
      <c r="L2292" s="139"/>
      <c r="M2292" s="33"/>
      <c r="N2292" s="33">
        <v>44824</v>
      </c>
      <c r="O2292" s="32">
        <v>4577</v>
      </c>
      <c r="P2292" s="6"/>
      <c r="Q2292" s="339"/>
      <c r="U2292" s="21"/>
      <c r="V2292" s="260">
        <v>120</v>
      </c>
    </row>
    <row r="2293" spans="2:22" s="7" customFormat="1" ht="18" customHeight="1">
      <c r="B2293" s="12" t="s">
        <v>300</v>
      </c>
      <c r="C2293" s="6" t="s">
        <v>3245</v>
      </c>
      <c r="D2293" s="14" t="s">
        <v>3150</v>
      </c>
      <c r="E2293" s="22">
        <v>12701</v>
      </c>
      <c r="F2293" s="24">
        <v>19</v>
      </c>
      <c r="G2293" s="22" t="s">
        <v>3246</v>
      </c>
      <c r="H2293" s="108">
        <v>10</v>
      </c>
      <c r="I2293" s="109">
        <v>2</v>
      </c>
      <c r="J2293" s="8">
        <f>H2293*I2293</f>
        <v>20</v>
      </c>
      <c r="K2293" s="39">
        <v>1.25</v>
      </c>
      <c r="L2293" s="39">
        <f>K2293*J2293</f>
        <v>25</v>
      </c>
      <c r="M2293" s="117" t="s">
        <v>349</v>
      </c>
      <c r="N2293" s="33">
        <v>44824</v>
      </c>
      <c r="O2293" s="32">
        <v>4577</v>
      </c>
      <c r="P2293" s="391">
        <f>ROUNDUP(S2293/V2293/VLOOKUP(B2293,$C$2:$F$6,3,FALSE),2)</f>
        <v>0.73</v>
      </c>
      <c r="Q2293" s="322">
        <v>0.73</v>
      </c>
      <c r="R2293" s="322">
        <f>Q2293*J2293</f>
        <v>14.6</v>
      </c>
      <c r="S2293" s="92">
        <v>60.5</v>
      </c>
      <c r="T2293" s="7">
        <f t="shared" si="146"/>
        <v>1210</v>
      </c>
      <c r="U2293" s="959" t="s">
        <v>3247</v>
      </c>
      <c r="V2293" s="260">
        <v>120</v>
      </c>
    </row>
    <row r="2294" spans="2:22" customFormat="1" ht="15.95" customHeight="1">
      <c r="B2294" s="12" t="s">
        <v>306</v>
      </c>
      <c r="C2294" s="6" t="s">
        <v>3248</v>
      </c>
      <c r="D2294" s="14" t="s">
        <v>3150</v>
      </c>
      <c r="E2294" s="22"/>
      <c r="F2294" s="102"/>
      <c r="G2294" s="37" t="s">
        <v>316</v>
      </c>
      <c r="H2294" s="8"/>
      <c r="I2294" s="35"/>
      <c r="J2294" s="38">
        <v>1</v>
      </c>
      <c r="K2294" s="39">
        <v>15</v>
      </c>
      <c r="L2294" s="39">
        <f>K2294*J2294</f>
        <v>15</v>
      </c>
      <c r="M2294" s="91"/>
      <c r="N2294" s="33">
        <v>44824</v>
      </c>
      <c r="O2294" s="32">
        <v>4577</v>
      </c>
      <c r="P2294" s="39"/>
      <c r="Q2294" s="322">
        <v>12</v>
      </c>
      <c r="R2294" s="323">
        <v>12</v>
      </c>
      <c r="S2294" s="7">
        <v>0</v>
      </c>
      <c r="T2294" s="7">
        <f>S2294*J2294</f>
        <v>0</v>
      </c>
      <c r="U2294" s="270"/>
      <c r="V2294" s="260">
        <v>120</v>
      </c>
    </row>
    <row r="2295" spans="2:22" s="191" customFormat="1" ht="15">
      <c r="B2295" s="190"/>
      <c r="C2295" s="179" t="s">
        <v>3248</v>
      </c>
      <c r="D2295" s="180" t="s">
        <v>3150</v>
      </c>
      <c r="E2295" s="181"/>
      <c r="F2295" s="182"/>
      <c r="G2295" s="182" t="s">
        <v>250</v>
      </c>
      <c r="H2295" s="184" t="s">
        <v>251</v>
      </c>
      <c r="I2295" s="185"/>
      <c r="J2295" s="183"/>
      <c r="K2295" s="192">
        <v>0</v>
      </c>
      <c r="L2295" s="187"/>
      <c r="M2295" s="187"/>
      <c r="N2295" s="187">
        <v>44824</v>
      </c>
      <c r="O2295" s="186">
        <v>4577</v>
      </c>
      <c r="P2295" s="179"/>
      <c r="Q2295" s="255">
        <v>0</v>
      </c>
      <c r="S2295" s="275">
        <v>0</v>
      </c>
      <c r="T2295" s="198">
        <v>0</v>
      </c>
      <c r="U2295" s="271"/>
      <c r="V2295" s="260">
        <v>120</v>
      </c>
    </row>
    <row r="2296" spans="2:22" s="7" customFormat="1" ht="18" customHeight="1">
      <c r="B2296" s="12"/>
      <c r="C2296" s="6" t="s">
        <v>3249</v>
      </c>
      <c r="D2296" s="14" t="s">
        <v>2116</v>
      </c>
      <c r="E2296" s="19" t="s">
        <v>3250</v>
      </c>
      <c r="F2296" s="107"/>
      <c r="G2296" s="22"/>
      <c r="H2296" s="108"/>
      <c r="I2296" s="109"/>
      <c r="J2296" s="108"/>
      <c r="K2296" s="29" t="s">
        <v>5</v>
      </c>
      <c r="L2296" s="144"/>
      <c r="M2296" s="11"/>
      <c r="N2296" s="33">
        <v>44824</v>
      </c>
      <c r="O2296" s="32">
        <v>4576</v>
      </c>
      <c r="P2296" s="14"/>
      <c r="Q2296" s="322"/>
      <c r="U2296" s="14"/>
      <c r="V2296" s="260">
        <v>120</v>
      </c>
    </row>
    <row r="2297" spans="2:22" s="7" customFormat="1" ht="18" customHeight="1">
      <c r="B2297" s="12" t="s">
        <v>302</v>
      </c>
      <c r="C2297" s="6" t="s">
        <v>3249</v>
      </c>
      <c r="D2297" s="14" t="s">
        <v>2116</v>
      </c>
      <c r="E2297" s="22" t="s">
        <v>3251</v>
      </c>
      <c r="F2297" s="133" t="s">
        <v>378</v>
      </c>
      <c r="G2297" s="22" t="s">
        <v>3252</v>
      </c>
      <c r="H2297" s="108"/>
      <c r="I2297" s="109"/>
      <c r="J2297" s="108">
        <v>3</v>
      </c>
      <c r="K2297" s="39">
        <v>8.89</v>
      </c>
      <c r="L2297" s="39">
        <f>K2297*J2297</f>
        <v>26.67</v>
      </c>
      <c r="M2297" s="117" t="s">
        <v>349</v>
      </c>
      <c r="N2297" s="33">
        <v>44824</v>
      </c>
      <c r="O2297" s="32">
        <v>4576</v>
      </c>
      <c r="P2297" s="391">
        <f>ROUNDUP(S2297/V2297/VLOOKUP(B2297,$C$2:$F$6,3,FALSE),2)</f>
        <v>6.0699999999999994</v>
      </c>
      <c r="Q2297" s="322">
        <v>6.07</v>
      </c>
      <c r="R2297" s="322">
        <f>Q2297*J2297</f>
        <v>18.21</v>
      </c>
      <c r="S2297" s="7">
        <v>640</v>
      </c>
      <c r="T2297" s="7">
        <f>S2297*J2297</f>
        <v>1920</v>
      </c>
      <c r="U2297" s="951"/>
      <c r="V2297" s="260">
        <v>120</v>
      </c>
    </row>
    <row r="2298" spans="2:22" s="7" customFormat="1" ht="15">
      <c r="B2298" s="12"/>
      <c r="C2298" s="6" t="s">
        <v>3249</v>
      </c>
      <c r="D2298" s="14" t="s">
        <v>2116</v>
      </c>
      <c r="E2298" s="22"/>
      <c r="F2298" s="102"/>
      <c r="G2298" s="22" t="s">
        <v>3253</v>
      </c>
      <c r="H2298" s="8"/>
      <c r="I2298" s="35"/>
      <c r="J2298" s="108">
        <v>3</v>
      </c>
      <c r="K2298" s="39">
        <v>5</v>
      </c>
      <c r="L2298" s="39">
        <f>K2298*J2298</f>
        <v>15</v>
      </c>
      <c r="M2298" s="91"/>
      <c r="N2298" s="33">
        <v>44824</v>
      </c>
      <c r="O2298" s="32">
        <v>4576</v>
      </c>
      <c r="P2298" s="6"/>
      <c r="Q2298" s="322">
        <v>9</v>
      </c>
      <c r="R2298" s="322">
        <v>9</v>
      </c>
      <c r="S2298" s="7">
        <v>300</v>
      </c>
      <c r="T2298" s="7">
        <f>S2298*J2298</f>
        <v>900</v>
      </c>
      <c r="U2298" s="21"/>
      <c r="V2298" s="260">
        <v>120</v>
      </c>
    </row>
    <row r="2299" spans="2:22" s="7" customFormat="1" ht="15">
      <c r="B2299" s="12"/>
      <c r="C2299" s="6" t="s">
        <v>3249</v>
      </c>
      <c r="D2299" s="14" t="s">
        <v>2116</v>
      </c>
      <c r="E2299" s="22"/>
      <c r="F2299" s="102"/>
      <c r="G2299" s="22" t="s">
        <v>316</v>
      </c>
      <c r="H2299" s="8"/>
      <c r="I2299" s="35"/>
      <c r="J2299" s="38">
        <v>1</v>
      </c>
      <c r="K2299" s="39">
        <v>15</v>
      </c>
      <c r="L2299" s="39">
        <f>K2299*J2299</f>
        <v>15</v>
      </c>
      <c r="M2299" s="91"/>
      <c r="N2299" s="33">
        <v>44824</v>
      </c>
      <c r="O2299" s="32">
        <v>4576</v>
      </c>
      <c r="P2299" s="6"/>
      <c r="Q2299" s="322">
        <v>15</v>
      </c>
      <c r="R2299" s="322">
        <f>Q2299*J2299</f>
        <v>15</v>
      </c>
      <c r="S2299" s="92">
        <v>0</v>
      </c>
      <c r="T2299" s="92">
        <v>0</v>
      </c>
      <c r="U2299" s="21"/>
      <c r="V2299" s="260">
        <v>120</v>
      </c>
    </row>
    <row r="2300" spans="2:22" s="191" customFormat="1" ht="15">
      <c r="B2300" s="190"/>
      <c r="C2300" s="179" t="s">
        <v>3249</v>
      </c>
      <c r="D2300" s="180" t="s">
        <v>2116</v>
      </c>
      <c r="E2300" s="181"/>
      <c r="F2300" s="622"/>
      <c r="G2300" s="182" t="s">
        <v>250</v>
      </c>
      <c r="H2300" s="184" t="s">
        <v>251</v>
      </c>
      <c r="I2300" s="185"/>
      <c r="J2300" s="183"/>
      <c r="K2300" s="192">
        <v>0</v>
      </c>
      <c r="L2300" s="188"/>
      <c r="M2300" s="187"/>
      <c r="N2300" s="187">
        <v>44824</v>
      </c>
      <c r="O2300" s="186">
        <v>4576</v>
      </c>
      <c r="P2300" s="179"/>
      <c r="Q2300" s="725">
        <v>0</v>
      </c>
      <c r="S2300" s="197">
        <v>0</v>
      </c>
      <c r="T2300" s="198">
        <v>0</v>
      </c>
      <c r="U2300" s="335"/>
      <c r="V2300" s="260">
        <v>120</v>
      </c>
    </row>
    <row r="2301" spans="2:22" s="7" customFormat="1" ht="18" customHeight="1">
      <c r="B2301" s="12"/>
      <c r="C2301" s="6" t="s">
        <v>3254</v>
      </c>
      <c r="D2301" s="14" t="s">
        <v>3255</v>
      </c>
      <c r="E2301" s="19" t="s">
        <v>2358</v>
      </c>
      <c r="F2301" s="24"/>
      <c r="G2301" s="22"/>
      <c r="H2301" s="60"/>
      <c r="I2301" s="61"/>
      <c r="J2301" s="60"/>
      <c r="K2301" s="16" t="s">
        <v>5</v>
      </c>
      <c r="L2301" s="139"/>
      <c r="M2301" s="33"/>
      <c r="N2301" s="33">
        <v>44826</v>
      </c>
      <c r="O2301" s="32">
        <v>4589</v>
      </c>
      <c r="P2301" s="6" t="s">
        <v>3</v>
      </c>
      <c r="Q2301" s="358"/>
      <c r="U2301" s="120"/>
      <c r="V2301" s="260">
        <v>120</v>
      </c>
    </row>
    <row r="2302" spans="2:22" s="7" customFormat="1" ht="18" customHeight="1">
      <c r="B2302" s="12" t="s">
        <v>300</v>
      </c>
      <c r="C2302" s="6" t="s">
        <v>3254</v>
      </c>
      <c r="D2302" s="14" t="s">
        <v>3255</v>
      </c>
      <c r="E2302" s="22" t="s">
        <v>3256</v>
      </c>
      <c r="F2302" s="24"/>
      <c r="G2302" s="22" t="s">
        <v>58</v>
      </c>
      <c r="H2302" s="108">
        <v>13.7</v>
      </c>
      <c r="I2302" s="109">
        <v>1</v>
      </c>
      <c r="J2302" s="131">
        <f>H2302*I2302</f>
        <v>13.7</v>
      </c>
      <c r="K2302" s="39">
        <v>2.71</v>
      </c>
      <c r="L2302" s="39">
        <f>K2302*J2302</f>
        <v>37.126999999999995</v>
      </c>
      <c r="M2302" s="117" t="s">
        <v>349</v>
      </c>
      <c r="N2302" s="33">
        <v>44826</v>
      </c>
      <c r="O2302" s="32">
        <v>4589</v>
      </c>
      <c r="P2302" s="391">
        <f>ROUNDUP(S2302/V2302/VLOOKUP(B2302,$C$2:$F$6,3,FALSE),2)</f>
        <v>1.39</v>
      </c>
      <c r="Q2302" s="322">
        <v>1.39</v>
      </c>
      <c r="R2302" s="322">
        <f>Q2302*J2302</f>
        <v>19.042999999999999</v>
      </c>
      <c r="S2302" s="7">
        <v>116</v>
      </c>
      <c r="T2302" s="7">
        <f>S2302*J2302</f>
        <v>1589.1999999999998</v>
      </c>
      <c r="U2302" s="386" t="s">
        <v>3257</v>
      </c>
      <c r="V2302" s="260">
        <v>120</v>
      </c>
    </row>
    <row r="2303" spans="2:22" s="7" customFormat="1" ht="18" customHeight="1">
      <c r="B2303" s="12"/>
      <c r="C2303" s="6" t="s">
        <v>3254</v>
      </c>
      <c r="D2303" s="14" t="s">
        <v>3255</v>
      </c>
      <c r="E2303" s="22"/>
      <c r="F2303" s="340"/>
      <c r="G2303" s="22" t="s">
        <v>316</v>
      </c>
      <c r="H2303" s="8"/>
      <c r="I2303" s="109" ph="1"/>
      <c r="J2303" s="38">
        <v>1</v>
      </c>
      <c r="K2303" s="39">
        <v>12</v>
      </c>
      <c r="L2303" s="39">
        <f>K2303*J2303</f>
        <v>12</v>
      </c>
      <c r="M2303" s="91"/>
      <c r="N2303" s="33">
        <v>44826</v>
      </c>
      <c r="O2303" s="32">
        <v>4589</v>
      </c>
      <c r="P2303" s="6"/>
      <c r="Q2303" s="322">
        <v>12</v>
      </c>
      <c r="R2303" s="322">
        <v>12</v>
      </c>
      <c r="S2303" s="7">
        <v>900</v>
      </c>
      <c r="T2303" s="7">
        <f>S2303*J2303</f>
        <v>900</v>
      </c>
      <c r="U2303" s="21"/>
      <c r="V2303" s="260">
        <v>120</v>
      </c>
    </row>
    <row r="2304" spans="2:22" s="191" customFormat="1" ht="18" customHeight="1">
      <c r="B2304" s="190"/>
      <c r="C2304" s="179" t="s">
        <v>3254</v>
      </c>
      <c r="D2304" s="180" t="s">
        <v>3255</v>
      </c>
      <c r="E2304" s="181"/>
      <c r="F2304" s="182"/>
      <c r="G2304" s="182" t="s">
        <v>250</v>
      </c>
      <c r="H2304" s="184" t="s">
        <v>251</v>
      </c>
      <c r="I2304" s="185"/>
      <c r="J2304" s="183"/>
      <c r="K2304" s="192">
        <v>0</v>
      </c>
      <c r="L2304" s="188"/>
      <c r="M2304" s="187"/>
      <c r="N2304" s="187">
        <v>44826</v>
      </c>
      <c r="O2304" s="186">
        <v>4589</v>
      </c>
      <c r="P2304" s="179"/>
      <c r="Q2304" s="725">
        <v>0</v>
      </c>
      <c r="S2304" s="197">
        <v>0</v>
      </c>
      <c r="T2304" s="198">
        <v>0</v>
      </c>
      <c r="U2304" s="335"/>
      <c r="V2304" s="260">
        <v>120</v>
      </c>
    </row>
    <row r="2305" spans="1:22" s="7" customFormat="1" ht="18" customHeight="1">
      <c r="B2305" s="12"/>
      <c r="C2305" s="6" t="s">
        <v>3258</v>
      </c>
      <c r="D2305" s="14" t="s">
        <v>3259</v>
      </c>
      <c r="E2305" s="20" t="s">
        <v>3124</v>
      </c>
      <c r="F2305" s="15"/>
      <c r="G2305" s="37"/>
      <c r="H2305" s="8"/>
      <c r="I2305" s="35"/>
      <c r="J2305" s="108"/>
      <c r="K2305" s="29" t="s">
        <v>5</v>
      </c>
      <c r="L2305" s="11"/>
      <c r="M2305" s="11"/>
      <c r="N2305" s="33">
        <v>44904</v>
      </c>
      <c r="O2305" s="32">
        <v>4861</v>
      </c>
      <c r="P2305" s="6"/>
      <c r="Q2305" s="322"/>
      <c r="U2305" s="39"/>
      <c r="V2305" s="260">
        <v>120</v>
      </c>
    </row>
    <row r="2306" spans="1:22" s="7" customFormat="1" ht="18" customHeight="1">
      <c r="B2306" s="12" t="s">
        <v>300</v>
      </c>
      <c r="C2306" s="6" t="s">
        <v>3258</v>
      </c>
      <c r="D2306" s="14" t="s">
        <v>3259</v>
      </c>
      <c r="E2306" s="19" t="s">
        <v>3125</v>
      </c>
      <c r="F2306" s="945">
        <v>4.5999999999999996</v>
      </c>
      <c r="G2306" s="37" t="s">
        <v>3128</v>
      </c>
      <c r="H2306" s="108">
        <v>50</v>
      </c>
      <c r="I2306" s="109">
        <v>20</v>
      </c>
      <c r="J2306" s="8">
        <f>H2306*I2306</f>
        <v>1000</v>
      </c>
      <c r="K2306" s="782">
        <v>3.9</v>
      </c>
      <c r="L2306" s="39">
        <f>K2306*J2306</f>
        <v>3900</v>
      </c>
      <c r="M2306" s="117" t="s">
        <v>322</v>
      </c>
      <c r="N2306" s="33">
        <v>44904</v>
      </c>
      <c r="O2306" s="32">
        <v>4861</v>
      </c>
      <c r="P2306" s="793"/>
      <c r="Q2306" s="334">
        <v>2.7</v>
      </c>
      <c r="R2306" s="322">
        <f>Q2306*J2306</f>
        <v>2700</v>
      </c>
      <c r="S2306" s="322">
        <v>1.5</v>
      </c>
      <c r="T2306" s="322">
        <f>S2306*J2306</f>
        <v>1500</v>
      </c>
      <c r="U2306" s="772"/>
      <c r="V2306" s="260">
        <v>120</v>
      </c>
    </row>
    <row r="2307" spans="1:22" s="7" customFormat="1" ht="18" customHeight="1">
      <c r="B2307" s="12"/>
      <c r="C2307" s="6"/>
      <c r="D2307" s="14"/>
      <c r="E2307" s="22"/>
      <c r="F2307" s="340"/>
      <c r="G2307" s="22" t="s">
        <v>341</v>
      </c>
      <c r="H2307" s="8"/>
      <c r="I2307" s="109" ph="1"/>
      <c r="J2307" s="38"/>
      <c r="K2307" s="39"/>
      <c r="L2307" s="39"/>
      <c r="M2307" s="91"/>
      <c r="N2307" s="33">
        <v>44904</v>
      </c>
      <c r="O2307" s="32">
        <v>4861</v>
      </c>
      <c r="P2307" s="6"/>
      <c r="Q2307" s="334">
        <v>17.5</v>
      </c>
      <c r="R2307" s="334">
        <v>17.5</v>
      </c>
      <c r="S2307" s="322">
        <v>35</v>
      </c>
      <c r="T2307" s="322">
        <v>35</v>
      </c>
      <c r="U2307" s="21"/>
      <c r="V2307" s="260">
        <v>120</v>
      </c>
    </row>
    <row r="2308" spans="1:22" s="218" customFormat="1" ht="18" customHeight="1">
      <c r="A2308" s="7"/>
      <c r="B2308" s="189"/>
      <c r="C2308" s="179" t="s">
        <v>3258</v>
      </c>
      <c r="D2308" s="180" t="s">
        <v>3259</v>
      </c>
      <c r="E2308" s="217"/>
      <c r="F2308" s="182"/>
      <c r="G2308" s="182" t="s">
        <v>250</v>
      </c>
      <c r="H2308" s="184" t="s">
        <v>251</v>
      </c>
      <c r="I2308" s="185"/>
      <c r="J2308" s="183"/>
      <c r="K2308" s="192">
        <v>0</v>
      </c>
      <c r="L2308" s="946"/>
      <c r="M2308" s="947"/>
      <c r="N2308" s="187">
        <v>44904</v>
      </c>
      <c r="O2308" s="186">
        <v>4861</v>
      </c>
      <c r="P2308" s="179"/>
      <c r="Q2308" s="725">
        <v>0</v>
      </c>
      <c r="S2308" s="197">
        <v>0</v>
      </c>
      <c r="T2308" s="197">
        <v>0</v>
      </c>
      <c r="U2308" s="335"/>
      <c r="V2308" s="260">
        <v>120</v>
      </c>
    </row>
    <row r="2309" spans="1:22" s="7" customFormat="1" ht="15">
      <c r="B2309" s="12"/>
      <c r="C2309" s="6" t="s">
        <v>3260</v>
      </c>
      <c r="D2309" s="14" t="s">
        <v>2416</v>
      </c>
      <c r="E2309" s="19" t="s">
        <v>3261</v>
      </c>
      <c r="F2309" s="24"/>
      <c r="G2309" s="22"/>
      <c r="H2309" s="60"/>
      <c r="I2309" s="61"/>
      <c r="J2309" s="8"/>
      <c r="K2309" s="110" t="s">
        <v>5</v>
      </c>
      <c r="L2309" s="139"/>
      <c r="M2309" s="33"/>
      <c r="N2309" s="33">
        <v>44895</v>
      </c>
      <c r="O2309" s="32">
        <v>4604</v>
      </c>
      <c r="P2309" s="6" t="s">
        <v>8</v>
      </c>
      <c r="Q2309" s="358"/>
      <c r="U2309" s="120"/>
      <c r="V2309" s="260">
        <v>120</v>
      </c>
    </row>
    <row r="2310" spans="1:22" s="7" customFormat="1" ht="18" customHeight="1">
      <c r="B2310" s="12" t="s">
        <v>300</v>
      </c>
      <c r="C2310" s="6" t="s">
        <v>3260</v>
      </c>
      <c r="D2310" s="14" t="s">
        <v>2416</v>
      </c>
      <c r="E2310" s="22" t="s">
        <v>3262</v>
      </c>
      <c r="F2310" s="37" t="s">
        <v>359</v>
      </c>
      <c r="G2310" s="396" t="s">
        <v>3263</v>
      </c>
      <c r="H2310" s="8">
        <v>50</v>
      </c>
      <c r="I2310" s="35">
        <v>20</v>
      </c>
      <c r="J2310" s="108">
        <f>H2310*I2310</f>
        <v>1000</v>
      </c>
      <c r="K2310" s="958">
        <v>0.23</v>
      </c>
      <c r="L2310" s="39">
        <f>K2310*J2310</f>
        <v>230</v>
      </c>
      <c r="M2310" s="117" t="s">
        <v>349</v>
      </c>
      <c r="N2310" s="33">
        <v>44895</v>
      </c>
      <c r="O2310" s="32">
        <v>4604</v>
      </c>
      <c r="P2310" s="391">
        <f>ROUNDUP(S2310/V2310/VLOOKUP(B2310,$C$2:$F$6,3,FALSE),2)</f>
        <v>9.9999999999999992E-2</v>
      </c>
      <c r="Q2310" s="322">
        <v>0.1</v>
      </c>
      <c r="R2310" s="322">
        <f>Q2310*J2310</f>
        <v>100</v>
      </c>
      <c r="S2310" s="7">
        <v>8.3000000000000007</v>
      </c>
      <c r="T2310" s="7">
        <f>S2310*J2310</f>
        <v>8300</v>
      </c>
      <c r="U2310" s="39"/>
      <c r="V2310" s="260">
        <v>120</v>
      </c>
    </row>
    <row r="2311" spans="1:22" s="7" customFormat="1" ht="18" customHeight="1">
      <c r="B2311" s="12" t="s">
        <v>300</v>
      </c>
      <c r="C2311" s="6" t="s">
        <v>3260</v>
      </c>
      <c r="D2311" s="14" t="s">
        <v>2416</v>
      </c>
      <c r="E2311" s="22" t="s">
        <v>3262</v>
      </c>
      <c r="F2311" s="37" t="s">
        <v>359</v>
      </c>
      <c r="G2311" s="396" t="s">
        <v>3264</v>
      </c>
      <c r="H2311" s="8">
        <v>50</v>
      </c>
      <c r="I2311" s="35">
        <v>18</v>
      </c>
      <c r="J2311" s="108">
        <f>H2311*I2311</f>
        <v>900</v>
      </c>
      <c r="K2311" s="958">
        <v>0.23</v>
      </c>
      <c r="L2311" s="39">
        <f>K2311*J2311</f>
        <v>207</v>
      </c>
      <c r="M2311" s="117" t="s">
        <v>349</v>
      </c>
      <c r="N2311" s="33">
        <v>44895</v>
      </c>
      <c r="O2311" s="32">
        <v>4604</v>
      </c>
      <c r="P2311" s="391">
        <f>ROUNDUP(S2311/V2311/VLOOKUP(B2311,$C$2:$F$6,3,FALSE),2)</f>
        <v>9.9999999999999992E-2</v>
      </c>
      <c r="Q2311" s="322">
        <v>0.1</v>
      </c>
      <c r="R2311" s="322">
        <f>Q2311*J2311</f>
        <v>90</v>
      </c>
      <c r="S2311" s="7">
        <v>8.3000000000000007</v>
      </c>
      <c r="T2311" s="7">
        <f>S2311*J2311</f>
        <v>7470.0000000000009</v>
      </c>
      <c r="U2311" s="39"/>
      <c r="V2311" s="260">
        <v>120</v>
      </c>
    </row>
    <row r="2312" spans="1:22" s="7" customFormat="1" ht="18" customHeight="1">
      <c r="B2312" s="12" t="s">
        <v>300</v>
      </c>
      <c r="C2312" s="6" t="s">
        <v>3260</v>
      </c>
      <c r="D2312" s="14" t="s">
        <v>2416</v>
      </c>
      <c r="E2312" s="22" t="s">
        <v>3262</v>
      </c>
      <c r="F2312" s="37" t="s">
        <v>359</v>
      </c>
      <c r="G2312" s="396" t="s">
        <v>3265</v>
      </c>
      <c r="H2312" s="8">
        <v>50</v>
      </c>
      <c r="I2312" s="35">
        <v>1</v>
      </c>
      <c r="J2312" s="108">
        <f>H2312*I2312</f>
        <v>50</v>
      </c>
      <c r="K2312" s="958">
        <v>0.23</v>
      </c>
      <c r="L2312" s="39">
        <f>K2312*J2312</f>
        <v>11.5</v>
      </c>
      <c r="M2312" s="117" t="s">
        <v>349</v>
      </c>
      <c r="N2312" s="33">
        <v>44895</v>
      </c>
      <c r="O2312" s="32">
        <v>4604</v>
      </c>
      <c r="P2312" s="391">
        <f>ROUNDUP(S2312/V2312/VLOOKUP(B2312,$C$2:$F$6,3,FALSE),2)</f>
        <v>9.9999999999999992E-2</v>
      </c>
      <c r="Q2312" s="322">
        <v>0.1</v>
      </c>
      <c r="R2312" s="322">
        <f>Q2312*J2312</f>
        <v>5</v>
      </c>
      <c r="S2312" s="7">
        <v>8.3000000000000007</v>
      </c>
      <c r="T2312" s="7">
        <f>S2312*J2312</f>
        <v>415.00000000000006</v>
      </c>
      <c r="U2312" s="39"/>
      <c r="V2312" s="260">
        <v>120</v>
      </c>
    </row>
    <row r="2313" spans="1:22" s="7" customFormat="1" ht="18" customHeight="1">
      <c r="B2313" s="12"/>
      <c r="C2313" s="6" t="s">
        <v>3260</v>
      </c>
      <c r="D2313" s="14" t="s">
        <v>2416</v>
      </c>
      <c r="E2313" s="22"/>
      <c r="F2313" s="340"/>
      <c r="G2313" s="22" t="s">
        <v>316</v>
      </c>
      <c r="H2313" s="8"/>
      <c r="I2313" s="109" ph="1"/>
      <c r="J2313" s="38">
        <v>1</v>
      </c>
      <c r="K2313" s="39">
        <v>15</v>
      </c>
      <c r="L2313" s="39">
        <f>K2313*J2313</f>
        <v>15</v>
      </c>
      <c r="M2313" s="91"/>
      <c r="N2313" s="33">
        <v>44895</v>
      </c>
      <c r="O2313" s="32">
        <v>4604</v>
      </c>
      <c r="P2313" s="6"/>
      <c r="Q2313" s="322">
        <v>12</v>
      </c>
      <c r="R2313" s="322">
        <v>12</v>
      </c>
      <c r="S2313" s="7">
        <v>1100</v>
      </c>
      <c r="T2313" s="7">
        <f>S2313*J2313</f>
        <v>1100</v>
      </c>
      <c r="U2313" s="21"/>
      <c r="V2313" s="260">
        <v>120</v>
      </c>
    </row>
    <row r="2314" spans="1:22" s="218" customFormat="1" ht="18" customHeight="1">
      <c r="A2314" s="7"/>
      <c r="B2314" s="189"/>
      <c r="C2314" s="179" t="s">
        <v>3260</v>
      </c>
      <c r="D2314" s="180" t="s">
        <v>2416</v>
      </c>
      <c r="E2314" s="217"/>
      <c r="F2314" s="182"/>
      <c r="G2314" s="182" t="s">
        <v>250</v>
      </c>
      <c r="H2314" s="184" t="s">
        <v>251</v>
      </c>
      <c r="I2314" s="185"/>
      <c r="J2314" s="183"/>
      <c r="K2314" s="192">
        <v>0</v>
      </c>
      <c r="L2314" s="946"/>
      <c r="M2314" s="947"/>
      <c r="N2314" s="187">
        <v>44895</v>
      </c>
      <c r="O2314" s="186">
        <v>4604</v>
      </c>
      <c r="P2314" s="179"/>
      <c r="Q2314" s="725">
        <v>0</v>
      </c>
      <c r="S2314" s="197">
        <v>0</v>
      </c>
      <c r="T2314" s="197">
        <v>0</v>
      </c>
      <c r="U2314" s="335"/>
      <c r="V2314" s="260">
        <v>120</v>
      </c>
    </row>
    <row r="2315" spans="1:22" s="7" customFormat="1" ht="15">
      <c r="B2315" s="12"/>
      <c r="C2315" s="6" t="s">
        <v>3266</v>
      </c>
      <c r="D2315" s="14" t="s">
        <v>2416</v>
      </c>
      <c r="E2315" s="19" t="s">
        <v>3261</v>
      </c>
      <c r="F2315" s="24"/>
      <c r="G2315" s="22"/>
      <c r="H2315" s="60"/>
      <c r="I2315" s="61"/>
      <c r="J2315" s="8"/>
      <c r="K2315" s="110" t="s">
        <v>5</v>
      </c>
      <c r="L2315" s="139"/>
      <c r="M2315" s="33"/>
      <c r="N2315" s="33">
        <v>44895</v>
      </c>
      <c r="O2315" s="32">
        <v>4605</v>
      </c>
      <c r="P2315" s="6" t="s">
        <v>8</v>
      </c>
      <c r="Q2315" s="358"/>
      <c r="U2315" s="120"/>
      <c r="V2315" s="260">
        <v>120</v>
      </c>
    </row>
    <row r="2316" spans="1:22" s="7" customFormat="1" ht="18" customHeight="1">
      <c r="B2316" s="12" t="s">
        <v>300</v>
      </c>
      <c r="C2316" s="6" t="s">
        <v>3266</v>
      </c>
      <c r="D2316" s="14" t="s">
        <v>2416</v>
      </c>
      <c r="E2316" s="22" t="s">
        <v>3262</v>
      </c>
      <c r="F2316" s="37" t="s">
        <v>359</v>
      </c>
      <c r="G2316" s="396" t="s">
        <v>3263</v>
      </c>
      <c r="H2316" s="8">
        <v>50</v>
      </c>
      <c r="I2316" s="35">
        <v>7</v>
      </c>
      <c r="J2316" s="108">
        <f>H2316*I2316</f>
        <v>350</v>
      </c>
      <c r="K2316" s="958">
        <v>0.23</v>
      </c>
      <c r="L2316" s="39">
        <f>K2316*J2316</f>
        <v>80.5</v>
      </c>
      <c r="M2316" s="117" t="s">
        <v>349</v>
      </c>
      <c r="N2316" s="33">
        <v>44895</v>
      </c>
      <c r="O2316" s="32">
        <v>4605</v>
      </c>
      <c r="P2316" s="391">
        <f>ROUNDUP(S2316/V2316/VLOOKUP(B2316,$C$2:$F$6,3,FALSE),2)</f>
        <v>9.9999999999999992E-2</v>
      </c>
      <c r="Q2316" s="322">
        <v>0.1</v>
      </c>
      <c r="R2316" s="322">
        <f>Q2316*J2316</f>
        <v>35</v>
      </c>
      <c r="S2316" s="7">
        <v>8.3000000000000007</v>
      </c>
      <c r="T2316" s="7">
        <f>S2316*J2316</f>
        <v>2905.0000000000005</v>
      </c>
      <c r="U2316" s="39"/>
      <c r="V2316" s="260">
        <v>120</v>
      </c>
    </row>
    <row r="2317" spans="1:22" s="7" customFormat="1" ht="18" customHeight="1">
      <c r="B2317" s="12" t="s">
        <v>300</v>
      </c>
      <c r="C2317" s="6" t="s">
        <v>3266</v>
      </c>
      <c r="D2317" s="14" t="s">
        <v>2416</v>
      </c>
      <c r="E2317" s="22" t="s">
        <v>3262</v>
      </c>
      <c r="F2317" s="37" t="s">
        <v>359</v>
      </c>
      <c r="G2317" s="396" t="s">
        <v>3267</v>
      </c>
      <c r="H2317" s="8">
        <v>50</v>
      </c>
      <c r="I2317" s="35">
        <v>1</v>
      </c>
      <c r="J2317" s="108">
        <f>H2317*I2317</f>
        <v>50</v>
      </c>
      <c r="K2317" s="958">
        <v>0.23</v>
      </c>
      <c r="L2317" s="39">
        <f>K2317*J2317</f>
        <v>11.5</v>
      </c>
      <c r="M2317" s="117" t="s">
        <v>349</v>
      </c>
      <c r="N2317" s="33">
        <v>44895</v>
      </c>
      <c r="O2317" s="32">
        <v>4605</v>
      </c>
      <c r="P2317" s="391">
        <f>ROUNDUP(S2317/V2317/VLOOKUP(B2317,$C$2:$F$6,3,FALSE),2)</f>
        <v>9.9999999999999992E-2</v>
      </c>
      <c r="Q2317" s="322">
        <v>0.1</v>
      </c>
      <c r="R2317" s="322">
        <f>Q2317*J2317</f>
        <v>5</v>
      </c>
      <c r="S2317" s="7">
        <v>8.3000000000000007</v>
      </c>
      <c r="T2317" s="7">
        <f>S2317*J2317</f>
        <v>415.00000000000006</v>
      </c>
      <c r="U2317" s="39"/>
      <c r="V2317" s="260">
        <v>120</v>
      </c>
    </row>
    <row r="2318" spans="1:22" s="7" customFormat="1" ht="18" customHeight="1">
      <c r="B2318" s="12" t="s">
        <v>300</v>
      </c>
      <c r="C2318" s="6" t="s">
        <v>3266</v>
      </c>
      <c r="D2318" s="14" t="s">
        <v>2416</v>
      </c>
      <c r="E2318" s="22" t="s">
        <v>3262</v>
      </c>
      <c r="F2318" s="37" t="s">
        <v>359</v>
      </c>
      <c r="G2318" s="396" t="s">
        <v>3264</v>
      </c>
      <c r="H2318" s="8">
        <v>50</v>
      </c>
      <c r="I2318" s="35">
        <v>4</v>
      </c>
      <c r="J2318" s="108">
        <f>H2318*I2318</f>
        <v>200</v>
      </c>
      <c r="K2318" s="958">
        <v>0.23</v>
      </c>
      <c r="L2318" s="39">
        <f>K2318*J2318</f>
        <v>46</v>
      </c>
      <c r="M2318" s="117" t="s">
        <v>349</v>
      </c>
      <c r="N2318" s="33">
        <v>44895</v>
      </c>
      <c r="O2318" s="32">
        <v>4605</v>
      </c>
      <c r="P2318" s="391">
        <f>ROUNDUP(S2318/V2318/VLOOKUP(B2318,$C$2:$F$6,3,FALSE),2)</f>
        <v>9.9999999999999992E-2</v>
      </c>
      <c r="Q2318" s="322">
        <v>0.1</v>
      </c>
      <c r="R2318" s="322">
        <f>Q2318*J2318</f>
        <v>20</v>
      </c>
      <c r="S2318" s="7">
        <v>8.3000000000000007</v>
      </c>
      <c r="T2318" s="7">
        <f>S2318*J2318</f>
        <v>1660.0000000000002</v>
      </c>
      <c r="U2318" s="39"/>
      <c r="V2318" s="260">
        <v>120</v>
      </c>
    </row>
    <row r="2319" spans="1:22" s="218" customFormat="1" ht="18" customHeight="1">
      <c r="A2319" s="7"/>
      <c r="B2319" s="189"/>
      <c r="C2319" s="179" t="s">
        <v>3266</v>
      </c>
      <c r="D2319" s="180" t="s">
        <v>2416</v>
      </c>
      <c r="E2319" s="217"/>
      <c r="F2319" s="182"/>
      <c r="G2319" s="182" t="s">
        <v>250</v>
      </c>
      <c r="H2319" s="184" t="s">
        <v>251</v>
      </c>
      <c r="I2319" s="185"/>
      <c r="J2319" s="183"/>
      <c r="K2319" s="192">
        <v>0</v>
      </c>
      <c r="L2319" s="946"/>
      <c r="M2319" s="947"/>
      <c r="N2319" s="187">
        <v>44895</v>
      </c>
      <c r="O2319" s="186">
        <v>4605</v>
      </c>
      <c r="P2319" s="179"/>
      <c r="Q2319" s="725">
        <v>0</v>
      </c>
      <c r="S2319" s="197">
        <v>0</v>
      </c>
      <c r="T2319" s="197">
        <v>0</v>
      </c>
      <c r="U2319" s="335"/>
      <c r="V2319" s="260">
        <v>120</v>
      </c>
    </row>
    <row r="2320" spans="1:22" s="7" customFormat="1" ht="15">
      <c r="B2320" s="12"/>
      <c r="C2320" s="6" t="s">
        <v>3268</v>
      </c>
      <c r="D2320" s="14" t="s">
        <v>3269</v>
      </c>
      <c r="E2320" s="19" t="s">
        <v>3261</v>
      </c>
      <c r="F2320" s="24"/>
      <c r="G2320" s="22"/>
      <c r="H2320" s="60"/>
      <c r="I2320" s="61"/>
      <c r="J2320" s="8"/>
      <c r="K2320" s="110" t="s">
        <v>5</v>
      </c>
      <c r="L2320" s="139"/>
      <c r="M2320" s="33"/>
      <c r="N2320" s="33">
        <v>44895</v>
      </c>
      <c r="O2320" s="32">
        <v>4606</v>
      </c>
      <c r="P2320" s="6" t="s">
        <v>8</v>
      </c>
      <c r="Q2320" s="358"/>
      <c r="U2320" s="120"/>
      <c r="V2320" s="260">
        <v>120</v>
      </c>
    </row>
    <row r="2321" spans="1:22" s="7" customFormat="1" ht="18" customHeight="1">
      <c r="B2321" s="12" t="s">
        <v>300</v>
      </c>
      <c r="C2321" s="6" t="s">
        <v>3268</v>
      </c>
      <c r="D2321" s="14" t="s">
        <v>3269</v>
      </c>
      <c r="E2321" s="22" t="s">
        <v>3262</v>
      </c>
      <c r="F2321" s="37" t="s">
        <v>359</v>
      </c>
      <c r="G2321" s="396" t="s">
        <v>3263</v>
      </c>
      <c r="H2321" s="8">
        <v>50</v>
      </c>
      <c r="I2321" s="35">
        <v>12</v>
      </c>
      <c r="J2321" s="108">
        <f>H2321*I2321</f>
        <v>600</v>
      </c>
      <c r="K2321" s="958">
        <v>0.23</v>
      </c>
      <c r="L2321" s="39">
        <f>K2321*J2321</f>
        <v>138</v>
      </c>
      <c r="M2321" s="117" t="s">
        <v>349</v>
      </c>
      <c r="N2321" s="33">
        <v>44895</v>
      </c>
      <c r="O2321" s="32">
        <v>4606</v>
      </c>
      <c r="P2321" s="391">
        <f>ROUNDUP(S2321/V2321/VLOOKUP(B2321,$C$2:$F$6,3,FALSE),2)</f>
        <v>9.9999999999999992E-2</v>
      </c>
      <c r="Q2321" s="322">
        <v>0.1</v>
      </c>
      <c r="R2321" s="322">
        <f>Q2321*J2321</f>
        <v>60</v>
      </c>
      <c r="S2321" s="7">
        <v>8.3000000000000007</v>
      </c>
      <c r="T2321" s="7">
        <f>S2321*J2321</f>
        <v>4980</v>
      </c>
      <c r="U2321" s="39"/>
      <c r="V2321" s="260">
        <v>120</v>
      </c>
    </row>
    <row r="2322" spans="1:22" s="7" customFormat="1" ht="18" customHeight="1">
      <c r="B2322" s="12" t="s">
        <v>300</v>
      </c>
      <c r="C2322" s="6" t="s">
        <v>3268</v>
      </c>
      <c r="D2322" s="14" t="s">
        <v>3269</v>
      </c>
      <c r="E2322" s="22" t="s">
        <v>3262</v>
      </c>
      <c r="F2322" s="37" t="s">
        <v>359</v>
      </c>
      <c r="G2322" s="396" t="s">
        <v>3264</v>
      </c>
      <c r="H2322" s="8">
        <v>50</v>
      </c>
      <c r="I2322" s="35">
        <v>6</v>
      </c>
      <c r="J2322" s="108">
        <f>H2322*I2322</f>
        <v>300</v>
      </c>
      <c r="K2322" s="958">
        <v>0.23</v>
      </c>
      <c r="L2322" s="39">
        <f>K2322*J2322</f>
        <v>69</v>
      </c>
      <c r="M2322" s="117" t="s">
        <v>349</v>
      </c>
      <c r="N2322" s="33">
        <v>44895</v>
      </c>
      <c r="O2322" s="32">
        <v>4606</v>
      </c>
      <c r="P2322" s="391">
        <f>ROUNDUP(S2322/V2322/VLOOKUP(B2322,$C$2:$F$6,3,FALSE),2)</f>
        <v>9.9999999999999992E-2</v>
      </c>
      <c r="Q2322" s="322">
        <v>0.1</v>
      </c>
      <c r="R2322" s="322">
        <f>Q2322*J2322</f>
        <v>30</v>
      </c>
      <c r="S2322" s="7">
        <v>8.3000000000000007</v>
      </c>
      <c r="T2322" s="7">
        <f>S2322*J2322</f>
        <v>2490</v>
      </c>
      <c r="U2322" s="39"/>
      <c r="V2322" s="260">
        <v>120</v>
      </c>
    </row>
    <row r="2323" spans="1:22" s="7" customFormat="1" ht="18" customHeight="1">
      <c r="B2323" s="12" t="s">
        <v>300</v>
      </c>
      <c r="C2323" s="6" t="s">
        <v>3268</v>
      </c>
      <c r="D2323" s="14" t="s">
        <v>3269</v>
      </c>
      <c r="E2323" s="22" t="s">
        <v>3262</v>
      </c>
      <c r="F2323" s="37" t="s">
        <v>359</v>
      </c>
      <c r="G2323" s="396" t="s">
        <v>3270</v>
      </c>
      <c r="H2323" s="8">
        <v>50</v>
      </c>
      <c r="I2323" s="35">
        <v>1</v>
      </c>
      <c r="J2323" s="108">
        <f>H2323*I2323</f>
        <v>50</v>
      </c>
      <c r="K2323" s="958">
        <v>0.23</v>
      </c>
      <c r="L2323" s="39">
        <f>K2323*J2323</f>
        <v>11.5</v>
      </c>
      <c r="M2323" s="117" t="s">
        <v>349</v>
      </c>
      <c r="N2323" s="33">
        <v>44895</v>
      </c>
      <c r="O2323" s="32">
        <v>4606</v>
      </c>
      <c r="P2323" s="391">
        <f>ROUNDUP(S2323/V2323/VLOOKUP(B2323,$C$2:$F$6,3,FALSE),2)</f>
        <v>9.9999999999999992E-2</v>
      </c>
      <c r="Q2323" s="322">
        <v>0.1</v>
      </c>
      <c r="R2323" s="322">
        <f>Q2323*J2323</f>
        <v>5</v>
      </c>
      <c r="S2323" s="7">
        <v>8.3000000000000007</v>
      </c>
      <c r="T2323" s="7">
        <f>S2323*J2323</f>
        <v>415.00000000000006</v>
      </c>
      <c r="U2323" s="39"/>
      <c r="V2323" s="260">
        <v>120</v>
      </c>
    </row>
    <row r="2324" spans="1:22" s="218" customFormat="1" ht="18" customHeight="1">
      <c r="A2324" s="7"/>
      <c r="B2324" s="189"/>
      <c r="C2324" s="179" t="s">
        <v>3268</v>
      </c>
      <c r="D2324" s="180" t="s">
        <v>3269</v>
      </c>
      <c r="E2324" s="217"/>
      <c r="F2324" s="182"/>
      <c r="G2324" s="182" t="s">
        <v>250</v>
      </c>
      <c r="H2324" s="184" t="s">
        <v>251</v>
      </c>
      <c r="I2324" s="185"/>
      <c r="J2324" s="183"/>
      <c r="K2324" s="192">
        <v>0</v>
      </c>
      <c r="L2324" s="946"/>
      <c r="M2324" s="947"/>
      <c r="N2324" s="187">
        <v>44895</v>
      </c>
      <c r="O2324" s="186">
        <v>4606</v>
      </c>
      <c r="P2324" s="179"/>
      <c r="Q2324" s="725">
        <v>0</v>
      </c>
      <c r="S2324" s="197">
        <v>0</v>
      </c>
      <c r="T2324" s="197">
        <v>0</v>
      </c>
      <c r="U2324" s="335"/>
      <c r="V2324" s="260">
        <v>120</v>
      </c>
    </row>
    <row r="2325" spans="1:22" s="7" customFormat="1" ht="15">
      <c r="B2325" s="12"/>
      <c r="C2325" s="6" t="s">
        <v>3271</v>
      </c>
      <c r="D2325" s="14" t="s">
        <v>2416</v>
      </c>
      <c r="E2325" s="19" t="s">
        <v>3261</v>
      </c>
      <c r="F2325" s="24"/>
      <c r="G2325" s="22"/>
      <c r="H2325" s="60"/>
      <c r="I2325" s="61"/>
      <c r="J2325" s="8"/>
      <c r="K2325" s="110" t="s">
        <v>5</v>
      </c>
      <c r="L2325" s="139"/>
      <c r="M2325" s="33"/>
      <c r="N2325" s="33">
        <v>44895</v>
      </c>
      <c r="O2325" s="32">
        <v>4607</v>
      </c>
      <c r="P2325" s="6" t="s">
        <v>8</v>
      </c>
      <c r="Q2325" s="358"/>
      <c r="U2325" s="120"/>
      <c r="V2325" s="260">
        <v>120</v>
      </c>
    </row>
    <row r="2326" spans="1:22" s="7" customFormat="1" ht="18" customHeight="1">
      <c r="B2326" s="12" t="s">
        <v>300</v>
      </c>
      <c r="C2326" s="6" t="s">
        <v>3271</v>
      </c>
      <c r="D2326" s="14" t="s">
        <v>2416</v>
      </c>
      <c r="E2326" s="22" t="s">
        <v>3262</v>
      </c>
      <c r="F2326" s="37" t="s">
        <v>359</v>
      </c>
      <c r="G2326" s="396" t="s">
        <v>3263</v>
      </c>
      <c r="H2326" s="8">
        <v>50</v>
      </c>
      <c r="I2326" s="35">
        <v>1</v>
      </c>
      <c r="J2326" s="108">
        <f>H2326*I2326</f>
        <v>50</v>
      </c>
      <c r="K2326" s="958">
        <v>0.23</v>
      </c>
      <c r="L2326" s="39">
        <f>K2326*J2326</f>
        <v>11.5</v>
      </c>
      <c r="M2326" s="117" t="s">
        <v>349</v>
      </c>
      <c r="N2326" s="33">
        <v>44895</v>
      </c>
      <c r="O2326" s="32">
        <v>4607</v>
      </c>
      <c r="P2326" s="391">
        <f>ROUNDUP(S2326/V2326/VLOOKUP(B2326,$C$2:$F$6,3,FALSE),2)</f>
        <v>9.9999999999999992E-2</v>
      </c>
      <c r="Q2326" s="322">
        <v>0.1</v>
      </c>
      <c r="R2326" s="322">
        <f>Q2326*J2326</f>
        <v>5</v>
      </c>
      <c r="S2326" s="7">
        <v>8.3000000000000007</v>
      </c>
      <c r="T2326" s="7">
        <f>S2326*J2326</f>
        <v>415.00000000000006</v>
      </c>
      <c r="U2326" s="39"/>
      <c r="V2326" s="260">
        <v>120</v>
      </c>
    </row>
    <row r="2327" spans="1:22" s="218" customFormat="1" ht="18" customHeight="1">
      <c r="A2327" s="7"/>
      <c r="B2327" s="189"/>
      <c r="C2327" s="179" t="s">
        <v>3271</v>
      </c>
      <c r="D2327" s="180" t="s">
        <v>2416</v>
      </c>
      <c r="E2327" s="217"/>
      <c r="F2327" s="182"/>
      <c r="G2327" s="182" t="s">
        <v>250</v>
      </c>
      <c r="H2327" s="184" t="s">
        <v>251</v>
      </c>
      <c r="I2327" s="185"/>
      <c r="J2327" s="183"/>
      <c r="K2327" s="192">
        <v>0</v>
      </c>
      <c r="L2327" s="946"/>
      <c r="M2327" s="947"/>
      <c r="N2327" s="187">
        <v>44895</v>
      </c>
      <c r="O2327" s="186">
        <v>4607</v>
      </c>
      <c r="P2327" s="179"/>
      <c r="Q2327" s="322">
        <v>0</v>
      </c>
      <c r="S2327" s="197">
        <v>0</v>
      </c>
      <c r="T2327" s="197">
        <v>0</v>
      </c>
      <c r="U2327" s="335"/>
      <c r="V2327" s="260">
        <v>120</v>
      </c>
    </row>
    <row r="2328" spans="1:22" customFormat="1" ht="18" customHeight="1">
      <c r="A2328" s="1"/>
      <c r="B2328" s="26"/>
      <c r="C2328" s="6" t="s">
        <v>3272</v>
      </c>
      <c r="D2328" s="14" t="s">
        <v>3086</v>
      </c>
      <c r="E2328" s="19" t="s">
        <v>59</v>
      </c>
      <c r="F2328" s="107"/>
      <c r="G2328" s="22"/>
      <c r="H2328" s="108"/>
      <c r="I2328" s="109"/>
      <c r="J2328" s="108"/>
      <c r="K2328" s="110" t="s">
        <v>5</v>
      </c>
      <c r="L2328" s="33"/>
      <c r="M2328" s="33"/>
      <c r="N2328" s="33">
        <v>44834</v>
      </c>
      <c r="O2328" s="32">
        <v>4602</v>
      </c>
      <c r="P2328" s="14"/>
      <c r="Q2328" s="254"/>
      <c r="R2328" s="1"/>
      <c r="S2328" s="261"/>
      <c r="T2328" s="92"/>
      <c r="U2328" s="264"/>
      <c r="V2328" s="260">
        <v>120</v>
      </c>
    </row>
    <row r="2329" spans="1:22" customFormat="1" ht="18" customHeight="1">
      <c r="A2329" s="1"/>
      <c r="B2329" s="12" t="s">
        <v>302</v>
      </c>
      <c r="C2329" s="6" t="s">
        <v>3272</v>
      </c>
      <c r="D2329" s="14" t="s">
        <v>3086</v>
      </c>
      <c r="E2329" s="22">
        <v>2440</v>
      </c>
      <c r="F2329" s="107">
        <v>140</v>
      </c>
      <c r="G2329" s="22" t="s">
        <v>3273</v>
      </c>
      <c r="H2329" s="60">
        <v>58</v>
      </c>
      <c r="I2329" s="61">
        <v>2</v>
      </c>
      <c r="J2329" s="60">
        <f>H2329*I2329</f>
        <v>116</v>
      </c>
      <c r="K2329" s="39">
        <v>3.89</v>
      </c>
      <c r="L2329" s="39">
        <f>K2329*J2329</f>
        <v>451.24</v>
      </c>
      <c r="M2329" s="117" t="s">
        <v>323</v>
      </c>
      <c r="N2329" s="33">
        <v>44834</v>
      </c>
      <c r="O2329" s="32">
        <v>4602</v>
      </c>
      <c r="P2329" s="391">
        <f>ROUNDUP(S2329/V2329/VLOOKUP(B2329,$C$2:$F$6,3,FALSE),2)</f>
        <v>2.6599999999999997</v>
      </c>
      <c r="Q2329" s="254">
        <v>2.66</v>
      </c>
      <c r="R2329" s="323">
        <f>Q2329*J2329</f>
        <v>308.56</v>
      </c>
      <c r="S2329" s="273">
        <v>280</v>
      </c>
      <c r="T2329" s="287">
        <f>S2329*J2329</f>
        <v>32480</v>
      </c>
      <c r="U2329" s="264"/>
      <c r="V2329" s="260">
        <v>120</v>
      </c>
    </row>
    <row r="2330" spans="1:22" s="7" customFormat="1" ht="18" customHeight="1">
      <c r="B2330" s="12"/>
      <c r="C2330" s="6" t="s">
        <v>3272</v>
      </c>
      <c r="D2330" s="14" t="s">
        <v>3086</v>
      </c>
      <c r="E2330" s="22"/>
      <c r="F2330" s="340"/>
      <c r="G2330" s="22" t="s">
        <v>316</v>
      </c>
      <c r="H2330" s="8"/>
      <c r="I2330" s="109" ph="1"/>
      <c r="J2330" s="38">
        <v>1</v>
      </c>
      <c r="K2330" s="39">
        <v>20</v>
      </c>
      <c r="L2330" s="39">
        <f>K2330*J2330</f>
        <v>20</v>
      </c>
      <c r="M2330" s="91"/>
      <c r="N2330" s="33">
        <v>44834</v>
      </c>
      <c r="O2330" s="32">
        <v>4602</v>
      </c>
      <c r="P2330" s="6"/>
      <c r="Q2330" s="322">
        <v>20</v>
      </c>
      <c r="R2330" s="322">
        <v>20</v>
      </c>
      <c r="S2330" s="7">
        <f>900+900</f>
        <v>1800</v>
      </c>
      <c r="T2330" s="7">
        <f>900+900</f>
        <v>1800</v>
      </c>
      <c r="U2330" s="21"/>
      <c r="V2330" s="260">
        <v>120</v>
      </c>
    </row>
    <row r="2331" spans="1:22" s="191" customFormat="1" ht="18" customHeight="1">
      <c r="B2331" s="190"/>
      <c r="C2331" s="179" t="s">
        <v>3272</v>
      </c>
      <c r="D2331" s="180" t="s">
        <v>3086</v>
      </c>
      <c r="E2331" s="181"/>
      <c r="F2331" s="182"/>
      <c r="G2331" s="182" t="s">
        <v>250</v>
      </c>
      <c r="H2331" s="184" t="s">
        <v>252</v>
      </c>
      <c r="I2331" s="185"/>
      <c r="J2331" s="183"/>
      <c r="K2331" s="333">
        <v>63</v>
      </c>
      <c r="L2331" s="333">
        <v>63</v>
      </c>
      <c r="M2331" s="187"/>
      <c r="N2331" s="187">
        <v>44834</v>
      </c>
      <c r="O2331" s="186">
        <v>4602</v>
      </c>
      <c r="P2331" s="179"/>
      <c r="Q2331" s="333">
        <v>63</v>
      </c>
      <c r="R2331" s="333">
        <v>63</v>
      </c>
      <c r="S2331" s="197">
        <v>7560</v>
      </c>
      <c r="T2331" s="197">
        <v>7560</v>
      </c>
      <c r="U2331" s="335"/>
      <c r="V2331" s="260">
        <v>120</v>
      </c>
    </row>
    <row r="2332" spans="1:22" customFormat="1" ht="18" customHeight="1">
      <c r="A2332" s="1"/>
      <c r="B2332" s="26"/>
      <c r="C2332" s="6" t="s">
        <v>3274</v>
      </c>
      <c r="D2332" s="14" t="s">
        <v>2723</v>
      </c>
      <c r="E2332" s="19" t="s">
        <v>227</v>
      </c>
      <c r="F2332" s="37"/>
      <c r="G2332" s="37"/>
      <c r="H2332" s="108"/>
      <c r="I2332" s="108"/>
      <c r="J2332" s="108"/>
      <c r="K2332" s="29" t="s">
        <v>101</v>
      </c>
      <c r="L2332" s="139"/>
      <c r="M2332" s="33"/>
      <c r="N2332" s="33">
        <v>44860</v>
      </c>
      <c r="O2332" s="32">
        <v>4609</v>
      </c>
      <c r="P2332" s="6"/>
      <c r="Q2332" s="339"/>
      <c r="R2332" s="1"/>
      <c r="S2332" s="7"/>
      <c r="T2332" s="7"/>
      <c r="U2332" s="21"/>
      <c r="V2332" s="260">
        <v>120</v>
      </c>
    </row>
    <row r="2333" spans="1:22" customFormat="1" ht="18" customHeight="1">
      <c r="A2333" s="1"/>
      <c r="B2333" s="26" t="s">
        <v>300</v>
      </c>
      <c r="C2333" s="6" t="s">
        <v>3274</v>
      </c>
      <c r="D2333" s="14" t="s">
        <v>2723</v>
      </c>
      <c r="E2333" s="22">
        <v>2250</v>
      </c>
      <c r="F2333" s="37">
        <v>12</v>
      </c>
      <c r="G2333" s="396" t="s">
        <v>3275</v>
      </c>
      <c r="H2333" s="108">
        <v>30</v>
      </c>
      <c r="I2333" s="881">
        <v>7</v>
      </c>
      <c r="J2333" s="8">
        <f>H2333*I2333</f>
        <v>210</v>
      </c>
      <c r="K2333" s="39">
        <v>0.36</v>
      </c>
      <c r="L2333" s="39">
        <f>K2333*J2333</f>
        <v>75.599999999999994</v>
      </c>
      <c r="M2333" s="117" t="s">
        <v>349</v>
      </c>
      <c r="N2333" s="33">
        <v>44860</v>
      </c>
      <c r="O2333" s="32">
        <v>4609</v>
      </c>
      <c r="P2333" s="391">
        <f>ROUNDUP(S2333/V2333/VLOOKUP(B2333,$C$2:$F$6,3,FALSE),2)</f>
        <v>0.23</v>
      </c>
      <c r="Q2333" s="322">
        <v>0.23</v>
      </c>
      <c r="R2333" s="701">
        <f>Q2333*J2333</f>
        <v>48.300000000000004</v>
      </c>
      <c r="S2333" s="7">
        <v>19.27</v>
      </c>
      <c r="T2333" s="7">
        <f>S2333*J2333</f>
        <v>4046.7</v>
      </c>
      <c r="U2333" s="39"/>
      <c r="V2333" s="260">
        <v>120</v>
      </c>
    </row>
    <row r="2334" spans="1:22" customFormat="1" ht="18" customHeight="1">
      <c r="A2334" s="1"/>
      <c r="B2334" s="26" t="s">
        <v>300</v>
      </c>
      <c r="C2334" s="6" t="s">
        <v>3274</v>
      </c>
      <c r="D2334" s="14" t="s">
        <v>2723</v>
      </c>
      <c r="E2334" s="22">
        <v>2250</v>
      </c>
      <c r="F2334" s="37">
        <v>12</v>
      </c>
      <c r="G2334" s="396" t="s">
        <v>2917</v>
      </c>
      <c r="H2334" s="108">
        <v>30</v>
      </c>
      <c r="I2334" s="881">
        <v>2</v>
      </c>
      <c r="J2334" s="8">
        <f>H2334*I2334</f>
        <v>60</v>
      </c>
      <c r="K2334" s="39">
        <v>0.36</v>
      </c>
      <c r="L2334" s="39">
        <f>K2334*J2334</f>
        <v>21.599999999999998</v>
      </c>
      <c r="M2334" s="117" t="s">
        <v>349</v>
      </c>
      <c r="N2334" s="33">
        <v>44860</v>
      </c>
      <c r="O2334" s="32">
        <v>4609</v>
      </c>
      <c r="P2334" s="391">
        <f>ROUNDUP(S2334/V2334/VLOOKUP(B2334,$C$2:$F$6,3,FALSE),2)</f>
        <v>0.23</v>
      </c>
      <c r="Q2334" s="322">
        <v>0.23</v>
      </c>
      <c r="R2334" s="701">
        <f>Q2334*J2334</f>
        <v>13.8</v>
      </c>
      <c r="S2334" s="7">
        <v>19.27</v>
      </c>
      <c r="T2334" s="7">
        <f>S2334*J2334</f>
        <v>1156.2</v>
      </c>
      <c r="U2334" s="39"/>
      <c r="V2334" s="260">
        <v>120</v>
      </c>
    </row>
    <row r="2335" spans="1:22" customFormat="1" ht="18" customHeight="1">
      <c r="A2335" s="1"/>
      <c r="B2335" s="26" t="s">
        <v>300</v>
      </c>
      <c r="C2335" s="6" t="s">
        <v>3274</v>
      </c>
      <c r="D2335" s="14" t="s">
        <v>2723</v>
      </c>
      <c r="E2335" s="22">
        <v>2250</v>
      </c>
      <c r="F2335" s="37">
        <v>9</v>
      </c>
      <c r="G2335" s="396" t="s">
        <v>3276</v>
      </c>
      <c r="H2335" s="108">
        <v>30</v>
      </c>
      <c r="I2335" s="881">
        <v>8</v>
      </c>
      <c r="J2335" s="8">
        <f>H2335*I2335</f>
        <v>240</v>
      </c>
      <c r="K2335" s="39">
        <v>0.28999999999999998</v>
      </c>
      <c r="L2335" s="39">
        <f>K2335*J2335</f>
        <v>69.599999999999994</v>
      </c>
      <c r="M2335" s="117" t="s">
        <v>349</v>
      </c>
      <c r="N2335" s="33">
        <v>44860</v>
      </c>
      <c r="O2335" s="32">
        <v>4609</v>
      </c>
      <c r="P2335" s="391">
        <f>ROUNDUP(S2335/V2335/VLOOKUP(B2335,$C$2:$F$6,3,FALSE),2)</f>
        <v>0.19</v>
      </c>
      <c r="Q2335" s="322">
        <v>0.19</v>
      </c>
      <c r="R2335" s="701">
        <f>Q2335*J2335</f>
        <v>45.6</v>
      </c>
      <c r="S2335" s="7">
        <v>15.4</v>
      </c>
      <c r="T2335" s="7">
        <f>S2335*J2335</f>
        <v>3696</v>
      </c>
      <c r="U2335" s="39"/>
      <c r="V2335" s="260">
        <v>120</v>
      </c>
    </row>
    <row r="2336" spans="1:22" customFormat="1" ht="18" customHeight="1">
      <c r="A2336" s="1"/>
      <c r="B2336" s="26" t="s">
        <v>300</v>
      </c>
      <c r="C2336" s="6" t="s">
        <v>3274</v>
      </c>
      <c r="D2336" s="14" t="s">
        <v>2723</v>
      </c>
      <c r="E2336" s="22">
        <v>2250</v>
      </c>
      <c r="F2336" s="37">
        <v>9</v>
      </c>
      <c r="G2336" s="396" t="s">
        <v>2697</v>
      </c>
      <c r="H2336" s="108">
        <v>30</v>
      </c>
      <c r="I2336" s="881">
        <v>17</v>
      </c>
      <c r="J2336" s="8">
        <f>H2336*I2336</f>
        <v>510</v>
      </c>
      <c r="K2336" s="39">
        <v>0.28999999999999998</v>
      </c>
      <c r="L2336" s="39">
        <f>K2336*J2336</f>
        <v>147.89999999999998</v>
      </c>
      <c r="M2336" s="117" t="s">
        <v>349</v>
      </c>
      <c r="N2336" s="33">
        <v>44860</v>
      </c>
      <c r="O2336" s="32">
        <v>4609</v>
      </c>
      <c r="P2336" s="391">
        <f>ROUNDUP(S2336/V2336/VLOOKUP(B2336,$C$2:$F$6,3,FALSE),2)</f>
        <v>0.19</v>
      </c>
      <c r="Q2336" s="322">
        <v>0.19</v>
      </c>
      <c r="R2336" s="701">
        <f>Q2336*J2336</f>
        <v>96.9</v>
      </c>
      <c r="S2336" s="7">
        <v>15.4</v>
      </c>
      <c r="T2336" s="7">
        <f>S2336*J2336</f>
        <v>7854</v>
      </c>
      <c r="U2336" s="39"/>
      <c r="V2336" s="260">
        <v>120</v>
      </c>
    </row>
    <row r="2337" spans="2:22" s="7" customFormat="1" ht="15.75">
      <c r="B2337" s="12"/>
      <c r="C2337" s="6" t="s">
        <v>3274</v>
      </c>
      <c r="D2337" s="14" t="s">
        <v>2723</v>
      </c>
      <c r="E2337" s="22"/>
      <c r="F2337" s="102"/>
      <c r="G2337" s="22" t="s">
        <v>316</v>
      </c>
      <c r="H2337" s="8"/>
      <c r="I2337" s="35"/>
      <c r="J2337" s="38">
        <v>1</v>
      </c>
      <c r="K2337" s="39">
        <v>15</v>
      </c>
      <c r="L2337" s="39">
        <f>K2337*J2337</f>
        <v>15</v>
      </c>
      <c r="M2337" s="117"/>
      <c r="N2337" s="33">
        <v>44860</v>
      </c>
      <c r="O2337" s="32">
        <v>4609</v>
      </c>
      <c r="P2337" s="6"/>
      <c r="Q2337" s="322">
        <v>12</v>
      </c>
      <c r="R2337" s="701">
        <f>Q2337*J2337</f>
        <v>12</v>
      </c>
      <c r="S2337" s="7">
        <v>0</v>
      </c>
      <c r="T2337" s="7">
        <f>S2337*J2337</f>
        <v>0</v>
      </c>
      <c r="U2337" s="21"/>
      <c r="V2337" s="260">
        <v>120</v>
      </c>
    </row>
    <row r="2338" spans="2:22" s="191" customFormat="1" ht="15">
      <c r="B2338" s="190"/>
      <c r="C2338" s="179" t="s">
        <v>3274</v>
      </c>
      <c r="D2338" s="180" t="s">
        <v>2723</v>
      </c>
      <c r="E2338" s="181"/>
      <c r="F2338" s="182"/>
      <c r="G2338" s="182" t="s">
        <v>324</v>
      </c>
      <c r="H2338" s="184" t="s">
        <v>252</v>
      </c>
      <c r="I2338" s="185"/>
      <c r="J2338" s="183"/>
      <c r="K2338" s="203">
        <v>59</v>
      </c>
      <c r="L2338" s="203">
        <v>59</v>
      </c>
      <c r="M2338" s="187"/>
      <c r="N2338" s="187">
        <v>44860</v>
      </c>
      <c r="O2338" s="186">
        <v>4609</v>
      </c>
      <c r="P2338" s="179"/>
      <c r="Q2338" s="334">
        <v>59</v>
      </c>
      <c r="R2338" s="350">
        <v>59</v>
      </c>
      <c r="S2338" s="197">
        <v>3975</v>
      </c>
      <c r="T2338" s="198">
        <v>3975</v>
      </c>
      <c r="U2338" s="335"/>
      <c r="V2338" s="260">
        <v>120</v>
      </c>
    </row>
    <row r="2339" spans="2:22" customFormat="1" ht="18" customHeight="1">
      <c r="B2339" s="26"/>
      <c r="C2339" s="6" t="s">
        <v>3277</v>
      </c>
      <c r="D2339" s="14" t="s">
        <v>3047</v>
      </c>
      <c r="E2339" s="19" t="s">
        <v>3278</v>
      </c>
      <c r="F2339" s="37"/>
      <c r="G2339" s="37"/>
      <c r="H2339" s="108"/>
      <c r="I2339" s="108"/>
      <c r="J2339" s="108"/>
      <c r="K2339" s="29" t="s">
        <v>101</v>
      </c>
      <c r="L2339" s="139"/>
      <c r="M2339" s="33"/>
      <c r="N2339" s="33">
        <v>44841</v>
      </c>
      <c r="O2339" s="32">
        <v>4627</v>
      </c>
      <c r="P2339" s="6"/>
      <c r="Q2339" s="339"/>
      <c r="R2339" s="1"/>
      <c r="S2339" s="7"/>
      <c r="T2339" s="7"/>
      <c r="U2339" s="21"/>
      <c r="V2339" s="260">
        <v>120</v>
      </c>
    </row>
    <row r="2340" spans="2:22" s="7" customFormat="1" ht="18" customHeight="1">
      <c r="B2340" s="12" t="s">
        <v>300</v>
      </c>
      <c r="C2340" s="6" t="s">
        <v>3277</v>
      </c>
      <c r="D2340" s="14" t="s">
        <v>3047</v>
      </c>
      <c r="E2340" s="22" t="s">
        <v>3279</v>
      </c>
      <c r="F2340" s="37"/>
      <c r="G2340" s="396" t="s">
        <v>3280</v>
      </c>
      <c r="H2340" s="8"/>
      <c r="I2340" s="35"/>
      <c r="J2340" s="108">
        <v>5</v>
      </c>
      <c r="K2340" s="958">
        <v>3.21</v>
      </c>
      <c r="L2340" s="39">
        <f>K2340*J2340</f>
        <v>16.05</v>
      </c>
      <c r="M2340" s="117" t="s">
        <v>349</v>
      </c>
      <c r="N2340" s="33">
        <v>44841</v>
      </c>
      <c r="O2340" s="32">
        <v>4627</v>
      </c>
      <c r="P2340" s="391">
        <f>ROUNDUP(S2340/V2340/VLOOKUP(B2340,$C$2:$F$6,3,FALSE),2)</f>
        <v>2.0599999999999996</v>
      </c>
      <c r="Q2340" s="322">
        <v>2.06</v>
      </c>
      <c r="R2340" s="322">
        <f>Q2340*J2340</f>
        <v>10.3</v>
      </c>
      <c r="S2340" s="7">
        <v>173</v>
      </c>
      <c r="T2340" s="7">
        <f>S2340*J2340</f>
        <v>865</v>
      </c>
      <c r="U2340" s="39"/>
      <c r="V2340" s="260">
        <v>120</v>
      </c>
    </row>
    <row r="2341" spans="2:22" s="7" customFormat="1" ht="18" customHeight="1">
      <c r="B2341" s="12" t="s">
        <v>300</v>
      </c>
      <c r="C2341" s="6" t="s">
        <v>3277</v>
      </c>
      <c r="D2341" s="14" t="s">
        <v>3047</v>
      </c>
      <c r="E2341" s="22" t="s">
        <v>3281</v>
      </c>
      <c r="F2341" s="37"/>
      <c r="G2341" s="396" t="s">
        <v>3282</v>
      </c>
      <c r="H2341" s="8"/>
      <c r="I2341" s="35"/>
      <c r="J2341" s="108">
        <v>5</v>
      </c>
      <c r="K2341" s="958">
        <v>3.99</v>
      </c>
      <c r="L2341" s="39">
        <f>K2341*J2341</f>
        <v>19.950000000000003</v>
      </c>
      <c r="M2341" s="117" t="s">
        <v>349</v>
      </c>
      <c r="N2341" s="33">
        <v>44841</v>
      </c>
      <c r="O2341" s="32">
        <v>4627</v>
      </c>
      <c r="P2341" s="391">
        <f>ROUNDUP(S2341/V2341/VLOOKUP(B2341,$C$2:$F$6,3,FALSE),2)</f>
        <v>2.5599999999999996</v>
      </c>
      <c r="Q2341" s="322">
        <v>2.56</v>
      </c>
      <c r="R2341" s="322">
        <f>Q2341*J2341</f>
        <v>12.8</v>
      </c>
      <c r="S2341" s="7">
        <v>215</v>
      </c>
      <c r="T2341" s="7">
        <f>S2341*J2341</f>
        <v>1075</v>
      </c>
      <c r="U2341" s="39"/>
      <c r="V2341" s="260">
        <v>120</v>
      </c>
    </row>
    <row r="2342" spans="2:22" s="7" customFormat="1" ht="15">
      <c r="B2342" s="12"/>
      <c r="C2342" s="6" t="s">
        <v>3277</v>
      </c>
      <c r="D2342" s="14" t="s">
        <v>3047</v>
      </c>
      <c r="E2342" s="22"/>
      <c r="F2342" s="102"/>
      <c r="G2342" s="22" t="s">
        <v>316</v>
      </c>
      <c r="H2342" s="8"/>
      <c r="I2342" s="35"/>
      <c r="J2342" s="38">
        <v>1</v>
      </c>
      <c r="K2342" s="39">
        <v>12</v>
      </c>
      <c r="L2342" s="39">
        <f>K2342*J2342</f>
        <v>12</v>
      </c>
      <c r="M2342" s="91"/>
      <c r="N2342" s="33">
        <v>44841</v>
      </c>
      <c r="O2342" s="32">
        <v>4627</v>
      </c>
      <c r="P2342" s="6"/>
      <c r="Q2342" s="322">
        <v>12</v>
      </c>
      <c r="R2342" s="322">
        <f>Q2342*J2342</f>
        <v>12</v>
      </c>
      <c r="S2342" s="92">
        <v>900</v>
      </c>
      <c r="T2342" s="7">
        <f>S2342*J2342</f>
        <v>900</v>
      </c>
      <c r="U2342" s="21"/>
      <c r="V2342" s="260">
        <v>120</v>
      </c>
    </row>
    <row r="2343" spans="2:22" s="191" customFormat="1" ht="15">
      <c r="B2343" s="190"/>
      <c r="C2343" s="179" t="s">
        <v>3277</v>
      </c>
      <c r="D2343" s="180" t="s">
        <v>3047</v>
      </c>
      <c r="E2343" s="181"/>
      <c r="F2343" s="622"/>
      <c r="G2343" s="182" t="s">
        <v>250</v>
      </c>
      <c r="H2343" s="184" t="s">
        <v>251</v>
      </c>
      <c r="I2343" s="185"/>
      <c r="J2343" s="183"/>
      <c r="K2343" s="192">
        <v>0</v>
      </c>
      <c r="L2343" s="188"/>
      <c r="M2343" s="187"/>
      <c r="N2343" s="187">
        <v>44841</v>
      </c>
      <c r="O2343" s="186">
        <v>4627</v>
      </c>
      <c r="P2343" s="179"/>
      <c r="Q2343" s="725">
        <v>0</v>
      </c>
      <c r="S2343" s="197">
        <v>0</v>
      </c>
      <c r="T2343" s="198">
        <v>0</v>
      </c>
      <c r="U2343" s="335"/>
      <c r="V2343" s="260">
        <v>120</v>
      </c>
    </row>
    <row r="2344" spans="2:22" customFormat="1" ht="18" customHeight="1">
      <c r="B2344" s="26"/>
      <c r="C2344" s="6" t="s">
        <v>3283</v>
      </c>
      <c r="D2344" s="14" t="s">
        <v>3086</v>
      </c>
      <c r="E2344" s="19" t="s">
        <v>59</v>
      </c>
      <c r="F2344" s="107"/>
      <c r="G2344" s="22"/>
      <c r="H2344" s="108"/>
      <c r="I2344" s="109"/>
      <c r="J2344" s="108"/>
      <c r="K2344" s="110" t="s">
        <v>5</v>
      </c>
      <c r="L2344" s="33"/>
      <c r="M2344" s="33"/>
      <c r="N2344" s="33">
        <v>44846</v>
      </c>
      <c r="O2344" s="32">
        <v>4630</v>
      </c>
      <c r="P2344" s="14"/>
      <c r="Q2344" s="254"/>
      <c r="R2344" s="1"/>
      <c r="S2344" s="261"/>
      <c r="T2344" s="92"/>
      <c r="U2344" s="264"/>
      <c r="V2344" s="260">
        <v>120</v>
      </c>
    </row>
    <row r="2345" spans="2:22" customFormat="1" ht="18" customHeight="1">
      <c r="B2345" s="12" t="s">
        <v>302</v>
      </c>
      <c r="C2345" s="6" t="s">
        <v>3283</v>
      </c>
      <c r="D2345" s="14" t="s">
        <v>3086</v>
      </c>
      <c r="E2345" s="22">
        <v>2440</v>
      </c>
      <c r="F2345" s="107">
        <v>140</v>
      </c>
      <c r="G2345" s="22" t="s">
        <v>3284</v>
      </c>
      <c r="H2345" s="60">
        <v>58</v>
      </c>
      <c r="I2345" s="61">
        <v>2</v>
      </c>
      <c r="J2345" s="60">
        <f>H2345*I2345</f>
        <v>116</v>
      </c>
      <c r="K2345" s="39">
        <v>3.89</v>
      </c>
      <c r="L2345" s="39">
        <f>K2345*J2345</f>
        <v>451.24</v>
      </c>
      <c r="M2345" s="117" t="s">
        <v>323</v>
      </c>
      <c r="N2345" s="33">
        <v>44846</v>
      </c>
      <c r="O2345" s="32">
        <v>4630</v>
      </c>
      <c r="P2345" s="391">
        <f>ROUNDUP(S2345/V2345/VLOOKUP(B2345,$C$2:$F$6,3,FALSE),2)</f>
        <v>2.6599999999999997</v>
      </c>
      <c r="Q2345" s="254">
        <v>2.66</v>
      </c>
      <c r="R2345" s="323">
        <f>Q2345*J2345</f>
        <v>308.56</v>
      </c>
      <c r="S2345" s="273">
        <v>280</v>
      </c>
      <c r="T2345" s="287">
        <f>S2345*J2345</f>
        <v>32480</v>
      </c>
      <c r="U2345" s="264"/>
      <c r="V2345" s="260">
        <v>120</v>
      </c>
    </row>
    <row r="2346" spans="2:22" s="7" customFormat="1" ht="18" customHeight="1">
      <c r="B2346" s="12"/>
      <c r="C2346" s="6" t="s">
        <v>3283</v>
      </c>
      <c r="D2346" s="14" t="s">
        <v>3086</v>
      </c>
      <c r="E2346" s="22"/>
      <c r="F2346" s="340"/>
      <c r="G2346" s="22" t="s">
        <v>316</v>
      </c>
      <c r="H2346" s="8"/>
      <c r="I2346" s="109" ph="1"/>
      <c r="J2346" s="38">
        <v>1</v>
      </c>
      <c r="K2346" s="39">
        <v>20</v>
      </c>
      <c r="L2346" s="39">
        <f>K2346*J2346</f>
        <v>20</v>
      </c>
      <c r="M2346" s="91"/>
      <c r="N2346" s="33">
        <v>44846</v>
      </c>
      <c r="O2346" s="32">
        <v>4630</v>
      </c>
      <c r="P2346" s="6"/>
      <c r="Q2346" s="322">
        <v>20</v>
      </c>
      <c r="R2346" s="322">
        <v>20</v>
      </c>
      <c r="S2346" s="7">
        <f>900+900</f>
        <v>1800</v>
      </c>
      <c r="T2346" s="7">
        <f>900+900</f>
        <v>1800</v>
      </c>
      <c r="U2346" s="21"/>
      <c r="V2346" s="260">
        <v>120</v>
      </c>
    </row>
    <row r="2347" spans="2:22" s="191" customFormat="1" ht="18" customHeight="1">
      <c r="B2347" s="190"/>
      <c r="C2347" s="179" t="s">
        <v>3283</v>
      </c>
      <c r="D2347" s="180" t="s">
        <v>3086</v>
      </c>
      <c r="E2347" s="181"/>
      <c r="F2347" s="182"/>
      <c r="G2347" s="182" t="s">
        <v>250</v>
      </c>
      <c r="H2347" s="184" t="s">
        <v>252</v>
      </c>
      <c r="I2347" s="185"/>
      <c r="J2347" s="183"/>
      <c r="K2347" s="333">
        <v>65</v>
      </c>
      <c r="L2347" s="333">
        <v>65</v>
      </c>
      <c r="M2347" s="187"/>
      <c r="N2347" s="187">
        <v>44846</v>
      </c>
      <c r="O2347" s="186">
        <v>4630</v>
      </c>
      <c r="P2347" s="179"/>
      <c r="Q2347" s="333">
        <v>65</v>
      </c>
      <c r="R2347" s="333">
        <v>65</v>
      </c>
      <c r="S2347" s="197">
        <v>7799</v>
      </c>
      <c r="T2347" s="197">
        <v>7799</v>
      </c>
      <c r="U2347" s="335"/>
      <c r="V2347" s="260">
        <v>120</v>
      </c>
    </row>
    <row r="2348" spans="2:22" s="7" customFormat="1" ht="15">
      <c r="B2348" s="12"/>
      <c r="C2348" s="6" t="s">
        <v>3285</v>
      </c>
      <c r="D2348" s="14" t="s">
        <v>2416</v>
      </c>
      <c r="E2348" s="19" t="s">
        <v>3261</v>
      </c>
      <c r="F2348" s="24"/>
      <c r="G2348" s="22"/>
      <c r="H2348" s="60"/>
      <c r="I2348" s="61"/>
      <c r="J2348" s="8"/>
      <c r="K2348" s="110" t="s">
        <v>5</v>
      </c>
      <c r="L2348" s="139"/>
      <c r="M2348" s="33"/>
      <c r="N2348" s="33">
        <v>44848</v>
      </c>
      <c r="O2348" s="32">
        <v>4635</v>
      </c>
      <c r="P2348" s="6" t="s">
        <v>8</v>
      </c>
      <c r="Q2348" s="358"/>
      <c r="U2348" s="120"/>
      <c r="V2348" s="260">
        <v>120</v>
      </c>
    </row>
    <row r="2349" spans="2:22" s="7" customFormat="1" ht="18" customHeight="1">
      <c r="B2349" s="12" t="s">
        <v>300</v>
      </c>
      <c r="C2349" s="6" t="s">
        <v>3285</v>
      </c>
      <c r="D2349" s="14" t="s">
        <v>2416</v>
      </c>
      <c r="E2349" s="22" t="s">
        <v>3262</v>
      </c>
      <c r="F2349" s="37" t="s">
        <v>359</v>
      </c>
      <c r="G2349" s="22" t="s">
        <v>3263</v>
      </c>
      <c r="H2349" s="8">
        <v>50</v>
      </c>
      <c r="I2349" s="35">
        <v>1</v>
      </c>
      <c r="J2349" s="108">
        <f t="shared" ref="J2349:J2354" si="147">H2349*I2349</f>
        <v>50</v>
      </c>
      <c r="K2349" s="958">
        <v>0.23</v>
      </c>
      <c r="L2349" s="39">
        <f t="shared" ref="L2349:L2355" si="148">K2349*J2349</f>
        <v>11.5</v>
      </c>
      <c r="M2349" s="117" t="s">
        <v>349</v>
      </c>
      <c r="N2349" s="33">
        <v>44848</v>
      </c>
      <c r="O2349" s="32">
        <v>4635</v>
      </c>
      <c r="P2349" s="391">
        <f t="shared" ref="P2349:P2354" si="149">ROUNDUP(S2349/V2349/VLOOKUP(B2349,$C$2:$F$6,3,FALSE),2)</f>
        <v>9.9999999999999992E-2</v>
      </c>
      <c r="Q2349" s="322">
        <v>0.1</v>
      </c>
      <c r="R2349" s="322">
        <f t="shared" ref="R2349:R2354" si="150">Q2349*J2349</f>
        <v>5</v>
      </c>
      <c r="S2349" s="7">
        <v>8.3000000000000007</v>
      </c>
      <c r="T2349" s="7">
        <f t="shared" ref="T2349:T2355" si="151">S2349*J2349</f>
        <v>415.00000000000006</v>
      </c>
      <c r="U2349" s="39"/>
      <c r="V2349" s="260">
        <v>120</v>
      </c>
    </row>
    <row r="2350" spans="2:22" s="7" customFormat="1" ht="18" customHeight="1">
      <c r="B2350" s="12" t="s">
        <v>300</v>
      </c>
      <c r="C2350" s="6" t="s">
        <v>3285</v>
      </c>
      <c r="D2350" s="14" t="s">
        <v>2416</v>
      </c>
      <c r="E2350" s="22" t="s">
        <v>3262</v>
      </c>
      <c r="F2350" s="37" t="s">
        <v>359</v>
      </c>
      <c r="G2350" s="22" t="s">
        <v>3286</v>
      </c>
      <c r="H2350" s="8">
        <v>50</v>
      </c>
      <c r="I2350" s="35">
        <v>1</v>
      </c>
      <c r="J2350" s="108">
        <f t="shared" si="147"/>
        <v>50</v>
      </c>
      <c r="K2350" s="958">
        <v>0.23</v>
      </c>
      <c r="L2350" s="39">
        <f t="shared" si="148"/>
        <v>11.5</v>
      </c>
      <c r="M2350" s="117" t="s">
        <v>349</v>
      </c>
      <c r="N2350" s="33">
        <v>44848</v>
      </c>
      <c r="O2350" s="32">
        <v>4635</v>
      </c>
      <c r="P2350" s="391">
        <f t="shared" si="149"/>
        <v>9.9999999999999992E-2</v>
      </c>
      <c r="Q2350" s="322">
        <v>0.1</v>
      </c>
      <c r="R2350" s="322">
        <f t="shared" si="150"/>
        <v>5</v>
      </c>
      <c r="S2350" s="7">
        <v>8.3000000000000007</v>
      </c>
      <c r="T2350" s="7">
        <f t="shared" si="151"/>
        <v>415.00000000000006</v>
      </c>
      <c r="U2350" s="39"/>
      <c r="V2350" s="260">
        <v>120</v>
      </c>
    </row>
    <row r="2351" spans="2:22" s="7" customFormat="1" ht="18" customHeight="1">
      <c r="B2351" s="12" t="s">
        <v>300</v>
      </c>
      <c r="C2351" s="6" t="s">
        <v>3285</v>
      </c>
      <c r="D2351" s="14" t="s">
        <v>2416</v>
      </c>
      <c r="E2351" s="22" t="s">
        <v>3262</v>
      </c>
      <c r="F2351" s="37" t="s">
        <v>359</v>
      </c>
      <c r="G2351" s="22" t="s">
        <v>3287</v>
      </c>
      <c r="H2351" s="8">
        <v>50</v>
      </c>
      <c r="I2351" s="35">
        <v>1</v>
      </c>
      <c r="J2351" s="108">
        <f t="shared" si="147"/>
        <v>50</v>
      </c>
      <c r="K2351" s="958">
        <v>0.23</v>
      </c>
      <c r="L2351" s="39">
        <f t="shared" si="148"/>
        <v>11.5</v>
      </c>
      <c r="M2351" s="117" t="s">
        <v>349</v>
      </c>
      <c r="N2351" s="33">
        <v>44848</v>
      </c>
      <c r="O2351" s="32">
        <v>4635</v>
      </c>
      <c r="P2351" s="391">
        <f t="shared" si="149"/>
        <v>9.9999999999999992E-2</v>
      </c>
      <c r="Q2351" s="322">
        <v>0.1</v>
      </c>
      <c r="R2351" s="322">
        <f t="shared" si="150"/>
        <v>5</v>
      </c>
      <c r="S2351" s="7">
        <v>8.3000000000000007</v>
      </c>
      <c r="T2351" s="7">
        <f t="shared" si="151"/>
        <v>415.00000000000006</v>
      </c>
      <c r="U2351" s="39"/>
      <c r="V2351" s="260">
        <v>120</v>
      </c>
    </row>
    <row r="2352" spans="2:22" s="7" customFormat="1" ht="18" customHeight="1">
      <c r="B2352" s="12" t="s">
        <v>300</v>
      </c>
      <c r="C2352" s="6" t="s">
        <v>3285</v>
      </c>
      <c r="D2352" s="14" t="s">
        <v>2416</v>
      </c>
      <c r="E2352" s="22" t="s">
        <v>3262</v>
      </c>
      <c r="F2352" s="37" t="s">
        <v>359</v>
      </c>
      <c r="G2352" s="22" t="s">
        <v>3288</v>
      </c>
      <c r="H2352" s="8">
        <v>50</v>
      </c>
      <c r="I2352" s="35">
        <v>1</v>
      </c>
      <c r="J2352" s="108">
        <f t="shared" si="147"/>
        <v>50</v>
      </c>
      <c r="K2352" s="958">
        <v>0.23</v>
      </c>
      <c r="L2352" s="39">
        <f t="shared" si="148"/>
        <v>11.5</v>
      </c>
      <c r="M2352" s="117" t="s">
        <v>349</v>
      </c>
      <c r="N2352" s="33">
        <v>44848</v>
      </c>
      <c r="O2352" s="32">
        <v>4635</v>
      </c>
      <c r="P2352" s="391">
        <f t="shared" si="149"/>
        <v>9.9999999999999992E-2</v>
      </c>
      <c r="Q2352" s="322">
        <v>0.1</v>
      </c>
      <c r="R2352" s="322">
        <f t="shared" si="150"/>
        <v>5</v>
      </c>
      <c r="S2352" s="7">
        <v>8.3000000000000007</v>
      </c>
      <c r="T2352" s="7">
        <f t="shared" si="151"/>
        <v>415.00000000000006</v>
      </c>
      <c r="U2352" s="39"/>
      <c r="V2352" s="260">
        <v>120</v>
      </c>
    </row>
    <row r="2353" spans="1:24" s="7" customFormat="1" ht="18" customHeight="1">
      <c r="B2353" s="12" t="s">
        <v>300</v>
      </c>
      <c r="C2353" s="6" t="s">
        <v>3285</v>
      </c>
      <c r="D2353" s="14" t="s">
        <v>2416</v>
      </c>
      <c r="E2353" s="22" t="s">
        <v>3262</v>
      </c>
      <c r="F2353" s="37" t="s">
        <v>359</v>
      </c>
      <c r="G2353" s="37" t="s">
        <v>3264</v>
      </c>
      <c r="H2353" s="8">
        <v>50</v>
      </c>
      <c r="I2353" s="35">
        <v>1</v>
      </c>
      <c r="J2353" s="108">
        <f t="shared" si="147"/>
        <v>50</v>
      </c>
      <c r="K2353" s="958">
        <v>0.23</v>
      </c>
      <c r="L2353" s="39">
        <f t="shared" si="148"/>
        <v>11.5</v>
      </c>
      <c r="M2353" s="117" t="s">
        <v>349</v>
      </c>
      <c r="N2353" s="33">
        <v>44848</v>
      </c>
      <c r="O2353" s="32">
        <v>4635</v>
      </c>
      <c r="P2353" s="391">
        <f t="shared" si="149"/>
        <v>9.9999999999999992E-2</v>
      </c>
      <c r="Q2353" s="322">
        <v>0.1</v>
      </c>
      <c r="R2353" s="322">
        <f t="shared" si="150"/>
        <v>5</v>
      </c>
      <c r="S2353" s="7">
        <v>8.3000000000000007</v>
      </c>
      <c r="T2353" s="7">
        <f t="shared" si="151"/>
        <v>415.00000000000006</v>
      </c>
      <c r="U2353" s="39"/>
      <c r="V2353" s="260">
        <v>120</v>
      </c>
    </row>
    <row r="2354" spans="1:24" s="7" customFormat="1" ht="18" customHeight="1">
      <c r="B2354" s="12" t="s">
        <v>300</v>
      </c>
      <c r="C2354" s="6" t="s">
        <v>3285</v>
      </c>
      <c r="D2354" s="14" t="s">
        <v>2416</v>
      </c>
      <c r="E2354" s="22" t="s">
        <v>3262</v>
      </c>
      <c r="F2354" s="37" t="s">
        <v>359</v>
      </c>
      <c r="G2354" s="22" t="s">
        <v>3289</v>
      </c>
      <c r="H2354" s="8">
        <v>50</v>
      </c>
      <c r="I2354" s="35">
        <v>1</v>
      </c>
      <c r="J2354" s="108">
        <f t="shared" si="147"/>
        <v>50</v>
      </c>
      <c r="K2354" s="958">
        <v>0.23</v>
      </c>
      <c r="L2354" s="39">
        <f t="shared" si="148"/>
        <v>11.5</v>
      </c>
      <c r="M2354" s="117" t="s">
        <v>349</v>
      </c>
      <c r="N2354" s="33">
        <v>44848</v>
      </c>
      <c r="O2354" s="32">
        <v>4635</v>
      </c>
      <c r="P2354" s="391">
        <f t="shared" si="149"/>
        <v>9.9999999999999992E-2</v>
      </c>
      <c r="Q2354" s="322">
        <v>0.1</v>
      </c>
      <c r="R2354" s="322">
        <f t="shared" si="150"/>
        <v>5</v>
      </c>
      <c r="S2354" s="7">
        <v>8.3000000000000007</v>
      </c>
      <c r="T2354" s="7">
        <f t="shared" si="151"/>
        <v>415.00000000000006</v>
      </c>
      <c r="U2354" s="39"/>
      <c r="V2354" s="260">
        <v>120</v>
      </c>
    </row>
    <row r="2355" spans="1:24" s="7" customFormat="1" ht="18" customHeight="1">
      <c r="B2355" s="12"/>
      <c r="C2355" s="6" t="s">
        <v>3285</v>
      </c>
      <c r="D2355" s="14" t="s">
        <v>2416</v>
      </c>
      <c r="E2355" s="22"/>
      <c r="F2355" s="340"/>
      <c r="G2355" s="22" t="s">
        <v>316</v>
      </c>
      <c r="H2355" s="8"/>
      <c r="I2355" s="109" ph="1"/>
      <c r="J2355" s="38">
        <v>1</v>
      </c>
      <c r="K2355" s="39">
        <v>12</v>
      </c>
      <c r="L2355" s="39">
        <f t="shared" si="148"/>
        <v>12</v>
      </c>
      <c r="M2355" s="91"/>
      <c r="N2355" s="33">
        <v>44848</v>
      </c>
      <c r="O2355" s="32">
        <v>4635</v>
      </c>
      <c r="P2355" s="6"/>
      <c r="Q2355" s="322">
        <v>12</v>
      </c>
      <c r="R2355" s="322">
        <v>12</v>
      </c>
      <c r="S2355" s="7">
        <v>1100</v>
      </c>
      <c r="T2355" s="7">
        <f t="shared" si="151"/>
        <v>1100</v>
      </c>
      <c r="U2355" s="21"/>
      <c r="V2355" s="260">
        <v>120</v>
      </c>
    </row>
    <row r="2356" spans="1:24" s="218" customFormat="1" ht="18" customHeight="1">
      <c r="A2356" s="7"/>
      <c r="B2356" s="189"/>
      <c r="C2356" s="179" t="s">
        <v>3285</v>
      </c>
      <c r="D2356" s="180" t="s">
        <v>2416</v>
      </c>
      <c r="E2356" s="217"/>
      <c r="F2356" s="182"/>
      <c r="G2356" s="182" t="s">
        <v>250</v>
      </c>
      <c r="H2356" s="184" t="s">
        <v>251</v>
      </c>
      <c r="I2356" s="185"/>
      <c r="J2356" s="183"/>
      <c r="K2356" s="192">
        <v>0</v>
      </c>
      <c r="L2356" s="946"/>
      <c r="M2356" s="947"/>
      <c r="N2356" s="187">
        <v>44848</v>
      </c>
      <c r="O2356" s="186">
        <v>4635</v>
      </c>
      <c r="P2356" s="179"/>
      <c r="Q2356" s="322">
        <v>0</v>
      </c>
      <c r="S2356" s="197">
        <v>0</v>
      </c>
      <c r="T2356" s="197">
        <v>0</v>
      </c>
      <c r="U2356" s="335"/>
      <c r="V2356" s="260">
        <v>120</v>
      </c>
    </row>
    <row r="2357" spans="1:24" s="7" customFormat="1" ht="18" customHeight="1">
      <c r="B2357" s="12"/>
      <c r="C2357" s="6" t="s">
        <v>3290</v>
      </c>
      <c r="D2357" s="14" t="s">
        <v>2004</v>
      </c>
      <c r="E2357" s="19" t="s">
        <v>2358</v>
      </c>
      <c r="F2357" s="24"/>
      <c r="G2357" s="22"/>
      <c r="H2357" s="60"/>
      <c r="I2357" s="61"/>
      <c r="J2357" s="60"/>
      <c r="K2357" s="16" t="s">
        <v>5</v>
      </c>
      <c r="L2357" s="139"/>
      <c r="M2357" s="33"/>
      <c r="N2357" s="33">
        <v>44858</v>
      </c>
      <c r="O2357" s="32">
        <v>4664</v>
      </c>
      <c r="P2357" s="6" t="s">
        <v>3</v>
      </c>
      <c r="Q2357" s="358"/>
      <c r="U2357" s="120"/>
      <c r="V2357" s="260">
        <v>120</v>
      </c>
    </row>
    <row r="2358" spans="1:24" s="7" customFormat="1" ht="18" customHeight="1">
      <c r="B2358" s="12" t="s">
        <v>300</v>
      </c>
      <c r="C2358" s="6" t="s">
        <v>3290</v>
      </c>
      <c r="D2358" s="14" t="s">
        <v>2004</v>
      </c>
      <c r="E2358" s="22" t="s">
        <v>3291</v>
      </c>
      <c r="F2358" s="24"/>
      <c r="G2358" s="22" t="s">
        <v>3292</v>
      </c>
      <c r="H2358" s="108"/>
      <c r="I2358" s="109"/>
      <c r="J2358" s="8">
        <v>25</v>
      </c>
      <c r="K2358" s="39">
        <v>2.4500000000000002</v>
      </c>
      <c r="L2358" s="39">
        <f>K2358*J2358</f>
        <v>61.250000000000007</v>
      </c>
      <c r="M2358" s="117" t="s">
        <v>349</v>
      </c>
      <c r="N2358" s="33">
        <v>44858</v>
      </c>
      <c r="O2358" s="32">
        <v>4664</v>
      </c>
      <c r="P2358" s="391">
        <f>ROUNDUP(S2358/V2358/VLOOKUP(B2358,$C$2:$F$6,3,FALSE),2)</f>
        <v>0.74</v>
      </c>
      <c r="Q2358" s="322">
        <v>0.74</v>
      </c>
      <c r="R2358" s="322">
        <f>Q2358*J2358</f>
        <v>18.5</v>
      </c>
      <c r="S2358" s="7">
        <v>62</v>
      </c>
      <c r="T2358" s="7">
        <f>S2358*J2358</f>
        <v>1550</v>
      </c>
      <c r="U2358" s="386"/>
      <c r="V2358" s="260">
        <v>120</v>
      </c>
    </row>
    <row r="2359" spans="1:24" s="7" customFormat="1" ht="18" customHeight="1">
      <c r="B2359" s="12" t="s">
        <v>300</v>
      </c>
      <c r="C2359" s="6" t="s">
        <v>3290</v>
      </c>
      <c r="D2359" s="14" t="s">
        <v>2004</v>
      </c>
      <c r="E2359" s="22" t="s">
        <v>3291</v>
      </c>
      <c r="F2359" s="24"/>
      <c r="G2359" s="22" t="s">
        <v>3293</v>
      </c>
      <c r="H2359" s="108"/>
      <c r="I2359" s="109"/>
      <c r="J2359" s="8">
        <v>25</v>
      </c>
      <c r="K2359" s="39">
        <v>2.4500000000000002</v>
      </c>
      <c r="L2359" s="39">
        <f>K2359*J2359</f>
        <v>61.250000000000007</v>
      </c>
      <c r="M2359" s="117" t="s">
        <v>349</v>
      </c>
      <c r="N2359" s="33">
        <v>44858</v>
      </c>
      <c r="O2359" s="32">
        <v>4664</v>
      </c>
      <c r="P2359" s="391">
        <f>ROUNDUP(S2359/V2359/VLOOKUP(B2359,$C$2:$F$6,3,FALSE),2)</f>
        <v>0.74</v>
      </c>
      <c r="Q2359" s="322">
        <v>0.74</v>
      </c>
      <c r="R2359" s="322">
        <f>Q2359*J2359</f>
        <v>18.5</v>
      </c>
      <c r="S2359" s="7">
        <v>62</v>
      </c>
      <c r="T2359" s="7">
        <f>S2359*J2359</f>
        <v>1550</v>
      </c>
      <c r="U2359" s="386"/>
      <c r="V2359" s="260">
        <v>120</v>
      </c>
    </row>
    <row r="2360" spans="1:24" s="7" customFormat="1" ht="18" customHeight="1">
      <c r="B2360" s="12" t="s">
        <v>300</v>
      </c>
      <c r="C2360" s="6" t="s">
        <v>3290</v>
      </c>
      <c r="D2360" s="14" t="s">
        <v>2004</v>
      </c>
      <c r="E2360" s="22" t="s">
        <v>3291</v>
      </c>
      <c r="F2360" s="24"/>
      <c r="G2360" s="22" t="s">
        <v>3294</v>
      </c>
      <c r="H2360" s="108"/>
      <c r="I2360" s="109"/>
      <c r="J2360" s="8">
        <v>25</v>
      </c>
      <c r="K2360" s="39">
        <v>2.4500000000000002</v>
      </c>
      <c r="L2360" s="39">
        <f>K2360*J2360</f>
        <v>61.250000000000007</v>
      </c>
      <c r="M2360" s="117" t="s">
        <v>349</v>
      </c>
      <c r="N2360" s="33">
        <v>44858</v>
      </c>
      <c r="O2360" s="32">
        <v>4664</v>
      </c>
      <c r="P2360" s="391">
        <f>ROUNDUP(S2360/V2360/VLOOKUP(B2360,$C$2:$F$6,3,FALSE),2)</f>
        <v>0.74</v>
      </c>
      <c r="Q2360" s="322">
        <v>0.74</v>
      </c>
      <c r="R2360" s="322">
        <f>Q2360*J2360</f>
        <v>18.5</v>
      </c>
      <c r="S2360" s="7">
        <v>62</v>
      </c>
      <c r="T2360" s="7">
        <f>S2360*J2360</f>
        <v>1550</v>
      </c>
      <c r="U2360" s="386"/>
      <c r="V2360" s="260">
        <v>120</v>
      </c>
    </row>
    <row r="2361" spans="1:24" s="7" customFormat="1" ht="18" customHeight="1">
      <c r="B2361" s="12" t="s">
        <v>306</v>
      </c>
      <c r="C2361" s="6" t="s">
        <v>3290</v>
      </c>
      <c r="D2361" s="14" t="s">
        <v>2004</v>
      </c>
      <c r="E2361" s="22"/>
      <c r="F2361" s="340"/>
      <c r="G2361" s="22" t="s">
        <v>167</v>
      </c>
      <c r="H2361" s="8"/>
      <c r="I2361" s="109" ph="1"/>
      <c r="J2361" s="38">
        <v>3</v>
      </c>
      <c r="K2361" s="39">
        <v>125</v>
      </c>
      <c r="L2361" s="39">
        <f>K2361*J2361</f>
        <v>375</v>
      </c>
      <c r="M2361" s="91"/>
      <c r="N2361" s="33">
        <v>44858</v>
      </c>
      <c r="O2361" s="32">
        <v>4664</v>
      </c>
      <c r="P2361" s="391">
        <f>ROUNDUP(S2361/V2361/VLOOKUP(B2361,$C$2:$F$6,3,FALSE),2)</f>
        <v>66.290000000000006</v>
      </c>
      <c r="Q2361" s="322">
        <f>P2361*3</f>
        <v>198.87</v>
      </c>
      <c r="R2361" s="322">
        <v>198.87</v>
      </c>
      <c r="S2361" s="7">
        <v>7000</v>
      </c>
      <c r="T2361" s="7">
        <f>S2361*J2361</f>
        <v>21000</v>
      </c>
      <c r="U2361" s="21"/>
      <c r="V2361" s="260">
        <v>120</v>
      </c>
    </row>
    <row r="2362" spans="1:24" s="7" customFormat="1" ht="18" customHeight="1">
      <c r="B2362" s="12"/>
      <c r="C2362" s="6" t="s">
        <v>3290</v>
      </c>
      <c r="D2362" s="14" t="s">
        <v>2004</v>
      </c>
      <c r="E2362" s="22"/>
      <c r="F2362" s="340"/>
      <c r="G2362" s="22" t="s">
        <v>316</v>
      </c>
      <c r="H2362" s="8"/>
      <c r="I2362" s="109" ph="1"/>
      <c r="J2362" s="38">
        <v>1</v>
      </c>
      <c r="K2362" s="39">
        <v>12</v>
      </c>
      <c r="L2362" s="39">
        <f>K2362*J2362</f>
        <v>12</v>
      </c>
      <c r="M2362" s="91"/>
      <c r="N2362" s="33">
        <v>44858</v>
      </c>
      <c r="O2362" s="32">
        <v>4664</v>
      </c>
      <c r="P2362" s="6"/>
      <c r="Q2362" s="322">
        <v>12</v>
      </c>
      <c r="R2362" s="322">
        <v>12</v>
      </c>
      <c r="S2362" s="7">
        <v>0</v>
      </c>
      <c r="T2362" s="7">
        <f>S2362*J2362</f>
        <v>0</v>
      </c>
      <c r="U2362" s="21"/>
      <c r="V2362" s="260">
        <v>120</v>
      </c>
    </row>
    <row r="2363" spans="1:24" s="191" customFormat="1" ht="18" customHeight="1">
      <c r="B2363" s="190"/>
      <c r="C2363" s="179" t="s">
        <v>3290</v>
      </c>
      <c r="D2363" s="180" t="s">
        <v>2004</v>
      </c>
      <c r="E2363" s="181"/>
      <c r="F2363" s="182"/>
      <c r="G2363" s="182" t="s">
        <v>250</v>
      </c>
      <c r="H2363" s="184" t="s">
        <v>251</v>
      </c>
      <c r="I2363" s="185"/>
      <c r="J2363" s="183"/>
      <c r="K2363" s="192">
        <v>0</v>
      </c>
      <c r="L2363" s="946"/>
      <c r="M2363" s="947"/>
      <c r="N2363" s="187">
        <v>44858</v>
      </c>
      <c r="O2363" s="186">
        <v>4664</v>
      </c>
      <c r="P2363" s="179"/>
      <c r="Q2363" s="322">
        <v>0</v>
      </c>
      <c r="R2363" s="218"/>
      <c r="S2363" s="197">
        <v>0</v>
      </c>
      <c r="T2363" s="197">
        <v>0</v>
      </c>
      <c r="U2363" s="335"/>
      <c r="V2363" s="260">
        <v>120</v>
      </c>
      <c r="X2363" s="218"/>
    </row>
    <row r="2364" spans="1:24" s="7" customFormat="1" ht="18" customHeight="1">
      <c r="B2364" s="12"/>
      <c r="C2364" s="6" t="s">
        <v>3295</v>
      </c>
      <c r="D2364" s="14" t="s">
        <v>2059</v>
      </c>
      <c r="E2364" s="19" t="s">
        <v>3092</v>
      </c>
      <c r="F2364" s="37"/>
      <c r="G2364" s="37"/>
      <c r="H2364" s="108"/>
      <c r="I2364" s="108"/>
      <c r="J2364" s="108"/>
      <c r="K2364" s="29" t="s">
        <v>5</v>
      </c>
      <c r="L2364" s="139"/>
      <c r="M2364" s="33"/>
      <c r="N2364" s="33">
        <v>44859</v>
      </c>
      <c r="O2364" s="32">
        <v>4679</v>
      </c>
      <c r="P2364" s="6"/>
      <c r="Q2364" s="339"/>
      <c r="U2364" s="21"/>
      <c r="V2364" s="260">
        <v>120</v>
      </c>
    </row>
    <row r="2365" spans="1:24" s="7" customFormat="1" ht="18" customHeight="1">
      <c r="B2365" s="12" t="s">
        <v>300</v>
      </c>
      <c r="C2365" s="6" t="s">
        <v>3296</v>
      </c>
      <c r="D2365" s="14" t="s">
        <v>2059</v>
      </c>
      <c r="E2365" s="22">
        <v>5634</v>
      </c>
      <c r="F2365" s="37" t="s">
        <v>311</v>
      </c>
      <c r="G2365" s="396" t="s">
        <v>3297</v>
      </c>
      <c r="H2365" s="108">
        <v>50</v>
      </c>
      <c r="I2365" s="109">
        <v>90</v>
      </c>
      <c r="J2365" s="8">
        <f>H2365*I2365</f>
        <v>4500</v>
      </c>
      <c r="K2365" s="39">
        <v>0.31</v>
      </c>
      <c r="L2365" s="39">
        <f>K2365*J2365</f>
        <v>1395</v>
      </c>
      <c r="M2365" s="117" t="s">
        <v>349</v>
      </c>
      <c r="N2365" s="33">
        <v>44859</v>
      </c>
      <c r="O2365" s="32">
        <v>4679</v>
      </c>
      <c r="P2365" s="391">
        <f>ROUNDUP(S2365/V2365/VLOOKUP(B2365,$C$2:$F$6,3,FALSE),2)</f>
        <v>0.2</v>
      </c>
      <c r="Q2365" s="322">
        <v>0.2</v>
      </c>
      <c r="R2365" s="322">
        <f>Q2365*J2365</f>
        <v>900</v>
      </c>
      <c r="S2365" s="7">
        <v>16.3</v>
      </c>
      <c r="T2365" s="92">
        <f>S2365*J2365</f>
        <v>73350</v>
      </c>
      <c r="U2365" s="778"/>
      <c r="V2365" s="260">
        <v>120</v>
      </c>
    </row>
    <row r="2366" spans="1:24" s="7" customFormat="1" ht="18" customHeight="1">
      <c r="B2366" s="12" t="s">
        <v>300</v>
      </c>
      <c r="C2366" s="6" t="s">
        <v>3296</v>
      </c>
      <c r="D2366" s="14" t="s">
        <v>2059</v>
      </c>
      <c r="E2366" s="22">
        <v>5634</v>
      </c>
      <c r="F2366" s="37" t="s">
        <v>311</v>
      </c>
      <c r="G2366" s="396" t="s">
        <v>3042</v>
      </c>
      <c r="H2366" s="108">
        <v>50</v>
      </c>
      <c r="I2366" s="109">
        <v>40</v>
      </c>
      <c r="J2366" s="8">
        <f>H2366*I2366</f>
        <v>2000</v>
      </c>
      <c r="K2366" s="39">
        <v>0.31</v>
      </c>
      <c r="L2366" s="39">
        <f>K2366*J2366</f>
        <v>620</v>
      </c>
      <c r="M2366" s="117" t="s">
        <v>349</v>
      </c>
      <c r="N2366" s="33">
        <v>44859</v>
      </c>
      <c r="O2366" s="32">
        <v>4679</v>
      </c>
      <c r="P2366" s="391">
        <f>ROUNDUP(S2366/V2366/VLOOKUP(B2366,$C$2:$F$6,3,FALSE),2)</f>
        <v>0.2</v>
      </c>
      <c r="Q2366" s="322">
        <v>0.2</v>
      </c>
      <c r="R2366" s="322">
        <f>Q2366*J2366</f>
        <v>400</v>
      </c>
      <c r="S2366" s="7">
        <v>16.3</v>
      </c>
      <c r="T2366" s="92">
        <f>S2366*J2366</f>
        <v>32600</v>
      </c>
      <c r="U2366" s="778"/>
      <c r="V2366" s="260">
        <v>120</v>
      </c>
    </row>
    <row r="2367" spans="1:24" s="7" customFormat="1" ht="18" customHeight="1">
      <c r="B2367" s="12"/>
      <c r="C2367" s="6" t="s">
        <v>3296</v>
      </c>
      <c r="D2367" s="14" t="s">
        <v>2059</v>
      </c>
      <c r="E2367" s="22"/>
      <c r="F2367" s="102"/>
      <c r="G2367" s="22" t="s">
        <v>316</v>
      </c>
      <c r="H2367" s="8"/>
      <c r="I2367" s="35"/>
      <c r="J2367" s="38">
        <v>1</v>
      </c>
      <c r="K2367" s="39">
        <v>12</v>
      </c>
      <c r="L2367" s="39">
        <f>K2367*J2367</f>
        <v>12</v>
      </c>
      <c r="M2367" s="91"/>
      <c r="N2367" s="33">
        <v>44859</v>
      </c>
      <c r="O2367" s="32">
        <v>4679</v>
      </c>
      <c r="P2367" s="6"/>
      <c r="Q2367" s="322">
        <v>12</v>
      </c>
      <c r="R2367" s="322">
        <f>Q2367*J2367</f>
        <v>12</v>
      </c>
      <c r="S2367" s="7">
        <v>1100</v>
      </c>
      <c r="T2367" s="7">
        <f>S2367*J2367</f>
        <v>1100</v>
      </c>
      <c r="U2367" s="21"/>
      <c r="V2367" s="260">
        <v>120</v>
      </c>
    </row>
    <row r="2368" spans="1:24" s="191" customFormat="1" ht="18" customHeight="1">
      <c r="B2368" s="190"/>
      <c r="C2368" s="179" t="s">
        <v>3296</v>
      </c>
      <c r="D2368" s="180" t="s">
        <v>2059</v>
      </c>
      <c r="E2368" s="736"/>
      <c r="F2368" s="737"/>
      <c r="G2368" s="182" t="s">
        <v>250</v>
      </c>
      <c r="H2368" s="184" t="s">
        <v>251</v>
      </c>
      <c r="I2368" s="185"/>
      <c r="J2368" s="183"/>
      <c r="K2368" s="192">
        <v>0</v>
      </c>
      <c r="L2368" s="188"/>
      <c r="M2368" s="187"/>
      <c r="N2368" s="187">
        <v>44859</v>
      </c>
      <c r="O2368" s="186">
        <v>4679</v>
      </c>
      <c r="P2368" s="179"/>
      <c r="Q2368" s="725">
        <v>0</v>
      </c>
      <c r="S2368" s="197">
        <v>0</v>
      </c>
      <c r="T2368" s="198">
        <v>0</v>
      </c>
      <c r="U2368" s="335"/>
      <c r="V2368" s="260">
        <v>120</v>
      </c>
    </row>
    <row r="2369" spans="2:22" s="7" customFormat="1" ht="18" customHeight="1">
      <c r="B2369" s="12"/>
      <c r="C2369" s="6" t="s">
        <v>3298</v>
      </c>
      <c r="D2369" s="14" t="s">
        <v>2059</v>
      </c>
      <c r="E2369" s="19" t="s">
        <v>3299</v>
      </c>
      <c r="F2369" s="37"/>
      <c r="G2369" s="37"/>
      <c r="H2369" s="108"/>
      <c r="I2369" s="108"/>
      <c r="J2369" s="108"/>
      <c r="K2369" s="29" t="s">
        <v>5</v>
      </c>
      <c r="L2369" s="139"/>
      <c r="M2369" s="33"/>
      <c r="N2369" s="33">
        <v>44848</v>
      </c>
      <c r="O2369" s="32">
        <v>4639</v>
      </c>
      <c r="P2369" s="6"/>
      <c r="Q2369" s="339"/>
      <c r="U2369" s="21"/>
      <c r="V2369" s="260">
        <v>120</v>
      </c>
    </row>
    <row r="2370" spans="2:22" s="7" customFormat="1" ht="18" customHeight="1">
      <c r="B2370" s="12" t="s">
        <v>300</v>
      </c>
      <c r="C2370" s="6" t="s">
        <v>3298</v>
      </c>
      <c r="D2370" s="14" t="s">
        <v>2059</v>
      </c>
      <c r="E2370" s="19" t="s">
        <v>3300</v>
      </c>
      <c r="F2370" s="37" t="s">
        <v>3301</v>
      </c>
      <c r="G2370" s="396" t="s">
        <v>3042</v>
      </c>
      <c r="H2370" s="108">
        <v>50</v>
      </c>
      <c r="I2370" s="109">
        <v>1</v>
      </c>
      <c r="J2370" s="8">
        <f>H2370*I2370</f>
        <v>50</v>
      </c>
      <c r="K2370" s="39">
        <v>0.85</v>
      </c>
      <c r="L2370" s="39">
        <f>K2370*J2370</f>
        <v>42.5</v>
      </c>
      <c r="M2370" s="117" t="s">
        <v>349</v>
      </c>
      <c r="N2370" s="33">
        <v>44848</v>
      </c>
      <c r="O2370" s="32">
        <v>4639</v>
      </c>
      <c r="P2370" s="391">
        <f>ROUNDUP(S2370/V2370/VLOOKUP(B2370,$C$2:$F$6,3,FALSE),2)</f>
        <v>0.55000000000000004</v>
      </c>
      <c r="Q2370" s="322">
        <v>0.55000000000000004</v>
      </c>
      <c r="R2370" s="322">
        <f>Q2370*J2370</f>
        <v>27.500000000000004</v>
      </c>
      <c r="S2370" s="7">
        <v>45.5</v>
      </c>
      <c r="T2370" s="92">
        <f>S2370*J2370</f>
        <v>2275</v>
      </c>
      <c r="U2370" s="778"/>
      <c r="V2370" s="260">
        <v>120</v>
      </c>
    </row>
    <row r="2371" spans="2:22" s="7" customFormat="1" ht="18" customHeight="1">
      <c r="B2371" s="12"/>
      <c r="C2371" s="6" t="s">
        <v>3298</v>
      </c>
      <c r="D2371" s="14" t="s">
        <v>2059</v>
      </c>
      <c r="E2371" s="19" t="s">
        <v>3092</v>
      </c>
      <c r="F2371" s="37"/>
      <c r="G2371" s="37"/>
      <c r="H2371" s="108"/>
      <c r="I2371" s="108"/>
      <c r="J2371" s="108"/>
      <c r="K2371" s="29" t="s">
        <v>5</v>
      </c>
      <c r="L2371" s="139"/>
      <c r="M2371" s="33"/>
      <c r="N2371" s="33">
        <v>44848</v>
      </c>
      <c r="O2371" s="32">
        <v>4639</v>
      </c>
      <c r="P2371" s="6"/>
      <c r="Q2371" s="339"/>
      <c r="U2371" s="21"/>
      <c r="V2371" s="260">
        <v>120</v>
      </c>
    </row>
    <row r="2372" spans="2:22" s="7" customFormat="1" ht="18" customHeight="1">
      <c r="B2372" s="12" t="s">
        <v>300</v>
      </c>
      <c r="C2372" s="6" t="s">
        <v>3298</v>
      </c>
      <c r="D2372" s="14" t="s">
        <v>2059</v>
      </c>
      <c r="E2372" s="22">
        <v>5654</v>
      </c>
      <c r="F2372" s="37"/>
      <c r="G2372" s="396" t="s">
        <v>3042</v>
      </c>
      <c r="H2372" s="108">
        <v>50</v>
      </c>
      <c r="I2372" s="109">
        <v>1</v>
      </c>
      <c r="J2372" s="8">
        <f>H2372*I2372</f>
        <v>50</v>
      </c>
      <c r="K2372" s="39">
        <v>0.3</v>
      </c>
      <c r="L2372" s="39">
        <f>K2372*J2372</f>
        <v>15</v>
      </c>
      <c r="M2372" s="117" t="s">
        <v>349</v>
      </c>
      <c r="N2372" s="33">
        <v>44848</v>
      </c>
      <c r="O2372" s="32">
        <v>4639</v>
      </c>
      <c r="P2372" s="391">
        <f>ROUNDUP(S2372/V2372/VLOOKUP(B2372,$C$2:$F$6,3,FALSE),2)</f>
        <v>0.19</v>
      </c>
      <c r="Q2372" s="322">
        <v>0.19</v>
      </c>
      <c r="R2372" s="322">
        <f>Q2372*J2372</f>
        <v>9.5</v>
      </c>
      <c r="S2372" s="7">
        <v>15.8</v>
      </c>
      <c r="T2372" s="92">
        <f>S2372*J2372</f>
        <v>790</v>
      </c>
      <c r="U2372" s="778"/>
      <c r="V2372" s="260">
        <v>120</v>
      </c>
    </row>
    <row r="2373" spans="2:22" s="7" customFormat="1" ht="18" customHeight="1">
      <c r="B2373" s="12" t="s">
        <v>300</v>
      </c>
      <c r="C2373" s="6" t="s">
        <v>3298</v>
      </c>
      <c r="D2373" s="14" t="s">
        <v>2059</v>
      </c>
      <c r="E2373" s="22">
        <v>5657</v>
      </c>
      <c r="F2373" s="37"/>
      <c r="G2373" s="396" t="s">
        <v>3042</v>
      </c>
      <c r="H2373" s="108">
        <v>50</v>
      </c>
      <c r="I2373" s="109">
        <v>1</v>
      </c>
      <c r="J2373" s="8">
        <f>H2373*I2373</f>
        <v>50</v>
      </c>
      <c r="K2373" s="39">
        <v>0.33</v>
      </c>
      <c r="L2373" s="39">
        <f>K2373*J2373</f>
        <v>16.5</v>
      </c>
      <c r="M2373" s="117" t="s">
        <v>349</v>
      </c>
      <c r="N2373" s="33">
        <v>44848</v>
      </c>
      <c r="O2373" s="32">
        <v>4639</v>
      </c>
      <c r="P2373" s="391">
        <f>ROUNDUP(S2373/V2373/VLOOKUP(B2373,$C$2:$F$6,3,FALSE),2)</f>
        <v>0.21000000000000002</v>
      </c>
      <c r="Q2373" s="322">
        <v>0.21</v>
      </c>
      <c r="R2373" s="322">
        <f>Q2373*J2373</f>
        <v>10.5</v>
      </c>
      <c r="S2373" s="7">
        <v>17.600000000000001</v>
      </c>
      <c r="T2373" s="92">
        <f>S2373*J2373</f>
        <v>880.00000000000011</v>
      </c>
      <c r="U2373" s="778"/>
      <c r="V2373" s="260">
        <v>120</v>
      </c>
    </row>
    <row r="2374" spans="2:22" s="7" customFormat="1" ht="18" customHeight="1">
      <c r="B2374" s="12"/>
      <c r="C2374" s="6" t="s">
        <v>3298</v>
      </c>
      <c r="D2374" s="14" t="s">
        <v>2059</v>
      </c>
      <c r="E2374" s="22"/>
      <c r="F2374" s="102"/>
      <c r="G2374" s="22" t="s">
        <v>316</v>
      </c>
      <c r="H2374" s="8"/>
      <c r="I2374" s="35"/>
      <c r="J2374" s="38">
        <v>1</v>
      </c>
      <c r="K2374" s="39">
        <v>12</v>
      </c>
      <c r="L2374" s="39">
        <f>K2374*J2374</f>
        <v>12</v>
      </c>
      <c r="M2374" s="91"/>
      <c r="N2374" s="33">
        <v>44848</v>
      </c>
      <c r="O2374" s="32">
        <v>4639</v>
      </c>
      <c r="P2374" s="6"/>
      <c r="Q2374" s="322">
        <v>12</v>
      </c>
      <c r="R2374" s="322">
        <f>Q2374*J2374</f>
        <v>12</v>
      </c>
      <c r="S2374" s="7">
        <v>0</v>
      </c>
      <c r="T2374" s="7">
        <f>S2374*J2374</f>
        <v>0</v>
      </c>
      <c r="U2374" s="21"/>
      <c r="V2374" s="260">
        <v>120</v>
      </c>
    </row>
    <row r="2375" spans="2:22" s="191" customFormat="1" ht="18" customHeight="1">
      <c r="B2375" s="190"/>
      <c r="C2375" s="179" t="s">
        <v>3298</v>
      </c>
      <c r="D2375" s="180" t="s">
        <v>2059</v>
      </c>
      <c r="E2375" s="736"/>
      <c r="F2375" s="737"/>
      <c r="G2375" s="182" t="s">
        <v>250</v>
      </c>
      <c r="H2375" s="184" t="s">
        <v>251</v>
      </c>
      <c r="I2375" s="185"/>
      <c r="J2375" s="183"/>
      <c r="K2375" s="192">
        <v>0</v>
      </c>
      <c r="L2375" s="188"/>
      <c r="M2375" s="187"/>
      <c r="N2375" s="187">
        <v>44848</v>
      </c>
      <c r="O2375" s="186">
        <v>4639</v>
      </c>
      <c r="P2375" s="179"/>
      <c r="Q2375" s="725">
        <v>0</v>
      </c>
      <c r="S2375" s="197">
        <v>0</v>
      </c>
      <c r="T2375" s="198">
        <v>0</v>
      </c>
      <c r="U2375" s="335"/>
      <c r="V2375" s="260">
        <v>120</v>
      </c>
    </row>
    <row r="2376" spans="2:22" s="7" customFormat="1" ht="17.25" customHeight="1">
      <c r="B2376" s="12"/>
      <c r="C2376" s="6" t="s">
        <v>3302</v>
      </c>
      <c r="D2376" s="14" t="s">
        <v>2156</v>
      </c>
      <c r="E2376" s="19" t="s">
        <v>238</v>
      </c>
      <c r="F2376" s="107"/>
      <c r="G2376" s="22"/>
      <c r="H2376" s="108"/>
      <c r="I2376" s="109"/>
      <c r="J2376" s="108"/>
      <c r="K2376" s="29" t="s">
        <v>5</v>
      </c>
      <c r="L2376" s="139"/>
      <c r="M2376" s="33"/>
      <c r="N2376" s="33">
        <v>44880</v>
      </c>
      <c r="O2376" s="32">
        <v>4722</v>
      </c>
      <c r="P2376" s="14"/>
      <c r="Q2376" s="322"/>
      <c r="U2376" s="14"/>
      <c r="V2376" s="260">
        <v>120</v>
      </c>
    </row>
    <row r="2377" spans="2:22" s="7" customFormat="1" ht="18" customHeight="1">
      <c r="B2377" s="12" t="s">
        <v>302</v>
      </c>
      <c r="C2377" s="6" t="s">
        <v>3302</v>
      </c>
      <c r="D2377" s="14" t="s">
        <v>2156</v>
      </c>
      <c r="E2377" s="22" t="s">
        <v>239</v>
      </c>
      <c r="F2377" s="107">
        <v>150</v>
      </c>
      <c r="G2377" s="37" t="s">
        <v>3303</v>
      </c>
      <c r="H2377" s="108"/>
      <c r="I2377" s="109"/>
      <c r="J2377" s="131">
        <v>225.5</v>
      </c>
      <c r="K2377" s="39">
        <v>5.32</v>
      </c>
      <c r="L2377" s="39">
        <f>K2377*J2377</f>
        <v>1199.6600000000001</v>
      </c>
      <c r="M2377" s="117" t="s">
        <v>349</v>
      </c>
      <c r="N2377" s="33">
        <v>44880</v>
      </c>
      <c r="O2377" s="32">
        <v>4722</v>
      </c>
      <c r="P2377" s="391">
        <f>ROUNDUP(S2377/V2377/VLOOKUP(B2377,$C$2:$F$6,3,FALSE),2)</f>
        <v>4.83</v>
      </c>
      <c r="Q2377" s="322">
        <v>4.83</v>
      </c>
      <c r="R2377" s="322">
        <f>Q2377*J2377</f>
        <v>1089.165</v>
      </c>
      <c r="S2377" s="7">
        <v>510</v>
      </c>
      <c r="T2377" s="7">
        <f>S2377*J2377</f>
        <v>115005</v>
      </c>
      <c r="U2377" s="21"/>
      <c r="V2377" s="260">
        <v>120</v>
      </c>
    </row>
    <row r="2378" spans="2:22" s="7" customFormat="1" ht="15">
      <c r="B2378" s="12"/>
      <c r="C2378" s="6" t="s">
        <v>3302</v>
      </c>
      <c r="D2378" s="14" t="s">
        <v>2156</v>
      </c>
      <c r="E2378" s="49"/>
      <c r="F2378" s="102"/>
      <c r="G2378" s="22" t="s">
        <v>316</v>
      </c>
      <c r="H2378" s="38"/>
      <c r="I2378" s="35"/>
      <c r="J2378" s="38">
        <v>1</v>
      </c>
      <c r="K2378" s="39">
        <v>20</v>
      </c>
      <c r="L2378" s="39">
        <f>K2378*J2378</f>
        <v>20</v>
      </c>
      <c r="M2378" s="91"/>
      <c r="N2378" s="33">
        <v>44880</v>
      </c>
      <c r="O2378" s="32">
        <v>4722</v>
      </c>
      <c r="P2378" s="722"/>
      <c r="Q2378" s="322">
        <v>20</v>
      </c>
      <c r="R2378" s="322">
        <v>20</v>
      </c>
      <c r="S2378" s="7">
        <v>1800</v>
      </c>
      <c r="T2378" s="7">
        <f>S2378*J2378</f>
        <v>1800</v>
      </c>
      <c r="U2378" s="21"/>
      <c r="V2378" s="260">
        <v>120</v>
      </c>
    </row>
    <row r="2379" spans="2:22" s="7" customFormat="1" ht="15" customHeight="1">
      <c r="B2379" s="12" t="s">
        <v>302</v>
      </c>
      <c r="C2379" s="6" t="s">
        <v>3302</v>
      </c>
      <c r="D2379" s="14" t="s">
        <v>2156</v>
      </c>
      <c r="E2379" s="22" t="s">
        <v>239</v>
      </c>
      <c r="F2379" s="107">
        <v>150</v>
      </c>
      <c r="G2379" s="37" t="s">
        <v>3303</v>
      </c>
      <c r="H2379" s="108"/>
      <c r="I2379" s="109"/>
      <c r="J2379" s="8">
        <v>1</v>
      </c>
      <c r="K2379" s="39">
        <v>5.32</v>
      </c>
      <c r="L2379" s="39">
        <v>0</v>
      </c>
      <c r="M2379" s="117" t="s">
        <v>323</v>
      </c>
      <c r="N2379" s="388" t="s">
        <v>263</v>
      </c>
      <c r="O2379" s="32"/>
      <c r="P2379" s="39"/>
      <c r="Q2379" s="254"/>
      <c r="R2379" s="323">
        <f>Q2379*J2379</f>
        <v>0</v>
      </c>
      <c r="S2379" s="7">
        <v>510</v>
      </c>
      <c r="T2379" s="7">
        <f>S2379*J2379</f>
        <v>510</v>
      </c>
      <c r="U2379" s="349"/>
      <c r="V2379" s="260">
        <v>120</v>
      </c>
    </row>
    <row r="2380" spans="2:22" s="191" customFormat="1" ht="15">
      <c r="B2380" s="190"/>
      <c r="C2380" s="179" t="s">
        <v>3302</v>
      </c>
      <c r="D2380" s="180" t="s">
        <v>2156</v>
      </c>
      <c r="E2380" s="217"/>
      <c r="F2380" s="182"/>
      <c r="G2380" s="182" t="s">
        <v>250</v>
      </c>
      <c r="H2380" s="184" t="s">
        <v>252</v>
      </c>
      <c r="I2380" s="185"/>
      <c r="J2380" s="183"/>
      <c r="K2380" s="192">
        <v>160</v>
      </c>
      <c r="L2380" s="192">
        <v>160</v>
      </c>
      <c r="M2380" s="187"/>
      <c r="N2380" s="187">
        <v>44880</v>
      </c>
      <c r="O2380" s="186">
        <v>4722</v>
      </c>
      <c r="P2380" s="179"/>
      <c r="Q2380" s="193">
        <v>160</v>
      </c>
      <c r="R2380" s="322">
        <v>160</v>
      </c>
      <c r="S2380" s="212">
        <v>10094</v>
      </c>
      <c r="T2380" s="212">
        <v>10094</v>
      </c>
      <c r="U2380" s="192"/>
      <c r="V2380" s="260">
        <v>120</v>
      </c>
    </row>
    <row r="2381" spans="2:22" customFormat="1" ht="18" customHeight="1">
      <c r="B2381" s="26"/>
      <c r="C2381" s="6" t="s">
        <v>3304</v>
      </c>
      <c r="D2381" s="14" t="s">
        <v>3238</v>
      </c>
      <c r="E2381" s="19" t="s">
        <v>59</v>
      </c>
      <c r="F2381" s="107"/>
      <c r="G2381" s="22"/>
      <c r="H2381" s="108"/>
      <c r="I2381" s="109"/>
      <c r="J2381" s="108"/>
      <c r="K2381" s="110" t="s">
        <v>5</v>
      </c>
      <c r="L2381" s="33"/>
      <c r="M2381" s="33"/>
      <c r="N2381" s="33">
        <v>44854</v>
      </c>
      <c r="O2381" s="32">
        <v>4654</v>
      </c>
      <c r="P2381" s="14"/>
      <c r="Q2381" s="254"/>
      <c r="R2381" s="1"/>
      <c r="S2381" s="261"/>
      <c r="T2381" s="92"/>
      <c r="U2381" s="264"/>
      <c r="V2381" s="260">
        <v>120</v>
      </c>
    </row>
    <row r="2382" spans="2:22" customFormat="1" ht="18" customHeight="1">
      <c r="B2382" s="12" t="s">
        <v>302</v>
      </c>
      <c r="C2382" s="6" t="s">
        <v>3304</v>
      </c>
      <c r="D2382" s="14" t="s">
        <v>3238</v>
      </c>
      <c r="E2382" s="22">
        <v>2440</v>
      </c>
      <c r="F2382" s="107">
        <v>140</v>
      </c>
      <c r="G2382" s="396" t="s">
        <v>3305</v>
      </c>
      <c r="H2382" s="60">
        <v>10</v>
      </c>
      <c r="I2382" s="61">
        <v>1</v>
      </c>
      <c r="J2382" s="60">
        <f>H2382*I2382</f>
        <v>10</v>
      </c>
      <c r="K2382" s="39">
        <v>3.89</v>
      </c>
      <c r="L2382" s="39">
        <f>K2382*J2382</f>
        <v>38.9</v>
      </c>
      <c r="M2382" s="117" t="s">
        <v>323</v>
      </c>
      <c r="N2382" s="33">
        <v>44854</v>
      </c>
      <c r="O2382" s="32">
        <v>4654</v>
      </c>
      <c r="P2382" s="391">
        <f>ROUNDUP(S2382/V2382/VLOOKUP(B2382,$C$2:$F$6,3,FALSE),2)</f>
        <v>2.6599999999999997</v>
      </c>
      <c r="Q2382" s="254">
        <v>2.66</v>
      </c>
      <c r="R2382" s="323">
        <f>Q2382*J2382</f>
        <v>26.6</v>
      </c>
      <c r="S2382" s="273">
        <v>280</v>
      </c>
      <c r="T2382" s="287">
        <f>S2382*J2382</f>
        <v>2800</v>
      </c>
      <c r="U2382" s="264"/>
      <c r="V2382" s="260">
        <v>120</v>
      </c>
    </row>
    <row r="2383" spans="2:22" customFormat="1" ht="18" customHeight="1">
      <c r="B2383" s="12" t="s">
        <v>302</v>
      </c>
      <c r="C2383" s="6" t="s">
        <v>3304</v>
      </c>
      <c r="D2383" s="14" t="s">
        <v>3238</v>
      </c>
      <c r="E2383" s="22">
        <v>2440</v>
      </c>
      <c r="F2383" s="107">
        <v>140</v>
      </c>
      <c r="G2383" s="396" t="s">
        <v>3306</v>
      </c>
      <c r="H2383" s="60">
        <v>10</v>
      </c>
      <c r="I2383" s="61">
        <v>1</v>
      </c>
      <c r="J2383" s="60">
        <f>H2383*I2383</f>
        <v>10</v>
      </c>
      <c r="K2383" s="39">
        <v>3.89</v>
      </c>
      <c r="L2383" s="39">
        <f>K2383*J2383</f>
        <v>38.9</v>
      </c>
      <c r="M2383" s="117" t="s">
        <v>323</v>
      </c>
      <c r="N2383" s="33">
        <v>44854</v>
      </c>
      <c r="O2383" s="32">
        <v>4654</v>
      </c>
      <c r="P2383" s="391">
        <f>ROUNDUP(S2383/V2383/VLOOKUP(B2383,$C$2:$F$6,3,FALSE),2)</f>
        <v>2.6599999999999997</v>
      </c>
      <c r="Q2383" s="254">
        <v>2.66</v>
      </c>
      <c r="R2383" s="323">
        <f>Q2383*J2383</f>
        <v>26.6</v>
      </c>
      <c r="S2383" s="273">
        <v>280</v>
      </c>
      <c r="T2383" s="287">
        <f>S2383*J2383</f>
        <v>2800</v>
      </c>
      <c r="U2383" s="264"/>
      <c r="V2383" s="260">
        <v>120</v>
      </c>
    </row>
    <row r="2384" spans="2:22" customFormat="1" ht="18" customHeight="1">
      <c r="B2384" s="12" t="s">
        <v>302</v>
      </c>
      <c r="C2384" s="6" t="s">
        <v>3304</v>
      </c>
      <c r="D2384" s="14" t="s">
        <v>3238</v>
      </c>
      <c r="E2384" s="22">
        <v>2440</v>
      </c>
      <c r="F2384" s="107">
        <v>140</v>
      </c>
      <c r="G2384" s="396" t="s">
        <v>3307</v>
      </c>
      <c r="H2384" s="60">
        <v>10</v>
      </c>
      <c r="I2384" s="61">
        <v>1</v>
      </c>
      <c r="J2384" s="60">
        <f>H2384*I2384</f>
        <v>10</v>
      </c>
      <c r="K2384" s="39">
        <v>3.89</v>
      </c>
      <c r="L2384" s="39">
        <f>K2384*J2384</f>
        <v>38.9</v>
      </c>
      <c r="M2384" s="117" t="s">
        <v>323</v>
      </c>
      <c r="N2384" s="33">
        <v>44854</v>
      </c>
      <c r="O2384" s="32">
        <v>4654</v>
      </c>
      <c r="P2384" s="391">
        <f>ROUNDUP(S2384/V2384/VLOOKUP(B2384,$C$2:$F$6,3,FALSE),2)</f>
        <v>2.6599999999999997</v>
      </c>
      <c r="Q2384" s="254">
        <v>2.66</v>
      </c>
      <c r="R2384" s="323">
        <f>Q2384*J2384</f>
        <v>26.6</v>
      </c>
      <c r="S2384" s="273">
        <v>280</v>
      </c>
      <c r="T2384" s="287">
        <f>S2384*J2384</f>
        <v>2800</v>
      </c>
      <c r="U2384" s="264"/>
      <c r="V2384" s="260">
        <v>120</v>
      </c>
    </row>
    <row r="2385" spans="2:22" s="7" customFormat="1" ht="18" customHeight="1">
      <c r="B2385" s="12"/>
      <c r="C2385" s="6" t="s">
        <v>3304</v>
      </c>
      <c r="D2385" s="14" t="s">
        <v>3238</v>
      </c>
      <c r="E2385" s="22"/>
      <c r="F2385" s="340"/>
      <c r="G2385" s="22" t="s">
        <v>236</v>
      </c>
      <c r="H2385" s="8"/>
      <c r="I2385" s="109" ph="1"/>
      <c r="J2385" s="38">
        <v>3</v>
      </c>
      <c r="K2385" s="39">
        <v>15</v>
      </c>
      <c r="L2385" s="39">
        <f>K2385*J2385</f>
        <v>45</v>
      </c>
      <c r="M2385" s="91"/>
      <c r="N2385" s="33">
        <v>44854</v>
      </c>
      <c r="O2385" s="32">
        <v>4654</v>
      </c>
      <c r="P2385" s="6"/>
      <c r="Q2385" s="322">
        <v>36</v>
      </c>
      <c r="R2385" s="322">
        <v>36</v>
      </c>
      <c r="S2385" s="7">
        <v>1000</v>
      </c>
      <c r="T2385" s="287">
        <f>S2385*J2385</f>
        <v>3000</v>
      </c>
      <c r="U2385" s="21"/>
      <c r="V2385" s="260">
        <v>120</v>
      </c>
    </row>
    <row r="2386" spans="2:22" s="7" customFormat="1" ht="18" customHeight="1">
      <c r="B2386" s="12"/>
      <c r="C2386" s="6" t="s">
        <v>3304</v>
      </c>
      <c r="D2386" s="14" t="s">
        <v>3238</v>
      </c>
      <c r="E2386" s="22"/>
      <c r="F2386" s="340"/>
      <c r="G2386" s="22" t="s">
        <v>316</v>
      </c>
      <c r="H2386" s="8"/>
      <c r="I2386" s="109" ph="1"/>
      <c r="J2386" s="38">
        <v>1</v>
      </c>
      <c r="K2386" s="39">
        <v>20</v>
      </c>
      <c r="L2386" s="39">
        <f>K2386*J2386</f>
        <v>20</v>
      </c>
      <c r="M2386" s="91"/>
      <c r="N2386" s="33">
        <v>44854</v>
      </c>
      <c r="O2386" s="32">
        <v>4654</v>
      </c>
      <c r="P2386" s="6"/>
      <c r="Q2386" s="322">
        <v>20</v>
      </c>
      <c r="R2386" s="322">
        <v>20</v>
      </c>
      <c r="S2386" s="7">
        <v>1000</v>
      </c>
      <c r="T2386" s="287">
        <f>S2386*J2386</f>
        <v>1000</v>
      </c>
      <c r="U2386" s="21"/>
      <c r="V2386" s="260">
        <v>120</v>
      </c>
    </row>
    <row r="2387" spans="2:22" s="191" customFormat="1" ht="18" customHeight="1">
      <c r="B2387" s="190"/>
      <c r="C2387" s="179" t="s">
        <v>3304</v>
      </c>
      <c r="D2387" s="180" t="s">
        <v>3238</v>
      </c>
      <c r="E2387" s="181"/>
      <c r="F2387" s="182"/>
      <c r="G2387" s="182" t="s">
        <v>250</v>
      </c>
      <c r="H2387" s="184" t="s">
        <v>251</v>
      </c>
      <c r="I2387" s="185"/>
      <c r="J2387" s="183"/>
      <c r="K2387" s="192">
        <v>0</v>
      </c>
      <c r="L2387" s="188"/>
      <c r="M2387" s="187"/>
      <c r="N2387" s="187">
        <v>44854</v>
      </c>
      <c r="O2387" s="186">
        <v>4654</v>
      </c>
      <c r="P2387" s="179"/>
      <c r="Q2387" s="725">
        <v>0</v>
      </c>
      <c r="S2387" s="197">
        <v>0</v>
      </c>
      <c r="T2387" s="198">
        <v>0</v>
      </c>
      <c r="U2387" s="335"/>
      <c r="V2387" s="260">
        <v>120</v>
      </c>
    </row>
    <row r="2388" spans="2:22" s="7" customFormat="1" ht="18" customHeight="1">
      <c r="B2388" s="12"/>
      <c r="C2388" s="6" t="s">
        <v>3308</v>
      </c>
      <c r="D2388" s="14" t="s">
        <v>3116</v>
      </c>
      <c r="E2388" s="19" t="s">
        <v>10</v>
      </c>
      <c r="F2388" s="107"/>
      <c r="G2388" s="22"/>
      <c r="H2388" s="108"/>
      <c r="I2388" s="109"/>
      <c r="J2388" s="108"/>
      <c r="K2388" s="29" t="s">
        <v>5</v>
      </c>
      <c r="L2388" s="39"/>
      <c r="M2388" s="91"/>
      <c r="N2388" s="33">
        <v>44874</v>
      </c>
      <c r="O2388" s="32">
        <v>4675</v>
      </c>
      <c r="P2388" s="14"/>
      <c r="Q2388" s="322"/>
      <c r="U2388" s="14"/>
      <c r="V2388" s="384">
        <v>120</v>
      </c>
    </row>
    <row r="2389" spans="2:22" s="7" customFormat="1" ht="18" customHeight="1">
      <c r="B2389" s="12" t="s">
        <v>302</v>
      </c>
      <c r="C2389" s="6" t="s">
        <v>3309</v>
      </c>
      <c r="D2389" s="14" t="s">
        <v>3116</v>
      </c>
      <c r="E2389" s="22" t="s">
        <v>190</v>
      </c>
      <c r="F2389" s="107">
        <v>160</v>
      </c>
      <c r="G2389" s="885" t="s">
        <v>3226</v>
      </c>
      <c r="H2389" s="108"/>
      <c r="I2389" s="109"/>
      <c r="J2389" s="8">
        <v>622</v>
      </c>
      <c r="K2389" s="39">
        <v>3.75</v>
      </c>
      <c r="L2389" s="39">
        <f t="shared" ref="L2389:L2394" si="152">K2389*J2389</f>
        <v>2332.5</v>
      </c>
      <c r="M2389" s="117" t="s">
        <v>322</v>
      </c>
      <c r="N2389" s="33">
        <v>44874</v>
      </c>
      <c r="O2389" s="32">
        <v>4675</v>
      </c>
      <c r="P2389" s="391">
        <f>ROUNDUP(S2389/V2389/VLOOKUP(B2389,$C$2:$F$6,3,FALSE),2)</f>
        <v>3.4099999999999997</v>
      </c>
      <c r="Q2389" s="322">
        <v>3.41</v>
      </c>
      <c r="R2389" s="322">
        <f>Q2389*J2389</f>
        <v>2121.02</v>
      </c>
      <c r="S2389" s="7">
        <v>360</v>
      </c>
      <c r="T2389" s="7">
        <f t="shared" ref="T2389:T2394" si="153">S2389*J2389</f>
        <v>223920</v>
      </c>
      <c r="U2389" s="21"/>
      <c r="V2389" s="260">
        <v>120</v>
      </c>
    </row>
    <row r="2390" spans="2:22" s="7" customFormat="1" ht="18" customHeight="1">
      <c r="B2390" s="12" t="s">
        <v>302</v>
      </c>
      <c r="C2390" s="6" t="s">
        <v>3309</v>
      </c>
      <c r="D2390" s="14" t="s">
        <v>3116</v>
      </c>
      <c r="E2390" s="22" t="s">
        <v>190</v>
      </c>
      <c r="F2390" s="107">
        <v>160</v>
      </c>
      <c r="G2390" s="396" t="s">
        <v>3118</v>
      </c>
      <c r="H2390" s="108"/>
      <c r="I2390" s="109"/>
      <c r="J2390" s="8">
        <v>560</v>
      </c>
      <c r="K2390" s="39">
        <v>3.75</v>
      </c>
      <c r="L2390" s="39">
        <f t="shared" si="152"/>
        <v>2100</v>
      </c>
      <c r="M2390" s="117" t="s">
        <v>322</v>
      </c>
      <c r="N2390" s="33">
        <v>44874</v>
      </c>
      <c r="O2390" s="32">
        <v>4675</v>
      </c>
      <c r="P2390" s="391">
        <f>ROUNDUP(S2390/V2390/VLOOKUP(B2390,$C$2:$F$6,3,FALSE),2)</f>
        <v>3.4099999999999997</v>
      </c>
      <c r="Q2390" s="322">
        <v>3.41</v>
      </c>
      <c r="R2390" s="322">
        <f>Q2390*J2390</f>
        <v>1909.6000000000001</v>
      </c>
      <c r="S2390" s="7">
        <v>360</v>
      </c>
      <c r="T2390" s="7">
        <f t="shared" si="153"/>
        <v>201600</v>
      </c>
      <c r="U2390" s="21"/>
      <c r="V2390" s="260">
        <v>120</v>
      </c>
    </row>
    <row r="2391" spans="2:22" s="7" customFormat="1" ht="18" customHeight="1">
      <c r="B2391" s="12"/>
      <c r="C2391" s="6" t="s">
        <v>3309</v>
      </c>
      <c r="D2391" s="14" t="s">
        <v>3116</v>
      </c>
      <c r="E2391" s="22"/>
      <c r="F2391" s="102"/>
      <c r="G2391" s="22" t="s">
        <v>316</v>
      </c>
      <c r="H2391" s="8"/>
      <c r="I2391" s="35"/>
      <c r="J2391" s="38">
        <v>1</v>
      </c>
      <c r="K2391" s="39">
        <v>20</v>
      </c>
      <c r="L2391" s="39">
        <f t="shared" si="152"/>
        <v>20</v>
      </c>
      <c r="M2391" s="91"/>
      <c r="N2391" s="33">
        <v>44874</v>
      </c>
      <c r="O2391" s="32">
        <v>4675</v>
      </c>
      <c r="P2391" s="6" t="s">
        <v>3</v>
      </c>
      <c r="Q2391" s="322">
        <v>20</v>
      </c>
      <c r="R2391" s="322">
        <v>20</v>
      </c>
      <c r="S2391" s="7">
        <v>1800</v>
      </c>
      <c r="T2391" s="7">
        <f t="shared" si="153"/>
        <v>1800</v>
      </c>
      <c r="U2391" s="21"/>
      <c r="V2391" s="260">
        <v>120</v>
      </c>
    </row>
    <row r="2392" spans="2:22" s="7" customFormat="1" ht="18" customHeight="1">
      <c r="B2392" s="12" t="s">
        <v>302</v>
      </c>
      <c r="C2392" s="6" t="s">
        <v>3310</v>
      </c>
      <c r="D2392" s="14" t="s">
        <v>3116</v>
      </c>
      <c r="E2392" s="22" t="s">
        <v>190</v>
      </c>
      <c r="F2392" s="107">
        <v>160</v>
      </c>
      <c r="G2392" s="396" t="s">
        <v>3118</v>
      </c>
      <c r="H2392" s="108"/>
      <c r="I2392" s="109"/>
      <c r="J2392" s="8">
        <v>137</v>
      </c>
      <c r="K2392" s="39">
        <v>3.75</v>
      </c>
      <c r="L2392" s="39">
        <f t="shared" si="152"/>
        <v>513.75</v>
      </c>
      <c r="M2392" s="117" t="s">
        <v>322</v>
      </c>
      <c r="N2392" s="33">
        <v>44874</v>
      </c>
      <c r="O2392" s="32">
        <v>4728</v>
      </c>
      <c r="P2392" s="391">
        <f>ROUNDUP(S2392/V2392/VLOOKUP(B2392,$C$2:$F$6,3,FALSE),2)</f>
        <v>3.4099999999999997</v>
      </c>
      <c r="Q2392" s="322">
        <v>3.41</v>
      </c>
      <c r="R2392" s="322">
        <f>Q2392*J2392</f>
        <v>467.17</v>
      </c>
      <c r="S2392" s="7">
        <v>360</v>
      </c>
      <c r="T2392" s="7">
        <f t="shared" si="153"/>
        <v>49320</v>
      </c>
      <c r="U2392" s="21"/>
      <c r="V2392" s="260">
        <v>120</v>
      </c>
    </row>
    <row r="2393" spans="2:22" s="7" customFormat="1" ht="18" customHeight="1">
      <c r="B2393" s="12" t="s">
        <v>302</v>
      </c>
      <c r="C2393" s="6" t="s">
        <v>3310</v>
      </c>
      <c r="D2393" s="14" t="s">
        <v>3116</v>
      </c>
      <c r="E2393" s="22" t="s">
        <v>190</v>
      </c>
      <c r="F2393" s="107">
        <v>160</v>
      </c>
      <c r="G2393" s="396" t="s">
        <v>3196</v>
      </c>
      <c r="H2393" s="108"/>
      <c r="I2393" s="109"/>
      <c r="J2393" s="8">
        <v>100</v>
      </c>
      <c r="K2393" s="39">
        <v>3.75</v>
      </c>
      <c r="L2393" s="39">
        <f t="shared" si="152"/>
        <v>375</v>
      </c>
      <c r="M2393" s="117" t="s">
        <v>322</v>
      </c>
      <c r="N2393" s="33">
        <v>44874</v>
      </c>
      <c r="O2393" s="32">
        <v>4728</v>
      </c>
      <c r="P2393" s="391">
        <f>ROUNDUP(S2393/V2393/VLOOKUP(B2393,$C$2:$F$6,3,FALSE),2)</f>
        <v>3.4099999999999997</v>
      </c>
      <c r="Q2393" s="322">
        <v>3.41</v>
      </c>
      <c r="R2393" s="322">
        <f>Q2393*J2393</f>
        <v>341</v>
      </c>
      <c r="S2393" s="7">
        <v>360</v>
      </c>
      <c r="T2393" s="7">
        <f t="shared" si="153"/>
        <v>36000</v>
      </c>
      <c r="U2393" s="21"/>
      <c r="V2393" s="260">
        <v>120</v>
      </c>
    </row>
    <row r="2394" spans="2:22" s="7" customFormat="1" ht="18" customHeight="1">
      <c r="B2394" s="12" t="s">
        <v>302</v>
      </c>
      <c r="C2394" s="6" t="s">
        <v>3310</v>
      </c>
      <c r="D2394" s="14" t="s">
        <v>3116</v>
      </c>
      <c r="E2394" s="22" t="s">
        <v>190</v>
      </c>
      <c r="F2394" s="107">
        <v>160</v>
      </c>
      <c r="G2394" s="396" t="s">
        <v>3311</v>
      </c>
      <c r="H2394" s="108"/>
      <c r="I2394" s="109"/>
      <c r="J2394" s="8">
        <v>550</v>
      </c>
      <c r="K2394" s="39">
        <v>3.75</v>
      </c>
      <c r="L2394" s="39">
        <f t="shared" si="152"/>
        <v>2062.5</v>
      </c>
      <c r="M2394" s="117" t="s">
        <v>322</v>
      </c>
      <c r="N2394" s="33">
        <v>44874</v>
      </c>
      <c r="O2394" s="32">
        <v>4728</v>
      </c>
      <c r="P2394" s="391">
        <f>ROUNDUP(S2394/V2394/VLOOKUP(B2394,$C$2:$F$6,3,FALSE),2)</f>
        <v>3.4099999999999997</v>
      </c>
      <c r="Q2394" s="322">
        <v>3.41</v>
      </c>
      <c r="R2394" s="322">
        <f>Q2394*J2394</f>
        <v>1875.5</v>
      </c>
      <c r="S2394" s="7">
        <v>360</v>
      </c>
      <c r="T2394" s="7">
        <f t="shared" si="153"/>
        <v>198000</v>
      </c>
      <c r="U2394" s="21"/>
      <c r="V2394" s="260">
        <v>120</v>
      </c>
    </row>
    <row r="2395" spans="2:22" s="191" customFormat="1" ht="18" customHeight="1">
      <c r="B2395" s="190"/>
      <c r="C2395" s="179" t="s">
        <v>3308</v>
      </c>
      <c r="D2395" s="180" t="s">
        <v>3116</v>
      </c>
      <c r="E2395" s="217"/>
      <c r="F2395" s="182"/>
      <c r="G2395" s="182" t="s">
        <v>250</v>
      </c>
      <c r="H2395" s="184" t="s">
        <v>251</v>
      </c>
      <c r="I2395" s="185"/>
      <c r="J2395" s="183"/>
      <c r="K2395" s="192">
        <v>0</v>
      </c>
      <c r="L2395" s="187"/>
      <c r="M2395" s="187"/>
      <c r="N2395" s="187">
        <v>44874</v>
      </c>
      <c r="O2395" s="186">
        <v>4728</v>
      </c>
      <c r="P2395" s="179"/>
      <c r="Q2395" s="255">
        <v>0</v>
      </c>
      <c r="R2395" s="322">
        <v>0</v>
      </c>
      <c r="S2395" s="275">
        <v>0</v>
      </c>
      <c r="T2395" s="198">
        <v>0</v>
      </c>
      <c r="U2395" s="271"/>
      <c r="V2395" s="260">
        <v>120</v>
      </c>
    </row>
    <row r="2396" spans="2:22" s="7" customFormat="1" ht="18" customHeight="1">
      <c r="B2396" s="12"/>
      <c r="C2396" s="6" t="s">
        <v>3308</v>
      </c>
      <c r="D2396" s="14" t="s">
        <v>3116</v>
      </c>
      <c r="E2396" s="19" t="s">
        <v>10</v>
      </c>
      <c r="F2396" s="107"/>
      <c r="G2396" s="22"/>
      <c r="H2396" s="108"/>
      <c r="I2396" s="109"/>
      <c r="J2396" s="108"/>
      <c r="K2396" s="29" t="s">
        <v>5</v>
      </c>
      <c r="L2396" s="39"/>
      <c r="M2396" s="91"/>
      <c r="N2396" s="33">
        <v>44896</v>
      </c>
      <c r="O2396" s="32">
        <v>4798</v>
      </c>
      <c r="P2396" s="14"/>
      <c r="Q2396" s="322"/>
      <c r="U2396" s="14"/>
      <c r="V2396" s="384">
        <v>120</v>
      </c>
    </row>
    <row r="2397" spans="2:22" s="7" customFormat="1" ht="18" customHeight="1">
      <c r="B2397" s="12" t="s">
        <v>302</v>
      </c>
      <c r="C2397" s="6" t="s">
        <v>3308</v>
      </c>
      <c r="D2397" s="14" t="s">
        <v>3116</v>
      </c>
      <c r="E2397" s="22" t="s">
        <v>190</v>
      </c>
      <c r="F2397" s="107">
        <v>160</v>
      </c>
      <c r="G2397" s="396" t="s">
        <v>3118</v>
      </c>
      <c r="H2397" s="60">
        <v>50</v>
      </c>
      <c r="I2397" s="61">
        <v>1</v>
      </c>
      <c r="J2397" s="60">
        <f>H2397*I2397</f>
        <v>50</v>
      </c>
      <c r="K2397" s="39">
        <v>3.75</v>
      </c>
      <c r="L2397" s="39">
        <f>K2397*J2397</f>
        <v>187.5</v>
      </c>
      <c r="M2397" s="117" t="s">
        <v>322</v>
      </c>
      <c r="N2397" s="33">
        <v>44896</v>
      </c>
      <c r="O2397" s="32">
        <v>4798</v>
      </c>
      <c r="P2397" s="391">
        <f>ROUNDUP(S2397/V2397/VLOOKUP(B2397,$C$2:$F$6,3,FALSE),2)</f>
        <v>3.4099999999999997</v>
      </c>
      <c r="Q2397" s="322">
        <v>3.41</v>
      </c>
      <c r="R2397" s="322">
        <f>Q2397*J2397</f>
        <v>170.5</v>
      </c>
      <c r="S2397" s="7">
        <v>360</v>
      </c>
      <c r="T2397" s="7">
        <f>S2397*J2397</f>
        <v>18000</v>
      </c>
      <c r="U2397" s="21"/>
      <c r="V2397" s="260">
        <v>120</v>
      </c>
    </row>
    <row r="2398" spans="2:22" s="7" customFormat="1" ht="18" customHeight="1">
      <c r="B2398" s="12" t="s">
        <v>302</v>
      </c>
      <c r="C2398" s="6" t="s">
        <v>3308</v>
      </c>
      <c r="D2398" s="14" t="s">
        <v>3116</v>
      </c>
      <c r="E2398" s="22" t="s">
        <v>190</v>
      </c>
      <c r="F2398" s="107">
        <v>160</v>
      </c>
      <c r="G2398" s="396" t="s">
        <v>3118</v>
      </c>
      <c r="H2398" s="60">
        <v>18</v>
      </c>
      <c r="I2398" s="61">
        <v>1</v>
      </c>
      <c r="J2398" s="60">
        <f>H2398*I2398</f>
        <v>18</v>
      </c>
      <c r="K2398" s="39">
        <v>3.75</v>
      </c>
      <c r="L2398" s="39">
        <f>K2398*J2398</f>
        <v>67.5</v>
      </c>
      <c r="M2398" s="117" t="s">
        <v>322</v>
      </c>
      <c r="N2398" s="33">
        <v>44896</v>
      </c>
      <c r="O2398" s="32">
        <v>4798</v>
      </c>
      <c r="P2398" s="391">
        <f>ROUNDUP(S2398/V2398/VLOOKUP(B2398,$C$2:$F$6,3,FALSE),2)</f>
        <v>3.4099999999999997</v>
      </c>
      <c r="Q2398" s="322">
        <v>3.41</v>
      </c>
      <c r="R2398" s="322">
        <f>Q2398*J2398</f>
        <v>61.38</v>
      </c>
      <c r="S2398" s="7">
        <v>360</v>
      </c>
      <c r="T2398" s="7">
        <f>S2398*J2398</f>
        <v>6480</v>
      </c>
      <c r="U2398" s="21"/>
      <c r="V2398" s="260">
        <v>120</v>
      </c>
    </row>
    <row r="2399" spans="2:22" s="7" customFormat="1" ht="18" customHeight="1">
      <c r="B2399" s="12"/>
      <c r="C2399" s="6" t="s">
        <v>3308</v>
      </c>
      <c r="D2399" s="14" t="s">
        <v>3116</v>
      </c>
      <c r="E2399" s="22"/>
      <c r="F2399" s="102"/>
      <c r="G2399" s="22" t="s">
        <v>236</v>
      </c>
      <c r="H2399" s="8"/>
      <c r="I2399" s="35"/>
      <c r="J2399" s="38">
        <v>1</v>
      </c>
      <c r="K2399" s="39">
        <v>15</v>
      </c>
      <c r="L2399" s="39">
        <f>K2399*J2399</f>
        <v>15</v>
      </c>
      <c r="M2399" s="91"/>
      <c r="N2399" s="33">
        <v>44896</v>
      </c>
      <c r="O2399" s="32">
        <v>4798</v>
      </c>
      <c r="P2399" s="6" t="s">
        <v>3</v>
      </c>
      <c r="Q2399" s="322">
        <v>12</v>
      </c>
      <c r="R2399" s="322">
        <v>12</v>
      </c>
      <c r="S2399" s="7">
        <v>1000</v>
      </c>
      <c r="T2399" s="7">
        <f>S2399*J2399</f>
        <v>1000</v>
      </c>
      <c r="U2399" s="21"/>
      <c r="V2399" s="260">
        <v>120</v>
      </c>
    </row>
    <row r="2400" spans="2:22" s="7" customFormat="1" ht="18" customHeight="1">
      <c r="B2400" s="12"/>
      <c r="C2400" s="6" t="s">
        <v>3308</v>
      </c>
      <c r="D2400" s="14" t="s">
        <v>3116</v>
      </c>
      <c r="E2400" s="22"/>
      <c r="F2400" s="102"/>
      <c r="G2400" s="22" t="s">
        <v>316</v>
      </c>
      <c r="H2400" s="8"/>
      <c r="I2400" s="35"/>
      <c r="J2400" s="38">
        <v>1</v>
      </c>
      <c r="K2400" s="39">
        <v>20</v>
      </c>
      <c r="L2400" s="39">
        <f>K2400*J2400</f>
        <v>20</v>
      </c>
      <c r="M2400" s="91"/>
      <c r="N2400" s="33">
        <v>44896</v>
      </c>
      <c r="O2400" s="32">
        <v>4798</v>
      </c>
      <c r="P2400" s="6" t="s">
        <v>3</v>
      </c>
      <c r="Q2400" s="322">
        <v>20</v>
      </c>
      <c r="R2400" s="322">
        <v>20</v>
      </c>
      <c r="S2400" s="7">
        <v>1800</v>
      </c>
      <c r="T2400" s="7">
        <f>S2400*J2400</f>
        <v>1800</v>
      </c>
      <c r="U2400" s="21"/>
      <c r="V2400" s="260">
        <v>120</v>
      </c>
    </row>
    <row r="2401" spans="2:22" s="191" customFormat="1" ht="18" customHeight="1">
      <c r="B2401" s="190"/>
      <c r="C2401" s="179" t="s">
        <v>3308</v>
      </c>
      <c r="D2401" s="180" t="s">
        <v>3116</v>
      </c>
      <c r="E2401" s="217"/>
      <c r="F2401" s="182"/>
      <c r="G2401" s="182" t="s">
        <v>250</v>
      </c>
      <c r="H2401" s="184" t="s">
        <v>251</v>
      </c>
      <c r="I2401" s="185"/>
      <c r="J2401" s="183"/>
      <c r="K2401" s="192">
        <v>0</v>
      </c>
      <c r="L2401" s="187"/>
      <c r="M2401" s="187"/>
      <c r="N2401" s="187">
        <v>44896</v>
      </c>
      <c r="O2401" s="186">
        <v>4798</v>
      </c>
      <c r="P2401" s="179"/>
      <c r="Q2401" s="255">
        <v>0</v>
      </c>
      <c r="R2401" s="322">
        <v>0</v>
      </c>
      <c r="S2401" s="275">
        <v>0</v>
      </c>
      <c r="T2401" s="198">
        <v>0</v>
      </c>
      <c r="U2401" s="271"/>
      <c r="V2401" s="260">
        <v>120</v>
      </c>
    </row>
    <row r="2402" spans="2:22" s="7" customFormat="1" ht="18" customHeight="1">
      <c r="B2402" s="12"/>
      <c r="C2402" s="6" t="s">
        <v>3308</v>
      </c>
      <c r="D2402" s="14" t="s">
        <v>3116</v>
      </c>
      <c r="E2402" s="19" t="s">
        <v>10</v>
      </c>
      <c r="F2402" s="107"/>
      <c r="G2402" s="22"/>
      <c r="H2402" s="108"/>
      <c r="I2402" s="109"/>
      <c r="J2402" s="108"/>
      <c r="K2402" s="29" t="s">
        <v>5</v>
      </c>
      <c r="L2402" s="39"/>
      <c r="M2402" s="91"/>
      <c r="N2402" s="33">
        <v>44918</v>
      </c>
      <c r="O2402" s="32">
        <v>4857</v>
      </c>
      <c r="P2402" s="14"/>
      <c r="Q2402" s="322"/>
      <c r="U2402" s="14"/>
      <c r="V2402" s="384">
        <v>120</v>
      </c>
    </row>
    <row r="2403" spans="2:22" s="7" customFormat="1" ht="18" customHeight="1">
      <c r="B2403" s="12" t="s">
        <v>302</v>
      </c>
      <c r="C2403" s="6" t="s">
        <v>3308</v>
      </c>
      <c r="D2403" s="14" t="s">
        <v>3116</v>
      </c>
      <c r="E2403" s="22" t="s">
        <v>190</v>
      </c>
      <c r="F2403" s="107">
        <v>160</v>
      </c>
      <c r="G2403" s="396" t="s">
        <v>3312</v>
      </c>
      <c r="H2403" s="108"/>
      <c r="I2403" s="109"/>
      <c r="J2403" s="8">
        <v>50</v>
      </c>
      <c r="K2403" s="39">
        <v>3.75</v>
      </c>
      <c r="L2403" s="39">
        <f>K2403*J2403</f>
        <v>187.5</v>
      </c>
      <c r="M2403" s="117" t="s">
        <v>322</v>
      </c>
      <c r="N2403" s="33">
        <v>44918</v>
      </c>
      <c r="O2403" s="32">
        <v>4857</v>
      </c>
      <c r="P2403" s="391">
        <f>ROUNDUP(S2403/V2403/VLOOKUP(B2403,$C$2:$F$6,3,FALSE),2)</f>
        <v>3.4099999999999997</v>
      </c>
      <c r="Q2403" s="322">
        <v>3.41</v>
      </c>
      <c r="R2403" s="322">
        <f>Q2403*J2403</f>
        <v>170.5</v>
      </c>
      <c r="S2403" s="7">
        <v>360</v>
      </c>
      <c r="T2403" s="7">
        <f>S2403*J2403</f>
        <v>18000</v>
      </c>
      <c r="U2403" s="21"/>
      <c r="V2403" s="260">
        <v>120</v>
      </c>
    </row>
    <row r="2404" spans="2:22" s="7" customFormat="1" ht="18" customHeight="1">
      <c r="B2404" s="12"/>
      <c r="C2404" s="6" t="s">
        <v>3308</v>
      </c>
      <c r="D2404" s="14" t="s">
        <v>3116</v>
      </c>
      <c r="E2404" s="22"/>
      <c r="F2404" s="102"/>
      <c r="G2404" s="22" t="s">
        <v>316</v>
      </c>
      <c r="H2404" s="8"/>
      <c r="I2404" s="35"/>
      <c r="J2404" s="38">
        <v>1</v>
      </c>
      <c r="K2404" s="39">
        <v>20</v>
      </c>
      <c r="L2404" s="39">
        <f>K2404*J2404</f>
        <v>20</v>
      </c>
      <c r="M2404" s="91"/>
      <c r="N2404" s="33">
        <v>44918</v>
      </c>
      <c r="O2404" s="32">
        <v>4857</v>
      </c>
      <c r="P2404" s="6" t="s">
        <v>3</v>
      </c>
      <c r="Q2404" s="322">
        <v>20</v>
      </c>
      <c r="R2404" s="322">
        <v>20</v>
      </c>
      <c r="S2404" s="7">
        <v>1800</v>
      </c>
      <c r="T2404" s="7">
        <f>S2404*J2404</f>
        <v>1800</v>
      </c>
      <c r="U2404" s="21"/>
      <c r="V2404" s="260">
        <v>120</v>
      </c>
    </row>
    <row r="2405" spans="2:22" s="191" customFormat="1" ht="18" customHeight="1">
      <c r="B2405" s="190"/>
      <c r="C2405" s="179" t="s">
        <v>3308</v>
      </c>
      <c r="D2405" s="180" t="s">
        <v>3116</v>
      </c>
      <c r="E2405" s="217"/>
      <c r="F2405" s="182"/>
      <c r="G2405" s="182" t="s">
        <v>250</v>
      </c>
      <c r="H2405" s="184" t="s">
        <v>251</v>
      </c>
      <c r="I2405" s="185"/>
      <c r="J2405" s="183"/>
      <c r="K2405" s="192">
        <v>0</v>
      </c>
      <c r="L2405" s="187"/>
      <c r="M2405" s="187"/>
      <c r="N2405" s="187">
        <v>44918</v>
      </c>
      <c r="O2405" s="186">
        <v>4857</v>
      </c>
      <c r="P2405" s="179"/>
      <c r="Q2405" s="255">
        <v>0</v>
      </c>
      <c r="R2405" s="322">
        <v>0</v>
      </c>
      <c r="S2405" s="275">
        <v>0</v>
      </c>
      <c r="T2405" s="198">
        <v>0</v>
      </c>
      <c r="U2405" s="271"/>
      <c r="V2405" s="260">
        <v>120</v>
      </c>
    </row>
    <row r="2406" spans="2:22" s="7" customFormat="1" ht="18" customHeight="1">
      <c r="B2406" s="12"/>
      <c r="C2406" s="6" t="s">
        <v>3313</v>
      </c>
      <c r="D2406" s="14" t="s">
        <v>2162</v>
      </c>
      <c r="E2406" s="19" t="s">
        <v>2163</v>
      </c>
      <c r="F2406" s="37"/>
      <c r="G2406" s="37"/>
      <c r="H2406" s="108"/>
      <c r="I2406" s="108"/>
      <c r="J2406" s="108"/>
      <c r="K2406" s="110" t="s">
        <v>5</v>
      </c>
      <c r="L2406" s="139"/>
      <c r="M2406" s="33"/>
      <c r="N2406" s="33">
        <v>44860</v>
      </c>
      <c r="O2406" s="32">
        <v>4676</v>
      </c>
      <c r="P2406" s="6"/>
      <c r="Q2406" s="339"/>
      <c r="U2406" s="21"/>
      <c r="V2406" s="260">
        <v>120</v>
      </c>
    </row>
    <row r="2407" spans="2:22" s="7" customFormat="1" ht="18" customHeight="1">
      <c r="B2407" s="12" t="s">
        <v>300</v>
      </c>
      <c r="C2407" s="6" t="s">
        <v>3313</v>
      </c>
      <c r="D2407" s="14" t="s">
        <v>2162</v>
      </c>
      <c r="E2407" s="22">
        <v>5603</v>
      </c>
      <c r="F2407" s="37"/>
      <c r="G2407" s="396" t="s">
        <v>3314</v>
      </c>
      <c r="H2407" s="108">
        <v>50</v>
      </c>
      <c r="I2407" s="950">
        <v>6</v>
      </c>
      <c r="J2407" s="8">
        <f>I2407*H2407</f>
        <v>300</v>
      </c>
      <c r="K2407" s="39">
        <v>0.31</v>
      </c>
      <c r="L2407" s="39">
        <f>K2407*J2407</f>
        <v>93</v>
      </c>
      <c r="M2407" s="117" t="s">
        <v>349</v>
      </c>
      <c r="N2407" s="33">
        <v>44860</v>
      </c>
      <c r="O2407" s="32">
        <v>4676</v>
      </c>
      <c r="P2407" s="391">
        <f>ROUNDUP(S2407/V2407/VLOOKUP(B2407,$C$2:$F$6,3,FALSE),2)</f>
        <v>0.2</v>
      </c>
      <c r="Q2407" s="322">
        <v>0.2</v>
      </c>
      <c r="R2407" s="322">
        <f>Q2407*J2407</f>
        <v>60</v>
      </c>
      <c r="S2407" s="7">
        <v>16.7</v>
      </c>
      <c r="T2407" s="7">
        <f>S2407*J2407</f>
        <v>5010</v>
      </c>
      <c r="U2407" s="21"/>
      <c r="V2407" s="260">
        <v>120</v>
      </c>
    </row>
    <row r="2408" spans="2:22" s="7" customFormat="1" ht="18" customHeight="1">
      <c r="B2408" s="12" t="s">
        <v>300</v>
      </c>
      <c r="C2408" s="6" t="s">
        <v>3313</v>
      </c>
      <c r="D2408" s="14" t="s">
        <v>2162</v>
      </c>
      <c r="E2408" s="22">
        <v>5603</v>
      </c>
      <c r="F2408" s="37"/>
      <c r="G2408" s="396" t="s">
        <v>2893</v>
      </c>
      <c r="H2408" s="108">
        <v>50</v>
      </c>
      <c r="I2408" s="950">
        <v>5</v>
      </c>
      <c r="J2408" s="8">
        <f>I2408*H2408</f>
        <v>250</v>
      </c>
      <c r="K2408" s="39">
        <v>0.31</v>
      </c>
      <c r="L2408" s="39">
        <f>K2408*J2408</f>
        <v>77.5</v>
      </c>
      <c r="M2408" s="117" t="s">
        <v>349</v>
      </c>
      <c r="N2408" s="33">
        <v>44860</v>
      </c>
      <c r="O2408" s="32">
        <v>4676</v>
      </c>
      <c r="P2408" s="391">
        <f>ROUNDUP(S2408/V2408/VLOOKUP(B2408,$C$2:$F$6,3,FALSE),2)</f>
        <v>0.2</v>
      </c>
      <c r="Q2408" s="322">
        <v>0.2</v>
      </c>
      <c r="R2408" s="322">
        <f>Q2408*J2408</f>
        <v>50</v>
      </c>
      <c r="S2408" s="7">
        <v>16.7</v>
      </c>
      <c r="T2408" s="7">
        <f>S2408*J2408</f>
        <v>4175</v>
      </c>
      <c r="U2408" s="21"/>
      <c r="V2408" s="260">
        <v>120</v>
      </c>
    </row>
    <row r="2409" spans="2:22" s="7" customFormat="1" ht="18" customHeight="1">
      <c r="B2409" s="12"/>
      <c r="C2409" s="6" t="s">
        <v>3313</v>
      </c>
      <c r="D2409" s="14" t="s">
        <v>2162</v>
      </c>
      <c r="E2409" s="22"/>
      <c r="F2409" s="102"/>
      <c r="G2409" s="22" t="s">
        <v>316</v>
      </c>
      <c r="H2409" s="8"/>
      <c r="I2409" s="35"/>
      <c r="J2409" s="38">
        <v>1</v>
      </c>
      <c r="K2409" s="39">
        <v>12</v>
      </c>
      <c r="L2409" s="39">
        <f>K2409*J2409</f>
        <v>12</v>
      </c>
      <c r="M2409" s="91"/>
      <c r="N2409" s="33">
        <v>44860</v>
      </c>
      <c r="O2409" s="32">
        <v>4676</v>
      </c>
      <c r="P2409" s="6" t="s">
        <v>3</v>
      </c>
      <c r="Q2409" s="322">
        <v>12</v>
      </c>
      <c r="R2409" s="322">
        <v>12</v>
      </c>
      <c r="S2409" s="7">
        <v>1100</v>
      </c>
      <c r="T2409" s="7">
        <f>S2409*J2409</f>
        <v>1100</v>
      </c>
      <c r="U2409" s="21"/>
      <c r="V2409" s="260">
        <v>120</v>
      </c>
    </row>
    <row r="2410" spans="2:22" s="191" customFormat="1" ht="18" customHeight="1">
      <c r="B2410" s="190"/>
      <c r="C2410" s="179" t="s">
        <v>3313</v>
      </c>
      <c r="D2410" s="180" t="s">
        <v>2162</v>
      </c>
      <c r="E2410" s="217"/>
      <c r="F2410" s="182"/>
      <c r="G2410" s="182" t="s">
        <v>250</v>
      </c>
      <c r="H2410" s="184" t="s">
        <v>251</v>
      </c>
      <c r="I2410" s="185"/>
      <c r="J2410" s="183"/>
      <c r="K2410" s="192">
        <v>0</v>
      </c>
      <c r="L2410" s="187"/>
      <c r="M2410" s="187"/>
      <c r="N2410" s="187">
        <v>44860</v>
      </c>
      <c r="O2410" s="186">
        <v>4676</v>
      </c>
      <c r="P2410" s="179"/>
      <c r="Q2410" s="255">
        <v>0</v>
      </c>
      <c r="R2410" s="322">
        <v>0</v>
      </c>
      <c r="S2410" s="275">
        <v>0</v>
      </c>
      <c r="T2410" s="198">
        <v>0</v>
      </c>
      <c r="U2410" s="271"/>
      <c r="V2410" s="260">
        <v>120</v>
      </c>
    </row>
    <row r="2411" spans="2:22" s="7" customFormat="1" ht="18" customHeight="1">
      <c r="B2411" s="12"/>
      <c r="C2411" s="6" t="s">
        <v>3315</v>
      </c>
      <c r="D2411" s="14" t="s">
        <v>3316</v>
      </c>
      <c r="E2411" s="19" t="s">
        <v>2358</v>
      </c>
      <c r="F2411" s="24"/>
      <c r="G2411" s="22"/>
      <c r="H2411" s="60"/>
      <c r="I2411" s="61"/>
      <c r="J2411" s="60"/>
      <c r="K2411" s="16" t="s">
        <v>5</v>
      </c>
      <c r="L2411" s="139"/>
      <c r="M2411" s="33"/>
      <c r="N2411" s="33">
        <v>44889</v>
      </c>
      <c r="O2411" s="32">
        <v>4686</v>
      </c>
      <c r="P2411" s="6" t="s">
        <v>3</v>
      </c>
      <c r="Q2411" s="358"/>
      <c r="U2411" s="120"/>
      <c r="V2411" s="260">
        <v>120</v>
      </c>
    </row>
    <row r="2412" spans="2:22" s="7" customFormat="1" ht="18" customHeight="1">
      <c r="B2412" s="12" t="s">
        <v>300</v>
      </c>
      <c r="C2412" s="6" t="s">
        <v>3315</v>
      </c>
      <c r="D2412" s="14" t="s">
        <v>3316</v>
      </c>
      <c r="E2412" s="22" t="s">
        <v>3178</v>
      </c>
      <c r="F2412" s="24"/>
      <c r="G2412" s="22" t="s">
        <v>3179</v>
      </c>
      <c r="H2412" s="108"/>
      <c r="I2412" s="109"/>
      <c r="J2412" s="8">
        <v>1220</v>
      </c>
      <c r="K2412" s="39">
        <v>1.75</v>
      </c>
      <c r="L2412" s="39">
        <f>K2412*J2412</f>
        <v>2135</v>
      </c>
      <c r="M2412" s="117" t="s">
        <v>349</v>
      </c>
      <c r="N2412" s="33">
        <v>44889</v>
      </c>
      <c r="O2412" s="32">
        <v>4686</v>
      </c>
      <c r="P2412" s="391">
        <f>ROUNDUP(S2412/V2412/VLOOKUP(B2412,$C$2:$F$6,3,FALSE),2)</f>
        <v>1.5</v>
      </c>
      <c r="Q2412" s="322">
        <v>1.5</v>
      </c>
      <c r="R2412" s="322">
        <f>Q2412*J2412</f>
        <v>1830</v>
      </c>
      <c r="S2412" s="7">
        <v>126</v>
      </c>
      <c r="T2412" s="7">
        <f>S2412*J2412</f>
        <v>153720</v>
      </c>
      <c r="U2412" s="386"/>
      <c r="V2412" s="260">
        <v>120</v>
      </c>
    </row>
    <row r="2413" spans="2:22" s="7" customFormat="1" ht="18" customHeight="1">
      <c r="B2413" s="12"/>
      <c r="C2413" s="6" t="s">
        <v>3315</v>
      </c>
      <c r="D2413" s="14" t="s">
        <v>3316</v>
      </c>
      <c r="E2413" s="22"/>
      <c r="F2413" s="340"/>
      <c r="G2413" s="22" t="s">
        <v>316</v>
      </c>
      <c r="H2413" s="8"/>
      <c r="I2413" s="109" ph="1"/>
      <c r="J2413" s="38">
        <v>1</v>
      </c>
      <c r="K2413" s="39">
        <v>12</v>
      </c>
      <c r="L2413" s="39">
        <f>K2413*J2413</f>
        <v>12</v>
      </c>
      <c r="M2413" s="91"/>
      <c r="N2413" s="33">
        <v>44889</v>
      </c>
      <c r="O2413" s="32">
        <v>4686</v>
      </c>
      <c r="P2413" s="6"/>
      <c r="Q2413" s="322">
        <v>12</v>
      </c>
      <c r="R2413" s="322">
        <v>12</v>
      </c>
      <c r="S2413" s="7">
        <v>0</v>
      </c>
      <c r="T2413" s="7">
        <v>0</v>
      </c>
      <c r="U2413" s="21"/>
      <c r="V2413" s="260">
        <v>120</v>
      </c>
    </row>
    <row r="2414" spans="2:22" s="191" customFormat="1" ht="18" customHeight="1">
      <c r="B2414" s="190"/>
      <c r="C2414" s="179" t="s">
        <v>3315</v>
      </c>
      <c r="D2414" s="180" t="s">
        <v>3316</v>
      </c>
      <c r="E2414" s="181"/>
      <c r="F2414" s="182"/>
      <c r="G2414" s="182" t="s">
        <v>250</v>
      </c>
      <c r="H2414" s="184" t="s">
        <v>252</v>
      </c>
      <c r="I2414" s="185"/>
      <c r="J2414" s="183"/>
      <c r="K2414" s="333">
        <v>95</v>
      </c>
      <c r="L2414" s="333">
        <v>95</v>
      </c>
      <c r="M2414" s="187"/>
      <c r="N2414" s="187">
        <v>44889</v>
      </c>
      <c r="O2414" s="186">
        <v>4686</v>
      </c>
      <c r="P2414" s="179"/>
      <c r="Q2414" s="333">
        <v>95</v>
      </c>
      <c r="R2414" s="333">
        <v>95</v>
      </c>
      <c r="S2414" s="92">
        <v>11720</v>
      </c>
      <c r="T2414" s="92">
        <v>11720</v>
      </c>
      <c r="U2414" s="335"/>
      <c r="V2414" s="260">
        <v>120</v>
      </c>
    </row>
    <row r="2415" spans="2:22" s="7" customFormat="1" ht="18" customHeight="1">
      <c r="B2415" s="12"/>
      <c r="C2415" s="6" t="s">
        <v>3317</v>
      </c>
      <c r="D2415" s="14" t="s">
        <v>3318</v>
      </c>
      <c r="E2415" s="19" t="s">
        <v>2358</v>
      </c>
      <c r="F2415" s="24"/>
      <c r="G2415" s="22"/>
      <c r="H2415" s="60"/>
      <c r="I2415" s="61"/>
      <c r="J2415" s="60"/>
      <c r="K2415" s="16" t="s">
        <v>5</v>
      </c>
      <c r="L2415" s="139"/>
      <c r="M2415" s="33"/>
      <c r="N2415" s="33">
        <v>44883</v>
      </c>
      <c r="O2415" s="32">
        <v>4687</v>
      </c>
      <c r="P2415" s="6" t="s">
        <v>3</v>
      </c>
      <c r="Q2415" s="358"/>
      <c r="U2415" s="120"/>
      <c r="V2415" s="260">
        <v>120</v>
      </c>
    </row>
    <row r="2416" spans="2:22" s="7" customFormat="1" ht="18" customHeight="1">
      <c r="B2416" s="12" t="s">
        <v>300</v>
      </c>
      <c r="C2416" s="6" t="s">
        <v>3317</v>
      </c>
      <c r="D2416" s="14" t="s">
        <v>3318</v>
      </c>
      <c r="E2416" s="22" t="s">
        <v>3178</v>
      </c>
      <c r="F2416" s="24"/>
      <c r="G2416" s="22" t="s">
        <v>3179</v>
      </c>
      <c r="H2416" s="108"/>
      <c r="I2416" s="109"/>
      <c r="J2416" s="8">
        <v>100</v>
      </c>
      <c r="K2416" s="39">
        <v>1.75</v>
      </c>
      <c r="L2416" s="39">
        <f>K2416*J2416</f>
        <v>175</v>
      </c>
      <c r="M2416" s="117" t="s">
        <v>349</v>
      </c>
      <c r="N2416" s="33">
        <v>44883</v>
      </c>
      <c r="O2416" s="32">
        <v>4687</v>
      </c>
      <c r="P2416" s="391">
        <f>ROUNDUP(S2416/V2416/VLOOKUP(B2416,$C$2:$F$6,3,FALSE),2)</f>
        <v>1.5</v>
      </c>
      <c r="Q2416" s="322">
        <v>1.5</v>
      </c>
      <c r="R2416" s="322">
        <f>Q2416*J2416</f>
        <v>150</v>
      </c>
      <c r="S2416" s="7">
        <v>126</v>
      </c>
      <c r="T2416" s="7">
        <f>S2416*J2416</f>
        <v>12600</v>
      </c>
      <c r="U2416" s="386"/>
      <c r="V2416" s="260">
        <v>120</v>
      </c>
    </row>
    <row r="2417" spans="2:22" s="7" customFormat="1" ht="18" customHeight="1">
      <c r="B2417" s="12" t="s">
        <v>300</v>
      </c>
      <c r="C2417" s="6" t="s">
        <v>3317</v>
      </c>
      <c r="D2417" s="14" t="s">
        <v>3318</v>
      </c>
      <c r="E2417" s="22" t="s">
        <v>3178</v>
      </c>
      <c r="F2417" s="24"/>
      <c r="G2417" s="22" t="s">
        <v>3180</v>
      </c>
      <c r="H2417" s="108"/>
      <c r="I2417" s="109"/>
      <c r="J2417" s="8">
        <v>330</v>
      </c>
      <c r="K2417" s="39">
        <v>1.75</v>
      </c>
      <c r="L2417" s="39">
        <f>K2417*J2417</f>
        <v>577.5</v>
      </c>
      <c r="M2417" s="117" t="s">
        <v>349</v>
      </c>
      <c r="N2417" s="33">
        <v>44883</v>
      </c>
      <c r="O2417" s="32">
        <v>4687</v>
      </c>
      <c r="P2417" s="391">
        <f>ROUNDUP(S2417/V2417/VLOOKUP(B2417,$C$2:$F$6,3,FALSE),2)</f>
        <v>1.5</v>
      </c>
      <c r="Q2417" s="322">
        <v>1.5</v>
      </c>
      <c r="R2417" s="322">
        <f>Q2417*J2417</f>
        <v>495</v>
      </c>
      <c r="S2417" s="7">
        <v>126</v>
      </c>
      <c r="T2417" s="7">
        <f>S2417*J2417</f>
        <v>41580</v>
      </c>
      <c r="U2417" s="386"/>
      <c r="V2417" s="260">
        <v>120</v>
      </c>
    </row>
    <row r="2418" spans="2:22" s="7" customFormat="1" ht="18" customHeight="1">
      <c r="B2418" s="12"/>
      <c r="C2418" s="6" t="s">
        <v>3317</v>
      </c>
      <c r="D2418" s="14" t="s">
        <v>3318</v>
      </c>
      <c r="E2418" s="22"/>
      <c r="F2418" s="340"/>
      <c r="G2418" s="22" t="s">
        <v>316</v>
      </c>
      <c r="H2418" s="8"/>
      <c r="I2418" s="109" ph="1"/>
      <c r="J2418" s="38">
        <v>1</v>
      </c>
      <c r="K2418" s="39">
        <v>12</v>
      </c>
      <c r="L2418" s="39">
        <f>K2418*J2418</f>
        <v>12</v>
      </c>
      <c r="M2418" s="91"/>
      <c r="N2418" s="33">
        <v>44883</v>
      </c>
      <c r="O2418" s="32">
        <v>4687</v>
      </c>
      <c r="P2418" s="6"/>
      <c r="Q2418" s="322">
        <v>12</v>
      </c>
      <c r="R2418" s="322">
        <v>12</v>
      </c>
      <c r="S2418" s="7">
        <v>0</v>
      </c>
      <c r="T2418" s="7">
        <v>0</v>
      </c>
      <c r="U2418" s="21"/>
      <c r="V2418" s="260">
        <v>120</v>
      </c>
    </row>
    <row r="2419" spans="2:22" s="191" customFormat="1" ht="18" customHeight="1">
      <c r="B2419" s="190"/>
      <c r="C2419" s="179" t="s">
        <v>3317</v>
      </c>
      <c r="D2419" s="180" t="s">
        <v>3318</v>
      </c>
      <c r="E2419" s="181"/>
      <c r="F2419" s="182"/>
      <c r="G2419" s="182" t="s">
        <v>250</v>
      </c>
      <c r="H2419" s="184" t="s">
        <v>252</v>
      </c>
      <c r="I2419" s="185"/>
      <c r="J2419" s="183"/>
      <c r="K2419" s="333">
        <v>50</v>
      </c>
      <c r="L2419" s="333">
        <v>50</v>
      </c>
      <c r="M2419" s="187"/>
      <c r="N2419" s="187">
        <v>44883</v>
      </c>
      <c r="O2419" s="186">
        <v>4687</v>
      </c>
      <c r="P2419" s="179"/>
      <c r="Q2419" s="333">
        <v>50</v>
      </c>
      <c r="R2419" s="333">
        <v>50</v>
      </c>
      <c r="S2419" s="92">
        <v>6712</v>
      </c>
      <c r="T2419" s="92">
        <v>6712</v>
      </c>
      <c r="U2419" s="335"/>
      <c r="V2419" s="260">
        <v>120</v>
      </c>
    </row>
    <row r="2420" spans="2:22" s="7" customFormat="1" ht="15">
      <c r="B2420" s="12"/>
      <c r="C2420" s="843" t="s">
        <v>3319</v>
      </c>
      <c r="D2420" s="14" t="s">
        <v>2329</v>
      </c>
      <c r="E2420" s="19" t="s">
        <v>2627</v>
      </c>
      <c r="F2420" s="107"/>
      <c r="G2420" s="22"/>
      <c r="H2420" s="108"/>
      <c r="I2420" s="109"/>
      <c r="J2420" s="108"/>
      <c r="K2420" s="29" t="s">
        <v>5</v>
      </c>
      <c r="L2420" s="139"/>
      <c r="M2420" s="33"/>
      <c r="N2420" s="33">
        <v>44869</v>
      </c>
      <c r="O2420" s="32">
        <v>4710</v>
      </c>
      <c r="P2420" s="14"/>
      <c r="Q2420" s="322"/>
      <c r="S2420" s="72"/>
      <c r="U2420" s="14"/>
      <c r="V2420" s="260">
        <v>120</v>
      </c>
    </row>
    <row r="2421" spans="2:22" s="7" customFormat="1" ht="15.75">
      <c r="B2421" s="12" t="s">
        <v>300</v>
      </c>
      <c r="C2421" s="843" t="s">
        <v>3319</v>
      </c>
      <c r="D2421" s="14" t="s">
        <v>2329</v>
      </c>
      <c r="E2421" s="821" t="s">
        <v>2602</v>
      </c>
      <c r="F2421" s="825">
        <v>75</v>
      </c>
      <c r="G2421" s="22" t="s">
        <v>2628</v>
      </c>
      <c r="H2421" s="108">
        <v>10</v>
      </c>
      <c r="I2421" s="109">
        <v>2</v>
      </c>
      <c r="J2421" s="8">
        <f>H2421*I2421</f>
        <v>20</v>
      </c>
      <c r="K2421" s="39">
        <v>29.34</v>
      </c>
      <c r="L2421" s="39">
        <f>K2421*J2421</f>
        <v>586.79999999999995</v>
      </c>
      <c r="M2421" s="117" t="s">
        <v>349</v>
      </c>
      <c r="N2421" s="33">
        <v>44869</v>
      </c>
      <c r="O2421" s="32">
        <v>4710</v>
      </c>
      <c r="P2421" s="391">
        <f>ROUNDUP(S2421/V2421/VLOOKUP(B2421,$C$2:$F$6,3,FALSE),2)</f>
        <v>22.720000000000002</v>
      </c>
      <c r="Q2421" s="322">
        <v>22.72</v>
      </c>
      <c r="R2421" s="322">
        <f>Q2421*J2421</f>
        <v>454.4</v>
      </c>
      <c r="S2421" s="822">
        <v>1908</v>
      </c>
      <c r="T2421" s="7">
        <f>S2421*J2421</f>
        <v>38160</v>
      </c>
      <c r="U2421" s="21"/>
      <c r="V2421" s="260">
        <v>120</v>
      </c>
    </row>
    <row r="2422" spans="2:22" s="7" customFormat="1" ht="15">
      <c r="B2422" s="12"/>
      <c r="C2422" s="843" t="s">
        <v>3319</v>
      </c>
      <c r="D2422" s="14" t="s">
        <v>2329</v>
      </c>
      <c r="E2422" s="22"/>
      <c r="F2422" s="102"/>
      <c r="G2422" s="22" t="s">
        <v>316</v>
      </c>
      <c r="H2422" s="8"/>
      <c r="I2422" s="35"/>
      <c r="J2422" s="38">
        <v>1</v>
      </c>
      <c r="K2422" s="39">
        <v>12</v>
      </c>
      <c r="L2422" s="39">
        <f>K2422*J2422</f>
        <v>12</v>
      </c>
      <c r="M2422" s="91"/>
      <c r="N2422" s="33">
        <v>44869</v>
      </c>
      <c r="O2422" s="32">
        <v>4710</v>
      </c>
      <c r="P2422" s="391">
        <v>12</v>
      </c>
      <c r="Q2422" s="322">
        <v>12</v>
      </c>
      <c r="R2422" s="322">
        <f>Q2422*J2422</f>
        <v>12</v>
      </c>
      <c r="S2422" s="7">
        <v>0</v>
      </c>
      <c r="T2422" s="7">
        <f>S2422*J2422</f>
        <v>0</v>
      </c>
      <c r="U2422" s="21"/>
      <c r="V2422" s="260">
        <v>120</v>
      </c>
    </row>
    <row r="2423" spans="2:22" s="191" customFormat="1" ht="15">
      <c r="B2423" s="190"/>
      <c r="C2423" s="844" t="s">
        <v>3319</v>
      </c>
      <c r="D2423" s="180" t="s">
        <v>2329</v>
      </c>
      <c r="E2423" s="181"/>
      <c r="F2423" s="182"/>
      <c r="G2423" s="182" t="s">
        <v>250</v>
      </c>
      <c r="H2423" s="184" t="s">
        <v>252</v>
      </c>
      <c r="I2423" s="185"/>
      <c r="J2423" s="183"/>
      <c r="K2423" s="203">
        <v>22</v>
      </c>
      <c r="L2423" s="192">
        <v>22</v>
      </c>
      <c r="M2423" s="187"/>
      <c r="N2423" s="187">
        <v>44869</v>
      </c>
      <c r="O2423" s="186">
        <v>4710</v>
      </c>
      <c r="P2423" s="179"/>
      <c r="Q2423" s="747">
        <v>22</v>
      </c>
      <c r="R2423" s="322">
        <v>22</v>
      </c>
      <c r="S2423" s="212">
        <v>2615</v>
      </c>
      <c r="T2423" s="212">
        <v>2615</v>
      </c>
      <c r="U2423" s="335"/>
      <c r="V2423" s="260">
        <v>120</v>
      </c>
    </row>
    <row r="2424" spans="2:22" s="7" customFormat="1" ht="18" customHeight="1">
      <c r="B2424" s="12"/>
      <c r="C2424" s="6" t="s">
        <v>3320</v>
      </c>
      <c r="D2424" s="14" t="s">
        <v>2059</v>
      </c>
      <c r="E2424" s="19" t="s">
        <v>3092</v>
      </c>
      <c r="F2424" s="37"/>
      <c r="G2424" s="37"/>
      <c r="H2424" s="108"/>
      <c r="I2424" s="108"/>
      <c r="J2424" s="108"/>
      <c r="K2424" s="29" t="s">
        <v>5</v>
      </c>
      <c r="L2424" s="139"/>
      <c r="M2424" s="33"/>
      <c r="N2424" s="33">
        <v>44867</v>
      </c>
      <c r="O2424" s="32">
        <v>4702</v>
      </c>
      <c r="P2424" s="6"/>
      <c r="Q2424" s="339"/>
      <c r="U2424" s="21"/>
      <c r="V2424" s="260">
        <v>120</v>
      </c>
    </row>
    <row r="2425" spans="2:22" s="7" customFormat="1" ht="18" customHeight="1">
      <c r="B2425" s="12" t="s">
        <v>300</v>
      </c>
      <c r="C2425" s="6" t="s">
        <v>3320</v>
      </c>
      <c r="D2425" s="14" t="s">
        <v>2059</v>
      </c>
      <c r="E2425" s="22">
        <v>5657</v>
      </c>
      <c r="F2425" s="37"/>
      <c r="G2425" s="396" t="s">
        <v>3321</v>
      </c>
      <c r="H2425" s="108">
        <v>50</v>
      </c>
      <c r="I2425" s="109">
        <v>1</v>
      </c>
      <c r="J2425" s="8">
        <f>H2425*I2425</f>
        <v>50</v>
      </c>
      <c r="K2425" s="39">
        <v>0.33</v>
      </c>
      <c r="L2425" s="39">
        <f>K2425*J2425</f>
        <v>16.5</v>
      </c>
      <c r="M2425" s="117" t="s">
        <v>349</v>
      </c>
      <c r="N2425" s="33">
        <v>44867</v>
      </c>
      <c r="O2425" s="32">
        <v>4702</v>
      </c>
      <c r="P2425" s="391">
        <f>ROUNDUP(S2425/V2425/VLOOKUP(B2425,$C$2:$F$6,3,FALSE),2)</f>
        <v>0.21000000000000002</v>
      </c>
      <c r="Q2425" s="322">
        <v>0.21</v>
      </c>
      <c r="R2425" s="322">
        <f>Q2425*J2425</f>
        <v>10.5</v>
      </c>
      <c r="S2425" s="7">
        <v>17.600000000000001</v>
      </c>
      <c r="T2425" s="92">
        <f>S2425*J2425</f>
        <v>880.00000000000011</v>
      </c>
      <c r="U2425" s="778"/>
      <c r="V2425" s="260">
        <v>120</v>
      </c>
    </row>
    <row r="2426" spans="2:22" s="7" customFormat="1" ht="18" customHeight="1">
      <c r="B2426" s="12" t="s">
        <v>300</v>
      </c>
      <c r="C2426" s="6" t="s">
        <v>3320</v>
      </c>
      <c r="D2426" s="14" t="s">
        <v>2059</v>
      </c>
      <c r="E2426" s="22">
        <v>5657</v>
      </c>
      <c r="F2426" s="37"/>
      <c r="G2426" s="396" t="s">
        <v>3042</v>
      </c>
      <c r="H2426" s="108">
        <v>50</v>
      </c>
      <c r="I2426" s="109">
        <v>3</v>
      </c>
      <c r="J2426" s="8">
        <f>H2426*I2426</f>
        <v>150</v>
      </c>
      <c r="K2426" s="39">
        <v>0.33</v>
      </c>
      <c r="L2426" s="39">
        <f>K2426*J2426</f>
        <v>49.5</v>
      </c>
      <c r="M2426" s="117" t="s">
        <v>349</v>
      </c>
      <c r="N2426" s="33">
        <v>44867</v>
      </c>
      <c r="O2426" s="32">
        <v>4702</v>
      </c>
      <c r="P2426" s="391">
        <f>ROUNDUP(S2426/V2426/VLOOKUP(B2426,$C$2:$F$6,3,FALSE),2)</f>
        <v>0.21000000000000002</v>
      </c>
      <c r="Q2426" s="322">
        <v>0.21</v>
      </c>
      <c r="R2426" s="322">
        <f>Q2426*J2426</f>
        <v>31.5</v>
      </c>
      <c r="S2426" s="7">
        <v>17.600000000000001</v>
      </c>
      <c r="T2426" s="92">
        <f>S2426*J2426</f>
        <v>2640</v>
      </c>
      <c r="U2426" s="778"/>
      <c r="V2426" s="260">
        <v>120</v>
      </c>
    </row>
    <row r="2427" spans="2:22" s="7" customFormat="1" ht="18" customHeight="1">
      <c r="B2427" s="12"/>
      <c r="C2427" s="6" t="s">
        <v>3320</v>
      </c>
      <c r="D2427" s="14" t="s">
        <v>2059</v>
      </c>
      <c r="E2427" s="22"/>
      <c r="F2427" s="102"/>
      <c r="G2427" s="22" t="s">
        <v>316</v>
      </c>
      <c r="H2427" s="8"/>
      <c r="I2427" s="35"/>
      <c r="J2427" s="38">
        <v>1</v>
      </c>
      <c r="K2427" s="39">
        <v>12</v>
      </c>
      <c r="L2427" s="39">
        <f>K2427*J2427</f>
        <v>12</v>
      </c>
      <c r="M2427" s="91"/>
      <c r="N2427" s="33">
        <v>44867</v>
      </c>
      <c r="O2427" s="32">
        <v>4702</v>
      </c>
      <c r="P2427" s="6"/>
      <c r="Q2427" s="322">
        <v>12</v>
      </c>
      <c r="R2427" s="322">
        <f>Q2427*J2427</f>
        <v>12</v>
      </c>
      <c r="S2427" s="7">
        <v>0</v>
      </c>
      <c r="T2427" s="7">
        <f>S2427*J2427</f>
        <v>0</v>
      </c>
      <c r="U2427" s="21"/>
      <c r="V2427" s="260">
        <v>120</v>
      </c>
    </row>
    <row r="2428" spans="2:22" s="191" customFormat="1" ht="18" customHeight="1">
      <c r="B2428" s="190"/>
      <c r="C2428" s="179" t="s">
        <v>3320</v>
      </c>
      <c r="D2428" s="180" t="s">
        <v>2059</v>
      </c>
      <c r="E2428" s="736"/>
      <c r="F2428" s="737"/>
      <c r="G2428" s="182" t="s">
        <v>250</v>
      </c>
      <c r="H2428" s="184" t="s">
        <v>251</v>
      </c>
      <c r="I2428" s="185"/>
      <c r="J2428" s="183"/>
      <c r="K2428" s="192">
        <v>0</v>
      </c>
      <c r="L2428" s="188"/>
      <c r="M2428" s="187"/>
      <c r="N2428" s="187">
        <v>44867</v>
      </c>
      <c r="O2428" s="186">
        <v>4702</v>
      </c>
      <c r="P2428" s="179"/>
      <c r="Q2428" s="725">
        <v>0</v>
      </c>
      <c r="S2428" s="197">
        <v>0</v>
      </c>
      <c r="T2428" s="198">
        <v>0</v>
      </c>
      <c r="U2428" s="335"/>
      <c r="V2428" s="260">
        <v>120</v>
      </c>
    </row>
    <row r="2429" spans="2:22" s="7" customFormat="1" ht="18" customHeight="1">
      <c r="B2429" s="12"/>
      <c r="C2429" s="6" t="s">
        <v>3322</v>
      </c>
      <c r="D2429" s="14" t="s">
        <v>3323</v>
      </c>
      <c r="E2429" s="19" t="s">
        <v>156</v>
      </c>
      <c r="F2429" s="37"/>
      <c r="G2429" s="37"/>
      <c r="H2429" s="108"/>
      <c r="I2429" s="108"/>
      <c r="J2429" s="108"/>
      <c r="K2429" s="29" t="s">
        <v>5</v>
      </c>
      <c r="L2429" s="139"/>
      <c r="M2429" s="33"/>
      <c r="N2429" s="33">
        <v>44867</v>
      </c>
      <c r="O2429" s="32">
        <v>4705</v>
      </c>
      <c r="P2429" s="6"/>
      <c r="Q2429" s="339"/>
      <c r="U2429" s="21"/>
      <c r="V2429" s="260">
        <v>120</v>
      </c>
    </row>
    <row r="2430" spans="2:22" s="7" customFormat="1" ht="18" customHeight="1">
      <c r="B2430" s="12" t="s">
        <v>300</v>
      </c>
      <c r="C2430" s="6" t="s">
        <v>3322</v>
      </c>
      <c r="D2430" s="14" t="s">
        <v>3323</v>
      </c>
      <c r="E2430" s="22">
        <v>8032</v>
      </c>
      <c r="F2430" s="37">
        <v>15</v>
      </c>
      <c r="G2430" s="396" t="s">
        <v>77</v>
      </c>
      <c r="H2430" s="108">
        <v>20</v>
      </c>
      <c r="I2430" s="109">
        <v>1</v>
      </c>
      <c r="J2430" s="8">
        <f>H2430*I2430</f>
        <v>20</v>
      </c>
      <c r="K2430" s="39">
        <v>1.1299999999999999</v>
      </c>
      <c r="L2430" s="39">
        <f>K2430*J2430</f>
        <v>22.599999999999998</v>
      </c>
      <c r="M2430" s="117" t="s">
        <v>349</v>
      </c>
      <c r="N2430" s="33">
        <v>44867</v>
      </c>
      <c r="O2430" s="32">
        <v>4705</v>
      </c>
      <c r="P2430" s="391">
        <f>ROUNDUP(S2430/V2430/VLOOKUP(B2430,$C$2:$F$6,3,FALSE),2)</f>
        <v>0.97</v>
      </c>
      <c r="Q2430" s="322">
        <v>0.97</v>
      </c>
      <c r="R2430" s="322">
        <f>Q2430*J2430</f>
        <v>19.399999999999999</v>
      </c>
      <c r="S2430" s="7">
        <v>81</v>
      </c>
      <c r="T2430" s="92">
        <f>S2430*J2430</f>
        <v>1620</v>
      </c>
      <c r="U2430" s="778"/>
      <c r="V2430" s="260">
        <v>120</v>
      </c>
    </row>
    <row r="2431" spans="2:22" s="7" customFormat="1" ht="18" customHeight="1">
      <c r="B2431" s="12"/>
      <c r="C2431" s="6" t="s">
        <v>3322</v>
      </c>
      <c r="D2431" s="14" t="s">
        <v>3323</v>
      </c>
      <c r="E2431" s="22"/>
      <c r="F2431" s="102"/>
      <c r="G2431" s="22" t="s">
        <v>316</v>
      </c>
      <c r="H2431" s="8"/>
      <c r="I2431" s="35"/>
      <c r="J2431" s="38">
        <v>1</v>
      </c>
      <c r="K2431" s="39">
        <v>12</v>
      </c>
      <c r="L2431" s="39">
        <f>K2431*J2431</f>
        <v>12</v>
      </c>
      <c r="M2431" s="91"/>
      <c r="N2431" s="33">
        <v>44867</v>
      </c>
      <c r="O2431" s="32">
        <v>4705</v>
      </c>
      <c r="P2431" s="6"/>
      <c r="Q2431" s="322">
        <v>12</v>
      </c>
      <c r="R2431" s="322">
        <f>Q2431*J2431</f>
        <v>12</v>
      </c>
      <c r="S2431" s="7">
        <v>1000</v>
      </c>
      <c r="T2431" s="7">
        <f>S2431*J2431</f>
        <v>1000</v>
      </c>
      <c r="U2431" s="21"/>
      <c r="V2431" s="260">
        <v>120</v>
      </c>
    </row>
    <row r="2432" spans="2:22" s="191" customFormat="1" ht="18" customHeight="1">
      <c r="B2432" s="190"/>
      <c r="C2432" s="179" t="s">
        <v>3322</v>
      </c>
      <c r="D2432" s="180" t="s">
        <v>3323</v>
      </c>
      <c r="E2432" s="736"/>
      <c r="F2432" s="737"/>
      <c r="G2432" s="182" t="s">
        <v>250</v>
      </c>
      <c r="H2432" s="184" t="s">
        <v>251</v>
      </c>
      <c r="I2432" s="185"/>
      <c r="J2432" s="183"/>
      <c r="K2432" s="192">
        <v>0</v>
      </c>
      <c r="L2432" s="188"/>
      <c r="M2432" s="187"/>
      <c r="N2432" s="187">
        <v>44867</v>
      </c>
      <c r="O2432" s="186">
        <v>4705</v>
      </c>
      <c r="P2432" s="179"/>
      <c r="Q2432" s="725">
        <v>0</v>
      </c>
      <c r="S2432" s="197">
        <v>0</v>
      </c>
      <c r="T2432" s="198">
        <v>0</v>
      </c>
      <c r="U2432" s="335"/>
      <c r="V2432" s="260">
        <v>120</v>
      </c>
    </row>
    <row r="2433" spans="2:24" s="7" customFormat="1" ht="18" customHeight="1">
      <c r="B2433" s="12"/>
      <c r="C2433" s="6" t="s">
        <v>3324</v>
      </c>
      <c r="D2433" s="14" t="s">
        <v>2416</v>
      </c>
      <c r="E2433" s="19" t="s">
        <v>3325</v>
      </c>
      <c r="F2433" s="37"/>
      <c r="G2433" s="37"/>
      <c r="H2433" s="108"/>
      <c r="I2433" s="108"/>
      <c r="J2433" s="108"/>
      <c r="K2433" s="29" t="s">
        <v>5</v>
      </c>
      <c r="L2433" s="139"/>
      <c r="M2433" s="33"/>
      <c r="N2433" s="33">
        <v>44869</v>
      </c>
      <c r="O2433" s="32">
        <v>4719</v>
      </c>
      <c r="P2433" s="6"/>
      <c r="Q2433" s="339"/>
      <c r="U2433" s="21"/>
      <c r="V2433" s="260">
        <v>120</v>
      </c>
    </row>
    <row r="2434" spans="2:24" s="7" customFormat="1" ht="18" customHeight="1">
      <c r="B2434" s="12" t="s">
        <v>300</v>
      </c>
      <c r="C2434" s="6" t="s">
        <v>3324</v>
      </c>
      <c r="D2434" s="14" t="s">
        <v>2416</v>
      </c>
      <c r="E2434" s="22" t="s">
        <v>3326</v>
      </c>
      <c r="F2434" s="37">
        <v>12</v>
      </c>
      <c r="G2434" s="396" t="s">
        <v>273</v>
      </c>
      <c r="H2434" s="108">
        <v>100</v>
      </c>
      <c r="I2434" s="109">
        <v>1</v>
      </c>
      <c r="J2434" s="8">
        <f>H2434*I2434</f>
        <v>100</v>
      </c>
      <c r="K2434" s="39">
        <v>0.55000000000000004</v>
      </c>
      <c r="L2434" s="39">
        <f>K2434*J2434</f>
        <v>55.000000000000007</v>
      </c>
      <c r="M2434" s="117" t="s">
        <v>322</v>
      </c>
      <c r="N2434" s="33">
        <v>44869</v>
      </c>
      <c r="O2434" s="32">
        <v>4719</v>
      </c>
      <c r="P2434" s="391">
        <f>ROUNDUP(S2434/V2434/VLOOKUP(B2434,$C$2:$F$6,3,FALSE),2)</f>
        <v>0.36</v>
      </c>
      <c r="Q2434" s="322">
        <v>0.36</v>
      </c>
      <c r="R2434" s="322">
        <f>Q2434*J2434</f>
        <v>36</v>
      </c>
      <c r="S2434" s="7">
        <v>29.5</v>
      </c>
      <c r="T2434" s="92">
        <f>S2434*J2434</f>
        <v>2950</v>
      </c>
      <c r="U2434" s="778"/>
      <c r="V2434" s="260">
        <v>120</v>
      </c>
    </row>
    <row r="2435" spans="2:24" s="7" customFormat="1" ht="18" customHeight="1">
      <c r="B2435" s="12"/>
      <c r="C2435" s="6" t="s">
        <v>3324</v>
      </c>
      <c r="D2435" s="14" t="s">
        <v>2416</v>
      </c>
      <c r="E2435" s="22"/>
      <c r="F2435" s="102"/>
      <c r="G2435" s="22" t="s">
        <v>316</v>
      </c>
      <c r="H2435" s="8"/>
      <c r="I2435" s="35"/>
      <c r="J2435" s="38">
        <v>1</v>
      </c>
      <c r="K2435" s="39">
        <v>12</v>
      </c>
      <c r="L2435" s="39">
        <f>K2435*J2435</f>
        <v>12</v>
      </c>
      <c r="M2435" s="91"/>
      <c r="N2435" s="33">
        <v>44869</v>
      </c>
      <c r="O2435" s="32">
        <v>4719</v>
      </c>
      <c r="P2435" s="6"/>
      <c r="Q2435" s="322">
        <v>12</v>
      </c>
      <c r="R2435" s="322">
        <f>Q2435*J2435</f>
        <v>12</v>
      </c>
      <c r="S2435" s="7">
        <v>1000</v>
      </c>
      <c r="T2435" s="7">
        <f>S2435*J2435</f>
        <v>1000</v>
      </c>
      <c r="U2435" s="21"/>
      <c r="V2435" s="260">
        <v>120</v>
      </c>
    </row>
    <row r="2436" spans="2:24" s="191" customFormat="1" ht="18" customHeight="1">
      <c r="B2436" s="190"/>
      <c r="C2436" s="179" t="s">
        <v>3324</v>
      </c>
      <c r="D2436" s="180" t="s">
        <v>2416</v>
      </c>
      <c r="E2436" s="736"/>
      <c r="F2436" s="737"/>
      <c r="G2436" s="182" t="s">
        <v>250</v>
      </c>
      <c r="H2436" s="184" t="s">
        <v>251</v>
      </c>
      <c r="I2436" s="185"/>
      <c r="J2436" s="183"/>
      <c r="K2436" s="192">
        <v>0</v>
      </c>
      <c r="L2436" s="188"/>
      <c r="M2436" s="187"/>
      <c r="N2436" s="187">
        <v>44869</v>
      </c>
      <c r="O2436" s="186">
        <v>4719</v>
      </c>
      <c r="P2436" s="179"/>
      <c r="Q2436" s="725">
        <v>0</v>
      </c>
      <c r="S2436" s="197">
        <v>0</v>
      </c>
      <c r="T2436" s="198">
        <v>0</v>
      </c>
      <c r="U2436" s="335"/>
      <c r="V2436" s="260">
        <v>120</v>
      </c>
    </row>
    <row r="2437" spans="2:24" s="7" customFormat="1" ht="18" customHeight="1">
      <c r="B2437" s="12"/>
      <c r="C2437" s="886" t="s">
        <v>3327</v>
      </c>
      <c r="D2437" s="14" t="s">
        <v>2004</v>
      </c>
      <c r="E2437" s="19" t="s">
        <v>2358</v>
      </c>
      <c r="F2437" s="24"/>
      <c r="G2437" s="22"/>
      <c r="H2437" s="60"/>
      <c r="I2437" s="61"/>
      <c r="J2437" s="60"/>
      <c r="K2437" s="16" t="s">
        <v>5</v>
      </c>
      <c r="L2437" s="139"/>
      <c r="M2437" s="33"/>
      <c r="N2437" s="33">
        <v>44874</v>
      </c>
      <c r="O2437" s="32">
        <v>4731</v>
      </c>
      <c r="P2437" s="6" t="s">
        <v>3</v>
      </c>
      <c r="Q2437" s="358"/>
      <c r="U2437" s="120"/>
      <c r="V2437" s="260">
        <v>120</v>
      </c>
    </row>
    <row r="2438" spans="2:24" s="7" customFormat="1" ht="18" customHeight="1">
      <c r="B2438" s="12" t="s">
        <v>300</v>
      </c>
      <c r="C2438" s="886" t="s">
        <v>3327</v>
      </c>
      <c r="D2438" s="14" t="s">
        <v>2004</v>
      </c>
      <c r="E2438" s="22" t="s">
        <v>3291</v>
      </c>
      <c r="F2438" s="24"/>
      <c r="G2438" s="22" t="s">
        <v>3292</v>
      </c>
      <c r="H2438" s="108"/>
      <c r="I2438" s="109"/>
      <c r="J2438" s="8">
        <v>25</v>
      </c>
      <c r="K2438" s="39">
        <v>2.4500000000000002</v>
      </c>
      <c r="L2438" s="39">
        <f>K2438*J2438</f>
        <v>61.250000000000007</v>
      </c>
      <c r="M2438" s="117" t="s">
        <v>349</v>
      </c>
      <c r="N2438" s="33">
        <v>44874</v>
      </c>
      <c r="O2438" s="32">
        <v>4731</v>
      </c>
      <c r="P2438" s="391">
        <f>ROUNDUP(S2438/V2438/VLOOKUP(B2438,$C$2:$F$6,3,FALSE),2)</f>
        <v>0.74</v>
      </c>
      <c r="Q2438" s="322">
        <v>0.74</v>
      </c>
      <c r="R2438" s="322">
        <f>Q2438*J2438</f>
        <v>18.5</v>
      </c>
      <c r="S2438" s="7">
        <v>62</v>
      </c>
      <c r="T2438" s="7">
        <f>S2438*J2438</f>
        <v>1550</v>
      </c>
      <c r="U2438" s="386"/>
      <c r="V2438" s="260">
        <v>120</v>
      </c>
    </row>
    <row r="2439" spans="2:24" s="7" customFormat="1" ht="18" customHeight="1">
      <c r="B2439" s="12" t="s">
        <v>300</v>
      </c>
      <c r="C2439" s="886" t="s">
        <v>3327</v>
      </c>
      <c r="D2439" s="14" t="s">
        <v>2004</v>
      </c>
      <c r="E2439" s="22" t="s">
        <v>3291</v>
      </c>
      <c r="F2439" s="24"/>
      <c r="G2439" s="22" t="s">
        <v>3293</v>
      </c>
      <c r="H2439" s="108"/>
      <c r="I2439" s="109"/>
      <c r="J2439" s="8">
        <v>25</v>
      </c>
      <c r="K2439" s="39">
        <v>2.4500000000000002</v>
      </c>
      <c r="L2439" s="39">
        <f>K2439*J2439</f>
        <v>61.250000000000007</v>
      </c>
      <c r="M2439" s="117" t="s">
        <v>349</v>
      </c>
      <c r="N2439" s="33">
        <v>44874</v>
      </c>
      <c r="O2439" s="32">
        <v>4731</v>
      </c>
      <c r="P2439" s="391">
        <f>ROUNDUP(S2439/V2439/VLOOKUP(B2439,$C$2:$F$6,3,FALSE),2)</f>
        <v>0.74</v>
      </c>
      <c r="Q2439" s="322">
        <v>0.74</v>
      </c>
      <c r="R2439" s="322">
        <f>Q2439*J2439</f>
        <v>18.5</v>
      </c>
      <c r="S2439" s="7">
        <v>62</v>
      </c>
      <c r="T2439" s="7">
        <f>S2439*J2439</f>
        <v>1550</v>
      </c>
      <c r="U2439" s="386"/>
      <c r="V2439" s="260">
        <v>120</v>
      </c>
    </row>
    <row r="2440" spans="2:24" s="7" customFormat="1" ht="18" customHeight="1">
      <c r="B2440" s="12" t="s">
        <v>300</v>
      </c>
      <c r="C2440" s="886" t="s">
        <v>3327</v>
      </c>
      <c r="D2440" s="14" t="s">
        <v>2004</v>
      </c>
      <c r="E2440" s="22" t="s">
        <v>3291</v>
      </c>
      <c r="F2440" s="24"/>
      <c r="G2440" s="22" t="s">
        <v>3294</v>
      </c>
      <c r="H2440" s="108"/>
      <c r="I2440" s="109"/>
      <c r="J2440" s="8">
        <v>25</v>
      </c>
      <c r="K2440" s="39">
        <v>2.4500000000000002</v>
      </c>
      <c r="L2440" s="39">
        <f>K2440*J2440</f>
        <v>61.250000000000007</v>
      </c>
      <c r="M2440" s="117" t="s">
        <v>349</v>
      </c>
      <c r="N2440" s="33">
        <v>44874</v>
      </c>
      <c r="O2440" s="32">
        <v>4731</v>
      </c>
      <c r="P2440" s="391">
        <f>ROUNDUP(S2440/V2440/VLOOKUP(B2440,$C$2:$F$6,3,FALSE),2)</f>
        <v>0.74</v>
      </c>
      <c r="Q2440" s="322">
        <v>0.74</v>
      </c>
      <c r="R2440" s="322">
        <f>Q2440*J2440</f>
        <v>18.5</v>
      </c>
      <c r="S2440" s="7">
        <v>62</v>
      </c>
      <c r="T2440" s="7">
        <f>S2440*J2440</f>
        <v>1550</v>
      </c>
      <c r="U2440" s="386"/>
      <c r="V2440" s="260">
        <v>120</v>
      </c>
    </row>
    <row r="2441" spans="2:24" s="7" customFormat="1" ht="18" customHeight="1">
      <c r="B2441" s="12" t="s">
        <v>306</v>
      </c>
      <c r="C2441" s="886" t="s">
        <v>3327</v>
      </c>
      <c r="D2441" s="14" t="s">
        <v>2004</v>
      </c>
      <c r="E2441" s="22"/>
      <c r="F2441" s="340"/>
      <c r="G2441" s="22" t="s">
        <v>167</v>
      </c>
      <c r="H2441" s="8"/>
      <c r="I2441" s="109" ph="1"/>
      <c r="J2441" s="38">
        <v>3</v>
      </c>
      <c r="K2441" s="39">
        <v>125</v>
      </c>
      <c r="L2441" s="39">
        <f>K2441*J2441</f>
        <v>375</v>
      </c>
      <c r="M2441" s="91"/>
      <c r="N2441" s="33">
        <v>44874</v>
      </c>
      <c r="O2441" s="32">
        <v>4731</v>
      </c>
      <c r="P2441" s="391">
        <f>ROUNDUP(S2441/V2441/VLOOKUP(B2441,$C$2:$F$6,3,FALSE),2)</f>
        <v>66.290000000000006</v>
      </c>
      <c r="Q2441" s="322">
        <f>P2441*3</f>
        <v>198.87</v>
      </c>
      <c r="R2441" s="322">
        <v>198.87</v>
      </c>
      <c r="S2441" s="7">
        <v>7000</v>
      </c>
      <c r="T2441" s="7">
        <f>S2441*J2441</f>
        <v>21000</v>
      </c>
      <c r="U2441" s="21"/>
      <c r="V2441" s="260">
        <v>120</v>
      </c>
    </row>
    <row r="2442" spans="2:24" s="7" customFormat="1" ht="18" customHeight="1">
      <c r="B2442" s="12"/>
      <c r="C2442" s="886" t="s">
        <v>3327</v>
      </c>
      <c r="D2442" s="14" t="s">
        <v>2004</v>
      </c>
      <c r="E2442" s="22"/>
      <c r="F2442" s="340"/>
      <c r="G2442" s="22" t="s">
        <v>316</v>
      </c>
      <c r="H2442" s="8"/>
      <c r="I2442" s="109" ph="1"/>
      <c r="J2442" s="38">
        <v>1</v>
      </c>
      <c r="K2442" s="39">
        <v>12</v>
      </c>
      <c r="L2442" s="39">
        <f>K2442*J2442</f>
        <v>12</v>
      </c>
      <c r="M2442" s="91"/>
      <c r="N2442" s="33">
        <v>44874</v>
      </c>
      <c r="O2442" s="32">
        <v>4731</v>
      </c>
      <c r="P2442" s="6"/>
      <c r="Q2442" s="322">
        <v>12</v>
      </c>
      <c r="R2442" s="322">
        <v>12</v>
      </c>
      <c r="S2442" s="7">
        <v>0</v>
      </c>
      <c r="T2442" s="7">
        <f>S2442*J2442</f>
        <v>0</v>
      </c>
      <c r="U2442" s="21"/>
      <c r="V2442" s="260">
        <v>120</v>
      </c>
    </row>
    <row r="2443" spans="2:24" s="191" customFormat="1" ht="18" customHeight="1">
      <c r="B2443" s="190"/>
      <c r="C2443" s="960" t="s">
        <v>3327</v>
      </c>
      <c r="D2443" s="180" t="s">
        <v>2004</v>
      </c>
      <c r="E2443" s="181"/>
      <c r="F2443" s="182"/>
      <c r="G2443" s="182" t="s">
        <v>250</v>
      </c>
      <c r="H2443" s="184" t="s">
        <v>251</v>
      </c>
      <c r="I2443" s="185"/>
      <c r="J2443" s="183"/>
      <c r="K2443" s="192">
        <v>0</v>
      </c>
      <c r="L2443" s="946"/>
      <c r="M2443" s="947"/>
      <c r="N2443" s="187">
        <v>44874</v>
      </c>
      <c r="O2443" s="186">
        <v>4731</v>
      </c>
      <c r="P2443" s="179"/>
      <c r="Q2443" s="322">
        <v>0</v>
      </c>
      <c r="R2443" s="218"/>
      <c r="S2443" s="197">
        <v>0</v>
      </c>
      <c r="T2443" s="197">
        <v>0</v>
      </c>
      <c r="U2443" s="335"/>
      <c r="V2443" s="260">
        <v>120</v>
      </c>
      <c r="X2443" s="218"/>
    </row>
    <row r="2444" spans="2:24" s="7" customFormat="1" ht="18" customHeight="1">
      <c r="B2444" s="12"/>
      <c r="C2444" s="6" t="s">
        <v>3328</v>
      </c>
      <c r="D2444" s="14" t="s">
        <v>2022</v>
      </c>
      <c r="E2444" s="19" t="s">
        <v>59</v>
      </c>
      <c r="F2444" s="107"/>
      <c r="G2444" s="22"/>
      <c r="H2444" s="108"/>
      <c r="I2444" s="109"/>
      <c r="J2444" s="108"/>
      <c r="K2444" s="29" t="s">
        <v>5</v>
      </c>
      <c r="L2444" s="39"/>
      <c r="M2444" s="91"/>
      <c r="N2444" s="33">
        <v>44911</v>
      </c>
      <c r="O2444" s="32">
        <v>4427</v>
      </c>
      <c r="P2444" s="14"/>
      <c r="Q2444" s="322"/>
      <c r="U2444" s="14"/>
      <c r="V2444" s="260">
        <v>120</v>
      </c>
    </row>
    <row r="2445" spans="2:24" s="7" customFormat="1" ht="18" customHeight="1">
      <c r="B2445" s="12" t="s">
        <v>302</v>
      </c>
      <c r="C2445" s="6" t="s">
        <v>3328</v>
      </c>
      <c r="D2445" s="14" t="s">
        <v>2022</v>
      </c>
      <c r="E2445" s="22" t="s">
        <v>7</v>
      </c>
      <c r="F2445" s="102">
        <v>132</v>
      </c>
      <c r="G2445" s="22" t="s">
        <v>3329</v>
      </c>
      <c r="H2445" s="108">
        <v>50</v>
      </c>
      <c r="I2445" s="109">
        <v>13</v>
      </c>
      <c r="J2445" s="8">
        <f>H2445*I2445</f>
        <v>650</v>
      </c>
      <c r="K2445" s="39">
        <v>5</v>
      </c>
      <c r="L2445" s="39">
        <f>K2445*J2445</f>
        <v>3250</v>
      </c>
      <c r="M2445" s="117" t="s">
        <v>323</v>
      </c>
      <c r="N2445" s="33">
        <v>44911</v>
      </c>
      <c r="O2445" s="32">
        <v>4427</v>
      </c>
      <c r="P2445" s="391">
        <f>ROUNDUP(S2445/V2445/VLOOKUP(B2445,$C$2:$F$6,3,FALSE),2)</f>
        <v>3.4099999999999997</v>
      </c>
      <c r="Q2445" s="322">
        <v>3.41</v>
      </c>
      <c r="R2445" s="322">
        <f>Q2445*J2445</f>
        <v>2216.5</v>
      </c>
      <c r="S2445" s="7">
        <v>360</v>
      </c>
      <c r="T2445" s="7">
        <f>S2445*J2445</f>
        <v>234000</v>
      </c>
      <c r="U2445" s="21"/>
      <c r="V2445" s="260">
        <v>120</v>
      </c>
    </row>
    <row r="2446" spans="2:24" s="7" customFormat="1" ht="15">
      <c r="B2446" s="12"/>
      <c r="C2446" s="6" t="s">
        <v>3328</v>
      </c>
      <c r="D2446" s="14" t="s">
        <v>2022</v>
      </c>
      <c r="E2446" s="22"/>
      <c r="F2446" s="102"/>
      <c r="G2446" s="22" t="s">
        <v>316</v>
      </c>
      <c r="H2446" s="8"/>
      <c r="I2446" s="35"/>
      <c r="J2446" s="38">
        <v>1</v>
      </c>
      <c r="K2446" s="39">
        <v>20</v>
      </c>
      <c r="L2446" s="39">
        <f>K2446*J2446</f>
        <v>20</v>
      </c>
      <c r="M2446" s="91"/>
      <c r="N2446" s="33">
        <v>44911</v>
      </c>
      <c r="O2446" s="32">
        <v>4427</v>
      </c>
      <c r="P2446" s="6" t="s">
        <v>3</v>
      </c>
      <c r="Q2446" s="322">
        <v>20</v>
      </c>
      <c r="R2446" s="322">
        <f>Q2446*J2446</f>
        <v>20</v>
      </c>
      <c r="S2446" s="7">
        <v>0</v>
      </c>
      <c r="T2446" s="7">
        <f>S2446*J2446</f>
        <v>0</v>
      </c>
      <c r="U2446" s="21"/>
      <c r="V2446" s="260">
        <v>120</v>
      </c>
    </row>
    <row r="2447" spans="2:24" s="191" customFormat="1" ht="15">
      <c r="B2447" s="190"/>
      <c r="C2447" s="179" t="s">
        <v>3328</v>
      </c>
      <c r="D2447" s="180" t="s">
        <v>2022</v>
      </c>
      <c r="E2447" s="217"/>
      <c r="F2447" s="182"/>
      <c r="G2447" s="182" t="s">
        <v>324</v>
      </c>
      <c r="H2447" s="184" t="s">
        <v>251</v>
      </c>
      <c r="I2447" s="185"/>
      <c r="J2447" s="183"/>
      <c r="K2447" s="203">
        <v>0</v>
      </c>
      <c r="L2447" s="188"/>
      <c r="M2447" s="187"/>
      <c r="N2447" s="187">
        <v>44911</v>
      </c>
      <c r="O2447" s="186">
        <v>4427</v>
      </c>
      <c r="P2447" s="179"/>
      <c r="Q2447" s="747">
        <v>0</v>
      </c>
      <c r="S2447" s="197">
        <v>0</v>
      </c>
      <c r="T2447" s="198">
        <v>0</v>
      </c>
      <c r="U2447" s="335"/>
      <c r="V2447" s="260">
        <v>120</v>
      </c>
    </row>
    <row r="2448" spans="2:24" s="7" customFormat="1" ht="18" customHeight="1">
      <c r="B2448" s="12"/>
      <c r="C2448" s="6" t="s">
        <v>3330</v>
      </c>
      <c r="D2448" s="14" t="s">
        <v>2059</v>
      </c>
      <c r="E2448" s="19" t="s">
        <v>3092</v>
      </c>
      <c r="F2448" s="37"/>
      <c r="G2448" s="37"/>
      <c r="H2448" s="108"/>
      <c r="I2448" s="108"/>
      <c r="J2448" s="108"/>
      <c r="K2448" s="29" t="s">
        <v>5</v>
      </c>
      <c r="L2448" s="139"/>
      <c r="M2448" s="33"/>
      <c r="N2448" s="33">
        <v>44875</v>
      </c>
      <c r="O2448" s="32">
        <v>4735</v>
      </c>
      <c r="P2448" s="6"/>
      <c r="Q2448" s="339"/>
      <c r="U2448" s="21"/>
      <c r="V2448" s="260">
        <v>120</v>
      </c>
    </row>
    <row r="2449" spans="1:22" s="7" customFormat="1" ht="18" customHeight="1">
      <c r="B2449" s="12" t="s">
        <v>300</v>
      </c>
      <c r="C2449" s="6" t="s">
        <v>3330</v>
      </c>
      <c r="D2449" s="14" t="s">
        <v>2059</v>
      </c>
      <c r="E2449" s="112" t="s">
        <v>3331</v>
      </c>
      <c r="F2449" s="37"/>
      <c r="G2449" s="396" t="s">
        <v>164</v>
      </c>
      <c r="H2449" s="108">
        <v>50</v>
      </c>
      <c r="I2449" s="109">
        <v>1</v>
      </c>
      <c r="J2449" s="8">
        <f>H2449*I2449</f>
        <v>50</v>
      </c>
      <c r="K2449" s="39">
        <v>0.42</v>
      </c>
      <c r="L2449" s="39">
        <f>K2449*J2449</f>
        <v>21</v>
      </c>
      <c r="M2449" s="117" t="s">
        <v>349</v>
      </c>
      <c r="N2449" s="33">
        <v>44875</v>
      </c>
      <c r="O2449" s="32">
        <v>4735</v>
      </c>
      <c r="P2449" s="391">
        <f>ROUNDUP(S2449/V2449/VLOOKUP(B2449,$C$2:$F$6,3,FALSE),2)</f>
        <v>0.27</v>
      </c>
      <c r="Q2449" s="322">
        <v>0.27</v>
      </c>
      <c r="R2449" s="322">
        <f>Q2449*J2449</f>
        <v>13.5</v>
      </c>
      <c r="S2449" s="7">
        <v>22.3</v>
      </c>
      <c r="T2449" s="92">
        <f>S2449*J2449</f>
        <v>1115</v>
      </c>
      <c r="U2449" s="778"/>
      <c r="V2449" s="260">
        <v>120</v>
      </c>
    </row>
    <row r="2450" spans="1:22" s="7" customFormat="1" ht="18" customHeight="1">
      <c r="B2450" s="12" t="s">
        <v>300</v>
      </c>
      <c r="C2450" s="6" t="s">
        <v>3330</v>
      </c>
      <c r="D2450" s="14" t="s">
        <v>2059</v>
      </c>
      <c r="E2450" s="112" t="s">
        <v>3332</v>
      </c>
      <c r="F2450" s="37"/>
      <c r="G2450" s="396" t="s">
        <v>164</v>
      </c>
      <c r="H2450" s="108">
        <v>50</v>
      </c>
      <c r="I2450" s="109">
        <v>1</v>
      </c>
      <c r="J2450" s="8">
        <f>H2450*I2450</f>
        <v>50</v>
      </c>
      <c r="K2450" s="39">
        <v>0.35</v>
      </c>
      <c r="L2450" s="39">
        <f>K2450*J2450</f>
        <v>17.5</v>
      </c>
      <c r="M2450" s="117" t="s">
        <v>349</v>
      </c>
      <c r="N2450" s="33">
        <v>44875</v>
      </c>
      <c r="O2450" s="32">
        <v>4735</v>
      </c>
      <c r="P2450" s="391">
        <f>ROUNDUP(S2450/V2450/VLOOKUP(B2450,$C$2:$F$6,3,FALSE),2)</f>
        <v>0.23</v>
      </c>
      <c r="Q2450" s="322">
        <v>0.23</v>
      </c>
      <c r="R2450" s="322">
        <f>Q2450*J2450</f>
        <v>11.5</v>
      </c>
      <c r="S2450" s="7">
        <v>18.899999999999999</v>
      </c>
      <c r="T2450" s="92">
        <f>S2450*J2450</f>
        <v>944.99999999999989</v>
      </c>
      <c r="U2450" s="778"/>
      <c r="V2450" s="260">
        <v>120</v>
      </c>
    </row>
    <row r="2451" spans="1:22" s="7" customFormat="1" ht="18" customHeight="1">
      <c r="B2451" s="12" t="s">
        <v>300</v>
      </c>
      <c r="C2451" s="6" t="s">
        <v>3330</v>
      </c>
      <c r="D2451" s="14" t="s">
        <v>2059</v>
      </c>
      <c r="E2451" s="112" t="s">
        <v>3333</v>
      </c>
      <c r="F2451" s="37"/>
      <c r="G2451" s="396" t="s">
        <v>164</v>
      </c>
      <c r="H2451" s="108">
        <v>50</v>
      </c>
      <c r="I2451" s="109">
        <v>1</v>
      </c>
      <c r="J2451" s="8">
        <f>H2451*I2451</f>
        <v>50</v>
      </c>
      <c r="K2451" s="39">
        <v>0.45</v>
      </c>
      <c r="L2451" s="39">
        <f>K2451*J2451</f>
        <v>22.5</v>
      </c>
      <c r="M2451" s="117" t="s">
        <v>349</v>
      </c>
      <c r="N2451" s="33">
        <v>44875</v>
      </c>
      <c r="O2451" s="32">
        <v>4735</v>
      </c>
      <c r="P2451" s="391">
        <f>ROUNDUP(S2451/V2451/VLOOKUP(B2451,$C$2:$F$6,3,FALSE),2)</f>
        <v>0.29000000000000004</v>
      </c>
      <c r="Q2451" s="322">
        <v>0.28999999999999998</v>
      </c>
      <c r="R2451" s="322">
        <f>Q2451*J2451</f>
        <v>14.499999999999998</v>
      </c>
      <c r="S2451" s="7">
        <v>23.8</v>
      </c>
      <c r="T2451" s="92">
        <f>S2451*J2451</f>
        <v>1190</v>
      </c>
      <c r="U2451" s="778"/>
      <c r="V2451" s="260">
        <v>120</v>
      </c>
    </row>
    <row r="2452" spans="1:22" s="7" customFormat="1" ht="18" customHeight="1">
      <c r="B2452" s="12"/>
      <c r="C2452" s="6" t="s">
        <v>3330</v>
      </c>
      <c r="D2452" s="14" t="s">
        <v>2059</v>
      </c>
      <c r="E2452" s="22"/>
      <c r="F2452" s="340"/>
      <c r="G2452" s="22" t="s">
        <v>316</v>
      </c>
      <c r="H2452" s="8"/>
      <c r="I2452" s="109" ph="1"/>
      <c r="J2452" s="38">
        <v>1</v>
      </c>
      <c r="K2452" s="39">
        <v>12</v>
      </c>
      <c r="L2452" s="39">
        <f>K2452*J2452</f>
        <v>12</v>
      </c>
      <c r="M2452" s="91"/>
      <c r="N2452" s="33">
        <v>44875</v>
      </c>
      <c r="O2452" s="32">
        <v>4735</v>
      </c>
      <c r="P2452" s="6"/>
      <c r="Q2452" s="322">
        <v>12</v>
      </c>
      <c r="R2452" s="322">
        <v>12</v>
      </c>
      <c r="S2452" s="7">
        <v>1100</v>
      </c>
      <c r="T2452" s="7">
        <f>S2452*J2452</f>
        <v>1100</v>
      </c>
      <c r="U2452" s="21"/>
      <c r="V2452" s="260">
        <v>120</v>
      </c>
    </row>
    <row r="2453" spans="1:22" s="191" customFormat="1" ht="18" customHeight="1">
      <c r="B2453" s="190"/>
      <c r="C2453" s="179" t="s">
        <v>3330</v>
      </c>
      <c r="D2453" s="180" t="s">
        <v>2059</v>
      </c>
      <c r="E2453" s="961"/>
      <c r="F2453" s="737"/>
      <c r="G2453" s="182" t="s">
        <v>250</v>
      </c>
      <c r="H2453" s="184" t="s">
        <v>251</v>
      </c>
      <c r="I2453" s="185"/>
      <c r="J2453" s="183"/>
      <c r="K2453" s="192">
        <v>0</v>
      </c>
      <c r="L2453" s="188"/>
      <c r="M2453" s="187"/>
      <c r="N2453" s="187">
        <v>44875</v>
      </c>
      <c r="O2453" s="186">
        <v>4735</v>
      </c>
      <c r="P2453" s="179"/>
      <c r="Q2453" s="725">
        <v>0</v>
      </c>
      <c r="S2453" s="197">
        <v>0</v>
      </c>
      <c r="T2453" s="198">
        <v>0</v>
      </c>
      <c r="U2453" s="335"/>
      <c r="V2453" s="260">
        <v>120</v>
      </c>
    </row>
    <row r="2454" spans="1:22" s="7" customFormat="1" ht="18" customHeight="1">
      <c r="B2454" s="12"/>
      <c r="C2454" s="6" t="s">
        <v>3334</v>
      </c>
      <c r="D2454" s="14" t="s">
        <v>2059</v>
      </c>
      <c r="E2454" s="19" t="s">
        <v>3092</v>
      </c>
      <c r="F2454" s="37"/>
      <c r="G2454" s="37"/>
      <c r="H2454" s="108"/>
      <c r="I2454" s="108"/>
      <c r="J2454" s="108"/>
      <c r="K2454" s="29" t="s">
        <v>5</v>
      </c>
      <c r="L2454" s="139"/>
      <c r="M2454" s="33"/>
      <c r="N2454" s="33">
        <v>44875</v>
      </c>
      <c r="O2454" s="32">
        <v>4735</v>
      </c>
      <c r="P2454" s="6"/>
      <c r="Q2454" s="339"/>
      <c r="U2454" s="21"/>
      <c r="V2454" s="260">
        <v>120</v>
      </c>
    </row>
    <row r="2455" spans="1:22" s="7" customFormat="1" ht="18" customHeight="1">
      <c r="B2455" s="12" t="s">
        <v>300</v>
      </c>
      <c r="C2455" s="6" t="s">
        <v>3334</v>
      </c>
      <c r="D2455" s="14" t="s">
        <v>2059</v>
      </c>
      <c r="E2455" s="22">
        <v>5634</v>
      </c>
      <c r="F2455" s="37" t="s">
        <v>311</v>
      </c>
      <c r="G2455" s="396" t="s">
        <v>3042</v>
      </c>
      <c r="H2455" s="108">
        <v>50</v>
      </c>
      <c r="I2455" s="109">
        <v>4</v>
      </c>
      <c r="J2455" s="8">
        <f>H2455*I2455</f>
        <v>200</v>
      </c>
      <c r="K2455" s="39">
        <v>0.31</v>
      </c>
      <c r="L2455" s="39">
        <f>K2455*J2455</f>
        <v>62</v>
      </c>
      <c r="M2455" s="117" t="s">
        <v>349</v>
      </c>
      <c r="N2455" s="33">
        <v>44875</v>
      </c>
      <c r="O2455" s="32">
        <v>4735</v>
      </c>
      <c r="P2455" s="391">
        <f>ROUNDUP(S2455/V2455/VLOOKUP(B2455,$C$2:$F$6,3,FALSE),2)</f>
        <v>0.2</v>
      </c>
      <c r="Q2455" s="322">
        <v>0.2</v>
      </c>
      <c r="R2455" s="322">
        <f>Q2455*J2455</f>
        <v>40</v>
      </c>
      <c r="S2455" s="7">
        <v>16.3</v>
      </c>
      <c r="T2455" s="92">
        <f>S2455*J2455</f>
        <v>3260</v>
      </c>
      <c r="U2455" s="778"/>
      <c r="V2455" s="260">
        <v>120</v>
      </c>
    </row>
    <row r="2456" spans="1:22" s="7" customFormat="1" ht="18" customHeight="1">
      <c r="B2456" s="12" t="s">
        <v>300</v>
      </c>
      <c r="C2456" s="6" t="s">
        <v>3334</v>
      </c>
      <c r="D2456" s="14" t="s">
        <v>2059</v>
      </c>
      <c r="E2456" s="22">
        <v>5634</v>
      </c>
      <c r="F2456" s="37" t="s">
        <v>311</v>
      </c>
      <c r="G2456" s="396" t="s">
        <v>3335</v>
      </c>
      <c r="H2456" s="108">
        <v>50</v>
      </c>
      <c r="I2456" s="109">
        <v>1</v>
      </c>
      <c r="J2456" s="8">
        <f>H2456*I2456</f>
        <v>50</v>
      </c>
      <c r="K2456" s="39">
        <v>0.31</v>
      </c>
      <c r="L2456" s="39">
        <f>K2456*J2456</f>
        <v>15.5</v>
      </c>
      <c r="M2456" s="117" t="s">
        <v>349</v>
      </c>
      <c r="N2456" s="33">
        <v>44875</v>
      </c>
      <c r="O2456" s="32">
        <v>4735</v>
      </c>
      <c r="P2456" s="391">
        <f>ROUNDUP(S2456/V2456/VLOOKUP(B2456,$C$2:$F$6,3,FALSE),2)</f>
        <v>0.2</v>
      </c>
      <c r="Q2456" s="322">
        <v>0.2</v>
      </c>
      <c r="R2456" s="322">
        <f>Q2456*J2456</f>
        <v>10</v>
      </c>
      <c r="S2456" s="7">
        <v>16.3</v>
      </c>
      <c r="T2456" s="92">
        <f>S2456*J2456</f>
        <v>815</v>
      </c>
      <c r="U2456" s="778"/>
      <c r="V2456" s="260">
        <v>120</v>
      </c>
    </row>
    <row r="2457" spans="1:22" s="7" customFormat="1" ht="18" customHeight="1">
      <c r="B2457" s="12" t="s">
        <v>300</v>
      </c>
      <c r="C2457" s="6" t="s">
        <v>3334</v>
      </c>
      <c r="D2457" s="14" t="s">
        <v>2059</v>
      </c>
      <c r="E2457" s="22">
        <v>5634</v>
      </c>
      <c r="F2457" s="37" t="s">
        <v>311</v>
      </c>
      <c r="G2457" s="396" t="s">
        <v>3297</v>
      </c>
      <c r="H2457" s="108">
        <v>50</v>
      </c>
      <c r="I2457" s="109">
        <v>3</v>
      </c>
      <c r="J2457" s="8">
        <f>H2457*I2457</f>
        <v>150</v>
      </c>
      <c r="K2457" s="39">
        <v>0.31</v>
      </c>
      <c r="L2457" s="39">
        <f>K2457*J2457</f>
        <v>46.5</v>
      </c>
      <c r="M2457" s="117" t="s">
        <v>349</v>
      </c>
      <c r="N2457" s="33">
        <v>44875</v>
      </c>
      <c r="O2457" s="32">
        <v>4735</v>
      </c>
      <c r="P2457" s="391">
        <f>ROUNDUP(S2457/V2457/VLOOKUP(B2457,$C$2:$F$6,3,FALSE),2)</f>
        <v>0.2</v>
      </c>
      <c r="Q2457" s="322">
        <v>0.2</v>
      </c>
      <c r="R2457" s="322">
        <f>Q2457*J2457</f>
        <v>30</v>
      </c>
      <c r="S2457" s="7">
        <v>16.3</v>
      </c>
      <c r="T2457" s="92">
        <f>S2457*J2457</f>
        <v>2445</v>
      </c>
      <c r="U2457" s="778"/>
      <c r="V2457" s="260">
        <v>120</v>
      </c>
    </row>
    <row r="2458" spans="1:22" s="7" customFormat="1" ht="18" customHeight="1">
      <c r="B2458" s="12"/>
      <c r="C2458" s="6" t="s">
        <v>3334</v>
      </c>
      <c r="D2458" s="14" t="s">
        <v>2059</v>
      </c>
      <c r="E2458" s="22"/>
      <c r="F2458" s="102"/>
      <c r="G2458" s="22" t="s">
        <v>316</v>
      </c>
      <c r="H2458" s="8"/>
      <c r="I2458" s="35"/>
      <c r="J2458" s="38">
        <v>1</v>
      </c>
      <c r="K2458" s="39">
        <v>12</v>
      </c>
      <c r="L2458" s="39">
        <f>K2458*J2458</f>
        <v>12</v>
      </c>
      <c r="M2458" s="91"/>
      <c r="N2458" s="33">
        <v>44875</v>
      </c>
      <c r="O2458" s="32">
        <v>4735</v>
      </c>
      <c r="P2458" s="6"/>
      <c r="Q2458" s="322">
        <v>12</v>
      </c>
      <c r="R2458" s="322">
        <f>Q2458*J2458</f>
        <v>12</v>
      </c>
      <c r="S2458" s="7">
        <v>0</v>
      </c>
      <c r="T2458" s="7">
        <f>S2458*J2458</f>
        <v>0</v>
      </c>
      <c r="U2458" s="21"/>
      <c r="V2458" s="260">
        <v>120</v>
      </c>
    </row>
    <row r="2459" spans="1:22" s="191" customFormat="1" ht="18" customHeight="1">
      <c r="B2459" s="190"/>
      <c r="C2459" s="179" t="s">
        <v>3334</v>
      </c>
      <c r="D2459" s="180" t="s">
        <v>2059</v>
      </c>
      <c r="E2459" s="736"/>
      <c r="F2459" s="737"/>
      <c r="G2459" s="182" t="s">
        <v>250</v>
      </c>
      <c r="H2459" s="184" t="s">
        <v>251</v>
      </c>
      <c r="I2459" s="185"/>
      <c r="J2459" s="183"/>
      <c r="K2459" s="192">
        <v>0</v>
      </c>
      <c r="L2459" s="188"/>
      <c r="M2459" s="187"/>
      <c r="N2459" s="187">
        <v>44875</v>
      </c>
      <c r="O2459" s="186">
        <v>4735</v>
      </c>
      <c r="P2459" s="179"/>
      <c r="Q2459" s="725">
        <v>0</v>
      </c>
      <c r="S2459" s="197">
        <v>0</v>
      </c>
      <c r="T2459" s="198">
        <v>0</v>
      </c>
      <c r="U2459" s="335"/>
      <c r="V2459" s="260">
        <v>120</v>
      </c>
    </row>
    <row r="2460" spans="1:22" s="7" customFormat="1" ht="15">
      <c r="B2460" s="12"/>
      <c r="C2460" s="6" t="s">
        <v>3336</v>
      </c>
      <c r="D2460" s="14" t="s">
        <v>2416</v>
      </c>
      <c r="E2460" s="19" t="s">
        <v>3261</v>
      </c>
      <c r="F2460" s="24"/>
      <c r="G2460" s="22"/>
      <c r="H2460" s="60"/>
      <c r="I2460" s="61"/>
      <c r="J2460" s="8"/>
      <c r="K2460" s="110" t="s">
        <v>5</v>
      </c>
      <c r="L2460" s="139"/>
      <c r="M2460" s="33"/>
      <c r="N2460" s="33">
        <v>44895</v>
      </c>
      <c r="O2460" s="32">
        <v>4744</v>
      </c>
      <c r="P2460" s="6" t="s">
        <v>8</v>
      </c>
      <c r="Q2460" s="358"/>
      <c r="U2460" s="120"/>
      <c r="V2460" s="260">
        <v>120</v>
      </c>
    </row>
    <row r="2461" spans="1:22" s="7" customFormat="1" ht="18" customHeight="1">
      <c r="B2461" s="12" t="s">
        <v>300</v>
      </c>
      <c r="C2461" s="6" t="s">
        <v>3336</v>
      </c>
      <c r="D2461" s="14" t="s">
        <v>2416</v>
      </c>
      <c r="E2461" s="22" t="s">
        <v>3262</v>
      </c>
      <c r="F2461" s="37" t="s">
        <v>359</v>
      </c>
      <c r="G2461" s="22" t="s">
        <v>3263</v>
      </c>
      <c r="H2461" s="8">
        <v>50</v>
      </c>
      <c r="I2461" s="35">
        <v>23</v>
      </c>
      <c r="J2461" s="108">
        <f>H2461*I2461</f>
        <v>1150</v>
      </c>
      <c r="K2461" s="958">
        <v>0.23</v>
      </c>
      <c r="L2461" s="39">
        <f>K2461*J2461</f>
        <v>264.5</v>
      </c>
      <c r="M2461" s="117" t="s">
        <v>349</v>
      </c>
      <c r="N2461" s="33">
        <v>44895</v>
      </c>
      <c r="O2461" s="32">
        <v>4744</v>
      </c>
      <c r="P2461" s="391">
        <f>ROUNDUP(S2461/V2461/VLOOKUP(B2461,$C$2:$F$6,3,FALSE),2)</f>
        <v>9.9999999999999992E-2</v>
      </c>
      <c r="Q2461" s="322">
        <v>0.1</v>
      </c>
      <c r="R2461" s="322">
        <f>Q2461*J2461</f>
        <v>115</v>
      </c>
      <c r="S2461" s="7">
        <v>8.3000000000000007</v>
      </c>
      <c r="T2461" s="7">
        <f>S2461*J2461</f>
        <v>9545</v>
      </c>
      <c r="U2461" s="39"/>
      <c r="V2461" s="260">
        <v>120</v>
      </c>
    </row>
    <row r="2462" spans="1:22" s="7" customFormat="1" ht="18" customHeight="1">
      <c r="B2462" s="12"/>
      <c r="C2462" s="6" t="s">
        <v>3336</v>
      </c>
      <c r="D2462" s="14" t="s">
        <v>2416</v>
      </c>
      <c r="E2462" s="22"/>
      <c r="F2462" s="340"/>
      <c r="G2462" s="22" t="s">
        <v>316</v>
      </c>
      <c r="H2462" s="8"/>
      <c r="I2462" s="109" ph="1"/>
      <c r="J2462" s="38">
        <v>1</v>
      </c>
      <c r="K2462" s="39">
        <v>15</v>
      </c>
      <c r="L2462" s="39">
        <f>K2462*J2462</f>
        <v>15</v>
      </c>
      <c r="M2462" s="91"/>
      <c r="N2462" s="33">
        <v>44895</v>
      </c>
      <c r="O2462" s="32">
        <v>4744</v>
      </c>
      <c r="P2462" s="6"/>
      <c r="Q2462" s="322">
        <v>12</v>
      </c>
      <c r="R2462" s="322">
        <v>12</v>
      </c>
      <c r="S2462" s="7">
        <v>1100</v>
      </c>
      <c r="T2462" s="7">
        <f>S2462*J2462</f>
        <v>1100</v>
      </c>
      <c r="U2462" s="21"/>
      <c r="V2462" s="260">
        <v>120</v>
      </c>
    </row>
    <row r="2463" spans="1:22" s="218" customFormat="1" ht="18" customHeight="1">
      <c r="A2463" s="7"/>
      <c r="B2463" s="189"/>
      <c r="C2463" s="179" t="s">
        <v>3336</v>
      </c>
      <c r="D2463" s="180" t="s">
        <v>2416</v>
      </c>
      <c r="E2463" s="217"/>
      <c r="F2463" s="182"/>
      <c r="G2463" s="182" t="s">
        <v>250</v>
      </c>
      <c r="H2463" s="184" t="s">
        <v>251</v>
      </c>
      <c r="I2463" s="185"/>
      <c r="J2463" s="183"/>
      <c r="K2463" s="192">
        <v>0</v>
      </c>
      <c r="L2463" s="946"/>
      <c r="M2463" s="947"/>
      <c r="N2463" s="187">
        <v>44895</v>
      </c>
      <c r="O2463" s="186">
        <v>4744</v>
      </c>
      <c r="P2463" s="179"/>
      <c r="Q2463" s="322">
        <v>0</v>
      </c>
      <c r="S2463" s="197">
        <v>0</v>
      </c>
      <c r="T2463" s="197">
        <v>0</v>
      </c>
      <c r="U2463" s="335"/>
      <c r="V2463" s="260">
        <v>120</v>
      </c>
    </row>
    <row r="2464" spans="1:22" customFormat="1" ht="18" customHeight="1">
      <c r="A2464" s="1"/>
      <c r="B2464" s="26"/>
      <c r="C2464" s="6" t="s">
        <v>3337</v>
      </c>
      <c r="D2464" s="14" t="s">
        <v>3086</v>
      </c>
      <c r="E2464" s="19" t="s">
        <v>3338</v>
      </c>
      <c r="F2464" s="107"/>
      <c r="G2464" s="22"/>
      <c r="H2464" s="108"/>
      <c r="I2464" s="109"/>
      <c r="J2464" s="108"/>
      <c r="K2464" s="110" t="s">
        <v>5</v>
      </c>
      <c r="L2464" s="33"/>
      <c r="M2464" s="33"/>
      <c r="N2464" s="33">
        <v>44918</v>
      </c>
      <c r="O2464" s="32">
        <v>4743</v>
      </c>
      <c r="P2464" s="14"/>
      <c r="Q2464" s="254"/>
      <c r="R2464" s="1"/>
      <c r="S2464" s="261"/>
      <c r="T2464" s="92"/>
      <c r="U2464" s="264"/>
      <c r="V2464" s="260">
        <v>120</v>
      </c>
    </row>
    <row r="2465" spans="2:22" customFormat="1" ht="18" customHeight="1">
      <c r="B2465" s="12" t="s">
        <v>302</v>
      </c>
      <c r="C2465" s="6" t="s">
        <v>3337</v>
      </c>
      <c r="D2465" s="14" t="s">
        <v>3086</v>
      </c>
      <c r="E2465" s="19" t="s">
        <v>3339</v>
      </c>
      <c r="F2465" s="107" t="s">
        <v>3340</v>
      </c>
      <c r="G2465" s="22" t="s">
        <v>3341</v>
      </c>
      <c r="H2465" s="60">
        <v>60</v>
      </c>
      <c r="I2465" s="61">
        <v>1</v>
      </c>
      <c r="J2465" s="60">
        <f>H2465*I2465</f>
        <v>60</v>
      </c>
      <c r="K2465" s="39">
        <v>18.2</v>
      </c>
      <c r="L2465" s="39">
        <f>K2465*J2465</f>
        <v>1092</v>
      </c>
      <c r="M2465" s="117" t="s">
        <v>323</v>
      </c>
      <c r="N2465" s="33">
        <v>44918</v>
      </c>
      <c r="O2465" s="32">
        <v>4743</v>
      </c>
      <c r="P2465" s="391">
        <f>ROUNDUP(S2465/V2465/VLOOKUP(B2465,$C$2:$F$6,3,FALSE),2)</f>
        <v>12.41</v>
      </c>
      <c r="Q2465" s="254">
        <v>12.41</v>
      </c>
      <c r="R2465" s="323">
        <f>Q2465*J2465</f>
        <v>744.6</v>
      </c>
      <c r="S2465" s="273">
        <v>1310</v>
      </c>
      <c r="T2465" s="287">
        <f>S2465*J2465</f>
        <v>78600</v>
      </c>
      <c r="U2465" s="264"/>
      <c r="V2465" s="260">
        <v>120</v>
      </c>
    </row>
    <row r="2466" spans="2:22" s="7" customFormat="1" ht="18" customHeight="1">
      <c r="B2466" s="12"/>
      <c r="C2466" s="6" t="s">
        <v>3337</v>
      </c>
      <c r="D2466" s="14" t="s">
        <v>3086</v>
      </c>
      <c r="E2466" s="19" t="s">
        <v>269</v>
      </c>
      <c r="F2466" s="107"/>
      <c r="G2466" s="22"/>
      <c r="H2466" s="108"/>
      <c r="I2466" s="109"/>
      <c r="J2466" s="108"/>
      <c r="K2466" s="29" t="s">
        <v>5</v>
      </c>
      <c r="L2466" s="33"/>
      <c r="M2466" s="33"/>
      <c r="N2466" s="33">
        <v>44918</v>
      </c>
      <c r="O2466" s="32">
        <v>4743</v>
      </c>
      <c r="P2466" s="14"/>
      <c r="Q2466" s="254"/>
      <c r="S2466" s="257"/>
      <c r="T2466" s="92"/>
      <c r="U2466" s="268"/>
      <c r="V2466" s="260">
        <v>120</v>
      </c>
    </row>
    <row r="2467" spans="2:22" s="7" customFormat="1" ht="18" customHeight="1">
      <c r="B2467" s="12" t="s">
        <v>302</v>
      </c>
      <c r="C2467" s="6" t="s">
        <v>3337</v>
      </c>
      <c r="D2467" s="14" t="s">
        <v>3086</v>
      </c>
      <c r="E2467" s="22" t="s">
        <v>3342</v>
      </c>
      <c r="F2467" s="102">
        <v>132</v>
      </c>
      <c r="G2467" s="22" t="s">
        <v>3343</v>
      </c>
      <c r="H2467" s="108">
        <v>50</v>
      </c>
      <c r="I2467" s="109">
        <v>1</v>
      </c>
      <c r="J2467" s="8">
        <f>H2467*I2467</f>
        <v>50</v>
      </c>
      <c r="K2467" s="39">
        <v>6.25</v>
      </c>
      <c r="L2467" s="39">
        <f>K2467*J2467</f>
        <v>312.5</v>
      </c>
      <c r="M2467" s="117" t="s">
        <v>349</v>
      </c>
      <c r="N2467" s="33">
        <v>44918</v>
      </c>
      <c r="O2467" s="32">
        <v>4743</v>
      </c>
      <c r="P2467" s="391">
        <f>ROUNDUP(S2467/V2467/VLOOKUP(B2467,$C$2:$F$6,3,FALSE),2)</f>
        <v>4.2699999999999996</v>
      </c>
      <c r="Q2467" s="322">
        <v>4.2699999999999996</v>
      </c>
      <c r="R2467" s="322">
        <f>Q2467*J2467</f>
        <v>213.49999999999997</v>
      </c>
      <c r="S2467" s="7">
        <v>450</v>
      </c>
      <c r="T2467" s="7">
        <f>S2467*J2467</f>
        <v>22500</v>
      </c>
      <c r="U2467" s="21"/>
      <c r="V2467" s="260">
        <v>120</v>
      </c>
    </row>
    <row r="2468" spans="2:22" s="7" customFormat="1" ht="18" customHeight="1">
      <c r="B2468" s="12"/>
      <c r="C2468" s="6" t="s">
        <v>3337</v>
      </c>
      <c r="D2468" s="14" t="s">
        <v>3086</v>
      </c>
      <c r="E2468" s="82"/>
      <c r="F2468" s="340"/>
      <c r="G2468" s="22" t="s">
        <v>316</v>
      </c>
      <c r="H2468" s="8"/>
      <c r="I2468" s="109" ph="1"/>
      <c r="J2468" s="38">
        <v>2</v>
      </c>
      <c r="K2468" s="39">
        <v>20</v>
      </c>
      <c r="L2468" s="39">
        <f>K2468*J2468</f>
        <v>40</v>
      </c>
      <c r="M2468" s="91"/>
      <c r="N2468" s="33">
        <v>44918</v>
      </c>
      <c r="O2468" s="32">
        <v>4743</v>
      </c>
      <c r="P2468" s="6"/>
      <c r="Q2468" s="322">
        <v>40</v>
      </c>
      <c r="R2468" s="322">
        <v>40</v>
      </c>
      <c r="S2468" s="7">
        <v>1800</v>
      </c>
      <c r="T2468" s="7">
        <v>1800</v>
      </c>
      <c r="U2468" s="21"/>
      <c r="V2468" s="260">
        <v>120</v>
      </c>
    </row>
    <row r="2469" spans="2:22" s="191" customFormat="1" ht="18" customHeight="1">
      <c r="B2469" s="190"/>
      <c r="C2469" s="179" t="s">
        <v>3337</v>
      </c>
      <c r="D2469" s="180" t="s">
        <v>3086</v>
      </c>
      <c r="E2469" s="181"/>
      <c r="F2469" s="182"/>
      <c r="G2469" s="182" t="s">
        <v>250</v>
      </c>
      <c r="H2469" s="184" t="s">
        <v>252</v>
      </c>
      <c r="I2469" s="185"/>
      <c r="J2469" s="183"/>
      <c r="K2469" s="333">
        <v>173</v>
      </c>
      <c r="L2469" s="333">
        <v>173</v>
      </c>
      <c r="M2469" s="187"/>
      <c r="N2469" s="187">
        <v>44918</v>
      </c>
      <c r="O2469" s="186">
        <v>4743</v>
      </c>
      <c r="P2469" s="179"/>
      <c r="Q2469" s="333">
        <v>173</v>
      </c>
      <c r="R2469" s="333">
        <v>173</v>
      </c>
      <c r="S2469" s="197">
        <v>20678</v>
      </c>
      <c r="T2469" s="197">
        <v>20678</v>
      </c>
      <c r="U2469" s="335"/>
      <c r="V2469" s="260">
        <v>120</v>
      </c>
    </row>
    <row r="2470" spans="2:22" s="7" customFormat="1" ht="18" customHeight="1">
      <c r="B2470" s="12"/>
      <c r="C2470" s="6" t="s">
        <v>3344</v>
      </c>
      <c r="D2470" s="14" t="s">
        <v>2034</v>
      </c>
      <c r="E2470" s="19" t="s">
        <v>10</v>
      </c>
      <c r="F2470" s="107"/>
      <c r="G2470" s="22"/>
      <c r="H2470" s="108"/>
      <c r="I2470" s="109"/>
      <c r="J2470" s="108"/>
      <c r="K2470" s="29" t="s">
        <v>5</v>
      </c>
      <c r="L2470" s="139"/>
      <c r="M2470" s="33"/>
      <c r="N2470" s="33">
        <v>44880</v>
      </c>
      <c r="O2470" s="32">
        <v>4749</v>
      </c>
      <c r="P2470" s="14"/>
      <c r="Q2470" s="322"/>
      <c r="U2470" s="14"/>
      <c r="V2470" s="260">
        <v>90</v>
      </c>
    </row>
    <row r="2471" spans="2:22" s="7" customFormat="1" ht="18" customHeight="1">
      <c r="B2471" s="12" t="s">
        <v>302</v>
      </c>
      <c r="C2471" s="6" t="s">
        <v>3344</v>
      </c>
      <c r="D2471" s="14" t="s">
        <v>2034</v>
      </c>
      <c r="E2471" s="22" t="s">
        <v>207</v>
      </c>
      <c r="F2471" s="107">
        <v>152</v>
      </c>
      <c r="G2471" s="22" t="s">
        <v>380</v>
      </c>
      <c r="H2471" s="108">
        <v>50</v>
      </c>
      <c r="I2471" s="109">
        <v>3</v>
      </c>
      <c r="J2471" s="8">
        <f>I2471*H2471</f>
        <v>150</v>
      </c>
      <c r="K2471" s="39">
        <v>4.45</v>
      </c>
      <c r="L2471" s="39">
        <f>K2471*J2471</f>
        <v>667.5</v>
      </c>
      <c r="M2471" s="403" t="s">
        <v>322</v>
      </c>
      <c r="N2471" s="33">
        <v>44880</v>
      </c>
      <c r="O2471" s="32">
        <v>4749</v>
      </c>
      <c r="P2471" s="391">
        <f>ROUNDUP(S2471/V2471/VLOOKUP(B2471,$C$2:$F$6,3,FALSE),2)</f>
        <v>3.0399999999999996</v>
      </c>
      <c r="Q2471" s="322">
        <v>3.04</v>
      </c>
      <c r="R2471" s="322">
        <f>Q2471*J2471</f>
        <v>456</v>
      </c>
      <c r="S2471" s="7">
        <v>320</v>
      </c>
      <c r="T2471" s="7">
        <f>S2471*J2471</f>
        <v>48000</v>
      </c>
      <c r="U2471" s="21"/>
      <c r="V2471" s="260">
        <v>120</v>
      </c>
    </row>
    <row r="2472" spans="2:22" s="7" customFormat="1" ht="18" customHeight="1">
      <c r="B2472" s="12" t="s">
        <v>302</v>
      </c>
      <c r="C2472" s="6" t="s">
        <v>3344</v>
      </c>
      <c r="D2472" s="14" t="s">
        <v>2034</v>
      </c>
      <c r="E2472" s="22" t="s">
        <v>207</v>
      </c>
      <c r="F2472" s="107">
        <v>152</v>
      </c>
      <c r="G2472" s="22" t="s">
        <v>380</v>
      </c>
      <c r="H2472" s="108">
        <v>48</v>
      </c>
      <c r="I2472" s="109">
        <v>1</v>
      </c>
      <c r="J2472" s="8">
        <f>I2472*H2472</f>
        <v>48</v>
      </c>
      <c r="K2472" s="39">
        <v>4.45</v>
      </c>
      <c r="L2472" s="39">
        <f>K2472*J2472</f>
        <v>213.60000000000002</v>
      </c>
      <c r="M2472" s="403" t="s">
        <v>322</v>
      </c>
      <c r="N2472" s="33">
        <v>44880</v>
      </c>
      <c r="O2472" s="32">
        <v>4749</v>
      </c>
      <c r="P2472" s="391">
        <f>ROUNDUP(S2472/V2472/VLOOKUP(B2472,$C$2:$F$6,3,FALSE),2)</f>
        <v>3.0399999999999996</v>
      </c>
      <c r="Q2472" s="322">
        <v>3.04</v>
      </c>
      <c r="R2472" s="322">
        <f>Q2472*J2472</f>
        <v>145.92000000000002</v>
      </c>
      <c r="S2472" s="7">
        <v>320</v>
      </c>
      <c r="T2472" s="7">
        <f>S2472*J2472</f>
        <v>15360</v>
      </c>
      <c r="U2472" s="21"/>
      <c r="V2472" s="260">
        <v>120</v>
      </c>
    </row>
    <row r="2473" spans="2:22" s="7" customFormat="1" ht="18" customHeight="1">
      <c r="B2473" s="12"/>
      <c r="C2473" s="6" t="s">
        <v>3344</v>
      </c>
      <c r="D2473" s="14" t="s">
        <v>2034</v>
      </c>
      <c r="E2473" s="19" t="s">
        <v>2358</v>
      </c>
      <c r="F2473" s="24"/>
      <c r="G2473" s="22"/>
      <c r="H2473" s="60"/>
      <c r="I2473" s="61"/>
      <c r="J2473" s="60"/>
      <c r="K2473" s="16" t="s">
        <v>5</v>
      </c>
      <c r="L2473" s="139"/>
      <c r="M2473" s="33"/>
      <c r="N2473" s="33">
        <v>44880</v>
      </c>
      <c r="O2473" s="32">
        <v>4749</v>
      </c>
      <c r="P2473" s="6" t="s">
        <v>3</v>
      </c>
      <c r="Q2473" s="358"/>
      <c r="U2473" s="120"/>
      <c r="V2473" s="260">
        <v>120</v>
      </c>
    </row>
    <row r="2474" spans="2:22" s="7" customFormat="1" ht="18" customHeight="1">
      <c r="B2474" s="12" t="s">
        <v>300</v>
      </c>
      <c r="C2474" s="6" t="s">
        <v>3344</v>
      </c>
      <c r="D2474" s="14" t="s">
        <v>2034</v>
      </c>
      <c r="E2474" s="22" t="s">
        <v>3080</v>
      </c>
      <c r="F2474" s="24"/>
      <c r="G2474" s="22" t="s">
        <v>100</v>
      </c>
      <c r="H2474" s="108">
        <v>13.7</v>
      </c>
      <c r="I2474" s="109">
        <v>2</v>
      </c>
      <c r="J2474" s="131">
        <f>H2474*I2474</f>
        <v>27.4</v>
      </c>
      <c r="K2474" s="39">
        <v>14.12</v>
      </c>
      <c r="L2474" s="39">
        <f>K2474*J2474</f>
        <v>386.88799999999998</v>
      </c>
      <c r="M2474" s="117" t="s">
        <v>349</v>
      </c>
      <c r="N2474" s="33">
        <v>44880</v>
      </c>
      <c r="O2474" s="32">
        <v>4749</v>
      </c>
      <c r="P2474" s="391">
        <f>ROUNDUP(S2474/V2474/VLOOKUP(B2474,$C$2:$F$6,3,FALSE),2)</f>
        <v>9.08</v>
      </c>
      <c r="Q2474" s="322">
        <v>9.08</v>
      </c>
      <c r="R2474" s="322">
        <f>Q2474*J2474</f>
        <v>248.792</v>
      </c>
      <c r="S2474" s="7">
        <v>762</v>
      </c>
      <c r="T2474" s="7">
        <f>S2474*J2474</f>
        <v>20878.8</v>
      </c>
      <c r="U2474" s="386"/>
      <c r="V2474" s="260">
        <v>120</v>
      </c>
    </row>
    <row r="2475" spans="2:22" s="7" customFormat="1" ht="18" customHeight="1">
      <c r="B2475" s="12"/>
      <c r="C2475" s="6" t="s">
        <v>3344</v>
      </c>
      <c r="D2475" s="14" t="s">
        <v>2034</v>
      </c>
      <c r="E2475" s="22"/>
      <c r="F2475" s="340"/>
      <c r="G2475" s="22" t="s">
        <v>316</v>
      </c>
      <c r="H2475" s="8"/>
      <c r="I2475" s="109" ph="1"/>
      <c r="J2475" s="38"/>
      <c r="K2475" s="39">
        <v>32</v>
      </c>
      <c r="L2475" s="39">
        <v>32</v>
      </c>
      <c r="M2475" s="91"/>
      <c r="N2475" s="33">
        <v>44880</v>
      </c>
      <c r="O2475" s="32">
        <v>4749</v>
      </c>
      <c r="P2475" s="6"/>
      <c r="Q2475" s="322">
        <v>32</v>
      </c>
      <c r="R2475" s="322">
        <v>32</v>
      </c>
      <c r="S2475" s="7">
        <f>0+1800</f>
        <v>1800</v>
      </c>
      <c r="T2475" s="7">
        <f>0+1800</f>
        <v>1800</v>
      </c>
      <c r="U2475" s="21"/>
      <c r="V2475" s="260">
        <v>120</v>
      </c>
    </row>
    <row r="2476" spans="2:22" s="191" customFormat="1" ht="18" customHeight="1">
      <c r="B2476" s="190"/>
      <c r="C2476" s="179" t="s">
        <v>3344</v>
      </c>
      <c r="D2476" s="180" t="s">
        <v>2034</v>
      </c>
      <c r="E2476" s="181"/>
      <c r="F2476" s="182"/>
      <c r="G2476" s="182" t="s">
        <v>250</v>
      </c>
      <c r="H2476" s="184" t="s">
        <v>252</v>
      </c>
      <c r="I2476" s="185"/>
      <c r="J2476" s="183"/>
      <c r="K2476" s="333">
        <v>220</v>
      </c>
      <c r="L2476" s="333">
        <v>220</v>
      </c>
      <c r="M2476" s="187"/>
      <c r="N2476" s="187">
        <v>44880</v>
      </c>
      <c r="O2476" s="186">
        <v>4749</v>
      </c>
      <c r="P2476" s="179"/>
      <c r="Q2476" s="334">
        <v>220</v>
      </c>
      <c r="R2476" s="334">
        <v>220</v>
      </c>
      <c r="S2476" s="197">
        <v>26351</v>
      </c>
      <c r="T2476" s="197">
        <v>26351</v>
      </c>
      <c r="U2476" s="335"/>
      <c r="V2476" s="260">
        <v>120</v>
      </c>
    </row>
    <row r="2477" spans="2:22" s="7" customFormat="1" ht="18" customHeight="1">
      <c r="B2477" s="12"/>
      <c r="C2477" s="6" t="s">
        <v>3345</v>
      </c>
      <c r="D2477" s="14" t="s">
        <v>3116</v>
      </c>
      <c r="E2477" s="19" t="s">
        <v>10</v>
      </c>
      <c r="F2477" s="107"/>
      <c r="G2477" s="22"/>
      <c r="H2477" s="108"/>
      <c r="I2477" s="109"/>
      <c r="J2477" s="108"/>
      <c r="K2477" s="29" t="s">
        <v>5</v>
      </c>
      <c r="L2477" s="39"/>
      <c r="M2477" s="91"/>
      <c r="N2477" s="33">
        <v>44883</v>
      </c>
      <c r="O2477" s="32">
        <v>4748</v>
      </c>
      <c r="P2477" s="14"/>
      <c r="Q2477" s="322"/>
      <c r="U2477" s="14"/>
      <c r="V2477" s="384">
        <v>120</v>
      </c>
    </row>
    <row r="2478" spans="2:22" s="7" customFormat="1" ht="18" customHeight="1">
      <c r="B2478" s="12" t="s">
        <v>302</v>
      </c>
      <c r="C2478" s="6" t="s">
        <v>3345</v>
      </c>
      <c r="D2478" s="14" t="s">
        <v>3116</v>
      </c>
      <c r="E2478" s="22" t="s">
        <v>190</v>
      </c>
      <c r="F2478" s="107">
        <v>160</v>
      </c>
      <c r="G2478" s="396" t="s">
        <v>90</v>
      </c>
      <c r="H2478" s="108">
        <v>25</v>
      </c>
      <c r="I2478" s="109">
        <v>1</v>
      </c>
      <c r="J2478" s="8">
        <f>I2478*H2478</f>
        <v>25</v>
      </c>
      <c r="K2478" s="39">
        <v>5</v>
      </c>
      <c r="L2478" s="39">
        <f>K2478*J2478</f>
        <v>125</v>
      </c>
      <c r="M2478" s="117" t="s">
        <v>322</v>
      </c>
      <c r="N2478" s="33">
        <v>44883</v>
      </c>
      <c r="O2478" s="32">
        <v>4748</v>
      </c>
      <c r="P2478" s="391">
        <f>ROUNDUP(S2478/V2478/VLOOKUP(B2478,$C$2:$F$6,3,FALSE),2)</f>
        <v>3.4099999999999997</v>
      </c>
      <c r="Q2478" s="322">
        <v>3.41</v>
      </c>
      <c r="R2478" s="322">
        <f>Q2478*J2478</f>
        <v>85.25</v>
      </c>
      <c r="S2478" s="7">
        <v>360</v>
      </c>
      <c r="T2478" s="7">
        <f>S2478*J2478</f>
        <v>9000</v>
      </c>
      <c r="U2478" s="21"/>
      <c r="V2478" s="260">
        <v>120</v>
      </c>
    </row>
    <row r="2479" spans="2:22" s="7" customFormat="1" ht="18" customHeight="1">
      <c r="B2479" s="12"/>
      <c r="C2479" s="6" t="s">
        <v>3345</v>
      </c>
      <c r="D2479" s="14" t="s">
        <v>3116</v>
      </c>
      <c r="E2479" s="22"/>
      <c r="F2479" s="102"/>
      <c r="G2479" s="22" t="s">
        <v>236</v>
      </c>
      <c r="H2479" s="8"/>
      <c r="I2479" s="35"/>
      <c r="J2479" s="38">
        <v>1</v>
      </c>
      <c r="K2479" s="39">
        <v>15</v>
      </c>
      <c r="L2479" s="39">
        <f>K2479*J2479</f>
        <v>15</v>
      </c>
      <c r="M2479" s="91"/>
      <c r="N2479" s="33">
        <v>44883</v>
      </c>
      <c r="O2479" s="32">
        <v>4748</v>
      </c>
      <c r="P2479" s="6" t="s">
        <v>3</v>
      </c>
      <c r="Q2479" s="322">
        <v>12</v>
      </c>
      <c r="R2479" s="322">
        <v>12</v>
      </c>
      <c r="S2479" s="7">
        <v>1000</v>
      </c>
      <c r="T2479" s="7">
        <f>S2479*J2479</f>
        <v>1000</v>
      </c>
      <c r="U2479" s="21"/>
      <c r="V2479" s="260">
        <v>120</v>
      </c>
    </row>
    <row r="2480" spans="2:22" s="7" customFormat="1" ht="18" customHeight="1">
      <c r="B2480" s="12"/>
      <c r="C2480" s="6" t="s">
        <v>3345</v>
      </c>
      <c r="D2480" s="14" t="s">
        <v>3116</v>
      </c>
      <c r="E2480" s="22"/>
      <c r="F2480" s="102"/>
      <c r="G2480" s="22" t="s">
        <v>316</v>
      </c>
      <c r="H2480" s="8"/>
      <c r="I2480" s="35"/>
      <c r="J2480" s="38">
        <v>1</v>
      </c>
      <c r="K2480" s="39">
        <v>20</v>
      </c>
      <c r="L2480" s="39">
        <f>K2480*J2480</f>
        <v>20</v>
      </c>
      <c r="M2480" s="91"/>
      <c r="N2480" s="33">
        <v>44883</v>
      </c>
      <c r="O2480" s="32">
        <v>4748</v>
      </c>
      <c r="P2480" s="6" t="s">
        <v>3</v>
      </c>
      <c r="Q2480" s="322">
        <v>20</v>
      </c>
      <c r="R2480" s="322">
        <v>20</v>
      </c>
      <c r="S2480" s="7">
        <v>1000</v>
      </c>
      <c r="T2480" s="7">
        <f>S2480*J2480</f>
        <v>1000</v>
      </c>
      <c r="U2480" s="21"/>
      <c r="V2480" s="260">
        <v>120</v>
      </c>
    </row>
    <row r="2481" spans="1:22" s="191" customFormat="1" ht="18" customHeight="1">
      <c r="B2481" s="190"/>
      <c r="C2481" s="179" t="s">
        <v>3345</v>
      </c>
      <c r="D2481" s="180" t="s">
        <v>3116</v>
      </c>
      <c r="E2481" s="217"/>
      <c r="F2481" s="182"/>
      <c r="G2481" s="182" t="s">
        <v>250</v>
      </c>
      <c r="H2481" s="184" t="s">
        <v>251</v>
      </c>
      <c r="I2481" s="185"/>
      <c r="J2481" s="183"/>
      <c r="K2481" s="192">
        <v>0</v>
      </c>
      <c r="L2481" s="187"/>
      <c r="M2481" s="187"/>
      <c r="N2481" s="187">
        <v>44883</v>
      </c>
      <c r="O2481" s="186">
        <v>4748</v>
      </c>
      <c r="P2481" s="179"/>
      <c r="Q2481" s="255">
        <v>0</v>
      </c>
      <c r="R2481" s="322">
        <v>0</v>
      </c>
      <c r="S2481" s="275">
        <v>0</v>
      </c>
      <c r="T2481" s="198">
        <v>0</v>
      </c>
      <c r="U2481" s="271"/>
      <c r="V2481" s="260">
        <v>120</v>
      </c>
    </row>
    <row r="2482" spans="1:22" s="7" customFormat="1" ht="18" customHeight="1">
      <c r="B2482" s="12"/>
      <c r="C2482" s="6" t="s">
        <v>3346</v>
      </c>
      <c r="D2482" s="14" t="s">
        <v>2276</v>
      </c>
      <c r="E2482" s="19" t="s">
        <v>10</v>
      </c>
      <c r="F2482" s="107"/>
      <c r="G2482" s="22"/>
      <c r="H2482" s="108"/>
      <c r="I2482" s="109"/>
      <c r="J2482" s="108"/>
      <c r="K2482" s="29" t="s">
        <v>5</v>
      </c>
      <c r="L2482" s="39"/>
      <c r="M2482" s="91"/>
      <c r="N2482" s="33">
        <v>44886</v>
      </c>
      <c r="O2482" s="32">
        <v>4761</v>
      </c>
      <c r="P2482" s="14"/>
      <c r="Q2482" s="322"/>
      <c r="U2482" s="14"/>
      <c r="V2482" s="384">
        <v>120</v>
      </c>
    </row>
    <row r="2483" spans="1:22" s="7" customFormat="1" ht="18" customHeight="1">
      <c r="B2483" s="12" t="s">
        <v>302</v>
      </c>
      <c r="C2483" s="6" t="s">
        <v>3346</v>
      </c>
      <c r="D2483" s="14" t="s">
        <v>2276</v>
      </c>
      <c r="E2483" s="22" t="s">
        <v>190</v>
      </c>
      <c r="F2483" s="107">
        <v>160</v>
      </c>
      <c r="G2483" s="396" t="s">
        <v>340</v>
      </c>
      <c r="H2483" s="108">
        <v>17</v>
      </c>
      <c r="I2483" s="109">
        <v>1</v>
      </c>
      <c r="J2483" s="8">
        <f>I2483*H2483</f>
        <v>17</v>
      </c>
      <c r="K2483" s="39">
        <v>5</v>
      </c>
      <c r="L2483" s="39">
        <f>K2483*J2483</f>
        <v>85</v>
      </c>
      <c r="M2483" s="117" t="s">
        <v>322</v>
      </c>
      <c r="N2483" s="33">
        <v>44886</v>
      </c>
      <c r="O2483" s="32">
        <v>4761</v>
      </c>
      <c r="P2483" s="391">
        <f>ROUNDUP(S2483/V2483/VLOOKUP(B2483,$C$2:$F$6,3,FALSE),2)</f>
        <v>3.4099999999999997</v>
      </c>
      <c r="Q2483" s="322">
        <v>3.41</v>
      </c>
      <c r="R2483" s="322">
        <f>Q2483*J2483</f>
        <v>57.97</v>
      </c>
      <c r="S2483" s="7">
        <v>360</v>
      </c>
      <c r="T2483" s="7">
        <f>S2483*J2483</f>
        <v>6120</v>
      </c>
      <c r="U2483" s="21"/>
      <c r="V2483" s="260">
        <v>120</v>
      </c>
    </row>
    <row r="2484" spans="1:22" s="7" customFormat="1" ht="18" customHeight="1">
      <c r="B2484" s="12"/>
      <c r="C2484" s="6" t="s">
        <v>3346</v>
      </c>
      <c r="D2484" s="14" t="s">
        <v>2276</v>
      </c>
      <c r="E2484" s="22"/>
      <c r="F2484" s="102"/>
      <c r="G2484" s="22" t="s">
        <v>236</v>
      </c>
      <c r="H2484" s="8"/>
      <c r="I2484" s="35"/>
      <c r="J2484" s="38">
        <v>1</v>
      </c>
      <c r="K2484" s="39">
        <v>15</v>
      </c>
      <c r="L2484" s="39">
        <f>K2484*J2484</f>
        <v>15</v>
      </c>
      <c r="M2484" s="91"/>
      <c r="N2484" s="33">
        <v>44886</v>
      </c>
      <c r="O2484" s="32">
        <v>4761</v>
      </c>
      <c r="P2484" s="6" t="s">
        <v>3</v>
      </c>
      <c r="Q2484" s="322">
        <v>12</v>
      </c>
      <c r="R2484" s="322">
        <v>12</v>
      </c>
      <c r="S2484" s="7">
        <v>1000</v>
      </c>
      <c r="T2484" s="7">
        <f>S2484*J2484</f>
        <v>1000</v>
      </c>
      <c r="U2484" s="21"/>
      <c r="V2484" s="260">
        <v>120</v>
      </c>
    </row>
    <row r="2485" spans="1:22" s="7" customFormat="1" ht="18" customHeight="1">
      <c r="B2485" s="12"/>
      <c r="C2485" s="6" t="s">
        <v>3346</v>
      </c>
      <c r="D2485" s="14" t="s">
        <v>2276</v>
      </c>
      <c r="E2485" s="22"/>
      <c r="F2485" s="102"/>
      <c r="G2485" s="22" t="s">
        <v>316</v>
      </c>
      <c r="H2485" s="8"/>
      <c r="I2485" s="35"/>
      <c r="J2485" s="38">
        <v>1</v>
      </c>
      <c r="K2485" s="39">
        <v>20</v>
      </c>
      <c r="L2485" s="39">
        <f>K2485*J2485</f>
        <v>20</v>
      </c>
      <c r="M2485" s="91"/>
      <c r="N2485" s="33">
        <v>44886</v>
      </c>
      <c r="O2485" s="32">
        <v>4761</v>
      </c>
      <c r="P2485" s="6" t="s">
        <v>3</v>
      </c>
      <c r="Q2485" s="322">
        <v>20</v>
      </c>
      <c r="R2485" s="322">
        <v>20</v>
      </c>
      <c r="S2485" s="7">
        <v>1000</v>
      </c>
      <c r="T2485" s="7">
        <f>S2485*J2485</f>
        <v>1000</v>
      </c>
      <c r="U2485" s="21"/>
      <c r="V2485" s="260">
        <v>120</v>
      </c>
    </row>
    <row r="2486" spans="1:22" s="191" customFormat="1" ht="18" customHeight="1">
      <c r="B2486" s="190"/>
      <c r="C2486" s="179" t="s">
        <v>3346</v>
      </c>
      <c r="D2486" s="180" t="s">
        <v>2276</v>
      </c>
      <c r="E2486" s="217"/>
      <c r="F2486" s="182"/>
      <c r="G2486" s="182" t="s">
        <v>250</v>
      </c>
      <c r="H2486" s="184" t="s">
        <v>252</v>
      </c>
      <c r="I2486" s="185"/>
      <c r="J2486" s="183"/>
      <c r="K2486" s="333">
        <v>38</v>
      </c>
      <c r="L2486" s="333">
        <v>38</v>
      </c>
      <c r="M2486" s="187"/>
      <c r="N2486" s="187">
        <v>44886</v>
      </c>
      <c r="O2486" s="186">
        <v>4761</v>
      </c>
      <c r="P2486" s="179"/>
      <c r="Q2486" s="334">
        <v>38</v>
      </c>
      <c r="R2486" s="334">
        <v>38</v>
      </c>
      <c r="S2486" s="197">
        <v>4484</v>
      </c>
      <c r="T2486" s="197">
        <v>4484</v>
      </c>
      <c r="U2486" s="335"/>
      <c r="V2486" s="260">
        <v>120</v>
      </c>
    </row>
    <row r="2487" spans="1:22" s="7" customFormat="1" ht="18" customHeight="1">
      <c r="B2487" s="12"/>
      <c r="C2487" s="6" t="s">
        <v>3347</v>
      </c>
      <c r="D2487" s="14" t="s">
        <v>2378</v>
      </c>
      <c r="E2487" s="19" t="s">
        <v>2882</v>
      </c>
      <c r="F2487" s="107"/>
      <c r="G2487" s="22"/>
      <c r="H2487" s="108"/>
      <c r="I2487" s="109"/>
      <c r="J2487" s="108"/>
      <c r="K2487" s="29" t="s">
        <v>5</v>
      </c>
      <c r="L2487" s="139"/>
      <c r="M2487" s="33"/>
      <c r="N2487" s="33">
        <v>44887</v>
      </c>
      <c r="O2487" s="32">
        <v>4768</v>
      </c>
      <c r="P2487" s="14"/>
      <c r="Q2487" s="322"/>
      <c r="U2487" s="14"/>
      <c r="V2487" s="260">
        <v>120</v>
      </c>
    </row>
    <row r="2488" spans="1:22" s="7" customFormat="1" ht="18" customHeight="1">
      <c r="B2488" s="12" t="s">
        <v>300</v>
      </c>
      <c r="C2488" s="6" t="s">
        <v>3347</v>
      </c>
      <c r="D2488" s="14" t="s">
        <v>2378</v>
      </c>
      <c r="E2488" s="22" t="s">
        <v>2468</v>
      </c>
      <c r="F2488" s="107"/>
      <c r="G2488" s="22" t="s">
        <v>100</v>
      </c>
      <c r="H2488" s="108">
        <v>13.7</v>
      </c>
      <c r="I2488" s="109">
        <v>7</v>
      </c>
      <c r="J2488" s="131">
        <f>H2488*I2488</f>
        <v>95.899999999999991</v>
      </c>
      <c r="K2488" s="39">
        <v>1.75</v>
      </c>
      <c r="L2488" s="39">
        <f>K2488*J2488</f>
        <v>167.82499999999999</v>
      </c>
      <c r="M2488" s="117" t="s">
        <v>349</v>
      </c>
      <c r="N2488" s="33">
        <v>44887</v>
      </c>
      <c r="O2488" s="32">
        <v>4768</v>
      </c>
      <c r="P2488" s="391">
        <f>ROUNDUP(S2488/V2488/VLOOKUP(B2488,$C$2:$F$6,3,FALSE),2)</f>
        <v>0.9</v>
      </c>
      <c r="Q2488" s="611">
        <v>0.9</v>
      </c>
      <c r="R2488" s="322">
        <f>Q2488*J2488</f>
        <v>86.309999999999988</v>
      </c>
      <c r="S2488" s="7">
        <v>75</v>
      </c>
      <c r="T2488" s="7">
        <f>S2488*J2488</f>
        <v>7192.4999999999991</v>
      </c>
      <c r="U2488" s="21"/>
      <c r="V2488" s="260">
        <v>120</v>
      </c>
    </row>
    <row r="2489" spans="1:22" s="7" customFormat="1" ht="18" customHeight="1">
      <c r="B2489" s="12"/>
      <c r="C2489" s="6" t="s">
        <v>3347</v>
      </c>
      <c r="D2489" s="14" t="s">
        <v>2378</v>
      </c>
      <c r="E2489" s="22"/>
      <c r="F2489" s="102"/>
      <c r="G2489" s="22" t="s">
        <v>316</v>
      </c>
      <c r="H2489" s="8"/>
      <c r="I2489" s="35"/>
      <c r="J2489" s="38">
        <v>1</v>
      </c>
      <c r="K2489" s="39">
        <v>12</v>
      </c>
      <c r="L2489" s="39">
        <f>K2489*J2489</f>
        <v>12</v>
      </c>
      <c r="M2489" s="33"/>
      <c r="N2489" s="33">
        <v>44887</v>
      </c>
      <c r="O2489" s="32">
        <v>4768</v>
      </c>
      <c r="P2489" s="391">
        <v>12</v>
      </c>
      <c r="Q2489" s="322">
        <v>12</v>
      </c>
      <c r="R2489" s="322">
        <v>12</v>
      </c>
      <c r="S2489" s="7">
        <v>0</v>
      </c>
      <c r="T2489" s="7">
        <f>S2489*J2489</f>
        <v>0</v>
      </c>
      <c r="U2489" s="21"/>
      <c r="V2489" s="260">
        <v>120</v>
      </c>
    </row>
    <row r="2490" spans="1:22" s="191" customFormat="1" ht="15">
      <c r="A2490" s="7"/>
      <c r="B2490" s="12"/>
      <c r="C2490" s="179" t="s">
        <v>3347</v>
      </c>
      <c r="D2490" s="180" t="s">
        <v>2378</v>
      </c>
      <c r="E2490" s="217"/>
      <c r="F2490" s="182"/>
      <c r="G2490" s="182" t="s">
        <v>250</v>
      </c>
      <c r="H2490" s="184" t="s">
        <v>252</v>
      </c>
      <c r="I2490" s="185"/>
      <c r="J2490" s="183"/>
      <c r="K2490" s="333">
        <v>25</v>
      </c>
      <c r="L2490" s="333">
        <v>25</v>
      </c>
      <c r="M2490" s="187"/>
      <c r="N2490" s="187">
        <v>44887</v>
      </c>
      <c r="O2490" s="186">
        <v>4768</v>
      </c>
      <c r="P2490" s="179"/>
      <c r="Q2490" s="334">
        <v>25</v>
      </c>
      <c r="R2490" s="334">
        <v>25</v>
      </c>
      <c r="S2490" s="197">
        <v>2989</v>
      </c>
      <c r="T2490" s="197">
        <v>2989</v>
      </c>
      <c r="U2490" s="335"/>
      <c r="V2490" s="260">
        <v>120</v>
      </c>
    </row>
    <row r="2491" spans="1:22" s="7" customFormat="1" ht="18" customHeight="1">
      <c r="B2491" s="12" t="s">
        <v>300</v>
      </c>
      <c r="C2491" s="6" t="s">
        <v>3347</v>
      </c>
      <c r="D2491" s="14" t="s">
        <v>2378</v>
      </c>
      <c r="E2491" s="22" t="s">
        <v>2468</v>
      </c>
      <c r="F2491" s="107"/>
      <c r="G2491" s="22" t="s">
        <v>100</v>
      </c>
      <c r="H2491" s="108">
        <v>13.7</v>
      </c>
      <c r="I2491" s="109">
        <v>20</v>
      </c>
      <c r="J2491" s="131">
        <f>H2491*I2491</f>
        <v>274</v>
      </c>
      <c r="K2491" s="39">
        <v>1.75</v>
      </c>
      <c r="L2491" s="39">
        <f>K2491*J2491</f>
        <v>479.5</v>
      </c>
      <c r="M2491" s="117" t="s">
        <v>349</v>
      </c>
      <c r="N2491" s="33">
        <v>44907</v>
      </c>
      <c r="O2491" s="32">
        <v>4824</v>
      </c>
      <c r="P2491" s="391">
        <f>ROUNDUP(S2491/V2491/VLOOKUP(B2491,$C$2:$F$6,3,FALSE),2)</f>
        <v>0.9</v>
      </c>
      <c r="Q2491" s="611">
        <v>0.9</v>
      </c>
      <c r="R2491" s="322">
        <f>Q2491*J2491</f>
        <v>246.6</v>
      </c>
      <c r="S2491" s="7">
        <v>75</v>
      </c>
      <c r="T2491" s="7">
        <f>S2491*J2491</f>
        <v>20550</v>
      </c>
      <c r="U2491" s="21"/>
      <c r="V2491" s="260">
        <v>120</v>
      </c>
    </row>
    <row r="2492" spans="1:22" s="191" customFormat="1" ht="15">
      <c r="A2492" s="7"/>
      <c r="B2492" s="12"/>
      <c r="C2492" s="179" t="s">
        <v>3347</v>
      </c>
      <c r="D2492" s="180" t="s">
        <v>2378</v>
      </c>
      <c r="E2492" s="217"/>
      <c r="F2492" s="182"/>
      <c r="G2492" s="182" t="s">
        <v>250</v>
      </c>
      <c r="H2492" s="184" t="s">
        <v>252</v>
      </c>
      <c r="I2492" s="185"/>
      <c r="J2492" s="183"/>
      <c r="K2492" s="333">
        <v>25</v>
      </c>
      <c r="L2492" s="333">
        <v>25</v>
      </c>
      <c r="M2492" s="187"/>
      <c r="N2492" s="187">
        <v>44907</v>
      </c>
      <c r="O2492" s="186">
        <v>4824</v>
      </c>
      <c r="P2492" s="179"/>
      <c r="Q2492" s="334">
        <v>25</v>
      </c>
      <c r="R2492" s="334">
        <v>25</v>
      </c>
      <c r="S2492" s="197">
        <v>2921</v>
      </c>
      <c r="T2492" s="197">
        <v>2921</v>
      </c>
      <c r="U2492" s="335"/>
      <c r="V2492" s="260">
        <v>120</v>
      </c>
    </row>
    <row r="2493" spans="1:22" s="7" customFormat="1" ht="18" customHeight="1">
      <c r="B2493" s="12"/>
      <c r="C2493" s="6" t="s">
        <v>3348</v>
      </c>
      <c r="D2493" s="14" t="s">
        <v>2171</v>
      </c>
      <c r="E2493" s="19" t="s">
        <v>10</v>
      </c>
      <c r="F2493" s="107"/>
      <c r="G2493" s="22"/>
      <c r="H2493" s="108"/>
      <c r="I2493" s="109"/>
      <c r="J2493" s="108"/>
      <c r="K2493" s="29" t="s">
        <v>5</v>
      </c>
      <c r="L2493" s="139"/>
      <c r="M2493" s="33"/>
      <c r="N2493" s="33">
        <v>44890</v>
      </c>
      <c r="O2493" s="32">
        <v>4783</v>
      </c>
      <c r="P2493" s="14"/>
      <c r="Q2493" s="322"/>
      <c r="U2493" s="14"/>
      <c r="V2493" s="260">
        <v>120</v>
      </c>
    </row>
    <row r="2494" spans="1:22" s="7" customFormat="1" ht="18" customHeight="1">
      <c r="B2494" s="12" t="s">
        <v>302</v>
      </c>
      <c r="C2494" s="6" t="s">
        <v>3348</v>
      </c>
      <c r="D2494" s="14" t="s">
        <v>2171</v>
      </c>
      <c r="E2494" s="22" t="s">
        <v>207</v>
      </c>
      <c r="F2494" s="107">
        <v>152</v>
      </c>
      <c r="G2494" s="22" t="s">
        <v>3349</v>
      </c>
      <c r="H2494" s="108">
        <v>50</v>
      </c>
      <c r="I2494" s="109">
        <v>1</v>
      </c>
      <c r="J2494" s="8">
        <f>I2494*H2494</f>
        <v>50</v>
      </c>
      <c r="K2494" s="39">
        <v>4.45</v>
      </c>
      <c r="L2494" s="39">
        <f t="shared" ref="L2494:L2504" si="154">K2494*J2494</f>
        <v>222.5</v>
      </c>
      <c r="M2494" s="403" t="s">
        <v>322</v>
      </c>
      <c r="N2494" s="33">
        <v>44890</v>
      </c>
      <c r="O2494" s="32">
        <v>4783</v>
      </c>
      <c r="P2494" s="391">
        <f>ROUNDUP(S2494/V2494/VLOOKUP(B2494,$C$2:$F$6,3,FALSE),2)</f>
        <v>3.0399999999999996</v>
      </c>
      <c r="Q2494" s="322">
        <v>3.04</v>
      </c>
      <c r="R2494" s="322">
        <f>Q2494*J2494</f>
        <v>152</v>
      </c>
      <c r="S2494" s="7">
        <v>320</v>
      </c>
      <c r="T2494" s="7">
        <f t="shared" ref="T2494:T2504" si="155">S2494*J2494</f>
        <v>16000</v>
      </c>
      <c r="U2494" s="21"/>
      <c r="V2494" s="260">
        <v>120</v>
      </c>
    </row>
    <row r="2495" spans="1:22" s="7" customFormat="1" ht="18" customHeight="1">
      <c r="B2495" s="12" t="s">
        <v>302</v>
      </c>
      <c r="C2495" s="6" t="s">
        <v>3348</v>
      </c>
      <c r="D2495" s="14" t="s">
        <v>2171</v>
      </c>
      <c r="E2495" s="22" t="s">
        <v>207</v>
      </c>
      <c r="F2495" s="107">
        <v>152</v>
      </c>
      <c r="G2495" s="22" t="s">
        <v>3350</v>
      </c>
      <c r="H2495" s="108">
        <v>50</v>
      </c>
      <c r="I2495" s="109">
        <v>1</v>
      </c>
      <c r="J2495" s="8">
        <f>I2495*H2495</f>
        <v>50</v>
      </c>
      <c r="K2495" s="39">
        <v>4.45</v>
      </c>
      <c r="L2495" s="39">
        <f t="shared" si="154"/>
        <v>222.5</v>
      </c>
      <c r="M2495" s="403" t="s">
        <v>322</v>
      </c>
      <c r="N2495" s="33">
        <v>44890</v>
      </c>
      <c r="O2495" s="32">
        <v>4783</v>
      </c>
      <c r="P2495" s="391">
        <f>ROUNDUP(S2495/V2495/VLOOKUP(B2495,$C$2:$F$6,3,FALSE),2)</f>
        <v>3.0399999999999996</v>
      </c>
      <c r="Q2495" s="322">
        <v>3.04</v>
      </c>
      <c r="R2495" s="322">
        <f>Q2495*J2495</f>
        <v>152</v>
      </c>
      <c r="S2495" s="7">
        <v>320</v>
      </c>
      <c r="T2495" s="7">
        <f t="shared" si="155"/>
        <v>16000</v>
      </c>
      <c r="U2495" s="21"/>
      <c r="V2495" s="260">
        <v>120</v>
      </c>
    </row>
    <row r="2496" spans="1:22" s="7" customFormat="1" ht="18" customHeight="1">
      <c r="B2496" s="12" t="s">
        <v>302</v>
      </c>
      <c r="C2496" s="6" t="s">
        <v>3348</v>
      </c>
      <c r="D2496" s="14" t="s">
        <v>2171</v>
      </c>
      <c r="E2496" s="22" t="s">
        <v>207</v>
      </c>
      <c r="F2496" s="107">
        <v>152</v>
      </c>
      <c r="G2496" s="22" t="s">
        <v>3351</v>
      </c>
      <c r="H2496" s="108">
        <v>50</v>
      </c>
      <c r="I2496" s="109">
        <v>3</v>
      </c>
      <c r="J2496" s="8">
        <f>I2496*H2496</f>
        <v>150</v>
      </c>
      <c r="K2496" s="39">
        <v>4.45</v>
      </c>
      <c r="L2496" s="39">
        <f t="shared" si="154"/>
        <v>667.5</v>
      </c>
      <c r="M2496" s="403" t="s">
        <v>322</v>
      </c>
      <c r="N2496" s="33">
        <v>44890</v>
      </c>
      <c r="O2496" s="32">
        <v>4783</v>
      </c>
      <c r="P2496" s="391">
        <f>ROUNDUP(S2496/V2496/VLOOKUP(B2496,$C$2:$F$6,3,FALSE),2)</f>
        <v>3.0399999999999996</v>
      </c>
      <c r="Q2496" s="322">
        <v>3.04</v>
      </c>
      <c r="R2496" s="322">
        <f>Q2496*J2496</f>
        <v>456</v>
      </c>
      <c r="S2496" s="7">
        <v>320</v>
      </c>
      <c r="T2496" s="7">
        <f t="shared" si="155"/>
        <v>48000</v>
      </c>
      <c r="U2496" s="21"/>
      <c r="V2496" s="260">
        <v>120</v>
      </c>
    </row>
    <row r="2497" spans="2:22" s="7" customFormat="1" ht="18" customHeight="1">
      <c r="B2497" s="12"/>
      <c r="C2497" s="6" t="s">
        <v>3348</v>
      </c>
      <c r="D2497" s="14" t="s">
        <v>2171</v>
      </c>
      <c r="E2497" s="49"/>
      <c r="F2497" s="102"/>
      <c r="G2497" s="22" t="s">
        <v>316</v>
      </c>
      <c r="H2497" s="8"/>
      <c r="I2497" s="35"/>
      <c r="J2497" s="38">
        <v>1</v>
      </c>
      <c r="K2497" s="39">
        <v>20</v>
      </c>
      <c r="L2497" s="39">
        <f t="shared" si="154"/>
        <v>20</v>
      </c>
      <c r="M2497" s="91"/>
      <c r="N2497" s="33">
        <v>44890</v>
      </c>
      <c r="O2497" s="32">
        <v>4783</v>
      </c>
      <c r="P2497" s="6" t="s">
        <v>3</v>
      </c>
      <c r="Q2497" s="322">
        <v>20</v>
      </c>
      <c r="R2497" s="322">
        <v>20</v>
      </c>
      <c r="S2497" s="7">
        <v>1800</v>
      </c>
      <c r="T2497" s="7">
        <f t="shared" si="155"/>
        <v>1800</v>
      </c>
      <c r="U2497" s="21"/>
      <c r="V2497" s="260">
        <v>120</v>
      </c>
    </row>
    <row r="2498" spans="2:22" s="191" customFormat="1" ht="18" customHeight="1">
      <c r="B2498" s="190"/>
      <c r="C2498" s="179" t="s">
        <v>3348</v>
      </c>
      <c r="D2498" s="180" t="s">
        <v>2171</v>
      </c>
      <c r="E2498" s="217"/>
      <c r="F2498" s="182"/>
      <c r="G2498" s="182" t="s">
        <v>250</v>
      </c>
      <c r="H2498" s="184" t="s">
        <v>252</v>
      </c>
      <c r="I2498" s="185"/>
      <c r="J2498" s="183"/>
      <c r="K2498" s="333">
        <v>254</v>
      </c>
      <c r="L2498" s="333">
        <v>254</v>
      </c>
      <c r="M2498" s="187"/>
      <c r="N2498" s="187">
        <v>44890</v>
      </c>
      <c r="O2498" s="186">
        <v>4783</v>
      </c>
      <c r="P2498" s="179"/>
      <c r="Q2498" s="333">
        <v>254</v>
      </c>
      <c r="R2498" s="333">
        <v>254</v>
      </c>
      <c r="S2498" s="197">
        <f>28575+1200</f>
        <v>29775</v>
      </c>
      <c r="T2498" s="197">
        <f>28575+1200</f>
        <v>29775</v>
      </c>
      <c r="U2498" s="335"/>
      <c r="V2498" s="260">
        <v>120</v>
      </c>
    </row>
    <row r="2499" spans="2:22" s="7" customFormat="1" ht="18" customHeight="1">
      <c r="B2499" s="12" t="s">
        <v>302</v>
      </c>
      <c r="C2499" s="6" t="s">
        <v>3348</v>
      </c>
      <c r="D2499" s="14" t="s">
        <v>2171</v>
      </c>
      <c r="E2499" s="22" t="s">
        <v>207</v>
      </c>
      <c r="F2499" s="107">
        <v>152</v>
      </c>
      <c r="G2499" s="22" t="s">
        <v>13</v>
      </c>
      <c r="H2499" s="108">
        <v>50</v>
      </c>
      <c r="I2499" s="109">
        <v>2</v>
      </c>
      <c r="J2499" s="8">
        <f>I2499*H2499</f>
        <v>100</v>
      </c>
      <c r="K2499" s="39">
        <v>4.45</v>
      </c>
      <c r="L2499" s="39">
        <f t="shared" si="154"/>
        <v>445</v>
      </c>
      <c r="M2499" s="403" t="s">
        <v>322</v>
      </c>
      <c r="N2499" s="33">
        <v>44918</v>
      </c>
      <c r="O2499" s="32">
        <v>4856</v>
      </c>
      <c r="P2499" s="391">
        <f>ROUNDUP(S2499/V2499/VLOOKUP(B2499,$C$2:$F$6,3,FALSE),2)</f>
        <v>3.0399999999999996</v>
      </c>
      <c r="Q2499" s="322">
        <v>3.04</v>
      </c>
      <c r="R2499" s="322">
        <f>Q2499*J2499</f>
        <v>304</v>
      </c>
      <c r="S2499" s="7">
        <v>320</v>
      </c>
      <c r="T2499" s="7">
        <f t="shared" si="155"/>
        <v>32000</v>
      </c>
      <c r="U2499" s="21"/>
      <c r="V2499" s="260">
        <v>120</v>
      </c>
    </row>
    <row r="2500" spans="2:22" s="7" customFormat="1" ht="18" customHeight="1">
      <c r="B2500" s="12" t="s">
        <v>302</v>
      </c>
      <c r="C2500" s="6" t="s">
        <v>3352</v>
      </c>
      <c r="D2500" s="14" t="s">
        <v>2171</v>
      </c>
      <c r="E2500" s="22" t="s">
        <v>207</v>
      </c>
      <c r="F2500" s="107">
        <v>152</v>
      </c>
      <c r="G2500" s="22" t="s">
        <v>13</v>
      </c>
      <c r="H2500" s="108">
        <v>50</v>
      </c>
      <c r="I2500" s="109">
        <v>1</v>
      </c>
      <c r="J2500" s="8">
        <f>I2500*H2500</f>
        <v>50</v>
      </c>
      <c r="K2500" s="39">
        <v>4.45</v>
      </c>
      <c r="L2500" s="39">
        <f t="shared" si="154"/>
        <v>222.5</v>
      </c>
      <c r="M2500" s="403" t="s">
        <v>322</v>
      </c>
      <c r="N2500" s="33">
        <v>44918</v>
      </c>
      <c r="O2500" s="32">
        <v>4856</v>
      </c>
      <c r="P2500" s="391">
        <f>ROUNDUP(S2500/V2500/VLOOKUP(B2500,$C$2:$F$6,3,FALSE),2)</f>
        <v>3.0399999999999996</v>
      </c>
      <c r="Q2500" s="322">
        <v>3.04</v>
      </c>
      <c r="R2500" s="322">
        <f>Q2500*J2500</f>
        <v>152</v>
      </c>
      <c r="S2500" s="7">
        <v>320</v>
      </c>
      <c r="T2500" s="7">
        <f t="shared" si="155"/>
        <v>16000</v>
      </c>
      <c r="U2500" s="21"/>
      <c r="V2500" s="260">
        <v>120</v>
      </c>
    </row>
    <row r="2501" spans="2:22" s="7" customFormat="1" ht="18" customHeight="1">
      <c r="B2501" s="12" t="s">
        <v>302</v>
      </c>
      <c r="C2501" s="6" t="s">
        <v>3353</v>
      </c>
      <c r="D2501" s="14" t="s">
        <v>2171</v>
      </c>
      <c r="E2501" s="22" t="s">
        <v>207</v>
      </c>
      <c r="F2501" s="107">
        <v>152</v>
      </c>
      <c r="G2501" s="22" t="s">
        <v>3351</v>
      </c>
      <c r="H2501" s="108">
        <v>61</v>
      </c>
      <c r="I2501" s="109">
        <v>1</v>
      </c>
      <c r="J2501" s="8">
        <f>I2501*H2501</f>
        <v>61</v>
      </c>
      <c r="K2501" s="39">
        <v>4.45</v>
      </c>
      <c r="L2501" s="39">
        <f>K2501*J2501</f>
        <v>271.45</v>
      </c>
      <c r="M2501" s="403" t="s">
        <v>322</v>
      </c>
      <c r="N2501" s="33">
        <v>44918</v>
      </c>
      <c r="O2501" s="32">
        <v>4856</v>
      </c>
      <c r="P2501" s="391">
        <f>ROUNDUP(S2501/V2501/VLOOKUP(B2501,$C$2:$F$6,3,FALSE),2)</f>
        <v>3.0399999999999996</v>
      </c>
      <c r="Q2501" s="322">
        <v>3.04</v>
      </c>
      <c r="R2501" s="322">
        <f>Q2501*J2501</f>
        <v>185.44</v>
      </c>
      <c r="S2501" s="7">
        <v>320</v>
      </c>
      <c r="T2501" s="7">
        <f>S2501*J2501</f>
        <v>19520</v>
      </c>
      <c r="U2501" s="21"/>
      <c r="V2501" s="260">
        <v>120</v>
      </c>
    </row>
    <row r="2502" spans="2:22" s="7" customFormat="1" ht="18" customHeight="1">
      <c r="B2502" s="12" t="s">
        <v>302</v>
      </c>
      <c r="C2502" s="6" t="s">
        <v>3353</v>
      </c>
      <c r="D2502" s="14" t="s">
        <v>2171</v>
      </c>
      <c r="E2502" s="22" t="s">
        <v>207</v>
      </c>
      <c r="F2502" s="107">
        <v>152</v>
      </c>
      <c r="G2502" s="22" t="s">
        <v>2173</v>
      </c>
      <c r="H2502" s="108">
        <v>50</v>
      </c>
      <c r="I2502" s="109">
        <v>2</v>
      </c>
      <c r="J2502" s="8">
        <f>I2502*H2502</f>
        <v>100</v>
      </c>
      <c r="K2502" s="39">
        <v>4.45</v>
      </c>
      <c r="L2502" s="39">
        <f>K2502*J2502</f>
        <v>445</v>
      </c>
      <c r="M2502" s="403" t="s">
        <v>322</v>
      </c>
      <c r="N2502" s="33">
        <v>44918</v>
      </c>
      <c r="O2502" s="32">
        <v>4856</v>
      </c>
      <c r="P2502" s="391">
        <f>ROUNDUP(S2502/V2502/VLOOKUP(B2502,$C$2:$F$6,3,FALSE),2)</f>
        <v>3.0399999999999996</v>
      </c>
      <c r="Q2502" s="322">
        <v>3.04</v>
      </c>
      <c r="R2502" s="322">
        <f>Q2502*J2502</f>
        <v>304</v>
      </c>
      <c r="S2502" s="7">
        <v>320</v>
      </c>
      <c r="T2502" s="7">
        <f>S2502*J2502</f>
        <v>32000</v>
      </c>
      <c r="U2502" s="21"/>
      <c r="V2502" s="260">
        <v>120</v>
      </c>
    </row>
    <row r="2503" spans="2:22" s="7" customFormat="1" ht="18" customHeight="1">
      <c r="B2503" s="12" t="s">
        <v>302</v>
      </c>
      <c r="C2503" s="6" t="s">
        <v>3353</v>
      </c>
      <c r="D2503" s="14" t="s">
        <v>2171</v>
      </c>
      <c r="E2503" s="22" t="s">
        <v>207</v>
      </c>
      <c r="F2503" s="107">
        <v>152</v>
      </c>
      <c r="G2503" s="22" t="s">
        <v>13</v>
      </c>
      <c r="H2503" s="108">
        <v>50</v>
      </c>
      <c r="I2503" s="109">
        <v>1</v>
      </c>
      <c r="J2503" s="8">
        <f>I2503*H2503</f>
        <v>50</v>
      </c>
      <c r="K2503" s="39">
        <v>4.45</v>
      </c>
      <c r="L2503" s="39">
        <f>K2503*J2503</f>
        <v>222.5</v>
      </c>
      <c r="M2503" s="403" t="s">
        <v>322</v>
      </c>
      <c r="N2503" s="33">
        <v>44918</v>
      </c>
      <c r="O2503" s="32">
        <v>4856</v>
      </c>
      <c r="P2503" s="391">
        <f>ROUNDUP(S2503/V2503/VLOOKUP(B2503,$C$2:$F$6,3,FALSE),2)</f>
        <v>3.0399999999999996</v>
      </c>
      <c r="Q2503" s="322">
        <v>3.04</v>
      </c>
      <c r="R2503" s="322">
        <f>Q2503*J2503</f>
        <v>152</v>
      </c>
      <c r="S2503" s="7">
        <v>320</v>
      </c>
      <c r="T2503" s="7">
        <f>S2503*J2503</f>
        <v>16000</v>
      </c>
      <c r="U2503" s="21"/>
      <c r="V2503" s="260">
        <v>120</v>
      </c>
    </row>
    <row r="2504" spans="2:22" s="7" customFormat="1" ht="18" customHeight="1">
      <c r="B2504" s="12"/>
      <c r="C2504" s="6" t="s">
        <v>3354</v>
      </c>
      <c r="D2504" s="14" t="s">
        <v>2171</v>
      </c>
      <c r="E2504" s="22"/>
      <c r="F2504" s="102"/>
      <c r="G2504" s="22" t="s">
        <v>316</v>
      </c>
      <c r="H2504" s="8"/>
      <c r="I2504" s="35"/>
      <c r="J2504" s="38">
        <v>1</v>
      </c>
      <c r="K2504" s="39">
        <v>20</v>
      </c>
      <c r="L2504" s="39">
        <f t="shared" si="154"/>
        <v>20</v>
      </c>
      <c r="M2504" s="91"/>
      <c r="N2504" s="33">
        <v>44918</v>
      </c>
      <c r="O2504" s="32">
        <v>4856</v>
      </c>
      <c r="P2504" s="6" t="s">
        <v>3</v>
      </c>
      <c r="Q2504" s="322">
        <v>20</v>
      </c>
      <c r="R2504" s="322">
        <v>20</v>
      </c>
      <c r="S2504" s="7">
        <v>1800</v>
      </c>
      <c r="T2504" s="7">
        <f t="shared" si="155"/>
        <v>1800</v>
      </c>
      <c r="U2504" s="21"/>
      <c r="V2504" s="260">
        <v>120</v>
      </c>
    </row>
    <row r="2505" spans="2:22" s="191" customFormat="1" ht="18" customHeight="1">
      <c r="B2505" s="190"/>
      <c r="C2505" s="179" t="s">
        <v>3348</v>
      </c>
      <c r="D2505" s="180" t="s">
        <v>2171</v>
      </c>
      <c r="E2505" s="217"/>
      <c r="F2505" s="182"/>
      <c r="G2505" s="182" t="s">
        <v>250</v>
      </c>
      <c r="H2505" s="184" t="s">
        <v>252</v>
      </c>
      <c r="I2505" s="185"/>
      <c r="J2505" s="183"/>
      <c r="K2505" s="333">
        <v>382</v>
      </c>
      <c r="L2505" s="333">
        <v>382</v>
      </c>
      <c r="M2505" s="187"/>
      <c r="N2505" s="187">
        <v>44918</v>
      </c>
      <c r="O2505" s="186">
        <v>4856</v>
      </c>
      <c r="P2505" s="179"/>
      <c r="Q2505" s="334">
        <v>382</v>
      </c>
      <c r="R2505" s="334">
        <v>382</v>
      </c>
      <c r="S2505" s="197">
        <v>45760</v>
      </c>
      <c r="T2505" s="197">
        <v>45760</v>
      </c>
      <c r="U2505" s="335"/>
      <c r="V2505" s="260">
        <v>120</v>
      </c>
    </row>
    <row r="2506" spans="2:22" s="7" customFormat="1" ht="18" customHeight="1">
      <c r="B2506" s="12"/>
      <c r="C2506" s="6" t="s">
        <v>3355</v>
      </c>
      <c r="D2506" s="14" t="s">
        <v>2059</v>
      </c>
      <c r="E2506" s="19" t="s">
        <v>3092</v>
      </c>
      <c r="F2506" s="37"/>
      <c r="G2506" s="37"/>
      <c r="H2506" s="108"/>
      <c r="I2506" s="108"/>
      <c r="J2506" s="108"/>
      <c r="K2506" s="29" t="s">
        <v>5</v>
      </c>
      <c r="L2506" s="139"/>
      <c r="M2506" s="33"/>
      <c r="N2506" s="33">
        <v>44903</v>
      </c>
      <c r="O2506" s="32">
        <v>4810</v>
      </c>
      <c r="P2506" s="6"/>
      <c r="Q2506" s="339"/>
      <c r="U2506" s="21"/>
      <c r="V2506" s="260">
        <v>120</v>
      </c>
    </row>
    <row r="2507" spans="2:22" s="7" customFormat="1" ht="18" customHeight="1">
      <c r="B2507" s="12" t="s">
        <v>300</v>
      </c>
      <c r="C2507" s="6" t="s">
        <v>3355</v>
      </c>
      <c r="D2507" s="14" t="s">
        <v>2059</v>
      </c>
      <c r="E2507" s="112" t="s">
        <v>3333</v>
      </c>
      <c r="F2507" s="37"/>
      <c r="G2507" s="396" t="s">
        <v>3356</v>
      </c>
      <c r="H2507" s="108">
        <v>50</v>
      </c>
      <c r="I2507" s="109">
        <v>14</v>
      </c>
      <c r="J2507" s="8">
        <f>H2507*I2507</f>
        <v>700</v>
      </c>
      <c r="K2507" s="39">
        <v>0.5</v>
      </c>
      <c r="L2507" s="39">
        <f>K2507*J2507</f>
        <v>350</v>
      </c>
      <c r="M2507" s="117" t="s">
        <v>349</v>
      </c>
      <c r="N2507" s="33">
        <v>44903</v>
      </c>
      <c r="O2507" s="32">
        <v>4810</v>
      </c>
      <c r="P2507" s="391">
        <f>ROUNDUP(S2507/V2507/VLOOKUP(B2507,$C$2:$F$6,3,FALSE),2)</f>
        <v>0.29000000000000004</v>
      </c>
      <c r="Q2507" s="322">
        <v>0.28999999999999998</v>
      </c>
      <c r="R2507" s="322">
        <f>Q2507*J2507</f>
        <v>203</v>
      </c>
      <c r="S2507" s="7">
        <v>23.8</v>
      </c>
      <c r="T2507" s="92">
        <f>S2507*J2507</f>
        <v>16660</v>
      </c>
      <c r="U2507" s="778"/>
      <c r="V2507" s="260">
        <v>120</v>
      </c>
    </row>
    <row r="2508" spans="2:22" s="7" customFormat="1" ht="18" customHeight="1">
      <c r="B2508" s="12" t="s">
        <v>306</v>
      </c>
      <c r="C2508" s="6" t="s">
        <v>3355</v>
      </c>
      <c r="D2508" s="14" t="s">
        <v>2059</v>
      </c>
      <c r="E2508" s="22"/>
      <c r="F2508" s="340"/>
      <c r="G2508" s="22" t="s">
        <v>2791</v>
      </c>
      <c r="H2508" s="8"/>
      <c r="I2508" s="109" ph="1"/>
      <c r="J2508" s="38">
        <v>1</v>
      </c>
      <c r="K2508" s="39">
        <v>60</v>
      </c>
      <c r="L2508" s="39">
        <f>K2508*J2508</f>
        <v>60</v>
      </c>
      <c r="M2508" s="91"/>
      <c r="N2508" s="33">
        <v>44903</v>
      </c>
      <c r="O2508" s="32">
        <v>4810</v>
      </c>
      <c r="P2508" s="391">
        <f>ROUNDUP(S2508/V2508/VLOOKUP(B2508,$C$2:$F$6,3,FALSE),2)</f>
        <v>37.879999999999995</v>
      </c>
      <c r="Q2508" s="322">
        <v>37.880000000000003</v>
      </c>
      <c r="R2508" s="322">
        <f>Q2508*J2508</f>
        <v>37.880000000000003</v>
      </c>
      <c r="S2508" s="7">
        <v>4000</v>
      </c>
      <c r="T2508" s="7">
        <f>S2508*J2508</f>
        <v>4000</v>
      </c>
      <c r="U2508" s="21"/>
      <c r="V2508" s="260">
        <v>120</v>
      </c>
    </row>
    <row r="2509" spans="2:22" s="191" customFormat="1" ht="18" customHeight="1">
      <c r="B2509" s="190"/>
      <c r="C2509" s="179" t="s">
        <v>3355</v>
      </c>
      <c r="D2509" s="180" t="s">
        <v>2059</v>
      </c>
      <c r="E2509" s="961"/>
      <c r="F2509" s="737"/>
      <c r="G2509" s="182" t="s">
        <v>250</v>
      </c>
      <c r="H2509" s="184" t="s">
        <v>251</v>
      </c>
      <c r="I2509" s="185"/>
      <c r="J2509" s="183"/>
      <c r="K2509" s="192">
        <v>0</v>
      </c>
      <c r="L2509" s="188"/>
      <c r="M2509" s="187"/>
      <c r="N2509" s="187">
        <v>44903</v>
      </c>
      <c r="O2509" s="186">
        <v>4810</v>
      </c>
      <c r="P2509" s="179"/>
      <c r="Q2509" s="725">
        <v>0</v>
      </c>
      <c r="S2509" s="197">
        <v>0</v>
      </c>
      <c r="T2509" s="198">
        <v>0</v>
      </c>
      <c r="U2509" s="335"/>
      <c r="V2509" s="260">
        <v>120</v>
      </c>
    </row>
    <row r="2510" spans="2:22" s="7" customFormat="1" ht="18" customHeight="1">
      <c r="B2510" s="12"/>
      <c r="C2510" s="6" t="s">
        <v>3357</v>
      </c>
      <c r="D2510" s="14" t="s">
        <v>3150</v>
      </c>
      <c r="E2510" s="17" t="s">
        <v>1976</v>
      </c>
      <c r="F2510" s="37"/>
      <c r="G2510" s="37"/>
      <c r="H2510" s="108"/>
      <c r="I2510" s="108"/>
      <c r="J2510" s="108"/>
      <c r="K2510" s="110" t="s">
        <v>5</v>
      </c>
      <c r="L2510" s="139"/>
      <c r="M2510" s="33"/>
      <c r="N2510" s="33">
        <v>44890</v>
      </c>
      <c r="O2510" s="32">
        <v>4782</v>
      </c>
      <c r="P2510" s="6"/>
      <c r="Q2510" s="339"/>
      <c r="U2510" s="21"/>
      <c r="V2510" s="260">
        <v>120</v>
      </c>
    </row>
    <row r="2511" spans="2:22" s="7" customFormat="1" ht="18" customHeight="1">
      <c r="B2511" s="12" t="s">
        <v>300</v>
      </c>
      <c r="C2511" s="6" t="s">
        <v>3357</v>
      </c>
      <c r="D2511" s="14" t="s">
        <v>3150</v>
      </c>
      <c r="E2511" s="22">
        <v>12701</v>
      </c>
      <c r="F2511" s="24" t="s">
        <v>372</v>
      </c>
      <c r="G2511" s="22" t="s">
        <v>3358</v>
      </c>
      <c r="H2511" s="108">
        <v>10</v>
      </c>
      <c r="I2511" s="109">
        <v>1</v>
      </c>
      <c r="J2511" s="8">
        <f t="shared" ref="J2511:J2517" si="156">H2511*I2511</f>
        <v>10</v>
      </c>
      <c r="K2511" s="39">
        <v>0.77</v>
      </c>
      <c r="L2511" s="39">
        <f t="shared" ref="L2511:L2517" si="157">K2511*J2511</f>
        <v>7.7</v>
      </c>
      <c r="M2511" s="117" t="s">
        <v>349</v>
      </c>
      <c r="N2511" s="33">
        <v>44890</v>
      </c>
      <c r="O2511" s="32">
        <v>4782</v>
      </c>
      <c r="P2511" s="391">
        <f t="shared" ref="P2511:P2517" si="158">ROUNDUP(S2511/V2511/VLOOKUP(B2511,$C$2:$F$6,3,FALSE),2)</f>
        <v>0.45</v>
      </c>
      <c r="Q2511" s="322">
        <v>0.45</v>
      </c>
      <c r="R2511" s="322">
        <f t="shared" ref="R2511:R2517" si="159">Q2511*J2511</f>
        <v>4.5</v>
      </c>
      <c r="S2511" s="92">
        <v>37.1</v>
      </c>
      <c r="T2511" s="7">
        <f t="shared" ref="T2511:T2517" si="160">S2511*J2511</f>
        <v>371</v>
      </c>
      <c r="U2511" s="959" t="s">
        <v>3359</v>
      </c>
      <c r="V2511" s="260">
        <v>120</v>
      </c>
    </row>
    <row r="2512" spans="2:22" s="7" customFormat="1" ht="18" customHeight="1">
      <c r="B2512" s="12" t="s">
        <v>300</v>
      </c>
      <c r="C2512" s="6" t="s">
        <v>3357</v>
      </c>
      <c r="D2512" s="14" t="s">
        <v>3150</v>
      </c>
      <c r="E2512" s="22">
        <v>12701</v>
      </c>
      <c r="F2512" s="24" t="s">
        <v>2502</v>
      </c>
      <c r="G2512" s="22" t="s">
        <v>3358</v>
      </c>
      <c r="H2512" s="108">
        <v>10</v>
      </c>
      <c r="I2512" s="109">
        <v>1</v>
      </c>
      <c r="J2512" s="8">
        <f t="shared" si="156"/>
        <v>10</v>
      </c>
      <c r="K2512" s="39">
        <v>0.86</v>
      </c>
      <c r="L2512" s="39">
        <f t="shared" si="157"/>
        <v>8.6</v>
      </c>
      <c r="M2512" s="117" t="s">
        <v>349</v>
      </c>
      <c r="N2512" s="33">
        <v>44890</v>
      </c>
      <c r="O2512" s="32">
        <v>4782</v>
      </c>
      <c r="P2512" s="391">
        <f t="shared" si="158"/>
        <v>0.5</v>
      </c>
      <c r="Q2512" s="322">
        <v>0.5</v>
      </c>
      <c r="R2512" s="322">
        <f t="shared" si="159"/>
        <v>5</v>
      </c>
      <c r="S2512" s="92">
        <v>41.6</v>
      </c>
      <c r="T2512" s="7">
        <f t="shared" si="160"/>
        <v>416</v>
      </c>
      <c r="U2512" s="959" t="s">
        <v>3360</v>
      </c>
      <c r="V2512" s="260">
        <v>120</v>
      </c>
    </row>
    <row r="2513" spans="2:22" s="7" customFormat="1" ht="18" customHeight="1">
      <c r="B2513" s="12" t="s">
        <v>300</v>
      </c>
      <c r="C2513" s="6" t="s">
        <v>3357</v>
      </c>
      <c r="D2513" s="14" t="s">
        <v>3150</v>
      </c>
      <c r="E2513" s="22">
        <v>12701</v>
      </c>
      <c r="F2513" s="24" t="s">
        <v>2501</v>
      </c>
      <c r="G2513" s="22" t="s">
        <v>3361</v>
      </c>
      <c r="H2513" s="108">
        <v>10</v>
      </c>
      <c r="I2513" s="109">
        <v>1</v>
      </c>
      <c r="J2513" s="8">
        <f t="shared" si="156"/>
        <v>10</v>
      </c>
      <c r="K2513" s="39">
        <v>0.77</v>
      </c>
      <c r="L2513" s="39">
        <f t="shared" si="157"/>
        <v>7.7</v>
      </c>
      <c r="M2513" s="117" t="s">
        <v>349</v>
      </c>
      <c r="N2513" s="33">
        <v>44890</v>
      </c>
      <c r="O2513" s="32">
        <v>4782</v>
      </c>
      <c r="P2513" s="391">
        <f t="shared" si="158"/>
        <v>0.45</v>
      </c>
      <c r="Q2513" s="322">
        <v>0.45</v>
      </c>
      <c r="R2513" s="322">
        <f t="shared" si="159"/>
        <v>4.5</v>
      </c>
      <c r="S2513" s="92">
        <v>37.1</v>
      </c>
      <c r="T2513" s="7">
        <f t="shared" si="160"/>
        <v>371</v>
      </c>
      <c r="U2513" s="959" t="s">
        <v>3359</v>
      </c>
      <c r="V2513" s="260">
        <v>120</v>
      </c>
    </row>
    <row r="2514" spans="2:22" s="7" customFormat="1" ht="18" customHeight="1">
      <c r="B2514" s="12" t="s">
        <v>300</v>
      </c>
      <c r="C2514" s="6" t="s">
        <v>3357</v>
      </c>
      <c r="D2514" s="14" t="s">
        <v>3150</v>
      </c>
      <c r="E2514" s="22">
        <v>12701</v>
      </c>
      <c r="F2514" s="24" t="s">
        <v>2502</v>
      </c>
      <c r="G2514" s="22" t="s">
        <v>3361</v>
      </c>
      <c r="H2514" s="108">
        <v>10</v>
      </c>
      <c r="I2514" s="109">
        <v>1</v>
      </c>
      <c r="J2514" s="8">
        <f t="shared" si="156"/>
        <v>10</v>
      </c>
      <c r="K2514" s="39">
        <v>0.86</v>
      </c>
      <c r="L2514" s="39">
        <f t="shared" si="157"/>
        <v>8.6</v>
      </c>
      <c r="M2514" s="117" t="s">
        <v>349</v>
      </c>
      <c r="N2514" s="33">
        <v>44890</v>
      </c>
      <c r="O2514" s="32">
        <v>4782</v>
      </c>
      <c r="P2514" s="391">
        <f t="shared" si="158"/>
        <v>0.5</v>
      </c>
      <c r="Q2514" s="322">
        <v>0.5</v>
      </c>
      <c r="R2514" s="322">
        <f t="shared" si="159"/>
        <v>5</v>
      </c>
      <c r="S2514" s="92">
        <v>41.6</v>
      </c>
      <c r="T2514" s="7">
        <f t="shared" si="160"/>
        <v>416</v>
      </c>
      <c r="U2514" s="959" t="s">
        <v>3360</v>
      </c>
      <c r="V2514" s="260">
        <v>120</v>
      </c>
    </row>
    <row r="2515" spans="2:22" s="7" customFormat="1" ht="18" customHeight="1">
      <c r="B2515" s="12" t="s">
        <v>300</v>
      </c>
      <c r="C2515" s="6" t="s">
        <v>3357</v>
      </c>
      <c r="D2515" s="14" t="s">
        <v>3150</v>
      </c>
      <c r="E2515" s="22">
        <v>12701</v>
      </c>
      <c r="F2515" s="24" t="s">
        <v>2501</v>
      </c>
      <c r="G2515" s="22" t="s">
        <v>3362</v>
      </c>
      <c r="H2515" s="108">
        <v>10</v>
      </c>
      <c r="I2515" s="109">
        <v>1</v>
      </c>
      <c r="J2515" s="8">
        <f t="shared" si="156"/>
        <v>10</v>
      </c>
      <c r="K2515" s="39">
        <v>0.77</v>
      </c>
      <c r="L2515" s="39">
        <f t="shared" si="157"/>
        <v>7.7</v>
      </c>
      <c r="M2515" s="117" t="s">
        <v>349</v>
      </c>
      <c r="N2515" s="33">
        <v>44890</v>
      </c>
      <c r="O2515" s="32">
        <v>4782</v>
      </c>
      <c r="P2515" s="391">
        <f t="shared" si="158"/>
        <v>0.45</v>
      </c>
      <c r="Q2515" s="322">
        <v>0.45</v>
      </c>
      <c r="R2515" s="322">
        <f t="shared" si="159"/>
        <v>4.5</v>
      </c>
      <c r="S2515" s="92">
        <v>37.1</v>
      </c>
      <c r="T2515" s="7">
        <f t="shared" si="160"/>
        <v>371</v>
      </c>
      <c r="U2515" s="959" t="s">
        <v>3359</v>
      </c>
      <c r="V2515" s="260">
        <v>120</v>
      </c>
    </row>
    <row r="2516" spans="2:22" s="7" customFormat="1" ht="18" customHeight="1">
      <c r="B2516" s="12" t="s">
        <v>300</v>
      </c>
      <c r="C2516" s="6" t="s">
        <v>3357</v>
      </c>
      <c r="D2516" s="14" t="s">
        <v>3150</v>
      </c>
      <c r="E2516" s="22">
        <v>12701</v>
      </c>
      <c r="F2516" s="24" t="s">
        <v>2502</v>
      </c>
      <c r="G2516" s="22" t="s">
        <v>3362</v>
      </c>
      <c r="H2516" s="108">
        <v>10</v>
      </c>
      <c r="I2516" s="109">
        <v>1</v>
      </c>
      <c r="J2516" s="8">
        <f t="shared" si="156"/>
        <v>10</v>
      </c>
      <c r="K2516" s="39">
        <v>0.86</v>
      </c>
      <c r="L2516" s="39">
        <f t="shared" si="157"/>
        <v>8.6</v>
      </c>
      <c r="M2516" s="117" t="s">
        <v>349</v>
      </c>
      <c r="N2516" s="33">
        <v>44890</v>
      </c>
      <c r="O2516" s="32">
        <v>4782</v>
      </c>
      <c r="P2516" s="391">
        <f t="shared" si="158"/>
        <v>0.5</v>
      </c>
      <c r="Q2516" s="322">
        <v>0.5</v>
      </c>
      <c r="R2516" s="322">
        <f t="shared" si="159"/>
        <v>5</v>
      </c>
      <c r="S2516" s="92">
        <v>41.6</v>
      </c>
      <c r="T2516" s="7">
        <f t="shared" si="160"/>
        <v>416</v>
      </c>
      <c r="U2516" s="959" t="s">
        <v>3360</v>
      </c>
      <c r="V2516" s="260">
        <v>120</v>
      </c>
    </row>
    <row r="2517" spans="2:22" s="7" customFormat="1" ht="18" customHeight="1">
      <c r="B2517" s="12" t="s">
        <v>300</v>
      </c>
      <c r="C2517" s="6" t="s">
        <v>3357</v>
      </c>
      <c r="D2517" s="14" t="s">
        <v>3150</v>
      </c>
      <c r="E2517" s="22">
        <v>12701</v>
      </c>
      <c r="F2517" s="24" t="s">
        <v>3363</v>
      </c>
      <c r="G2517" s="22" t="s">
        <v>3362</v>
      </c>
      <c r="H2517" s="108">
        <v>10</v>
      </c>
      <c r="I2517" s="109">
        <v>1</v>
      </c>
      <c r="J2517" s="8">
        <f t="shared" si="156"/>
        <v>10</v>
      </c>
      <c r="K2517" s="39">
        <v>0.97</v>
      </c>
      <c r="L2517" s="39">
        <f t="shared" si="157"/>
        <v>9.6999999999999993</v>
      </c>
      <c r="M2517" s="117" t="s">
        <v>349</v>
      </c>
      <c r="N2517" s="33">
        <v>44890</v>
      </c>
      <c r="O2517" s="32">
        <v>4782</v>
      </c>
      <c r="P2517" s="391">
        <f t="shared" si="158"/>
        <v>0.56000000000000005</v>
      </c>
      <c r="Q2517" s="322">
        <v>0.56000000000000005</v>
      </c>
      <c r="R2517" s="322">
        <f t="shared" si="159"/>
        <v>5.6000000000000005</v>
      </c>
      <c r="S2517" s="92">
        <v>46.9</v>
      </c>
      <c r="T2517" s="7">
        <f t="shared" si="160"/>
        <v>469</v>
      </c>
      <c r="U2517" s="959" t="s">
        <v>3364</v>
      </c>
      <c r="V2517" s="260">
        <v>120</v>
      </c>
    </row>
    <row r="2518" spans="2:22" s="7" customFormat="1" ht="15">
      <c r="B2518" s="12"/>
      <c r="C2518" s="6" t="s">
        <v>3357</v>
      </c>
      <c r="D2518" s="14" t="s">
        <v>3150</v>
      </c>
      <c r="E2518" s="19" t="s">
        <v>2244</v>
      </c>
      <c r="F2518" s="24"/>
      <c r="G2518" s="22"/>
      <c r="H2518" s="60"/>
      <c r="I2518" s="61"/>
      <c r="J2518" s="8"/>
      <c r="K2518" s="110" t="s">
        <v>5</v>
      </c>
      <c r="L2518" s="139"/>
      <c r="M2518" s="33"/>
      <c r="N2518" s="33">
        <v>44890</v>
      </c>
      <c r="O2518" s="32">
        <v>4782</v>
      </c>
      <c r="P2518" s="6" t="s">
        <v>8</v>
      </c>
      <c r="Q2518" s="358"/>
      <c r="U2518" s="120"/>
      <c r="V2518" s="260">
        <v>120</v>
      </c>
    </row>
    <row r="2519" spans="2:22" s="7" customFormat="1" ht="18" customHeight="1">
      <c r="B2519" s="12" t="s">
        <v>300</v>
      </c>
      <c r="C2519" s="6" t="s">
        <v>3357</v>
      </c>
      <c r="D2519" s="14" t="s">
        <v>3150</v>
      </c>
      <c r="E2519" s="22">
        <v>11700</v>
      </c>
      <c r="F2519" s="37">
        <v>6</v>
      </c>
      <c r="G2519" s="22" t="s">
        <v>3365</v>
      </c>
      <c r="H2519" s="8">
        <v>10</v>
      </c>
      <c r="I2519" s="35">
        <v>1</v>
      </c>
      <c r="J2519" s="108">
        <f>H2519*I2519</f>
        <v>10</v>
      </c>
      <c r="K2519" s="958">
        <v>1.35</v>
      </c>
      <c r="L2519" s="39">
        <f>K2519*J2519</f>
        <v>13.5</v>
      </c>
      <c r="M2519" s="117" t="s">
        <v>349</v>
      </c>
      <c r="N2519" s="33">
        <v>44890</v>
      </c>
      <c r="O2519" s="32">
        <v>4782</v>
      </c>
      <c r="P2519" s="391">
        <f>ROUNDUP(S2519/V2519/VLOOKUP(B2519,$C$2:$F$6,3,FALSE),2)</f>
        <v>0.87</v>
      </c>
      <c r="Q2519" s="322">
        <v>0.87</v>
      </c>
      <c r="R2519" s="322">
        <f>Q2519*J2519</f>
        <v>8.6999999999999993</v>
      </c>
      <c r="S2519" s="7">
        <v>72.599999999999994</v>
      </c>
      <c r="T2519" s="7">
        <f>S2519*J2519</f>
        <v>726</v>
      </c>
      <c r="U2519" s="39"/>
      <c r="V2519" s="260">
        <v>120</v>
      </c>
    </row>
    <row r="2520" spans="2:22" s="7" customFormat="1" ht="18" customHeight="1">
      <c r="B2520" s="12" t="s">
        <v>300</v>
      </c>
      <c r="C2520" s="6" t="s">
        <v>3357</v>
      </c>
      <c r="D2520" s="14" t="s">
        <v>3150</v>
      </c>
      <c r="E2520" s="22">
        <v>11700</v>
      </c>
      <c r="F2520" s="37">
        <v>9</v>
      </c>
      <c r="G2520" s="22" t="s">
        <v>3365</v>
      </c>
      <c r="H2520" s="8">
        <v>10</v>
      </c>
      <c r="I2520" s="35">
        <v>1</v>
      </c>
      <c r="J2520" s="108">
        <f>H2520*I2520</f>
        <v>10</v>
      </c>
      <c r="K2520" s="958">
        <v>1.49</v>
      </c>
      <c r="L2520" s="39">
        <f>K2520*J2520</f>
        <v>14.9</v>
      </c>
      <c r="M2520" s="117" t="s">
        <v>349</v>
      </c>
      <c r="N2520" s="33">
        <v>44890</v>
      </c>
      <c r="O2520" s="32">
        <v>4782</v>
      </c>
      <c r="P2520" s="391">
        <f>ROUNDUP(S2520/V2520/VLOOKUP(B2520,$C$2:$F$6,3,FALSE),2)</f>
        <v>0.96</v>
      </c>
      <c r="Q2520" s="322">
        <v>0.96</v>
      </c>
      <c r="R2520" s="322">
        <f>Q2520*J2520</f>
        <v>9.6</v>
      </c>
      <c r="S2520" s="7">
        <v>80.3</v>
      </c>
      <c r="T2520" s="7">
        <f>S2520*J2520</f>
        <v>803</v>
      </c>
      <c r="U2520" s="39"/>
      <c r="V2520" s="260">
        <v>120</v>
      </c>
    </row>
    <row r="2521" spans="2:22" s="7" customFormat="1" ht="18" customHeight="1">
      <c r="B2521" s="12" t="s">
        <v>300</v>
      </c>
      <c r="C2521" s="6" t="s">
        <v>3357</v>
      </c>
      <c r="D2521" s="14" t="s">
        <v>3150</v>
      </c>
      <c r="E2521" s="22">
        <v>11700</v>
      </c>
      <c r="F2521" s="37">
        <v>6</v>
      </c>
      <c r="G2521" s="22" t="s">
        <v>3366</v>
      </c>
      <c r="H2521" s="8">
        <v>10</v>
      </c>
      <c r="I2521" s="35">
        <v>1</v>
      </c>
      <c r="J2521" s="108">
        <f>H2521*I2521</f>
        <v>10</v>
      </c>
      <c r="K2521" s="958">
        <v>1.35</v>
      </c>
      <c r="L2521" s="39">
        <f>K2521*J2521</f>
        <v>13.5</v>
      </c>
      <c r="M2521" s="117" t="s">
        <v>349</v>
      </c>
      <c r="N2521" s="33">
        <v>44890</v>
      </c>
      <c r="O2521" s="32">
        <v>4782</v>
      </c>
      <c r="P2521" s="391">
        <f>ROUNDUP(S2521/V2521/VLOOKUP(B2521,$C$2:$F$6,3,FALSE),2)</f>
        <v>0.87</v>
      </c>
      <c r="Q2521" s="322">
        <v>0.87</v>
      </c>
      <c r="R2521" s="322">
        <f>Q2521*J2521</f>
        <v>8.6999999999999993</v>
      </c>
      <c r="S2521" s="7">
        <v>72.599999999999994</v>
      </c>
      <c r="T2521" s="7">
        <f>S2521*J2521</f>
        <v>726</v>
      </c>
      <c r="U2521" s="39"/>
      <c r="V2521" s="260">
        <v>120</v>
      </c>
    </row>
    <row r="2522" spans="2:22" s="7" customFormat="1" ht="18" customHeight="1">
      <c r="B2522" s="12" t="s">
        <v>300</v>
      </c>
      <c r="C2522" s="6" t="s">
        <v>3357</v>
      </c>
      <c r="D2522" s="14" t="s">
        <v>3150</v>
      </c>
      <c r="E2522" s="22">
        <v>11700</v>
      </c>
      <c r="F2522" s="37">
        <v>9</v>
      </c>
      <c r="G2522" s="22" t="s">
        <v>3366</v>
      </c>
      <c r="H2522" s="8">
        <v>10</v>
      </c>
      <c r="I2522" s="35">
        <v>1</v>
      </c>
      <c r="J2522" s="108">
        <f>H2522*I2522</f>
        <v>10</v>
      </c>
      <c r="K2522" s="958">
        <v>1.49</v>
      </c>
      <c r="L2522" s="39">
        <f>K2522*J2522</f>
        <v>14.9</v>
      </c>
      <c r="M2522" s="117" t="s">
        <v>349</v>
      </c>
      <c r="N2522" s="33">
        <v>44890</v>
      </c>
      <c r="O2522" s="32">
        <v>4782</v>
      </c>
      <c r="P2522" s="391">
        <f>ROUNDUP(S2522/V2522/VLOOKUP(B2522,$C$2:$F$6,3,FALSE),2)</f>
        <v>0.96</v>
      </c>
      <c r="Q2522" s="322">
        <v>0.96</v>
      </c>
      <c r="R2522" s="322">
        <f>Q2522*J2522</f>
        <v>9.6</v>
      </c>
      <c r="S2522" s="7">
        <v>80.3</v>
      </c>
      <c r="T2522" s="7">
        <f>S2522*J2522</f>
        <v>803</v>
      </c>
      <c r="U2522" s="39"/>
      <c r="V2522" s="260">
        <v>120</v>
      </c>
    </row>
    <row r="2523" spans="2:22" s="7" customFormat="1" ht="18" customHeight="1">
      <c r="B2523" s="12"/>
      <c r="C2523" s="6" t="s">
        <v>3357</v>
      </c>
      <c r="D2523" s="14" t="s">
        <v>3150</v>
      </c>
      <c r="E2523" s="17" t="s">
        <v>160</v>
      </c>
      <c r="F2523" s="319"/>
      <c r="G2523" s="299"/>
      <c r="H2523" s="300" t="s">
        <v>355</v>
      </c>
      <c r="I2523" s="320"/>
      <c r="J2523" s="321"/>
      <c r="K2523" s="110" t="s">
        <v>101</v>
      </c>
      <c r="L2523" s="139"/>
      <c r="M2523" s="33"/>
      <c r="N2523" s="33">
        <v>44890</v>
      </c>
      <c r="O2523" s="32">
        <v>4782</v>
      </c>
      <c r="P2523" s="6"/>
      <c r="Q2523" s="322"/>
      <c r="U2523" s="39"/>
      <c r="V2523" s="260">
        <v>120</v>
      </c>
    </row>
    <row r="2524" spans="2:22" s="7" customFormat="1" ht="18" customHeight="1">
      <c r="B2524" s="12" t="s">
        <v>300</v>
      </c>
      <c r="C2524" s="6" t="s">
        <v>3357</v>
      </c>
      <c r="D2524" s="14" t="s">
        <v>3150</v>
      </c>
      <c r="E2524" s="22">
        <v>14552</v>
      </c>
      <c r="F2524" s="24" t="s">
        <v>3367</v>
      </c>
      <c r="G2524" s="22" t="s">
        <v>3368</v>
      </c>
      <c r="H2524" s="108">
        <v>30</v>
      </c>
      <c r="I2524" s="109">
        <v>1</v>
      </c>
      <c r="J2524" s="8">
        <f t="shared" ref="J2524:J2531" si="161">H2524*I2524</f>
        <v>30</v>
      </c>
      <c r="K2524" s="39">
        <v>0.69000000000000006</v>
      </c>
      <c r="L2524" s="39">
        <f t="shared" ref="L2524:L2532" si="162">K2524*J2524</f>
        <v>20.700000000000003</v>
      </c>
      <c r="M2524" s="117" t="s">
        <v>349</v>
      </c>
      <c r="N2524" s="33">
        <v>44890</v>
      </c>
      <c r="O2524" s="32">
        <v>4782</v>
      </c>
      <c r="P2524" s="391">
        <f t="shared" ref="P2524:P2531" si="163">ROUNDUP(S2524/V2524/VLOOKUP(B2524,$C$2:$F$6,3,FALSE),2)</f>
        <v>0.45</v>
      </c>
      <c r="Q2524" s="358">
        <v>0.45</v>
      </c>
      <c r="R2524" s="322">
        <f t="shared" ref="R2524:R2531" si="164">Q2524*J2524</f>
        <v>13.5</v>
      </c>
      <c r="S2524" s="7">
        <v>37</v>
      </c>
      <c r="T2524" s="7">
        <f t="shared" ref="T2524:T2531" si="165">S2524*J2524</f>
        <v>1110</v>
      </c>
      <c r="U2524" s="267"/>
      <c r="V2524" s="260">
        <v>120</v>
      </c>
    </row>
    <row r="2525" spans="2:22" s="7" customFormat="1" ht="18" customHeight="1">
      <c r="B2525" s="12" t="s">
        <v>300</v>
      </c>
      <c r="C2525" s="6" t="s">
        <v>3357</v>
      </c>
      <c r="D2525" s="14" t="s">
        <v>3150</v>
      </c>
      <c r="E2525" s="22">
        <v>14552</v>
      </c>
      <c r="F2525" s="24" t="s">
        <v>3363</v>
      </c>
      <c r="G2525" s="22" t="s">
        <v>3368</v>
      </c>
      <c r="H2525" s="108">
        <v>30</v>
      </c>
      <c r="I2525" s="109">
        <v>1</v>
      </c>
      <c r="J2525" s="8">
        <f t="shared" si="161"/>
        <v>30</v>
      </c>
      <c r="K2525" s="39">
        <v>0.76</v>
      </c>
      <c r="L2525" s="39">
        <f t="shared" si="162"/>
        <v>22.8</v>
      </c>
      <c r="M2525" s="117" t="s">
        <v>349</v>
      </c>
      <c r="N2525" s="33">
        <v>44890</v>
      </c>
      <c r="O2525" s="32">
        <v>4782</v>
      </c>
      <c r="P2525" s="391">
        <f t="shared" si="163"/>
        <v>0.49</v>
      </c>
      <c r="Q2525" s="358">
        <v>0.49</v>
      </c>
      <c r="R2525" s="322">
        <f t="shared" si="164"/>
        <v>14.7</v>
      </c>
      <c r="S2525" s="7">
        <v>41</v>
      </c>
      <c r="T2525" s="7">
        <f t="shared" si="165"/>
        <v>1230</v>
      </c>
      <c r="U2525" s="267"/>
      <c r="V2525" s="260">
        <v>120</v>
      </c>
    </row>
    <row r="2526" spans="2:22" s="7" customFormat="1" ht="18" customHeight="1">
      <c r="B2526" s="12" t="s">
        <v>300</v>
      </c>
      <c r="C2526" s="6" t="s">
        <v>3357</v>
      </c>
      <c r="D2526" s="14" t="s">
        <v>3150</v>
      </c>
      <c r="E2526" s="22">
        <v>14552</v>
      </c>
      <c r="F2526" s="24" t="s">
        <v>2679</v>
      </c>
      <c r="G2526" s="22" t="s">
        <v>3368</v>
      </c>
      <c r="H2526" s="108">
        <v>30</v>
      </c>
      <c r="I2526" s="109">
        <v>1</v>
      </c>
      <c r="J2526" s="8">
        <f t="shared" si="161"/>
        <v>30</v>
      </c>
      <c r="K2526" s="39">
        <v>1.21</v>
      </c>
      <c r="L2526" s="39">
        <f t="shared" si="162"/>
        <v>36.299999999999997</v>
      </c>
      <c r="M2526" s="117" t="s">
        <v>349</v>
      </c>
      <c r="N2526" s="33">
        <v>44895</v>
      </c>
      <c r="O2526" s="32">
        <v>4797</v>
      </c>
      <c r="P2526" s="391">
        <f t="shared" si="163"/>
        <v>0.78</v>
      </c>
      <c r="Q2526" s="358">
        <v>0.78</v>
      </c>
      <c r="R2526" s="322">
        <f t="shared" si="164"/>
        <v>23.400000000000002</v>
      </c>
      <c r="S2526" s="7">
        <v>65</v>
      </c>
      <c r="T2526" s="7">
        <f t="shared" si="165"/>
        <v>1950</v>
      </c>
      <c r="U2526" s="267"/>
      <c r="V2526" s="260">
        <v>120</v>
      </c>
    </row>
    <row r="2527" spans="2:22" s="7" customFormat="1" ht="18" customHeight="1">
      <c r="B2527" s="12" t="s">
        <v>300</v>
      </c>
      <c r="C2527" s="6" t="s">
        <v>3357</v>
      </c>
      <c r="D2527" s="14" t="s">
        <v>3150</v>
      </c>
      <c r="E2527" s="22">
        <v>14552</v>
      </c>
      <c r="F2527" s="24" t="s">
        <v>3367</v>
      </c>
      <c r="G2527" s="22" t="s">
        <v>3369</v>
      </c>
      <c r="H2527" s="108">
        <v>30</v>
      </c>
      <c r="I2527" s="109">
        <v>1</v>
      </c>
      <c r="J2527" s="8">
        <f t="shared" si="161"/>
        <v>30</v>
      </c>
      <c r="K2527" s="39">
        <v>0.69000000000000006</v>
      </c>
      <c r="L2527" s="39">
        <f t="shared" si="162"/>
        <v>20.700000000000003</v>
      </c>
      <c r="M2527" s="117" t="s">
        <v>349</v>
      </c>
      <c r="N2527" s="33">
        <v>44890</v>
      </c>
      <c r="O2527" s="32">
        <v>4782</v>
      </c>
      <c r="P2527" s="391">
        <f t="shared" si="163"/>
        <v>0.45</v>
      </c>
      <c r="Q2527" s="358">
        <v>0.45</v>
      </c>
      <c r="R2527" s="322">
        <f t="shared" si="164"/>
        <v>13.5</v>
      </c>
      <c r="S2527" s="7">
        <v>37</v>
      </c>
      <c r="T2527" s="7">
        <f t="shared" si="165"/>
        <v>1110</v>
      </c>
      <c r="U2527" s="267"/>
      <c r="V2527" s="260">
        <v>120</v>
      </c>
    </row>
    <row r="2528" spans="2:22" s="7" customFormat="1" ht="18" customHeight="1">
      <c r="B2528" s="12" t="s">
        <v>300</v>
      </c>
      <c r="C2528" s="6" t="s">
        <v>3357</v>
      </c>
      <c r="D2528" s="14" t="s">
        <v>3150</v>
      </c>
      <c r="E2528" s="22">
        <v>14552</v>
      </c>
      <c r="F2528" s="24" t="s">
        <v>3363</v>
      </c>
      <c r="G2528" s="22" t="s">
        <v>3369</v>
      </c>
      <c r="H2528" s="108">
        <v>30</v>
      </c>
      <c r="I2528" s="109">
        <v>1</v>
      </c>
      <c r="J2528" s="8">
        <f t="shared" si="161"/>
        <v>30</v>
      </c>
      <c r="K2528" s="39">
        <v>0.76</v>
      </c>
      <c r="L2528" s="39">
        <f t="shared" si="162"/>
        <v>22.8</v>
      </c>
      <c r="M2528" s="117" t="s">
        <v>349</v>
      </c>
      <c r="N2528" s="33">
        <v>44890</v>
      </c>
      <c r="O2528" s="32">
        <v>4782</v>
      </c>
      <c r="P2528" s="391">
        <f t="shared" si="163"/>
        <v>0.49</v>
      </c>
      <c r="Q2528" s="358">
        <v>0.49</v>
      </c>
      <c r="R2528" s="322">
        <f t="shared" si="164"/>
        <v>14.7</v>
      </c>
      <c r="S2528" s="7">
        <v>41</v>
      </c>
      <c r="T2528" s="7">
        <f t="shared" si="165"/>
        <v>1230</v>
      </c>
      <c r="U2528" s="267"/>
      <c r="V2528" s="260">
        <v>120</v>
      </c>
    </row>
    <row r="2529" spans="1:22" s="7" customFormat="1" ht="18" customHeight="1">
      <c r="B2529" s="12" t="s">
        <v>300</v>
      </c>
      <c r="C2529" s="6" t="s">
        <v>3357</v>
      </c>
      <c r="D2529" s="14" t="s">
        <v>3150</v>
      </c>
      <c r="E2529" s="22">
        <v>14552</v>
      </c>
      <c r="F2529" s="24" t="s">
        <v>2679</v>
      </c>
      <c r="G2529" s="22" t="s">
        <v>3369</v>
      </c>
      <c r="H2529" s="108">
        <v>30</v>
      </c>
      <c r="I2529" s="109">
        <v>1</v>
      </c>
      <c r="J2529" s="8">
        <f t="shared" si="161"/>
        <v>30</v>
      </c>
      <c r="K2529" s="39">
        <v>1.21</v>
      </c>
      <c r="L2529" s="39">
        <f t="shared" si="162"/>
        <v>36.299999999999997</v>
      </c>
      <c r="M2529" s="117" t="s">
        <v>349</v>
      </c>
      <c r="N2529" s="33">
        <v>44890</v>
      </c>
      <c r="O2529" s="32">
        <v>4782</v>
      </c>
      <c r="P2529" s="391">
        <f t="shared" si="163"/>
        <v>0.78</v>
      </c>
      <c r="Q2529" s="358">
        <v>0.78</v>
      </c>
      <c r="R2529" s="322">
        <f t="shared" si="164"/>
        <v>23.400000000000002</v>
      </c>
      <c r="S2529" s="7">
        <v>65</v>
      </c>
      <c r="T2529" s="7">
        <f t="shared" si="165"/>
        <v>1950</v>
      </c>
      <c r="U2529" s="267"/>
      <c r="V2529" s="260">
        <v>120</v>
      </c>
    </row>
    <row r="2530" spans="1:22" s="7" customFormat="1" ht="18" customHeight="1">
      <c r="B2530" s="12" t="s">
        <v>300</v>
      </c>
      <c r="C2530" s="6" t="s">
        <v>3357</v>
      </c>
      <c r="D2530" s="14" t="s">
        <v>3150</v>
      </c>
      <c r="E2530" s="22">
        <v>14552</v>
      </c>
      <c r="F2530" s="24" t="s">
        <v>3363</v>
      </c>
      <c r="G2530" s="22" t="s">
        <v>3370</v>
      </c>
      <c r="H2530" s="108">
        <v>30</v>
      </c>
      <c r="I2530" s="109">
        <v>1</v>
      </c>
      <c r="J2530" s="8">
        <f t="shared" si="161"/>
        <v>30</v>
      </c>
      <c r="K2530" s="39">
        <v>0.76</v>
      </c>
      <c r="L2530" s="39">
        <f t="shared" si="162"/>
        <v>22.8</v>
      </c>
      <c r="M2530" s="117" t="s">
        <v>349</v>
      </c>
      <c r="N2530" s="33">
        <v>44890</v>
      </c>
      <c r="O2530" s="32">
        <v>4782</v>
      </c>
      <c r="P2530" s="391">
        <f t="shared" si="163"/>
        <v>0.49</v>
      </c>
      <c r="Q2530" s="358">
        <v>0.49</v>
      </c>
      <c r="R2530" s="322">
        <f t="shared" si="164"/>
        <v>14.7</v>
      </c>
      <c r="S2530" s="7">
        <v>41</v>
      </c>
      <c r="T2530" s="7">
        <f t="shared" si="165"/>
        <v>1230</v>
      </c>
      <c r="U2530" s="267"/>
      <c r="V2530" s="260">
        <v>120</v>
      </c>
    </row>
    <row r="2531" spans="1:22" s="7" customFormat="1" ht="18" customHeight="1">
      <c r="B2531" s="12" t="s">
        <v>300</v>
      </c>
      <c r="C2531" s="6" t="s">
        <v>3357</v>
      </c>
      <c r="D2531" s="14" t="s">
        <v>3150</v>
      </c>
      <c r="E2531" s="22">
        <v>14552</v>
      </c>
      <c r="F2531" s="24" t="s">
        <v>2679</v>
      </c>
      <c r="G2531" s="22" t="s">
        <v>3370</v>
      </c>
      <c r="H2531" s="108">
        <v>30</v>
      </c>
      <c r="I2531" s="109">
        <v>1</v>
      </c>
      <c r="J2531" s="8">
        <f t="shared" si="161"/>
        <v>30</v>
      </c>
      <c r="K2531" s="39">
        <v>1.21</v>
      </c>
      <c r="L2531" s="39">
        <f t="shared" si="162"/>
        <v>36.299999999999997</v>
      </c>
      <c r="M2531" s="117" t="s">
        <v>349</v>
      </c>
      <c r="N2531" s="33">
        <v>44890</v>
      </c>
      <c r="O2531" s="32">
        <v>4782</v>
      </c>
      <c r="P2531" s="391">
        <f t="shared" si="163"/>
        <v>0.78</v>
      </c>
      <c r="Q2531" s="358">
        <v>0.78</v>
      </c>
      <c r="R2531" s="322">
        <f t="shared" si="164"/>
        <v>23.400000000000002</v>
      </c>
      <c r="S2531" s="7">
        <v>65</v>
      </c>
      <c r="T2531" s="7">
        <f t="shared" si="165"/>
        <v>1950</v>
      </c>
      <c r="U2531" s="267"/>
      <c r="V2531" s="260">
        <v>120</v>
      </c>
    </row>
    <row r="2532" spans="1:22" customFormat="1" ht="15.95" customHeight="1">
      <c r="A2532" s="1"/>
      <c r="B2532" s="12" t="s">
        <v>306</v>
      </c>
      <c r="C2532" s="6" t="s">
        <v>3357</v>
      </c>
      <c r="D2532" s="14" t="s">
        <v>3150</v>
      </c>
      <c r="E2532" s="22"/>
      <c r="F2532" s="102"/>
      <c r="G2532" s="37" t="s">
        <v>316</v>
      </c>
      <c r="H2532" s="8"/>
      <c r="I2532" s="35"/>
      <c r="J2532" s="38">
        <v>2</v>
      </c>
      <c r="K2532" s="39">
        <v>12</v>
      </c>
      <c r="L2532" s="39">
        <f t="shared" si="162"/>
        <v>24</v>
      </c>
      <c r="M2532" s="91"/>
      <c r="N2532" s="33">
        <v>44890</v>
      </c>
      <c r="O2532" s="32">
        <v>4782</v>
      </c>
      <c r="P2532" s="39"/>
      <c r="Q2532" s="358">
        <v>24</v>
      </c>
      <c r="R2532" s="323">
        <v>24</v>
      </c>
      <c r="S2532" s="7">
        <v>0</v>
      </c>
      <c r="T2532" s="7">
        <v>0</v>
      </c>
      <c r="U2532" s="270"/>
      <c r="V2532" s="260">
        <v>120</v>
      </c>
    </row>
    <row r="2533" spans="1:22" s="191" customFormat="1" ht="15">
      <c r="B2533" s="190"/>
      <c r="C2533" s="179" t="s">
        <v>3357</v>
      </c>
      <c r="D2533" s="180" t="s">
        <v>3150</v>
      </c>
      <c r="E2533" s="181"/>
      <c r="F2533" s="182"/>
      <c r="G2533" s="182" t="s">
        <v>250</v>
      </c>
      <c r="H2533" s="184" t="s">
        <v>251</v>
      </c>
      <c r="I2533" s="185"/>
      <c r="J2533" s="183"/>
      <c r="K2533" s="192">
        <v>0</v>
      </c>
      <c r="L2533" s="187"/>
      <c r="M2533" s="187"/>
      <c r="N2533" s="187">
        <v>44890</v>
      </c>
      <c r="O2533" s="186">
        <v>4782</v>
      </c>
      <c r="P2533" s="179"/>
      <c r="Q2533" s="255">
        <v>0</v>
      </c>
      <c r="S2533" s="275">
        <v>0</v>
      </c>
      <c r="T2533" s="198">
        <v>0</v>
      </c>
      <c r="U2533" s="271"/>
      <c r="V2533" s="260">
        <v>120</v>
      </c>
    </row>
    <row r="2534" spans="1:22" s="7" customFormat="1" ht="15">
      <c r="B2534" s="12"/>
      <c r="C2534" s="6" t="s">
        <v>3371</v>
      </c>
      <c r="D2534" s="14" t="s">
        <v>2416</v>
      </c>
      <c r="E2534" s="19" t="s">
        <v>3261</v>
      </c>
      <c r="F2534" s="24"/>
      <c r="G2534" s="22"/>
      <c r="H2534" s="60"/>
      <c r="I2534" s="61"/>
      <c r="J2534" s="8"/>
      <c r="K2534" s="110" t="s">
        <v>5</v>
      </c>
      <c r="L2534" s="139"/>
      <c r="M2534" s="33"/>
      <c r="N2534" s="33">
        <v>44902</v>
      </c>
      <c r="O2534" s="32">
        <v>4817</v>
      </c>
      <c r="P2534" s="6" t="s">
        <v>8</v>
      </c>
      <c r="Q2534" s="358"/>
      <c r="U2534" s="120"/>
      <c r="V2534" s="260">
        <v>120</v>
      </c>
    </row>
    <row r="2535" spans="1:22" s="7" customFormat="1" ht="18" customHeight="1">
      <c r="B2535" s="12" t="s">
        <v>300</v>
      </c>
      <c r="C2535" s="6" t="s">
        <v>3371</v>
      </c>
      <c r="D2535" s="14" t="s">
        <v>2416</v>
      </c>
      <c r="E2535" s="22" t="s">
        <v>3262</v>
      </c>
      <c r="F2535" s="37" t="s">
        <v>359</v>
      </c>
      <c r="G2535" s="221" t="s">
        <v>3263</v>
      </c>
      <c r="H2535" s="8">
        <v>50</v>
      </c>
      <c r="I2535" s="35">
        <v>6</v>
      </c>
      <c r="J2535" s="108">
        <f t="shared" ref="J2535:J2541" si="166">H2535*I2535</f>
        <v>300</v>
      </c>
      <c r="K2535" s="958">
        <v>0.23</v>
      </c>
      <c r="L2535" s="39">
        <f t="shared" ref="L2535:L2542" si="167">K2535*J2535</f>
        <v>69</v>
      </c>
      <c r="M2535" s="117" t="s">
        <v>349</v>
      </c>
      <c r="N2535" s="33">
        <v>44902</v>
      </c>
      <c r="O2535" s="32">
        <v>4817</v>
      </c>
      <c r="P2535" s="391">
        <f t="shared" ref="P2535:P2541" si="168">ROUNDUP(S2535/V2535/VLOOKUP(B2535,$C$2:$F$6,3,FALSE),2)</f>
        <v>9.9999999999999992E-2</v>
      </c>
      <c r="Q2535" s="322">
        <v>0.1</v>
      </c>
      <c r="R2535" s="322">
        <f>Q2535*J2535</f>
        <v>30</v>
      </c>
      <c r="S2535" s="7">
        <v>8.3000000000000007</v>
      </c>
      <c r="T2535" s="7">
        <f t="shared" ref="T2535:T2542" si="169">S2535*J2535</f>
        <v>2490</v>
      </c>
      <c r="U2535" s="39"/>
      <c r="V2535" s="260">
        <v>120</v>
      </c>
    </row>
    <row r="2536" spans="1:22" s="7" customFormat="1" ht="18" customHeight="1">
      <c r="B2536" s="12" t="s">
        <v>300</v>
      </c>
      <c r="C2536" s="6" t="s">
        <v>3371</v>
      </c>
      <c r="D2536" s="14" t="s">
        <v>2416</v>
      </c>
      <c r="E2536" s="22" t="s">
        <v>3262</v>
      </c>
      <c r="F2536" s="37" t="s">
        <v>359</v>
      </c>
      <c r="G2536" s="221" t="s">
        <v>3264</v>
      </c>
      <c r="H2536" s="8">
        <v>50</v>
      </c>
      <c r="I2536" s="35">
        <v>3</v>
      </c>
      <c r="J2536" s="108">
        <f t="shared" si="166"/>
        <v>150</v>
      </c>
      <c r="K2536" s="958">
        <v>0.23</v>
      </c>
      <c r="L2536" s="39">
        <f t="shared" si="167"/>
        <v>34.5</v>
      </c>
      <c r="M2536" s="117" t="s">
        <v>349</v>
      </c>
      <c r="N2536" s="33">
        <v>44902</v>
      </c>
      <c r="O2536" s="32">
        <v>4817</v>
      </c>
      <c r="P2536" s="391">
        <f t="shared" si="168"/>
        <v>9.9999999999999992E-2</v>
      </c>
      <c r="Q2536" s="322">
        <v>0.1</v>
      </c>
      <c r="R2536" s="322">
        <f>Q2536*J2536</f>
        <v>15</v>
      </c>
      <c r="S2536" s="7">
        <v>8.3000000000000007</v>
      </c>
      <c r="T2536" s="7">
        <f t="shared" si="169"/>
        <v>1245</v>
      </c>
      <c r="U2536" s="39"/>
      <c r="V2536" s="260">
        <v>120</v>
      </c>
    </row>
    <row r="2537" spans="1:22" s="7" customFormat="1" ht="18" customHeight="1">
      <c r="B2537" s="12" t="s">
        <v>300</v>
      </c>
      <c r="C2537" s="6" t="s">
        <v>3371</v>
      </c>
      <c r="D2537" s="14" t="s">
        <v>2416</v>
      </c>
      <c r="E2537" s="22" t="s">
        <v>3262</v>
      </c>
      <c r="F2537" s="37" t="s">
        <v>359</v>
      </c>
      <c r="G2537" s="221" t="s">
        <v>3286</v>
      </c>
      <c r="H2537" s="8">
        <v>50</v>
      </c>
      <c r="I2537" s="35">
        <v>3</v>
      </c>
      <c r="J2537" s="108">
        <f t="shared" si="166"/>
        <v>150</v>
      </c>
      <c r="K2537" s="958">
        <v>0.23</v>
      </c>
      <c r="L2537" s="39">
        <f t="shared" si="167"/>
        <v>34.5</v>
      </c>
      <c r="M2537" s="117" t="s">
        <v>349</v>
      </c>
      <c r="N2537" s="33">
        <v>44902</v>
      </c>
      <c r="O2537" s="32">
        <v>4817</v>
      </c>
      <c r="P2537" s="391">
        <f t="shared" si="168"/>
        <v>9.9999999999999992E-2</v>
      </c>
      <c r="Q2537" s="322">
        <v>0.1</v>
      </c>
      <c r="R2537" s="322">
        <f>Q2537*J2537</f>
        <v>15</v>
      </c>
      <c r="S2537" s="7">
        <v>8.3000000000000007</v>
      </c>
      <c r="T2537" s="7">
        <f t="shared" si="169"/>
        <v>1245</v>
      </c>
      <c r="U2537" s="39"/>
      <c r="V2537" s="260">
        <v>120</v>
      </c>
    </row>
    <row r="2538" spans="1:22" s="7" customFormat="1" ht="18" customHeight="1">
      <c r="B2538" s="12"/>
      <c r="C2538" s="6" t="s">
        <v>3371</v>
      </c>
      <c r="D2538" s="14" t="s">
        <v>2416</v>
      </c>
      <c r="E2538" s="22"/>
      <c r="F2538" s="340"/>
      <c r="G2538" s="22" t="s">
        <v>316</v>
      </c>
      <c r="H2538" s="8"/>
      <c r="I2538" s="109" ph="1"/>
      <c r="J2538" s="38">
        <v>1</v>
      </c>
      <c r="K2538" s="39">
        <v>12</v>
      </c>
      <c r="L2538" s="39">
        <f>K2538*J2538</f>
        <v>12</v>
      </c>
      <c r="M2538" s="91"/>
      <c r="N2538" s="33">
        <v>44902</v>
      </c>
      <c r="O2538" s="32">
        <v>4817</v>
      </c>
      <c r="P2538" s="6"/>
      <c r="Q2538" s="322">
        <v>12</v>
      </c>
      <c r="R2538" s="322">
        <v>12</v>
      </c>
      <c r="S2538" s="7">
        <v>1100</v>
      </c>
      <c r="T2538" s="7">
        <f>S2538*J2538</f>
        <v>1100</v>
      </c>
      <c r="U2538" s="21"/>
      <c r="V2538" s="260">
        <v>120</v>
      </c>
    </row>
    <row r="2539" spans="1:22" s="7" customFormat="1" ht="18" customHeight="1">
      <c r="B2539" s="12" t="s">
        <v>300</v>
      </c>
      <c r="C2539" s="6" t="s">
        <v>3371</v>
      </c>
      <c r="D2539" s="14" t="s">
        <v>2416</v>
      </c>
      <c r="E2539" s="22" t="s">
        <v>3262</v>
      </c>
      <c r="F2539" s="37" t="s">
        <v>359</v>
      </c>
      <c r="G2539" s="221" t="s">
        <v>3287</v>
      </c>
      <c r="H2539" s="8">
        <v>50</v>
      </c>
      <c r="I2539" s="35">
        <v>2</v>
      </c>
      <c r="J2539" s="108">
        <f t="shared" si="166"/>
        <v>100</v>
      </c>
      <c r="K2539" s="958">
        <v>0.23</v>
      </c>
      <c r="L2539" s="39">
        <f t="shared" si="167"/>
        <v>23</v>
      </c>
      <c r="M2539" s="117" t="s">
        <v>349</v>
      </c>
      <c r="N2539" s="33">
        <v>44900</v>
      </c>
      <c r="O2539" s="32">
        <v>4804</v>
      </c>
      <c r="P2539" s="391">
        <f t="shared" si="168"/>
        <v>9.9999999999999992E-2</v>
      </c>
      <c r="Q2539" s="322">
        <v>0.1</v>
      </c>
      <c r="R2539" s="322">
        <f>Q2539*J2539</f>
        <v>10</v>
      </c>
      <c r="S2539" s="7">
        <v>8.3000000000000007</v>
      </c>
      <c r="T2539" s="7">
        <f t="shared" si="169"/>
        <v>830.00000000000011</v>
      </c>
      <c r="U2539" s="39"/>
      <c r="V2539" s="260">
        <v>120</v>
      </c>
    </row>
    <row r="2540" spans="1:22" s="7" customFormat="1" ht="18" customHeight="1">
      <c r="B2540" s="12" t="s">
        <v>300</v>
      </c>
      <c r="C2540" s="6" t="s">
        <v>3371</v>
      </c>
      <c r="D2540" s="14" t="s">
        <v>2416</v>
      </c>
      <c r="E2540" s="22" t="s">
        <v>3262</v>
      </c>
      <c r="F2540" s="37" t="s">
        <v>359</v>
      </c>
      <c r="G2540" s="221" t="s">
        <v>3372</v>
      </c>
      <c r="H2540" s="8">
        <v>50</v>
      </c>
      <c r="I2540" s="35">
        <v>1</v>
      </c>
      <c r="J2540" s="108">
        <f t="shared" si="166"/>
        <v>50</v>
      </c>
      <c r="K2540" s="958">
        <v>0.23</v>
      </c>
      <c r="L2540" s="39">
        <f t="shared" si="167"/>
        <v>11.5</v>
      </c>
      <c r="M2540" s="117" t="s">
        <v>349</v>
      </c>
      <c r="N2540" s="33">
        <v>44900</v>
      </c>
      <c r="O2540" s="32">
        <v>4804</v>
      </c>
      <c r="P2540" s="391">
        <f t="shared" si="168"/>
        <v>9.9999999999999992E-2</v>
      </c>
      <c r="Q2540" s="322">
        <v>0.1</v>
      </c>
      <c r="R2540" s="322">
        <f>Q2540*J2540</f>
        <v>5</v>
      </c>
      <c r="S2540" s="7">
        <v>8.3000000000000007</v>
      </c>
      <c r="T2540" s="7">
        <f t="shared" si="169"/>
        <v>415.00000000000006</v>
      </c>
      <c r="U2540" s="39"/>
      <c r="V2540" s="260">
        <v>120</v>
      </c>
    </row>
    <row r="2541" spans="1:22" s="7" customFormat="1" ht="18" customHeight="1">
      <c r="B2541" s="12" t="s">
        <v>300</v>
      </c>
      <c r="C2541" s="6" t="s">
        <v>3371</v>
      </c>
      <c r="D2541" s="14" t="s">
        <v>2416</v>
      </c>
      <c r="E2541" s="22" t="s">
        <v>3262</v>
      </c>
      <c r="F2541" s="37" t="s">
        <v>359</v>
      </c>
      <c r="G2541" s="221" t="s">
        <v>3373</v>
      </c>
      <c r="H2541" s="8">
        <v>50</v>
      </c>
      <c r="I2541" s="35">
        <v>1</v>
      </c>
      <c r="J2541" s="108">
        <f t="shared" si="166"/>
        <v>50</v>
      </c>
      <c r="K2541" s="958">
        <v>0.23</v>
      </c>
      <c r="L2541" s="39">
        <f t="shared" si="167"/>
        <v>11.5</v>
      </c>
      <c r="M2541" s="117" t="s">
        <v>349</v>
      </c>
      <c r="N2541" s="33">
        <v>44900</v>
      </c>
      <c r="O2541" s="32">
        <v>4804</v>
      </c>
      <c r="P2541" s="391">
        <f t="shared" si="168"/>
        <v>9.9999999999999992E-2</v>
      </c>
      <c r="Q2541" s="322">
        <v>0.1</v>
      </c>
      <c r="R2541" s="322">
        <f>Q2541*J2541</f>
        <v>5</v>
      </c>
      <c r="S2541" s="7">
        <v>8.3000000000000007</v>
      </c>
      <c r="T2541" s="7">
        <f t="shared" si="169"/>
        <v>415.00000000000006</v>
      </c>
      <c r="U2541" s="39"/>
      <c r="V2541" s="260">
        <v>120</v>
      </c>
    </row>
    <row r="2542" spans="1:22" s="7" customFormat="1" ht="18" customHeight="1">
      <c r="B2542" s="12"/>
      <c r="C2542" s="6" t="s">
        <v>3371</v>
      </c>
      <c r="D2542" s="14" t="s">
        <v>2416</v>
      </c>
      <c r="E2542" s="22"/>
      <c r="F2542" s="340"/>
      <c r="G2542" s="22" t="s">
        <v>316</v>
      </c>
      <c r="H2542" s="8"/>
      <c r="I2542" s="109" ph="1"/>
      <c r="J2542" s="38">
        <v>1</v>
      </c>
      <c r="K2542" s="39">
        <v>12</v>
      </c>
      <c r="L2542" s="39">
        <f t="shared" si="167"/>
        <v>12</v>
      </c>
      <c r="M2542" s="91"/>
      <c r="N2542" s="33">
        <v>44900</v>
      </c>
      <c r="O2542" s="32">
        <v>4804</v>
      </c>
      <c r="P2542" s="6"/>
      <c r="Q2542" s="322">
        <v>12</v>
      </c>
      <c r="R2542" s="322">
        <v>12</v>
      </c>
      <c r="S2542" s="745">
        <v>1100</v>
      </c>
      <c r="T2542" s="7">
        <f t="shared" si="169"/>
        <v>1100</v>
      </c>
      <c r="U2542" s="21"/>
      <c r="V2542" s="260">
        <v>120</v>
      </c>
    </row>
    <row r="2543" spans="1:22" s="218" customFormat="1" ht="18" customHeight="1">
      <c r="A2543" s="7"/>
      <c r="B2543" s="189"/>
      <c r="C2543" s="179" t="s">
        <v>3371</v>
      </c>
      <c r="D2543" s="180" t="s">
        <v>2416</v>
      </c>
      <c r="E2543" s="217"/>
      <c r="F2543" s="182"/>
      <c r="G2543" s="182" t="s">
        <v>250</v>
      </c>
      <c r="H2543" s="184" t="s">
        <v>251</v>
      </c>
      <c r="I2543" s="185"/>
      <c r="J2543" s="183"/>
      <c r="K2543" s="192">
        <v>0</v>
      </c>
      <c r="L2543" s="946"/>
      <c r="M2543" s="947"/>
      <c r="N2543" s="187">
        <v>44900</v>
      </c>
      <c r="O2543" s="186">
        <v>4804</v>
      </c>
      <c r="P2543" s="179"/>
      <c r="Q2543" s="322">
        <v>0</v>
      </c>
      <c r="S2543" s="197">
        <v>0</v>
      </c>
      <c r="T2543" s="197">
        <v>0</v>
      </c>
      <c r="U2543" s="335"/>
      <c r="V2543" s="260">
        <v>120</v>
      </c>
    </row>
    <row r="2544" spans="1:22" s="7" customFormat="1" ht="18" customHeight="1">
      <c r="B2544" s="12"/>
      <c r="C2544" s="6" t="s">
        <v>3374</v>
      </c>
      <c r="D2544" s="14" t="s">
        <v>2059</v>
      </c>
      <c r="E2544" s="19" t="s">
        <v>3092</v>
      </c>
      <c r="F2544" s="37"/>
      <c r="G2544" s="37"/>
      <c r="H2544" s="108"/>
      <c r="I2544" s="108"/>
      <c r="J2544" s="108"/>
      <c r="K2544" s="29" t="s">
        <v>5</v>
      </c>
      <c r="L2544" s="139"/>
      <c r="M2544" s="33"/>
      <c r="N2544" s="33">
        <v>44903</v>
      </c>
      <c r="O2544" s="32">
        <v>4810</v>
      </c>
      <c r="P2544" s="6"/>
      <c r="Q2544" s="339"/>
      <c r="U2544" s="21"/>
      <c r="V2544" s="260">
        <v>120</v>
      </c>
    </row>
    <row r="2545" spans="2:22" s="7" customFormat="1" ht="18" customHeight="1">
      <c r="B2545" s="12" t="s">
        <v>300</v>
      </c>
      <c r="C2545" s="6" t="s">
        <v>3374</v>
      </c>
      <c r="D2545" s="14" t="s">
        <v>2059</v>
      </c>
      <c r="E2545" s="22">
        <v>5634</v>
      </c>
      <c r="F2545" s="37" t="s">
        <v>311</v>
      </c>
      <c r="G2545" s="221" t="s">
        <v>3375</v>
      </c>
      <c r="H2545" s="108">
        <v>50</v>
      </c>
      <c r="I2545" s="109">
        <v>1</v>
      </c>
      <c r="J2545" s="8">
        <f>H2545*I2545</f>
        <v>50</v>
      </c>
      <c r="K2545" s="39">
        <v>0.31</v>
      </c>
      <c r="L2545" s="39">
        <f>K2545*J2545</f>
        <v>15.5</v>
      </c>
      <c r="M2545" s="117" t="s">
        <v>349</v>
      </c>
      <c r="N2545" s="33">
        <v>44903</v>
      </c>
      <c r="O2545" s="32">
        <v>4810</v>
      </c>
      <c r="P2545" s="391">
        <f>ROUNDUP(S2545/V2545/VLOOKUP(B2545,$C$2:$F$6,3,FALSE),2)</f>
        <v>0.2</v>
      </c>
      <c r="Q2545" s="322">
        <v>0.2</v>
      </c>
      <c r="R2545" s="322">
        <f>Q2545*J2545</f>
        <v>10</v>
      </c>
      <c r="S2545" s="7">
        <v>16.3</v>
      </c>
      <c r="T2545" s="92">
        <f>S2545*J2545</f>
        <v>815</v>
      </c>
      <c r="U2545" s="778"/>
      <c r="V2545" s="260">
        <v>120</v>
      </c>
    </row>
    <row r="2546" spans="2:22" s="7" customFormat="1" ht="18" customHeight="1">
      <c r="B2546" s="12" t="s">
        <v>300</v>
      </c>
      <c r="C2546" s="6" t="s">
        <v>3374</v>
      </c>
      <c r="D2546" s="14" t="s">
        <v>2059</v>
      </c>
      <c r="E2546" s="22">
        <v>5634</v>
      </c>
      <c r="F2546" s="37" t="s">
        <v>311</v>
      </c>
      <c r="G2546" s="221" t="s">
        <v>3093</v>
      </c>
      <c r="H2546" s="108">
        <v>50</v>
      </c>
      <c r="I2546" s="109">
        <v>1</v>
      </c>
      <c r="J2546" s="8">
        <f>H2546*I2546</f>
        <v>50</v>
      </c>
      <c r="K2546" s="39">
        <v>0.31</v>
      </c>
      <c r="L2546" s="39">
        <f>K2546*J2546</f>
        <v>15.5</v>
      </c>
      <c r="M2546" s="117" t="s">
        <v>349</v>
      </c>
      <c r="N2546" s="33">
        <v>44903</v>
      </c>
      <c r="O2546" s="32">
        <v>4810</v>
      </c>
      <c r="P2546" s="391">
        <f>ROUNDUP(S2546/V2546/VLOOKUP(B2546,$C$2:$F$6,3,FALSE),2)</f>
        <v>0.2</v>
      </c>
      <c r="Q2546" s="322">
        <v>0.2</v>
      </c>
      <c r="R2546" s="322">
        <f>Q2546*J2546</f>
        <v>10</v>
      </c>
      <c r="S2546" s="7">
        <v>16.3</v>
      </c>
      <c r="T2546" s="92">
        <f>S2546*J2546</f>
        <v>815</v>
      </c>
      <c r="U2546" s="778"/>
      <c r="V2546" s="260">
        <v>120</v>
      </c>
    </row>
    <row r="2547" spans="2:22" s="7" customFormat="1" ht="18" customHeight="1">
      <c r="B2547" s="12" t="s">
        <v>300</v>
      </c>
      <c r="C2547" s="6" t="s">
        <v>3374</v>
      </c>
      <c r="D2547" s="14" t="s">
        <v>2059</v>
      </c>
      <c r="E2547" s="22">
        <v>5634</v>
      </c>
      <c r="F2547" s="37" t="s">
        <v>311</v>
      </c>
      <c r="G2547" s="221" t="s">
        <v>3376</v>
      </c>
      <c r="H2547" s="108">
        <v>50</v>
      </c>
      <c r="I2547" s="109">
        <v>2</v>
      </c>
      <c r="J2547" s="8">
        <f>H2547*I2547</f>
        <v>100</v>
      </c>
      <c r="K2547" s="39">
        <v>0.31</v>
      </c>
      <c r="L2547" s="39">
        <f>K2547*J2547</f>
        <v>31</v>
      </c>
      <c r="M2547" s="117" t="s">
        <v>349</v>
      </c>
      <c r="N2547" s="33">
        <v>44903</v>
      </c>
      <c r="O2547" s="32">
        <v>4810</v>
      </c>
      <c r="P2547" s="391">
        <f>ROUNDUP(S2547/V2547/VLOOKUP(B2547,$C$2:$F$6,3,FALSE),2)</f>
        <v>0.2</v>
      </c>
      <c r="Q2547" s="322">
        <v>0.2</v>
      </c>
      <c r="R2547" s="322">
        <f>Q2547*J2547</f>
        <v>20</v>
      </c>
      <c r="S2547" s="7">
        <v>16.3</v>
      </c>
      <c r="T2547" s="92">
        <f>S2547*J2547</f>
        <v>1630</v>
      </c>
      <c r="U2547" s="778"/>
      <c r="V2547" s="260">
        <v>120</v>
      </c>
    </row>
    <row r="2548" spans="2:22" s="7" customFormat="1" ht="18" customHeight="1">
      <c r="B2548" s="12"/>
      <c r="C2548" s="6" t="s">
        <v>3374</v>
      </c>
      <c r="D2548" s="14" t="s">
        <v>2059</v>
      </c>
      <c r="E2548" s="82"/>
      <c r="F2548" s="102"/>
      <c r="G2548" s="22" t="s">
        <v>316</v>
      </c>
      <c r="H2548" s="8"/>
      <c r="I2548" s="35"/>
      <c r="J2548" s="38">
        <v>1</v>
      </c>
      <c r="K2548" s="39">
        <v>12</v>
      </c>
      <c r="L2548" s="39">
        <f>K2548*J2548</f>
        <v>12</v>
      </c>
      <c r="M2548" s="91"/>
      <c r="N2548" s="33">
        <v>44903</v>
      </c>
      <c r="O2548" s="32">
        <v>4810</v>
      </c>
      <c r="P2548" s="6"/>
      <c r="Q2548" s="322">
        <v>12</v>
      </c>
      <c r="R2548" s="322">
        <f>Q2548*J2548</f>
        <v>12</v>
      </c>
      <c r="S2548" s="7">
        <v>1100</v>
      </c>
      <c r="T2548" s="7">
        <f>S2548*J2548</f>
        <v>1100</v>
      </c>
      <c r="U2548" s="21"/>
      <c r="V2548" s="260">
        <v>120</v>
      </c>
    </row>
    <row r="2549" spans="2:22" s="191" customFormat="1" ht="18" customHeight="1">
      <c r="B2549" s="190"/>
      <c r="C2549" s="179" t="s">
        <v>3374</v>
      </c>
      <c r="D2549" s="180" t="s">
        <v>2059</v>
      </c>
      <c r="E2549" s="736"/>
      <c r="F2549" s="737"/>
      <c r="G2549" s="182" t="s">
        <v>250</v>
      </c>
      <c r="H2549" s="184" t="s">
        <v>251</v>
      </c>
      <c r="I2549" s="185"/>
      <c r="J2549" s="183"/>
      <c r="K2549" s="192">
        <v>0</v>
      </c>
      <c r="L2549" s="188"/>
      <c r="M2549" s="187"/>
      <c r="N2549" s="187">
        <v>44903</v>
      </c>
      <c r="O2549" s="186">
        <v>4810</v>
      </c>
      <c r="P2549" s="179"/>
      <c r="Q2549" s="725">
        <v>0</v>
      </c>
      <c r="S2549" s="197">
        <v>0</v>
      </c>
      <c r="T2549" s="198">
        <v>0</v>
      </c>
      <c r="U2549" s="335"/>
      <c r="V2549" s="260">
        <v>120</v>
      </c>
    </row>
    <row r="2550" spans="2:22" s="7" customFormat="1" ht="15">
      <c r="B2550" s="12"/>
      <c r="C2550" s="6" t="s">
        <v>3377</v>
      </c>
      <c r="D2550" s="14" t="s">
        <v>2227</v>
      </c>
      <c r="E2550" s="19" t="s">
        <v>231</v>
      </c>
      <c r="F2550" s="37"/>
      <c r="G2550" s="37"/>
      <c r="H2550" s="108"/>
      <c r="I2550" s="108"/>
      <c r="J2550" s="108"/>
      <c r="K2550" s="29" t="s">
        <v>232</v>
      </c>
      <c r="L2550" s="139"/>
      <c r="M2550" s="33"/>
      <c r="N2550" s="33">
        <v>44908</v>
      </c>
      <c r="O2550" s="32">
        <v>4832</v>
      </c>
      <c r="P2550" s="6"/>
      <c r="Q2550" s="339"/>
      <c r="U2550" s="21"/>
      <c r="V2550" s="260">
        <v>120</v>
      </c>
    </row>
    <row r="2551" spans="2:22" s="7" customFormat="1" ht="15.75">
      <c r="B2551" s="12" t="s">
        <v>300</v>
      </c>
      <c r="C2551" s="6" t="s">
        <v>3377</v>
      </c>
      <c r="D2551" s="14" t="s">
        <v>2227</v>
      </c>
      <c r="E2551" s="22" t="s">
        <v>257</v>
      </c>
      <c r="F2551" s="112">
        <v>292</v>
      </c>
      <c r="G2551" s="165" t="s">
        <v>3378</v>
      </c>
      <c r="H2551" s="166"/>
      <c r="I2551" s="166"/>
      <c r="J2551" s="166">
        <v>70</v>
      </c>
      <c r="K2551" s="39">
        <v>1.57</v>
      </c>
      <c r="L2551" s="39">
        <f>K2551*J2551</f>
        <v>109.9</v>
      </c>
      <c r="M2551" s="117" t="s">
        <v>349</v>
      </c>
      <c r="N2551" s="33">
        <v>44908</v>
      </c>
      <c r="O2551" s="32">
        <v>4832</v>
      </c>
      <c r="P2551" s="391">
        <f>ROUNDUP(S2551/V2551/VLOOKUP(B2551,$C$2:$F$6,3,FALSE),2)</f>
        <v>0.79</v>
      </c>
      <c r="Q2551" s="322">
        <v>0.79</v>
      </c>
      <c r="R2551" s="322">
        <f>Q2551*J2551</f>
        <v>55.300000000000004</v>
      </c>
      <c r="S2551" s="7">
        <v>65.8</v>
      </c>
      <c r="T2551" s="7">
        <f>S2551*J2551</f>
        <v>4606</v>
      </c>
      <c r="U2551" s="845"/>
      <c r="V2551" s="260">
        <v>120</v>
      </c>
    </row>
    <row r="2552" spans="2:22" s="7" customFormat="1" ht="18" customHeight="1">
      <c r="B2552" s="12" t="s">
        <v>306</v>
      </c>
      <c r="C2552" s="6" t="s">
        <v>3377</v>
      </c>
      <c r="D2552" s="14" t="s">
        <v>2227</v>
      </c>
      <c r="E2552" s="22"/>
      <c r="F2552" s="102"/>
      <c r="G2552" s="22" t="s">
        <v>3379</v>
      </c>
      <c r="H2552" s="8"/>
      <c r="I2552" s="35"/>
      <c r="J2552" s="38">
        <v>1</v>
      </c>
      <c r="K2552" s="39">
        <v>12</v>
      </c>
      <c r="L2552" s="39">
        <f>K2552*J2552</f>
        <v>12</v>
      </c>
      <c r="M2552" s="117"/>
      <c r="N2552" s="33">
        <v>44908</v>
      </c>
      <c r="O2552" s="32">
        <v>4832</v>
      </c>
      <c r="P2552" s="391">
        <f>ROUNDUP(S2552/V2552/VLOOKUP(B2552,$C$2:$F$6,3,FALSE),2)</f>
        <v>4.74</v>
      </c>
      <c r="Q2552" s="322">
        <v>4.74</v>
      </c>
      <c r="R2552" s="322">
        <f>Q2552*J2552</f>
        <v>4.74</v>
      </c>
      <c r="S2552" s="7">
        <v>500</v>
      </c>
      <c r="T2552" s="7">
        <f>S2552*J2552</f>
        <v>500</v>
      </c>
      <c r="U2552" s="21"/>
      <c r="V2552" s="260">
        <v>120</v>
      </c>
    </row>
    <row r="2553" spans="2:22" s="7" customFormat="1" ht="18" customHeight="1">
      <c r="B2553" s="12"/>
      <c r="C2553" s="6" t="s">
        <v>3377</v>
      </c>
      <c r="D2553" s="14" t="s">
        <v>2227</v>
      </c>
      <c r="E2553" s="22"/>
      <c r="F2553" s="102"/>
      <c r="G2553" s="22" t="s">
        <v>316</v>
      </c>
      <c r="H2553" s="8"/>
      <c r="I2553" s="35"/>
      <c r="J2553" s="38">
        <v>1</v>
      </c>
      <c r="K2553" s="39">
        <v>12</v>
      </c>
      <c r="L2553" s="39">
        <f>K2553*J2553</f>
        <v>12</v>
      </c>
      <c r="M2553" s="91"/>
      <c r="N2553" s="33">
        <v>44908</v>
      </c>
      <c r="O2553" s="32">
        <v>4832</v>
      </c>
      <c r="P2553" s="6"/>
      <c r="Q2553" s="322">
        <v>12</v>
      </c>
      <c r="R2553" s="322">
        <f>Q2553*J2553</f>
        <v>12</v>
      </c>
      <c r="S2553" s="7">
        <v>0</v>
      </c>
      <c r="T2553" s="92">
        <f>J2553*S2553</f>
        <v>0</v>
      </c>
      <c r="U2553" s="21"/>
      <c r="V2553" s="260">
        <v>120</v>
      </c>
    </row>
    <row r="2554" spans="2:22" s="191" customFormat="1" ht="15">
      <c r="B2554" s="190"/>
      <c r="C2554" s="179" t="s">
        <v>3377</v>
      </c>
      <c r="D2554" s="180" t="s">
        <v>2227</v>
      </c>
      <c r="E2554" s="217"/>
      <c r="F2554" s="182"/>
      <c r="G2554" s="182" t="s">
        <v>250</v>
      </c>
      <c r="H2554" s="184" t="s">
        <v>251</v>
      </c>
      <c r="I2554" s="185"/>
      <c r="J2554" s="183"/>
      <c r="K2554" s="192">
        <v>0</v>
      </c>
      <c r="L2554" s="188"/>
      <c r="M2554" s="187"/>
      <c r="N2554" s="187">
        <v>44908</v>
      </c>
      <c r="O2554" s="186">
        <v>4832</v>
      </c>
      <c r="P2554" s="179"/>
      <c r="Q2554" s="725">
        <v>0</v>
      </c>
      <c r="S2554" s="197">
        <v>0</v>
      </c>
      <c r="T2554" s="198">
        <v>0</v>
      </c>
      <c r="U2554" s="335"/>
      <c r="V2554" s="260">
        <v>120</v>
      </c>
    </row>
    <row r="2555" spans="2:22" s="7" customFormat="1" ht="18" customHeight="1">
      <c r="B2555" s="12"/>
      <c r="C2555" s="6" t="s">
        <v>3380</v>
      </c>
      <c r="D2555" s="14" t="s">
        <v>2608</v>
      </c>
      <c r="E2555" s="17" t="s">
        <v>2687</v>
      </c>
      <c r="F2555" s="319"/>
      <c r="G2555" s="299"/>
      <c r="H2555" s="300"/>
      <c r="I2555" s="320"/>
      <c r="J2555" s="321"/>
      <c r="K2555" s="110" t="s">
        <v>5</v>
      </c>
      <c r="L2555" s="139"/>
      <c r="M2555" s="33"/>
      <c r="N2555" s="33">
        <v>44916</v>
      </c>
      <c r="O2555" s="32">
        <v>4825</v>
      </c>
      <c r="P2555" s="6"/>
      <c r="Q2555" s="322"/>
      <c r="U2555" s="39"/>
      <c r="V2555" s="260">
        <v>120</v>
      </c>
    </row>
    <row r="2556" spans="2:22" s="7" customFormat="1" ht="18" customHeight="1">
      <c r="B2556" s="12" t="s">
        <v>300</v>
      </c>
      <c r="C2556" s="6" t="s">
        <v>3381</v>
      </c>
      <c r="D2556" s="14" t="s">
        <v>2608</v>
      </c>
      <c r="E2556" s="22">
        <v>5637</v>
      </c>
      <c r="F2556" s="24" t="s">
        <v>311</v>
      </c>
      <c r="G2556" s="22" t="s">
        <v>3184</v>
      </c>
      <c r="H2556" s="813">
        <v>50</v>
      </c>
      <c r="I2556" s="814">
        <v>6</v>
      </c>
      <c r="J2556" s="8">
        <f>H2556*I2556</f>
        <v>300</v>
      </c>
      <c r="K2556" s="137">
        <v>0.23</v>
      </c>
      <c r="L2556" s="39">
        <f>K2556*J2556</f>
        <v>69</v>
      </c>
      <c r="M2556" s="117" t="s">
        <v>349</v>
      </c>
      <c r="N2556" s="33">
        <v>44916</v>
      </c>
      <c r="O2556" s="32">
        <v>4825</v>
      </c>
      <c r="P2556" s="391">
        <f>ROUNDUP(S2556/V2556/VLOOKUP(B2556,$C$2:$F$6,3,FALSE),2)</f>
        <v>0.15000000000000002</v>
      </c>
      <c r="Q2556" s="322">
        <v>0.15</v>
      </c>
      <c r="R2556" s="322">
        <f>Q2556*J2556</f>
        <v>45</v>
      </c>
      <c r="S2556" s="752">
        <v>11.9</v>
      </c>
      <c r="T2556" s="7">
        <f>S2556*J2556</f>
        <v>3570</v>
      </c>
      <c r="U2556" s="778"/>
      <c r="V2556" s="260">
        <v>120</v>
      </c>
    </row>
    <row r="2557" spans="2:22" s="7" customFormat="1" ht="18" customHeight="1">
      <c r="B2557" s="12" t="s">
        <v>300</v>
      </c>
      <c r="C2557" s="6" t="s">
        <v>3381</v>
      </c>
      <c r="D2557" s="14" t="s">
        <v>2608</v>
      </c>
      <c r="E2557" s="22">
        <v>5637</v>
      </c>
      <c r="F2557" s="24" t="s">
        <v>311</v>
      </c>
      <c r="G2557" s="22" t="s">
        <v>2232</v>
      </c>
      <c r="H2557" s="813">
        <v>50</v>
      </c>
      <c r="I2557" s="814">
        <v>9</v>
      </c>
      <c r="J2557" s="8">
        <f>H2557*I2557</f>
        <v>450</v>
      </c>
      <c r="K2557" s="137">
        <v>0.23</v>
      </c>
      <c r="L2557" s="39">
        <f>K2557*J2557</f>
        <v>103.5</v>
      </c>
      <c r="M2557" s="117" t="s">
        <v>349</v>
      </c>
      <c r="N2557" s="33">
        <v>44916</v>
      </c>
      <c r="O2557" s="32">
        <v>4825</v>
      </c>
      <c r="P2557" s="391">
        <f>ROUNDUP(S2557/V2557/VLOOKUP(B2557,$C$2:$F$6,3,FALSE),2)</f>
        <v>0.12</v>
      </c>
      <c r="Q2557" s="322">
        <v>0.12</v>
      </c>
      <c r="R2557" s="322">
        <f>Q2557*J2557</f>
        <v>54</v>
      </c>
      <c r="S2557" s="752">
        <v>9.6</v>
      </c>
      <c r="T2557" s="7">
        <f>S2557*J2557</f>
        <v>4320</v>
      </c>
      <c r="U2557" s="778" t="s">
        <v>2833</v>
      </c>
      <c r="V2557" s="260">
        <v>120</v>
      </c>
    </row>
    <row r="2558" spans="2:22" s="7" customFormat="1" ht="15">
      <c r="B2558" s="12"/>
      <c r="C2558" s="6" t="s">
        <v>3381</v>
      </c>
      <c r="D2558" s="14" t="s">
        <v>2608</v>
      </c>
      <c r="E2558" s="22"/>
      <c r="F2558" s="102"/>
      <c r="G2558" s="22" t="s">
        <v>316</v>
      </c>
      <c r="H2558" s="8"/>
      <c r="I2558" s="35"/>
      <c r="J2558" s="38">
        <v>1</v>
      </c>
      <c r="K2558" s="39">
        <v>12</v>
      </c>
      <c r="L2558" s="39">
        <f>K2558*J2558</f>
        <v>12</v>
      </c>
      <c r="M2558" s="91"/>
      <c r="N2558" s="33">
        <v>44916</v>
      </c>
      <c r="O2558" s="32">
        <v>4825</v>
      </c>
      <c r="P2558" s="6"/>
      <c r="Q2558" s="322">
        <v>12</v>
      </c>
      <c r="R2558" s="322">
        <f>Q2558*J2558</f>
        <v>12</v>
      </c>
      <c r="S2558" s="7">
        <v>1100</v>
      </c>
      <c r="T2558" s="7">
        <f>S2558*J2558</f>
        <v>1100</v>
      </c>
      <c r="U2558" s="21"/>
      <c r="V2558" s="260">
        <v>120</v>
      </c>
    </row>
    <row r="2559" spans="2:22" s="191" customFormat="1" ht="15">
      <c r="B2559" s="190"/>
      <c r="C2559" s="179" t="s">
        <v>3381</v>
      </c>
      <c r="D2559" s="180" t="s">
        <v>2608</v>
      </c>
      <c r="E2559" s="181"/>
      <c r="F2559" s="622"/>
      <c r="G2559" s="182" t="s">
        <v>250</v>
      </c>
      <c r="H2559" s="184" t="s">
        <v>251</v>
      </c>
      <c r="I2559" s="185"/>
      <c r="J2559" s="183"/>
      <c r="K2559" s="192">
        <v>0</v>
      </c>
      <c r="L2559" s="188"/>
      <c r="M2559" s="187"/>
      <c r="N2559" s="187">
        <v>44916</v>
      </c>
      <c r="O2559" s="186">
        <v>4825</v>
      </c>
      <c r="P2559" s="179"/>
      <c r="Q2559" s="725">
        <v>0</v>
      </c>
      <c r="S2559" s="197">
        <v>0</v>
      </c>
      <c r="T2559" s="198">
        <v>0</v>
      </c>
      <c r="U2559" s="335"/>
      <c r="V2559" s="260">
        <v>120</v>
      </c>
    </row>
    <row r="2560" spans="2:22" s="7" customFormat="1" ht="18" customHeight="1">
      <c r="B2560" s="12"/>
      <c r="C2560" s="6" t="s">
        <v>3382</v>
      </c>
      <c r="D2560" s="14" t="s">
        <v>2162</v>
      </c>
      <c r="E2560" s="19" t="s">
        <v>2949</v>
      </c>
      <c r="F2560" s="37"/>
      <c r="G2560" s="37"/>
      <c r="H2560" s="108"/>
      <c r="I2560" s="108"/>
      <c r="J2560" s="108"/>
      <c r="K2560" s="29" t="s">
        <v>5</v>
      </c>
      <c r="L2560" s="139"/>
      <c r="M2560" s="33"/>
      <c r="N2560" s="33">
        <v>44938</v>
      </c>
      <c r="O2560" s="32">
        <v>4899</v>
      </c>
      <c r="P2560" s="6"/>
      <c r="Q2560" s="339"/>
      <c r="U2560" s="21"/>
      <c r="V2560" s="260">
        <v>120</v>
      </c>
    </row>
    <row r="2561" spans="2:22" s="7" customFormat="1" ht="17.25" customHeight="1">
      <c r="B2561" s="12" t="s">
        <v>300</v>
      </c>
      <c r="C2561" s="6" t="s">
        <v>3382</v>
      </c>
      <c r="D2561" s="14" t="s">
        <v>2162</v>
      </c>
      <c r="E2561" s="22" t="s">
        <v>2950</v>
      </c>
      <c r="F2561" s="37"/>
      <c r="G2561" s="839" t="s">
        <v>3383</v>
      </c>
      <c r="H2561" s="108">
        <v>30</v>
      </c>
      <c r="I2561" s="109">
        <v>34</v>
      </c>
      <c r="J2561" s="8">
        <f>H2561*I2561</f>
        <v>1020</v>
      </c>
      <c r="K2561" s="39">
        <v>0.84</v>
      </c>
      <c r="L2561" s="39">
        <f>K2561*J2561</f>
        <v>856.8</v>
      </c>
      <c r="M2561" s="117" t="s">
        <v>323</v>
      </c>
      <c r="N2561" s="33">
        <v>44938</v>
      </c>
      <c r="O2561" s="32">
        <v>4899</v>
      </c>
      <c r="P2561" s="391">
        <f>ROUNDUP(S2561/V2561/VLOOKUP(B2561,$C$2:$F$6,3,FALSE),2)</f>
        <v>0.54</v>
      </c>
      <c r="Q2561" s="322">
        <v>0.54</v>
      </c>
      <c r="R2561" s="322">
        <f>Q2561*J2561</f>
        <v>550.80000000000007</v>
      </c>
      <c r="S2561" s="7">
        <v>45</v>
      </c>
      <c r="T2561" s="7">
        <f>S2561*J2561</f>
        <v>45900</v>
      </c>
      <c r="U2561" s="876"/>
      <c r="V2561" s="260">
        <v>120</v>
      </c>
    </row>
    <row r="2562" spans="2:22" s="7" customFormat="1" ht="15">
      <c r="B2562" s="12"/>
      <c r="C2562" s="6" t="s">
        <v>3382</v>
      </c>
      <c r="D2562" s="14" t="s">
        <v>2162</v>
      </c>
      <c r="E2562" s="82"/>
      <c r="F2562" s="102"/>
      <c r="G2562" s="22" t="s">
        <v>316</v>
      </c>
      <c r="H2562" s="8"/>
      <c r="I2562" s="35"/>
      <c r="J2562" s="38">
        <v>1</v>
      </c>
      <c r="K2562" s="39">
        <v>12</v>
      </c>
      <c r="L2562" s="39">
        <f>K2562*J2562</f>
        <v>12</v>
      </c>
      <c r="M2562" s="91"/>
      <c r="N2562" s="33">
        <v>44938</v>
      </c>
      <c r="O2562" s="32">
        <v>4899</v>
      </c>
      <c r="P2562" s="6"/>
      <c r="Q2562" s="322">
        <v>12</v>
      </c>
      <c r="R2562" s="322">
        <f>Q2562*J2562</f>
        <v>12</v>
      </c>
      <c r="S2562" s="7">
        <v>0</v>
      </c>
      <c r="T2562" s="7">
        <f>S2562*J2562</f>
        <v>0</v>
      </c>
      <c r="U2562" s="21"/>
      <c r="V2562" s="260">
        <v>120</v>
      </c>
    </row>
    <row r="2563" spans="2:22" s="191" customFormat="1" ht="15">
      <c r="B2563" s="190"/>
      <c r="C2563" s="179" t="s">
        <v>3382</v>
      </c>
      <c r="D2563" s="180" t="s">
        <v>2162</v>
      </c>
      <c r="E2563" s="181"/>
      <c r="F2563" s="622"/>
      <c r="G2563" s="182" t="s">
        <v>250</v>
      </c>
      <c r="H2563" s="184" t="s">
        <v>251</v>
      </c>
      <c r="I2563" s="185"/>
      <c r="J2563" s="183"/>
      <c r="K2563" s="192">
        <v>0</v>
      </c>
      <c r="L2563" s="188"/>
      <c r="M2563" s="187"/>
      <c r="N2563" s="187">
        <v>44938</v>
      </c>
      <c r="O2563" s="186">
        <v>4899</v>
      </c>
      <c r="P2563" s="179"/>
      <c r="Q2563" s="725">
        <v>0</v>
      </c>
      <c r="S2563" s="197">
        <v>0</v>
      </c>
      <c r="T2563" s="198">
        <v>0</v>
      </c>
      <c r="U2563" s="335"/>
      <c r="V2563" s="260">
        <v>120</v>
      </c>
    </row>
    <row r="2564" spans="2:22" s="7" customFormat="1" ht="15" customHeight="1">
      <c r="B2564" s="12"/>
      <c r="C2564" s="6" t="s">
        <v>3384</v>
      </c>
      <c r="D2564" s="14" t="s">
        <v>2416</v>
      </c>
      <c r="E2564" s="19" t="s">
        <v>3261</v>
      </c>
      <c r="F2564" s="24"/>
      <c r="G2564" s="22"/>
      <c r="H2564" s="60"/>
      <c r="I2564" s="61"/>
      <c r="J2564" s="8"/>
      <c r="K2564" s="110" t="s">
        <v>5</v>
      </c>
      <c r="L2564" s="139"/>
      <c r="M2564" s="33"/>
      <c r="N2564" s="33">
        <v>44923</v>
      </c>
      <c r="O2564" s="32">
        <v>4864</v>
      </c>
      <c r="P2564" s="6" t="s">
        <v>8</v>
      </c>
      <c r="Q2564" s="358"/>
      <c r="U2564" s="120"/>
      <c r="V2564" s="260">
        <v>120</v>
      </c>
    </row>
    <row r="2565" spans="2:22" s="7" customFormat="1" ht="15" customHeight="1">
      <c r="B2565" s="12" t="s">
        <v>300</v>
      </c>
      <c r="C2565" s="6" t="s">
        <v>3384</v>
      </c>
      <c r="D2565" s="14" t="s">
        <v>2416</v>
      </c>
      <c r="E2565" s="22" t="s">
        <v>3262</v>
      </c>
      <c r="F2565" s="37" t="s">
        <v>359</v>
      </c>
      <c r="G2565" s="221" t="s">
        <v>3263</v>
      </c>
      <c r="H2565" s="8">
        <v>50</v>
      </c>
      <c r="I2565" s="35">
        <v>10</v>
      </c>
      <c r="J2565" s="108">
        <f>H2565*I2565</f>
        <v>500</v>
      </c>
      <c r="K2565" s="958">
        <v>0.23</v>
      </c>
      <c r="L2565" s="39">
        <f>K2565*J2565</f>
        <v>115</v>
      </c>
      <c r="M2565" s="117" t="s">
        <v>349</v>
      </c>
      <c r="N2565" s="33">
        <v>44923</v>
      </c>
      <c r="O2565" s="32">
        <v>4864</v>
      </c>
      <c r="P2565" s="391">
        <f>ROUNDUP(S2565/V2565/VLOOKUP(B2565,$C$2:$F$6,3,FALSE),2)</f>
        <v>9.9999999999999992E-2</v>
      </c>
      <c r="Q2565" s="322">
        <v>0.1</v>
      </c>
      <c r="R2565" s="322">
        <f>Q2565*J2565</f>
        <v>50</v>
      </c>
      <c r="S2565" s="7">
        <v>8.3000000000000007</v>
      </c>
      <c r="T2565" s="7">
        <f>S2565*J2565</f>
        <v>4150</v>
      </c>
      <c r="U2565" s="39"/>
      <c r="V2565" s="260">
        <v>120</v>
      </c>
    </row>
    <row r="2566" spans="2:22" s="7" customFormat="1" ht="15" customHeight="1">
      <c r="B2566" s="12" t="s">
        <v>300</v>
      </c>
      <c r="C2566" s="6" t="s">
        <v>3384</v>
      </c>
      <c r="D2566" s="14" t="s">
        <v>2416</v>
      </c>
      <c r="E2566" s="22" t="s">
        <v>3262</v>
      </c>
      <c r="F2566" s="37" t="s">
        <v>359</v>
      </c>
      <c r="G2566" s="221" t="s">
        <v>3264</v>
      </c>
      <c r="H2566" s="8">
        <v>50</v>
      </c>
      <c r="I2566" s="35">
        <v>10</v>
      </c>
      <c r="J2566" s="108">
        <f>H2566*I2566</f>
        <v>500</v>
      </c>
      <c r="K2566" s="958">
        <v>0.23</v>
      </c>
      <c r="L2566" s="39">
        <f>K2566*J2566</f>
        <v>115</v>
      </c>
      <c r="M2566" s="117" t="s">
        <v>349</v>
      </c>
      <c r="N2566" s="33">
        <v>44923</v>
      </c>
      <c r="O2566" s="32">
        <v>4864</v>
      </c>
      <c r="P2566" s="391">
        <f>ROUNDUP(S2566/V2566/VLOOKUP(B2566,$C$2:$F$6,3,FALSE),2)</f>
        <v>9.9999999999999992E-2</v>
      </c>
      <c r="Q2566" s="322">
        <v>0.1</v>
      </c>
      <c r="R2566" s="322">
        <f>Q2566*J2566</f>
        <v>50</v>
      </c>
      <c r="S2566" s="7">
        <v>8.3000000000000007</v>
      </c>
      <c r="T2566" s="7">
        <f>S2566*J2566</f>
        <v>4150</v>
      </c>
      <c r="U2566" s="39"/>
      <c r="V2566" s="260">
        <v>120</v>
      </c>
    </row>
    <row r="2567" spans="2:22" s="7" customFormat="1" ht="15" customHeight="1">
      <c r="B2567" s="12" t="s">
        <v>300</v>
      </c>
      <c r="C2567" s="6" t="s">
        <v>3384</v>
      </c>
      <c r="D2567" s="14" t="s">
        <v>2416</v>
      </c>
      <c r="E2567" s="22" t="s">
        <v>3262</v>
      </c>
      <c r="F2567" s="37" t="s">
        <v>359</v>
      </c>
      <c r="G2567" s="221" t="s">
        <v>3286</v>
      </c>
      <c r="H2567" s="8">
        <v>50</v>
      </c>
      <c r="I2567" s="35">
        <v>10</v>
      </c>
      <c r="J2567" s="108">
        <f>H2567*I2567</f>
        <v>500</v>
      </c>
      <c r="K2567" s="958">
        <v>0.23</v>
      </c>
      <c r="L2567" s="39">
        <f>K2567*J2567</f>
        <v>115</v>
      </c>
      <c r="M2567" s="117" t="s">
        <v>349</v>
      </c>
      <c r="N2567" s="33">
        <v>44923</v>
      </c>
      <c r="O2567" s="32">
        <v>4864</v>
      </c>
      <c r="P2567" s="391">
        <f>ROUNDUP(S2567/V2567/VLOOKUP(B2567,$C$2:$F$6,3,FALSE),2)</f>
        <v>9.9999999999999992E-2</v>
      </c>
      <c r="Q2567" s="322">
        <v>0.1</v>
      </c>
      <c r="R2567" s="322">
        <f>Q2567*J2567</f>
        <v>50</v>
      </c>
      <c r="S2567" s="7">
        <v>8.3000000000000007</v>
      </c>
      <c r="T2567" s="7">
        <f>S2567*J2567</f>
        <v>4150</v>
      </c>
      <c r="U2567" s="39"/>
      <c r="V2567" s="260">
        <v>120</v>
      </c>
    </row>
    <row r="2568" spans="2:22" s="7" customFormat="1" ht="15" customHeight="1">
      <c r="B2568" s="12" t="s">
        <v>300</v>
      </c>
      <c r="C2568" s="6" t="s">
        <v>3384</v>
      </c>
      <c r="D2568" s="14" t="s">
        <v>2416</v>
      </c>
      <c r="E2568" s="22" t="s">
        <v>3262</v>
      </c>
      <c r="F2568" s="37" t="s">
        <v>359</v>
      </c>
      <c r="G2568" s="221" t="s">
        <v>3385</v>
      </c>
      <c r="H2568" s="8">
        <v>50</v>
      </c>
      <c r="I2568" s="35">
        <v>10</v>
      </c>
      <c r="J2568" s="108">
        <f>H2568*I2568</f>
        <v>500</v>
      </c>
      <c r="K2568" s="958">
        <v>0.23</v>
      </c>
      <c r="L2568" s="39">
        <f>K2568*J2568</f>
        <v>115</v>
      </c>
      <c r="M2568" s="117" t="s">
        <v>349</v>
      </c>
      <c r="N2568" s="33">
        <v>44923</v>
      </c>
      <c r="O2568" s="32">
        <v>4864</v>
      </c>
      <c r="P2568" s="391">
        <f>ROUNDUP(S2568/V2568/VLOOKUP(B2568,$C$2:$F$6,3,FALSE),2)</f>
        <v>9.9999999999999992E-2</v>
      </c>
      <c r="Q2568" s="322">
        <v>0.1</v>
      </c>
      <c r="R2568" s="322">
        <f>Q2568*J2568</f>
        <v>50</v>
      </c>
      <c r="S2568" s="7">
        <v>8.3000000000000007</v>
      </c>
      <c r="T2568" s="7">
        <f>S2568*J2568</f>
        <v>4150</v>
      </c>
      <c r="U2568" s="39"/>
      <c r="V2568" s="260">
        <v>120</v>
      </c>
    </row>
    <row r="2569" spans="2:22" s="7" customFormat="1" ht="15" customHeight="1">
      <c r="B2569" s="12"/>
      <c r="C2569" s="6" t="s">
        <v>3384</v>
      </c>
      <c r="D2569" s="14" t="s">
        <v>2416</v>
      </c>
      <c r="E2569" s="22"/>
      <c r="F2569" s="340"/>
      <c r="G2569" s="22" t="s">
        <v>316</v>
      </c>
      <c r="H2569" s="8"/>
      <c r="I2569" s="109" ph="1"/>
      <c r="J2569" s="38">
        <v>1</v>
      </c>
      <c r="K2569" s="39">
        <v>12</v>
      </c>
      <c r="L2569" s="39">
        <f>K2569*J2569</f>
        <v>12</v>
      </c>
      <c r="M2569" s="91"/>
      <c r="N2569" s="33">
        <v>44923</v>
      </c>
      <c r="O2569" s="32">
        <v>4864</v>
      </c>
      <c r="P2569" s="6"/>
      <c r="Q2569" s="322">
        <v>12</v>
      </c>
      <c r="R2569" s="322">
        <v>12</v>
      </c>
      <c r="S2569" s="7">
        <v>1100</v>
      </c>
      <c r="T2569" s="7">
        <f>S2569*J2569</f>
        <v>1100</v>
      </c>
      <c r="U2569" s="21"/>
      <c r="V2569" s="260">
        <v>120</v>
      </c>
    </row>
    <row r="2570" spans="2:22" s="7" customFormat="1" ht="15" customHeight="1">
      <c r="B2570" s="12"/>
      <c r="C2570" s="6" t="s">
        <v>3384</v>
      </c>
      <c r="D2570" s="14" t="s">
        <v>2416</v>
      </c>
      <c r="E2570" s="19" t="s">
        <v>3261</v>
      </c>
      <c r="F2570" s="24"/>
      <c r="G2570" s="22"/>
      <c r="H2570" s="60"/>
      <c r="I2570" s="61"/>
      <c r="J2570" s="8"/>
      <c r="K2570" s="110" t="s">
        <v>5</v>
      </c>
      <c r="L2570" s="139"/>
      <c r="M2570" s="33"/>
      <c r="N2570" s="33">
        <v>44923</v>
      </c>
      <c r="O2570" s="32">
        <v>4864</v>
      </c>
      <c r="P2570" s="6" t="s">
        <v>8</v>
      </c>
      <c r="Q2570" s="358"/>
      <c r="U2570" s="120"/>
      <c r="V2570" s="260">
        <v>120</v>
      </c>
    </row>
    <row r="2571" spans="2:22" s="7" customFormat="1" ht="15" customHeight="1">
      <c r="B2571" s="12" t="s">
        <v>300</v>
      </c>
      <c r="C2571" s="6" t="s">
        <v>3384</v>
      </c>
      <c r="D2571" s="14" t="s">
        <v>2416</v>
      </c>
      <c r="E2571" s="22" t="s">
        <v>3262</v>
      </c>
      <c r="F2571" s="37" t="s">
        <v>359</v>
      </c>
      <c r="G2571" s="221" t="s">
        <v>3386</v>
      </c>
      <c r="H2571" s="8">
        <v>50</v>
      </c>
      <c r="I2571" s="35">
        <v>10</v>
      </c>
      <c r="J2571" s="108">
        <f>H2571*I2571</f>
        <v>500</v>
      </c>
      <c r="K2571" s="958">
        <v>0.33</v>
      </c>
      <c r="L2571" s="39">
        <f>K2571*J2571</f>
        <v>165</v>
      </c>
      <c r="M2571" s="117" t="s">
        <v>349</v>
      </c>
      <c r="N2571" s="33">
        <v>44923</v>
      </c>
      <c r="O2571" s="32">
        <v>4864</v>
      </c>
      <c r="P2571" s="391">
        <f>ROUNDUP(S2571/V2571/VLOOKUP(B2571,$C$2:$F$6,3,FALSE),2)</f>
        <v>0.14000000000000001</v>
      </c>
      <c r="Q2571" s="322">
        <v>0.14000000000000001</v>
      </c>
      <c r="R2571" s="322">
        <f>Q2571*J2571</f>
        <v>70</v>
      </c>
      <c r="S2571" s="7">
        <v>11.7</v>
      </c>
      <c r="T2571" s="7">
        <f>S2571*J2571</f>
        <v>5850</v>
      </c>
      <c r="U2571" s="39"/>
      <c r="V2571" s="260">
        <v>120</v>
      </c>
    </row>
    <row r="2572" spans="2:22" s="7" customFormat="1" ht="15" customHeight="1">
      <c r="B2572" s="12" t="s">
        <v>306</v>
      </c>
      <c r="C2572" s="6" t="s">
        <v>3384</v>
      </c>
      <c r="D2572" s="14" t="s">
        <v>2416</v>
      </c>
      <c r="E2572" s="82"/>
      <c r="F2572" s="37"/>
      <c r="G2572" s="221" t="s">
        <v>3387</v>
      </c>
      <c r="H2572" s="8"/>
      <c r="I2572" s="35"/>
      <c r="J2572" s="108"/>
      <c r="K2572" s="958">
        <v>153</v>
      </c>
      <c r="L2572" s="958">
        <v>153</v>
      </c>
      <c r="M2572" s="117"/>
      <c r="N2572" s="33">
        <v>44923</v>
      </c>
      <c r="O2572" s="32">
        <v>4864</v>
      </c>
      <c r="P2572" s="391">
        <f>ROUNDUP(S2572/V2572/VLOOKUP(B2572,$C$2:$F$6,3,FALSE),2)</f>
        <v>104.17</v>
      </c>
      <c r="Q2572" s="322">
        <v>104.17</v>
      </c>
      <c r="R2572" s="322">
        <v>104.17</v>
      </c>
      <c r="S2572" s="7">
        <f>3000+8000</f>
        <v>11000</v>
      </c>
      <c r="T2572" s="7">
        <f>3000+8000</f>
        <v>11000</v>
      </c>
      <c r="U2572" s="39"/>
      <c r="V2572" s="260">
        <v>120</v>
      </c>
    </row>
    <row r="2573" spans="2:22" s="7" customFormat="1" ht="15" customHeight="1">
      <c r="B2573" s="12"/>
      <c r="C2573" s="6" t="s">
        <v>3384</v>
      </c>
      <c r="D2573" s="14" t="s">
        <v>2416</v>
      </c>
      <c r="E2573" s="22"/>
      <c r="F2573" s="340"/>
      <c r="G2573" s="22" t="s">
        <v>316</v>
      </c>
      <c r="H2573" s="8"/>
      <c r="I2573" s="109" ph="1"/>
      <c r="J2573" s="38">
        <v>1</v>
      </c>
      <c r="K2573" s="39">
        <v>12</v>
      </c>
      <c r="L2573" s="39">
        <f>K2573*J2573</f>
        <v>12</v>
      </c>
      <c r="M2573" s="91"/>
      <c r="N2573" s="33">
        <v>44923</v>
      </c>
      <c r="O2573" s="32">
        <v>4864</v>
      </c>
      <c r="P2573" s="6"/>
      <c r="Q2573" s="322">
        <v>12</v>
      </c>
      <c r="R2573" s="322">
        <v>12</v>
      </c>
      <c r="S2573" s="7">
        <v>1100</v>
      </c>
      <c r="T2573" s="7">
        <f>S2573*J2573</f>
        <v>1100</v>
      </c>
      <c r="U2573" s="21"/>
      <c r="V2573" s="260">
        <v>120</v>
      </c>
    </row>
    <row r="2574" spans="2:22" s="191" customFormat="1" ht="15" customHeight="1">
      <c r="B2574" s="190"/>
      <c r="C2574" s="179" t="s">
        <v>3384</v>
      </c>
      <c r="D2574" s="180" t="s">
        <v>2416</v>
      </c>
      <c r="E2574" s="181"/>
      <c r="F2574" s="622"/>
      <c r="G2574" s="182" t="s">
        <v>250</v>
      </c>
      <c r="H2574" s="184" t="s">
        <v>251</v>
      </c>
      <c r="I2574" s="185"/>
      <c r="J2574" s="183"/>
      <c r="K2574" s="192">
        <v>0</v>
      </c>
      <c r="L2574" s="188"/>
      <c r="M2574" s="187"/>
      <c r="N2574" s="187">
        <v>44923</v>
      </c>
      <c r="O2574" s="186">
        <v>4864</v>
      </c>
      <c r="P2574" s="179"/>
      <c r="Q2574" s="725">
        <v>0</v>
      </c>
      <c r="S2574" s="197">
        <v>0</v>
      </c>
      <c r="T2574" s="198">
        <v>0</v>
      </c>
      <c r="U2574" s="335"/>
      <c r="V2574" s="260">
        <v>120</v>
      </c>
    </row>
    <row r="2575" spans="2:22" s="7" customFormat="1" ht="18" customHeight="1">
      <c r="B2575" s="12"/>
      <c r="C2575" s="6" t="s">
        <v>3388</v>
      </c>
      <c r="D2575" s="14" t="s">
        <v>1970</v>
      </c>
      <c r="E2575" s="17" t="s">
        <v>160</v>
      </c>
      <c r="F2575" s="319"/>
      <c r="G2575" s="299"/>
      <c r="H2575" s="300" t="s">
        <v>355</v>
      </c>
      <c r="I2575" s="320"/>
      <c r="J2575" s="321"/>
      <c r="K2575" s="110" t="s">
        <v>101</v>
      </c>
      <c r="L2575" s="139"/>
      <c r="M2575" s="33"/>
      <c r="N2575" s="33">
        <v>44917</v>
      </c>
      <c r="O2575" s="32">
        <v>4852</v>
      </c>
      <c r="P2575" s="6"/>
      <c r="Q2575" s="322"/>
      <c r="U2575" s="39"/>
      <c r="V2575" s="260">
        <v>120</v>
      </c>
    </row>
    <row r="2576" spans="2:22" s="7" customFormat="1" ht="18" customHeight="1">
      <c r="B2576" s="12" t="s">
        <v>300</v>
      </c>
      <c r="C2576" s="6" t="s">
        <v>3388</v>
      </c>
      <c r="D2576" s="14" t="s">
        <v>1970</v>
      </c>
      <c r="E2576" s="22">
        <v>14552</v>
      </c>
      <c r="F2576" s="24">
        <v>18</v>
      </c>
      <c r="G2576" s="22" t="s">
        <v>176</v>
      </c>
      <c r="H2576" s="108">
        <v>30</v>
      </c>
      <c r="I2576" s="109">
        <v>2</v>
      </c>
      <c r="J2576" s="8">
        <f>H2576*I2576</f>
        <v>60</v>
      </c>
      <c r="K2576" s="39">
        <v>1</v>
      </c>
      <c r="L2576" s="39">
        <f>K2576*J2576</f>
        <v>60</v>
      </c>
      <c r="M2576" s="117" t="s">
        <v>323</v>
      </c>
      <c r="N2576" s="33">
        <v>44917</v>
      </c>
      <c r="O2576" s="32">
        <v>4852</v>
      </c>
      <c r="P2576" s="391">
        <f>ROUNDUP(S2576/V2576/VLOOKUP(B2576,$C$2:$F$6,3,FALSE),2)</f>
        <v>0.65</v>
      </c>
      <c r="Q2576" s="358">
        <v>0.65</v>
      </c>
      <c r="R2576" s="322">
        <f>Q2576*J2576</f>
        <v>39</v>
      </c>
      <c r="S2576" s="7">
        <v>54</v>
      </c>
      <c r="T2576" s="7">
        <f>S2576*J2576</f>
        <v>3240</v>
      </c>
      <c r="U2576" s="267"/>
      <c r="V2576" s="260">
        <v>120</v>
      </c>
    </row>
    <row r="2577" spans="2:24" s="7" customFormat="1" ht="18" customHeight="1">
      <c r="B2577" s="12"/>
      <c r="C2577" s="6" t="s">
        <v>3388</v>
      </c>
      <c r="D2577" s="14" t="s">
        <v>1970</v>
      </c>
      <c r="E2577" s="82"/>
      <c r="F2577" s="102"/>
      <c r="G2577" s="22" t="s">
        <v>316</v>
      </c>
      <c r="H2577" s="8"/>
      <c r="I2577" s="35"/>
      <c r="J2577" s="38">
        <v>1</v>
      </c>
      <c r="K2577" s="39">
        <v>12</v>
      </c>
      <c r="L2577" s="39">
        <f>K2577*J2577</f>
        <v>12</v>
      </c>
      <c r="M2577" s="91"/>
      <c r="N2577" s="33">
        <v>44917</v>
      </c>
      <c r="O2577" s="32">
        <v>4852</v>
      </c>
      <c r="P2577" s="6"/>
      <c r="Q2577" s="322">
        <v>12</v>
      </c>
      <c r="R2577" s="322">
        <v>12</v>
      </c>
      <c r="S2577" s="7">
        <v>0</v>
      </c>
      <c r="T2577" s="7">
        <v>0</v>
      </c>
      <c r="U2577" s="21"/>
      <c r="V2577" s="260">
        <v>120</v>
      </c>
    </row>
    <row r="2578" spans="2:24" s="191" customFormat="1" ht="18" customHeight="1">
      <c r="B2578" s="190"/>
      <c r="C2578" s="179" t="s">
        <v>3388</v>
      </c>
      <c r="D2578" s="180" t="s">
        <v>1970</v>
      </c>
      <c r="E2578" s="181"/>
      <c r="F2578" s="622"/>
      <c r="G2578" s="182" t="s">
        <v>250</v>
      </c>
      <c r="H2578" s="184" t="s">
        <v>251</v>
      </c>
      <c r="I2578" s="185"/>
      <c r="J2578" s="183"/>
      <c r="K2578" s="192">
        <v>0</v>
      </c>
      <c r="L2578" s="188"/>
      <c r="M2578" s="187"/>
      <c r="N2578" s="187">
        <v>44917</v>
      </c>
      <c r="O2578" s="186">
        <v>4852</v>
      </c>
      <c r="P2578" s="179"/>
      <c r="Q2578" s="725">
        <v>0</v>
      </c>
      <c r="S2578" s="197">
        <v>0</v>
      </c>
      <c r="T2578" s="198">
        <v>0</v>
      </c>
      <c r="U2578" s="335"/>
      <c r="V2578" s="260">
        <v>120</v>
      </c>
    </row>
    <row r="2579" spans="2:24" s="7" customFormat="1" ht="18" customHeight="1">
      <c r="B2579" s="12"/>
      <c r="C2579" s="6" t="s">
        <v>3389</v>
      </c>
      <c r="D2579" s="14" t="s">
        <v>2004</v>
      </c>
      <c r="E2579" s="19" t="s">
        <v>2358</v>
      </c>
      <c r="F2579" s="24"/>
      <c r="G2579" s="22"/>
      <c r="H2579" s="60"/>
      <c r="I2579" s="61"/>
      <c r="J2579" s="60"/>
      <c r="K2579" s="16" t="s">
        <v>5</v>
      </c>
      <c r="L2579" s="139"/>
      <c r="M2579" s="33"/>
      <c r="N2579" s="33">
        <v>44964</v>
      </c>
      <c r="O2579" s="32">
        <v>4895</v>
      </c>
      <c r="P2579" s="6" t="s">
        <v>3</v>
      </c>
      <c r="Q2579" s="358"/>
      <c r="U2579" s="120"/>
      <c r="V2579" s="260">
        <v>120</v>
      </c>
    </row>
    <row r="2580" spans="2:24" s="7" customFormat="1" ht="18" customHeight="1">
      <c r="B2580" s="12" t="s">
        <v>300</v>
      </c>
      <c r="C2580" s="6" t="s">
        <v>3389</v>
      </c>
      <c r="D2580" s="14" t="s">
        <v>2004</v>
      </c>
      <c r="E2580" s="22" t="s">
        <v>3291</v>
      </c>
      <c r="F2580" s="24"/>
      <c r="G2580" s="22" t="s">
        <v>3292</v>
      </c>
      <c r="H2580" s="108"/>
      <c r="I2580" s="109"/>
      <c r="J2580" s="8">
        <v>1700</v>
      </c>
      <c r="K2580" s="39">
        <v>1.84</v>
      </c>
      <c r="L2580" s="39">
        <f>K2580*J2580</f>
        <v>3128</v>
      </c>
      <c r="M2580" s="117" t="s">
        <v>323</v>
      </c>
      <c r="N2580" s="33">
        <v>44964</v>
      </c>
      <c r="O2580" s="32">
        <v>4895</v>
      </c>
      <c r="P2580" s="391">
        <f>ROUNDUP(S2580/V2580/VLOOKUP(B2580,$C$2:$F$6,3,FALSE),2)</f>
        <v>1.58</v>
      </c>
      <c r="Q2580" s="322">
        <v>1.58</v>
      </c>
      <c r="R2580" s="322">
        <f>Q2580*J2580</f>
        <v>2686</v>
      </c>
      <c r="S2580" s="7">
        <f>62+70</f>
        <v>132</v>
      </c>
      <c r="T2580" s="7">
        <f>S2580*J2580</f>
        <v>224400</v>
      </c>
      <c r="U2580" s="386"/>
      <c r="V2580" s="260">
        <v>120</v>
      </c>
    </row>
    <row r="2581" spans="2:24" s="7" customFormat="1" ht="18" customHeight="1">
      <c r="B2581" s="12" t="s">
        <v>300</v>
      </c>
      <c r="C2581" s="6" t="s">
        <v>3389</v>
      </c>
      <c r="D2581" s="14" t="s">
        <v>2004</v>
      </c>
      <c r="E2581" s="22" t="s">
        <v>3291</v>
      </c>
      <c r="F2581" s="24"/>
      <c r="G2581" s="22" t="s">
        <v>3294</v>
      </c>
      <c r="H2581" s="108"/>
      <c r="I2581" s="109"/>
      <c r="J2581" s="8">
        <v>2120</v>
      </c>
      <c r="K2581" s="39">
        <v>1.84</v>
      </c>
      <c r="L2581" s="39">
        <f>K2581*J2581</f>
        <v>3900.8</v>
      </c>
      <c r="M2581" s="117" t="s">
        <v>323</v>
      </c>
      <c r="N2581" s="33">
        <v>44964</v>
      </c>
      <c r="O2581" s="32">
        <v>4895</v>
      </c>
      <c r="P2581" s="391">
        <f>ROUNDUP(S2581/V2581/VLOOKUP(B2581,$C$2:$F$6,3,FALSE),2)</f>
        <v>1.58</v>
      </c>
      <c r="Q2581" s="322">
        <v>1.58</v>
      </c>
      <c r="R2581" s="322">
        <f>Q2581*J2581</f>
        <v>3349.6000000000004</v>
      </c>
      <c r="S2581" s="7">
        <f>62+70</f>
        <v>132</v>
      </c>
      <c r="T2581" s="7">
        <f>S2581*J2581</f>
        <v>279840</v>
      </c>
      <c r="U2581" s="386"/>
      <c r="V2581" s="260">
        <v>120</v>
      </c>
    </row>
    <row r="2582" spans="2:24" s="7" customFormat="1" ht="18" customHeight="1">
      <c r="B2582" s="12"/>
      <c r="C2582" s="6" t="s">
        <v>3389</v>
      </c>
      <c r="D2582" s="14" t="s">
        <v>2004</v>
      </c>
      <c r="E2582" s="82"/>
      <c r="F2582" s="102"/>
      <c r="G2582" s="22" t="s">
        <v>316</v>
      </c>
      <c r="H2582" s="8"/>
      <c r="I2582" s="35"/>
      <c r="J2582" s="38">
        <v>1</v>
      </c>
      <c r="K2582" s="39">
        <v>12</v>
      </c>
      <c r="L2582" s="39">
        <f>K2582*J2582</f>
        <v>12</v>
      </c>
      <c r="M2582" s="91"/>
      <c r="N2582" s="33">
        <v>44964</v>
      </c>
      <c r="O2582" s="32">
        <v>4895</v>
      </c>
      <c r="P2582" s="6"/>
      <c r="Q2582" s="322">
        <v>12</v>
      </c>
      <c r="R2582" s="322">
        <f>Q2582*J2582</f>
        <v>12</v>
      </c>
      <c r="S2582" s="7">
        <v>0</v>
      </c>
      <c r="T2582" s="7">
        <f>S2582*J2582</f>
        <v>0</v>
      </c>
      <c r="U2582" s="21"/>
      <c r="V2582" s="260">
        <v>120</v>
      </c>
    </row>
    <row r="2583" spans="2:24" s="191" customFormat="1" ht="18" customHeight="1">
      <c r="B2583" s="190"/>
      <c r="C2583" s="179" t="s">
        <v>3389</v>
      </c>
      <c r="D2583" s="180" t="s">
        <v>2004</v>
      </c>
      <c r="E2583" s="181"/>
      <c r="F2583" s="182"/>
      <c r="G2583" s="182" t="s">
        <v>250</v>
      </c>
      <c r="H2583" s="184" t="s">
        <v>251</v>
      </c>
      <c r="I2583" s="185"/>
      <c r="J2583" s="183"/>
      <c r="K2583" s="192">
        <v>0</v>
      </c>
      <c r="L2583" s="946"/>
      <c r="M2583" s="947"/>
      <c r="N2583" s="187">
        <v>44964</v>
      </c>
      <c r="O2583" s="186">
        <v>4895</v>
      </c>
      <c r="P2583" s="179"/>
      <c r="Q2583" s="322">
        <v>0</v>
      </c>
      <c r="R2583" s="218"/>
      <c r="S2583" s="197">
        <v>0</v>
      </c>
      <c r="T2583" s="197">
        <v>0</v>
      </c>
      <c r="U2583" s="335"/>
      <c r="V2583" s="260">
        <v>120</v>
      </c>
      <c r="X2583" s="218"/>
    </row>
    <row r="2584" spans="2:24" ht="18" customHeight="1">
      <c r="C2584" s="6" t="s">
        <v>3390</v>
      </c>
      <c r="D2584" s="14" t="s">
        <v>3391</v>
      </c>
      <c r="E2584" s="19" t="s">
        <v>59</v>
      </c>
      <c r="F2584" s="107"/>
      <c r="G2584" s="22"/>
      <c r="H2584" s="108"/>
      <c r="I2584" s="109"/>
      <c r="J2584" s="108"/>
      <c r="K2584" s="110" t="s">
        <v>5</v>
      </c>
      <c r="L2584" s="33"/>
      <c r="M2584" s="33"/>
      <c r="N2584" s="33">
        <v>44931</v>
      </c>
      <c r="O2584" s="32">
        <v>4869</v>
      </c>
      <c r="P2584" s="14"/>
      <c r="Q2584" s="254"/>
      <c r="S2584" s="261"/>
      <c r="T2584" s="92"/>
      <c r="U2584" s="264"/>
      <c r="V2584" s="260">
        <v>120</v>
      </c>
    </row>
    <row r="2585" spans="2:24" ht="18" customHeight="1">
      <c r="B2585" s="12" t="s">
        <v>302</v>
      </c>
      <c r="C2585" s="6" t="s">
        <v>3390</v>
      </c>
      <c r="D2585" s="14" t="s">
        <v>3391</v>
      </c>
      <c r="E2585" s="22">
        <v>2440</v>
      </c>
      <c r="F2585" s="107">
        <v>140</v>
      </c>
      <c r="G2585" s="396" t="s">
        <v>3392</v>
      </c>
      <c r="H2585" s="60">
        <v>58</v>
      </c>
      <c r="I2585" s="61">
        <v>1</v>
      </c>
      <c r="J2585" s="60">
        <f>H2585*I2585</f>
        <v>58</v>
      </c>
      <c r="K2585" s="39">
        <v>3.89</v>
      </c>
      <c r="L2585" s="39">
        <f>K2585*J2585</f>
        <v>225.62</v>
      </c>
      <c r="M2585" s="117" t="s">
        <v>323</v>
      </c>
      <c r="N2585" s="33">
        <v>44931</v>
      </c>
      <c r="O2585" s="32">
        <v>4869</v>
      </c>
      <c r="P2585" s="391">
        <f>ROUNDUP(S2585/V2585/VLOOKUP(B2585,$C$2:$F$6,3,FALSE),2)</f>
        <v>2.6599999999999997</v>
      </c>
      <c r="Q2585" s="254">
        <v>2.66</v>
      </c>
      <c r="R2585" s="323">
        <f>Q2585*J2585</f>
        <v>154.28</v>
      </c>
      <c r="S2585" s="273">
        <v>280</v>
      </c>
      <c r="T2585" s="287">
        <f>S2585*J2585</f>
        <v>16240</v>
      </c>
      <c r="U2585" s="264"/>
      <c r="V2585" s="260">
        <v>120</v>
      </c>
    </row>
    <row r="2586" spans="2:24" s="7" customFormat="1" ht="18" customHeight="1">
      <c r="B2586" s="12"/>
      <c r="C2586" s="6" t="s">
        <v>3390</v>
      </c>
      <c r="D2586" s="14" t="s">
        <v>3391</v>
      </c>
      <c r="E2586" s="19" t="s">
        <v>10</v>
      </c>
      <c r="F2586" s="107"/>
      <c r="G2586" s="22"/>
      <c r="H2586" s="108"/>
      <c r="I2586" s="109"/>
      <c r="J2586" s="108"/>
      <c r="K2586" s="29" t="s">
        <v>5</v>
      </c>
      <c r="L2586" s="39"/>
      <c r="M2586" s="91"/>
      <c r="N2586" s="33">
        <v>44931</v>
      </c>
      <c r="O2586" s="32">
        <v>4869</v>
      </c>
      <c r="P2586" s="14"/>
      <c r="Q2586" s="322"/>
      <c r="U2586" s="14"/>
      <c r="V2586" s="260">
        <v>120</v>
      </c>
    </row>
    <row r="2587" spans="2:24" s="7" customFormat="1" ht="18" customHeight="1">
      <c r="B2587" s="12" t="s">
        <v>302</v>
      </c>
      <c r="C2587" s="6" t="s">
        <v>3390</v>
      </c>
      <c r="D2587" s="14" t="s">
        <v>3391</v>
      </c>
      <c r="E2587" s="22" t="s">
        <v>190</v>
      </c>
      <c r="F2587" s="107">
        <v>160</v>
      </c>
      <c r="G2587" s="396" t="s">
        <v>3393</v>
      </c>
      <c r="H2587" s="108">
        <v>50</v>
      </c>
      <c r="I2587" s="109">
        <v>1</v>
      </c>
      <c r="J2587" s="8">
        <f>I2587*H2587</f>
        <v>50</v>
      </c>
      <c r="K2587" s="39">
        <v>5</v>
      </c>
      <c r="L2587" s="39">
        <f>K2587*J2587</f>
        <v>250</v>
      </c>
      <c r="M2587" s="117" t="s">
        <v>322</v>
      </c>
      <c r="N2587" s="33">
        <v>44931</v>
      </c>
      <c r="O2587" s="32">
        <v>4869</v>
      </c>
      <c r="P2587" s="391">
        <f>ROUNDUP(S2587/V2587/VLOOKUP(B2587,$C$2:$F$6,3,FALSE),2)</f>
        <v>3.4099999999999997</v>
      </c>
      <c r="Q2587" s="322">
        <v>3.41</v>
      </c>
      <c r="R2587" s="322">
        <f>Q2587*J2587</f>
        <v>170.5</v>
      </c>
      <c r="S2587" s="7">
        <v>360</v>
      </c>
      <c r="T2587" s="7">
        <f>S2587*J2587</f>
        <v>18000</v>
      </c>
      <c r="U2587" s="21"/>
      <c r="V2587" s="260">
        <v>120</v>
      </c>
    </row>
    <row r="2588" spans="2:24" s="7" customFormat="1" ht="18" customHeight="1">
      <c r="B2588" s="12"/>
      <c r="C2588" s="6" t="s">
        <v>3390</v>
      </c>
      <c r="D2588" s="14" t="s">
        <v>3391</v>
      </c>
      <c r="E2588" s="82"/>
      <c r="F2588" s="102"/>
      <c r="G2588" s="22" t="s">
        <v>316</v>
      </c>
      <c r="H2588" s="8"/>
      <c r="I2588" s="35"/>
      <c r="J2588" s="38">
        <v>1</v>
      </c>
      <c r="K2588" s="39">
        <v>20</v>
      </c>
      <c r="L2588" s="39">
        <f>K2588*J2588</f>
        <v>20</v>
      </c>
      <c r="M2588" s="91"/>
      <c r="N2588" s="33">
        <v>44931</v>
      </c>
      <c r="O2588" s="32">
        <v>4869</v>
      </c>
      <c r="P2588" s="6"/>
      <c r="Q2588" s="322">
        <v>20</v>
      </c>
      <c r="R2588" s="322">
        <v>20</v>
      </c>
      <c r="S2588" s="7">
        <v>1800</v>
      </c>
      <c r="T2588" s="7">
        <f>S2588*J2588</f>
        <v>1800</v>
      </c>
      <c r="U2588" s="21"/>
      <c r="V2588" s="260">
        <v>120</v>
      </c>
    </row>
    <row r="2589" spans="2:24" s="191" customFormat="1" ht="18" customHeight="1">
      <c r="B2589" s="190"/>
      <c r="C2589" s="179" t="s">
        <v>3390</v>
      </c>
      <c r="D2589" s="180" t="s">
        <v>3391</v>
      </c>
      <c r="E2589" s="181"/>
      <c r="F2589" s="182"/>
      <c r="G2589" s="182" t="s">
        <v>250</v>
      </c>
      <c r="H2589" s="184" t="s">
        <v>251</v>
      </c>
      <c r="I2589" s="185"/>
      <c r="J2589" s="183"/>
      <c r="K2589" s="192">
        <v>0</v>
      </c>
      <c r="L2589" s="946"/>
      <c r="M2589" s="947"/>
      <c r="N2589" s="187">
        <v>44931</v>
      </c>
      <c r="O2589" s="186">
        <v>4869</v>
      </c>
      <c r="P2589" s="179"/>
      <c r="Q2589" s="322">
        <v>0</v>
      </c>
      <c r="R2589" s="218"/>
      <c r="S2589" s="197">
        <v>0</v>
      </c>
      <c r="T2589" s="197">
        <v>0</v>
      </c>
      <c r="U2589" s="335"/>
      <c r="V2589" s="260">
        <v>120</v>
      </c>
      <c r="X2589" s="218"/>
    </row>
    <row r="2590" spans="2:24" s="7" customFormat="1" ht="18" customHeight="1">
      <c r="B2590" s="12"/>
      <c r="C2590" s="6" t="s">
        <v>3394</v>
      </c>
      <c r="D2590" s="14" t="s">
        <v>2034</v>
      </c>
      <c r="E2590" s="19" t="s">
        <v>10</v>
      </c>
      <c r="F2590" s="107"/>
      <c r="G2590" s="22"/>
      <c r="H2590" s="108"/>
      <c r="I2590" s="109"/>
      <c r="J2590" s="108"/>
      <c r="K2590" s="29" t="s">
        <v>5</v>
      </c>
      <c r="L2590" s="39"/>
      <c r="M2590" s="91"/>
      <c r="N2590" s="33">
        <v>44932</v>
      </c>
      <c r="O2590" s="32">
        <v>4874</v>
      </c>
      <c r="P2590" s="14"/>
      <c r="Q2590" s="322"/>
      <c r="U2590" s="14"/>
      <c r="V2590" s="260">
        <v>120</v>
      </c>
    </row>
    <row r="2591" spans="2:24" s="7" customFormat="1" ht="18" customHeight="1">
      <c r="B2591" s="12" t="s">
        <v>302</v>
      </c>
      <c r="C2591" s="6" t="s">
        <v>3394</v>
      </c>
      <c r="D2591" s="14" t="s">
        <v>2034</v>
      </c>
      <c r="E2591" s="22" t="s">
        <v>190</v>
      </c>
      <c r="F2591" s="107">
        <v>160</v>
      </c>
      <c r="G2591" s="396" t="s">
        <v>380</v>
      </c>
      <c r="H2591" s="108">
        <v>50</v>
      </c>
      <c r="I2591" s="109">
        <v>4</v>
      </c>
      <c r="J2591" s="8">
        <f>I2591*H2591</f>
        <v>200</v>
      </c>
      <c r="K2591" s="39">
        <v>5</v>
      </c>
      <c r="L2591" s="39">
        <f>K2591*J2591</f>
        <v>1000</v>
      </c>
      <c r="M2591" s="117" t="s">
        <v>322</v>
      </c>
      <c r="N2591" s="33">
        <v>44932</v>
      </c>
      <c r="O2591" s="32">
        <v>4874</v>
      </c>
      <c r="P2591" s="391">
        <f>ROUNDUP(S2591/V2591/VLOOKUP(B2591,$C$2:$F$6,3,FALSE),2)</f>
        <v>3.4099999999999997</v>
      </c>
      <c r="Q2591" s="322">
        <v>3.41</v>
      </c>
      <c r="R2591" s="322">
        <f>Q2591*J2591</f>
        <v>682</v>
      </c>
      <c r="S2591" s="7">
        <v>360</v>
      </c>
      <c r="T2591" s="7">
        <f>S2591*J2591</f>
        <v>72000</v>
      </c>
      <c r="U2591" s="21"/>
      <c r="V2591" s="260">
        <v>120</v>
      </c>
    </row>
    <row r="2592" spans="2:24" s="7" customFormat="1" ht="18" customHeight="1">
      <c r="B2592" s="12"/>
      <c r="C2592" s="6" t="s">
        <v>3394</v>
      </c>
      <c r="D2592" s="14" t="s">
        <v>2034</v>
      </c>
      <c r="E2592" s="22"/>
      <c r="F2592" s="102"/>
      <c r="G2592" s="22" t="s">
        <v>316</v>
      </c>
      <c r="H2592" s="8"/>
      <c r="I2592" s="35"/>
      <c r="J2592" s="38">
        <v>1</v>
      </c>
      <c r="K2592" s="39">
        <v>20</v>
      </c>
      <c r="L2592" s="39">
        <f>K2592*J2592</f>
        <v>20</v>
      </c>
      <c r="M2592" s="91"/>
      <c r="N2592" s="33">
        <v>44932</v>
      </c>
      <c r="O2592" s="32">
        <v>4874</v>
      </c>
      <c r="P2592" s="6"/>
      <c r="Q2592" s="322">
        <v>20</v>
      </c>
      <c r="R2592" s="322">
        <v>20</v>
      </c>
      <c r="S2592" s="7">
        <v>1800</v>
      </c>
      <c r="T2592" s="7">
        <f>S2592*J2592</f>
        <v>1800</v>
      </c>
      <c r="U2592" s="21"/>
      <c r="V2592" s="260">
        <v>120</v>
      </c>
    </row>
    <row r="2593" spans="1:24" s="7" customFormat="1" ht="18" customHeight="1">
      <c r="B2593" s="12"/>
      <c r="C2593" s="6" t="s">
        <v>3395</v>
      </c>
      <c r="D2593" s="14" t="s">
        <v>2034</v>
      </c>
      <c r="E2593" s="19" t="s">
        <v>3081</v>
      </c>
      <c r="F2593" s="24"/>
      <c r="G2593" s="22"/>
      <c r="H2593" s="60"/>
      <c r="I2593" s="61"/>
      <c r="J2593" s="60"/>
      <c r="K2593" s="16" t="s">
        <v>5</v>
      </c>
      <c r="L2593" s="139"/>
      <c r="M2593" s="33"/>
      <c r="N2593" s="33">
        <v>44932</v>
      </c>
      <c r="O2593" s="32">
        <v>4874</v>
      </c>
      <c r="P2593" s="6" t="s">
        <v>3</v>
      </c>
      <c r="Q2593" s="358"/>
      <c r="U2593" s="120"/>
      <c r="V2593" s="260">
        <v>120</v>
      </c>
    </row>
    <row r="2594" spans="1:24" s="7" customFormat="1" ht="18" customHeight="1">
      <c r="B2594" s="12" t="s">
        <v>300</v>
      </c>
      <c r="C2594" s="6" t="s">
        <v>3395</v>
      </c>
      <c r="D2594" s="14" t="s">
        <v>2034</v>
      </c>
      <c r="E2594" s="396" t="s">
        <v>3083</v>
      </c>
      <c r="F2594" s="24"/>
      <c r="G2594" s="22" t="s">
        <v>100</v>
      </c>
      <c r="H2594" s="108">
        <v>13.7</v>
      </c>
      <c r="I2594" s="109">
        <v>2</v>
      </c>
      <c r="J2594" s="131">
        <f>H2594*I2594</f>
        <v>27.4</v>
      </c>
      <c r="K2594" s="39">
        <v>19.45</v>
      </c>
      <c r="L2594" s="39">
        <f>K2594*J2594</f>
        <v>532.92999999999995</v>
      </c>
      <c r="M2594" s="117" t="s">
        <v>323</v>
      </c>
      <c r="N2594" s="33">
        <v>44932</v>
      </c>
      <c r="O2594" s="32">
        <v>4874</v>
      </c>
      <c r="P2594" s="391">
        <f>ROUNDUP(S2594/V2594/VLOOKUP(B2594,$C$2:$F$6,3,FALSE),2)</f>
        <v>12.5</v>
      </c>
      <c r="Q2594" s="322">
        <v>12.5</v>
      </c>
      <c r="R2594" s="322">
        <f>Q2594*J2594</f>
        <v>342.5</v>
      </c>
      <c r="S2594" s="7">
        <v>1050</v>
      </c>
      <c r="T2594" s="7">
        <f>S2594*J2594</f>
        <v>28770</v>
      </c>
      <c r="U2594" s="386"/>
      <c r="V2594" s="260">
        <v>120</v>
      </c>
    </row>
    <row r="2595" spans="1:24" s="7" customFormat="1" ht="18" customHeight="1">
      <c r="B2595" s="12"/>
      <c r="C2595" s="6" t="s">
        <v>3395</v>
      </c>
      <c r="D2595" s="14" t="s">
        <v>2034</v>
      </c>
      <c r="E2595" s="22"/>
      <c r="F2595" s="340"/>
      <c r="G2595" s="22" t="s">
        <v>316</v>
      </c>
      <c r="H2595" s="8"/>
      <c r="I2595" s="109" ph="1"/>
      <c r="J2595" s="38">
        <v>1</v>
      </c>
      <c r="K2595" s="39">
        <v>12</v>
      </c>
      <c r="L2595" s="39">
        <f>K2595*J2595</f>
        <v>12</v>
      </c>
      <c r="M2595" s="91"/>
      <c r="N2595" s="33">
        <v>44932</v>
      </c>
      <c r="O2595" s="32">
        <v>4874</v>
      </c>
      <c r="P2595" s="6"/>
      <c r="Q2595" s="322">
        <v>12</v>
      </c>
      <c r="R2595" s="322">
        <v>12</v>
      </c>
      <c r="S2595" s="7">
        <v>0</v>
      </c>
      <c r="T2595" s="7">
        <v>0</v>
      </c>
      <c r="U2595" s="21"/>
      <c r="V2595" s="260">
        <v>120</v>
      </c>
    </row>
    <row r="2596" spans="1:24" s="191" customFormat="1" ht="18" customHeight="1">
      <c r="B2596" s="190"/>
      <c r="C2596" s="179" t="s">
        <v>3395</v>
      </c>
      <c r="D2596" s="180" t="s">
        <v>2034</v>
      </c>
      <c r="E2596" s="181"/>
      <c r="F2596" s="182"/>
      <c r="G2596" s="182" t="s">
        <v>250</v>
      </c>
      <c r="H2596" s="184" t="s">
        <v>252</v>
      </c>
      <c r="I2596" s="185"/>
      <c r="J2596" s="183"/>
      <c r="K2596" s="203">
        <v>430</v>
      </c>
      <c r="L2596" s="203">
        <v>430</v>
      </c>
      <c r="M2596" s="947"/>
      <c r="N2596" s="187">
        <v>44932</v>
      </c>
      <c r="O2596" s="186">
        <v>4874</v>
      </c>
      <c r="P2596" s="179"/>
      <c r="Q2596" s="203">
        <v>430</v>
      </c>
      <c r="R2596" s="203">
        <v>430</v>
      </c>
      <c r="S2596" s="7">
        <v>49363</v>
      </c>
      <c r="T2596" s="7">
        <v>49363</v>
      </c>
      <c r="U2596" s="335"/>
      <c r="V2596" s="260">
        <v>120</v>
      </c>
      <c r="X2596" s="218"/>
    </row>
    <row r="2597" spans="1:24" s="7" customFormat="1" ht="18" customHeight="1">
      <c r="B2597" s="12"/>
      <c r="C2597" s="6" t="s">
        <v>3396</v>
      </c>
      <c r="D2597" s="14" t="s">
        <v>2059</v>
      </c>
      <c r="E2597" s="19" t="s">
        <v>3092</v>
      </c>
      <c r="F2597" s="37"/>
      <c r="G2597" s="37"/>
      <c r="H2597" s="108"/>
      <c r="I2597" s="108"/>
      <c r="J2597" s="108"/>
      <c r="K2597" s="29" t="s">
        <v>5</v>
      </c>
      <c r="L2597" s="139"/>
      <c r="M2597" s="33"/>
      <c r="N2597" s="33">
        <v>44945</v>
      </c>
      <c r="O2597" s="32">
        <v>4914</v>
      </c>
      <c r="P2597" s="6"/>
      <c r="Q2597" s="339"/>
      <c r="U2597" s="21"/>
      <c r="V2597" s="260">
        <v>120</v>
      </c>
    </row>
    <row r="2598" spans="1:24" s="7" customFormat="1" ht="18" customHeight="1">
      <c r="B2598" s="12" t="s">
        <v>300</v>
      </c>
      <c r="C2598" s="6" t="s">
        <v>3396</v>
      </c>
      <c r="D2598" s="14" t="s">
        <v>2059</v>
      </c>
      <c r="E2598" s="112" t="s">
        <v>3333</v>
      </c>
      <c r="F2598" s="37"/>
      <c r="G2598" s="396" t="s">
        <v>3356</v>
      </c>
      <c r="H2598" s="108">
        <v>50</v>
      </c>
      <c r="I2598" s="109">
        <v>14</v>
      </c>
      <c r="J2598" s="8">
        <f>H2598*I2598</f>
        <v>700</v>
      </c>
      <c r="K2598" s="39">
        <v>0.5</v>
      </c>
      <c r="L2598" s="39">
        <f>K2598*J2598</f>
        <v>350</v>
      </c>
      <c r="M2598" s="117" t="s">
        <v>323</v>
      </c>
      <c r="N2598" s="33">
        <v>44945</v>
      </c>
      <c r="O2598" s="32">
        <v>4914</v>
      </c>
      <c r="P2598" s="391">
        <f>ROUNDUP(S2598/V2598/VLOOKUP(B2598,$C$2:$F$6,3,FALSE),2)</f>
        <v>0.29000000000000004</v>
      </c>
      <c r="Q2598" s="322">
        <v>0.28999999999999998</v>
      </c>
      <c r="R2598" s="322">
        <f>Q2598*J2598</f>
        <v>203</v>
      </c>
      <c r="S2598" s="7">
        <v>23.8</v>
      </c>
      <c r="T2598" s="92">
        <f>S2598*J2598</f>
        <v>16660</v>
      </c>
      <c r="U2598" s="778"/>
      <c r="V2598" s="260">
        <v>120</v>
      </c>
    </row>
    <row r="2599" spans="1:24" s="7" customFormat="1" ht="18" customHeight="1">
      <c r="B2599" s="12" t="s">
        <v>306</v>
      </c>
      <c r="C2599" s="6" t="s">
        <v>3396</v>
      </c>
      <c r="D2599" s="14" t="s">
        <v>2059</v>
      </c>
      <c r="E2599" s="22"/>
      <c r="F2599" s="340"/>
      <c r="G2599" s="22" t="s">
        <v>2791</v>
      </c>
      <c r="H2599" s="8"/>
      <c r="I2599" s="109" ph="1"/>
      <c r="J2599" s="38">
        <v>1</v>
      </c>
      <c r="K2599" s="39">
        <v>60</v>
      </c>
      <c r="L2599" s="39">
        <f>K2599*J2599</f>
        <v>60</v>
      </c>
      <c r="M2599" s="91"/>
      <c r="N2599" s="33">
        <v>44945</v>
      </c>
      <c r="O2599" s="32">
        <v>4914</v>
      </c>
      <c r="P2599" s="391">
        <f>ROUNDUP(S2599/V2599/VLOOKUP(B2599,$C$2:$F$6,3,FALSE),2)</f>
        <v>37.879999999999995</v>
      </c>
      <c r="Q2599" s="322">
        <v>37.880000000000003</v>
      </c>
      <c r="R2599" s="322">
        <f>Q2599*J2599</f>
        <v>37.880000000000003</v>
      </c>
      <c r="S2599" s="7">
        <v>4000</v>
      </c>
      <c r="T2599" s="7">
        <f>S2599*J2599</f>
        <v>4000</v>
      </c>
      <c r="U2599" s="21"/>
      <c r="V2599" s="260">
        <v>120</v>
      </c>
    </row>
    <row r="2600" spans="1:24" s="7" customFormat="1" ht="18" customHeight="1">
      <c r="B2600" s="12"/>
      <c r="C2600" s="6" t="s">
        <v>3396</v>
      </c>
      <c r="D2600" s="14" t="s">
        <v>2059</v>
      </c>
      <c r="E2600" s="22"/>
      <c r="F2600" s="340"/>
      <c r="G2600" s="22" t="s">
        <v>316</v>
      </c>
      <c r="H2600" s="8"/>
      <c r="I2600" s="109" ph="1"/>
      <c r="J2600" s="38">
        <v>1</v>
      </c>
      <c r="K2600" s="39">
        <v>12</v>
      </c>
      <c r="L2600" s="39">
        <f>K2600*J2600</f>
        <v>12</v>
      </c>
      <c r="M2600" s="91"/>
      <c r="N2600" s="33">
        <v>44945</v>
      </c>
      <c r="O2600" s="32">
        <v>4914</v>
      </c>
      <c r="P2600" s="6"/>
      <c r="Q2600" s="322">
        <v>12</v>
      </c>
      <c r="R2600" s="322">
        <v>12</v>
      </c>
      <c r="S2600" s="7">
        <v>1100</v>
      </c>
      <c r="T2600" s="7">
        <v>1100</v>
      </c>
      <c r="U2600" s="21"/>
      <c r="V2600" s="260">
        <v>120</v>
      </c>
    </row>
    <row r="2601" spans="1:24" s="191" customFormat="1" ht="18" customHeight="1">
      <c r="B2601" s="190"/>
      <c r="C2601" s="179" t="s">
        <v>3396</v>
      </c>
      <c r="D2601" s="180" t="s">
        <v>2059</v>
      </c>
      <c r="E2601" s="961"/>
      <c r="F2601" s="737"/>
      <c r="G2601" s="182" t="s">
        <v>250</v>
      </c>
      <c r="H2601" s="184" t="s">
        <v>251</v>
      </c>
      <c r="I2601" s="185"/>
      <c r="J2601" s="183"/>
      <c r="K2601" s="192">
        <v>0</v>
      </c>
      <c r="L2601" s="188"/>
      <c r="M2601" s="187"/>
      <c r="N2601" s="187">
        <v>44945</v>
      </c>
      <c r="O2601" s="186">
        <v>4914</v>
      </c>
      <c r="P2601" s="179"/>
      <c r="Q2601" s="725">
        <v>0</v>
      </c>
      <c r="S2601" s="197">
        <v>0</v>
      </c>
      <c r="T2601" s="198">
        <v>0</v>
      </c>
      <c r="U2601" s="335"/>
      <c r="V2601" s="260">
        <v>120</v>
      </c>
    </row>
    <row r="2602" spans="1:24" s="7" customFormat="1" ht="18" customHeight="1">
      <c r="B2602" s="12"/>
      <c r="C2602" s="6" t="s">
        <v>3397</v>
      </c>
      <c r="D2602" s="14" t="s">
        <v>2059</v>
      </c>
      <c r="E2602" s="19" t="s">
        <v>3092</v>
      </c>
      <c r="F2602" s="37"/>
      <c r="G2602" s="37"/>
      <c r="H2602" s="108"/>
      <c r="I2602" s="108"/>
      <c r="J2602" s="108"/>
      <c r="K2602" s="29" t="s">
        <v>5</v>
      </c>
      <c r="L2602" s="139"/>
      <c r="M2602" s="33"/>
      <c r="N2602" s="33">
        <v>44932</v>
      </c>
      <c r="O2602" s="32">
        <v>4872</v>
      </c>
      <c r="P2602" s="6"/>
      <c r="Q2602" s="339"/>
      <c r="U2602" s="21"/>
      <c r="V2602" s="260">
        <v>120</v>
      </c>
    </row>
    <row r="2603" spans="1:24" s="7" customFormat="1" ht="18" customHeight="1">
      <c r="B2603" s="12" t="s">
        <v>300</v>
      </c>
      <c r="C2603" s="6" t="s">
        <v>3397</v>
      </c>
      <c r="D2603" s="14" t="s">
        <v>2059</v>
      </c>
      <c r="E2603" s="22">
        <v>5634</v>
      </c>
      <c r="F2603" s="37" t="s">
        <v>311</v>
      </c>
      <c r="G2603" s="221" t="s">
        <v>3376</v>
      </c>
      <c r="H2603" s="108">
        <v>50</v>
      </c>
      <c r="I2603" s="109">
        <v>10</v>
      </c>
      <c r="J2603" s="8">
        <f>H2603*I2603</f>
        <v>500</v>
      </c>
      <c r="K2603" s="39">
        <v>0.31</v>
      </c>
      <c r="L2603" s="39">
        <f>K2603*J2603</f>
        <v>155</v>
      </c>
      <c r="M2603" s="117" t="s">
        <v>323</v>
      </c>
      <c r="N2603" s="33">
        <v>44932</v>
      </c>
      <c r="O2603" s="32">
        <v>4872</v>
      </c>
      <c r="P2603" s="391">
        <f>ROUNDUP(S2603/V2603/VLOOKUP(B2603,$C$2:$F$6,3,FALSE),2)</f>
        <v>0.2</v>
      </c>
      <c r="Q2603" s="322">
        <v>0.2</v>
      </c>
      <c r="R2603" s="322">
        <f>Q2603*J2603</f>
        <v>100</v>
      </c>
      <c r="S2603" s="7">
        <v>16.3</v>
      </c>
      <c r="T2603" s="92">
        <f>S2603*J2603</f>
        <v>8150</v>
      </c>
      <c r="U2603" s="962" t="s">
        <v>3398</v>
      </c>
      <c r="V2603" s="260">
        <v>120</v>
      </c>
    </row>
    <row r="2604" spans="1:24" s="7" customFormat="1" ht="18" customHeight="1">
      <c r="B2604" s="12"/>
      <c r="C2604" s="6" t="s">
        <v>3397</v>
      </c>
      <c r="D2604" s="14" t="s">
        <v>2059</v>
      </c>
      <c r="E2604" s="82"/>
      <c r="F2604" s="102"/>
      <c r="G2604" s="22" t="s">
        <v>316</v>
      </c>
      <c r="H2604" s="8"/>
      <c r="I2604" s="35"/>
      <c r="J2604" s="38">
        <v>1</v>
      </c>
      <c r="K2604" s="39">
        <v>12</v>
      </c>
      <c r="L2604" s="39">
        <f>K2604*J2604</f>
        <v>12</v>
      </c>
      <c r="M2604" s="91"/>
      <c r="N2604" s="33">
        <v>44932</v>
      </c>
      <c r="O2604" s="32">
        <v>4872</v>
      </c>
      <c r="P2604" s="6"/>
      <c r="Q2604" s="322">
        <v>12</v>
      </c>
      <c r="R2604" s="322">
        <f>Q2604*J2604</f>
        <v>12</v>
      </c>
      <c r="S2604" s="7">
        <v>1100</v>
      </c>
      <c r="T2604" s="7">
        <f>S2604*J2604</f>
        <v>1100</v>
      </c>
      <c r="U2604" s="21"/>
      <c r="V2604" s="260">
        <v>120</v>
      </c>
    </row>
    <row r="2605" spans="1:24" s="191" customFormat="1" ht="18" customHeight="1">
      <c r="B2605" s="190"/>
      <c r="C2605" s="179" t="s">
        <v>3397</v>
      </c>
      <c r="D2605" s="180" t="s">
        <v>2059</v>
      </c>
      <c r="E2605" s="736"/>
      <c r="F2605" s="737"/>
      <c r="G2605" s="182" t="s">
        <v>250</v>
      </c>
      <c r="H2605" s="184" t="s">
        <v>251</v>
      </c>
      <c r="I2605" s="185"/>
      <c r="J2605" s="183"/>
      <c r="K2605" s="192">
        <v>0</v>
      </c>
      <c r="L2605" s="188"/>
      <c r="M2605" s="187"/>
      <c r="N2605" s="187">
        <v>44932</v>
      </c>
      <c r="O2605" s="186">
        <v>4872</v>
      </c>
      <c r="P2605" s="179"/>
      <c r="Q2605" s="725">
        <v>0</v>
      </c>
      <c r="S2605" s="197">
        <v>0</v>
      </c>
      <c r="T2605" s="198">
        <v>0</v>
      </c>
      <c r="U2605" s="335"/>
      <c r="V2605" s="260">
        <v>120</v>
      </c>
    </row>
    <row r="2606" spans="1:24" customFormat="1" ht="18" customHeight="1">
      <c r="A2606" s="1"/>
      <c r="B2606" s="26"/>
      <c r="C2606" s="6" t="s">
        <v>3399</v>
      </c>
      <c r="D2606" s="14" t="s">
        <v>3202</v>
      </c>
      <c r="E2606" s="19" t="s">
        <v>59</v>
      </c>
      <c r="F2606" s="107"/>
      <c r="G2606" s="22"/>
      <c r="H2606" s="108"/>
      <c r="I2606" s="109"/>
      <c r="J2606" s="108"/>
      <c r="K2606" s="110" t="s">
        <v>5</v>
      </c>
      <c r="L2606" s="33"/>
      <c r="M2606" s="33"/>
      <c r="N2606" s="33">
        <v>44937</v>
      </c>
      <c r="O2606" s="32">
        <v>4883</v>
      </c>
      <c r="P2606" s="14"/>
      <c r="Q2606" s="254"/>
      <c r="R2606" s="1"/>
      <c r="S2606" s="261"/>
      <c r="T2606" s="92"/>
      <c r="U2606" s="264"/>
      <c r="V2606" s="260">
        <v>120</v>
      </c>
    </row>
    <row r="2607" spans="1:24" customFormat="1" ht="18" customHeight="1">
      <c r="A2607" s="1"/>
      <c r="B2607" s="12" t="s">
        <v>302</v>
      </c>
      <c r="C2607" s="6" t="s">
        <v>3399</v>
      </c>
      <c r="D2607" s="14" t="s">
        <v>3202</v>
      </c>
      <c r="E2607" s="22">
        <v>5521</v>
      </c>
      <c r="F2607" s="107">
        <v>148</v>
      </c>
      <c r="G2607" s="22" t="s">
        <v>212</v>
      </c>
      <c r="H2607" s="60">
        <v>58</v>
      </c>
      <c r="I2607" s="61">
        <v>1</v>
      </c>
      <c r="J2607" s="60">
        <f>H2607*I2607</f>
        <v>58</v>
      </c>
      <c r="K2607" s="39">
        <v>7.92</v>
      </c>
      <c r="L2607" s="39">
        <f>K2607*J2607</f>
        <v>459.36</v>
      </c>
      <c r="M2607" s="117" t="s">
        <v>323</v>
      </c>
      <c r="N2607" s="33">
        <v>44937</v>
      </c>
      <c r="O2607" s="32">
        <v>4883</v>
      </c>
      <c r="P2607" s="391">
        <f>ROUNDUP(S2607/V2607/VLOOKUP(B2607,$C$2:$F$6,3,FALSE),2)</f>
        <v>5.3999999999999995</v>
      </c>
      <c r="Q2607" s="254">
        <v>5.4</v>
      </c>
      <c r="R2607" s="323">
        <f>Q2607*J2607</f>
        <v>313.20000000000005</v>
      </c>
      <c r="S2607" s="273">
        <v>570</v>
      </c>
      <c r="T2607" s="287">
        <f>S2607*J2607</f>
        <v>33060</v>
      </c>
      <c r="U2607" s="264"/>
      <c r="V2607" s="260">
        <v>120</v>
      </c>
    </row>
    <row r="2608" spans="1:24" ht="18" customHeight="1">
      <c r="B2608" s="12" t="s">
        <v>302</v>
      </c>
      <c r="C2608" s="6" t="s">
        <v>3399</v>
      </c>
      <c r="D2608" s="14" t="s">
        <v>3202</v>
      </c>
      <c r="E2608" s="22">
        <v>2440</v>
      </c>
      <c r="F2608" s="107">
        <v>140</v>
      </c>
      <c r="G2608" s="396" t="s">
        <v>94</v>
      </c>
      <c r="H2608" s="60">
        <v>58</v>
      </c>
      <c r="I2608" s="61">
        <v>9</v>
      </c>
      <c r="J2608" s="60">
        <f>H2608*I2608</f>
        <v>522</v>
      </c>
      <c r="K2608" s="39">
        <v>3.89</v>
      </c>
      <c r="L2608" s="39">
        <f>K2608*J2608</f>
        <v>2030.5800000000002</v>
      </c>
      <c r="M2608" s="117" t="s">
        <v>323</v>
      </c>
      <c r="N2608" s="33">
        <v>44937</v>
      </c>
      <c r="O2608" s="32">
        <v>4883</v>
      </c>
      <c r="P2608" s="391">
        <f>ROUNDUP(S2608/V2608/VLOOKUP(B2608,$C$2:$F$6,3,FALSE),2)</f>
        <v>2.6599999999999997</v>
      </c>
      <c r="Q2608" s="254">
        <v>2.66</v>
      </c>
      <c r="R2608" s="323">
        <f>Q2608*J2608</f>
        <v>1388.52</v>
      </c>
      <c r="S2608" s="273">
        <v>280</v>
      </c>
      <c r="T2608" s="287">
        <f>S2608*J2608</f>
        <v>146160</v>
      </c>
      <c r="U2608" s="264"/>
      <c r="V2608" s="260">
        <v>120</v>
      </c>
    </row>
    <row r="2609" spans="1:22" s="7" customFormat="1" ht="18" customHeight="1">
      <c r="B2609" s="12"/>
      <c r="C2609" s="6" t="s">
        <v>3399</v>
      </c>
      <c r="D2609" s="14" t="s">
        <v>3202</v>
      </c>
      <c r="E2609" s="22"/>
      <c r="F2609" s="340"/>
      <c r="G2609" s="22" t="s">
        <v>316</v>
      </c>
      <c r="H2609" s="8"/>
      <c r="I2609" s="109" ph="1"/>
      <c r="J2609" s="38">
        <v>1</v>
      </c>
      <c r="K2609" s="39">
        <v>20</v>
      </c>
      <c r="L2609" s="39">
        <f>K2609*J2609</f>
        <v>20</v>
      </c>
      <c r="M2609" s="91"/>
      <c r="N2609" s="33">
        <v>44937</v>
      </c>
      <c r="O2609" s="32">
        <v>4883</v>
      </c>
      <c r="P2609" s="6"/>
      <c r="Q2609" s="322">
        <v>20</v>
      </c>
      <c r="R2609" s="322">
        <v>20</v>
      </c>
      <c r="S2609" s="7">
        <f>900+900</f>
        <v>1800</v>
      </c>
      <c r="T2609" s="7">
        <f>900+900</f>
        <v>1800</v>
      </c>
      <c r="U2609" s="21"/>
      <c r="V2609" s="260">
        <v>120</v>
      </c>
    </row>
    <row r="2610" spans="1:22" s="143" customFormat="1" ht="18" customHeight="1">
      <c r="B2610" s="276"/>
      <c r="C2610" s="142" t="s">
        <v>3399</v>
      </c>
      <c r="D2610" s="90" t="s">
        <v>3202</v>
      </c>
      <c r="E2610" s="153"/>
      <c r="F2610" s="963"/>
      <c r="G2610" s="153" t="s">
        <v>316</v>
      </c>
      <c r="H2610" s="140"/>
      <c r="I2610" s="200" ph="1"/>
      <c r="J2610" s="36">
        <v>1</v>
      </c>
      <c r="K2610" s="154">
        <v>20</v>
      </c>
      <c r="L2610" s="154">
        <v>0</v>
      </c>
      <c r="M2610" s="366"/>
      <c r="N2610" s="33">
        <v>44937</v>
      </c>
      <c r="O2610" s="32">
        <v>4883</v>
      </c>
      <c r="P2610" s="142"/>
      <c r="Q2610" s="773">
        <v>20</v>
      </c>
      <c r="R2610" s="773">
        <v>20</v>
      </c>
      <c r="S2610" s="143">
        <f>900+900</f>
        <v>1800</v>
      </c>
      <c r="T2610" s="143">
        <f>900+900</f>
        <v>1800</v>
      </c>
      <c r="U2610" s="746"/>
      <c r="V2610" s="279">
        <v>120</v>
      </c>
    </row>
    <row r="2611" spans="1:22" customFormat="1" ht="18" customHeight="1">
      <c r="A2611" s="1"/>
      <c r="B2611" s="12" t="s">
        <v>302</v>
      </c>
      <c r="C2611" s="6" t="s">
        <v>3399</v>
      </c>
      <c r="D2611" s="14" t="s">
        <v>3202</v>
      </c>
      <c r="E2611" s="22">
        <v>5521</v>
      </c>
      <c r="F2611" s="107">
        <v>148</v>
      </c>
      <c r="G2611" s="22" t="s">
        <v>212</v>
      </c>
      <c r="H2611" s="60">
        <v>58</v>
      </c>
      <c r="I2611" s="61">
        <v>5</v>
      </c>
      <c r="J2611" s="60">
        <f>H2611*I2611</f>
        <v>290</v>
      </c>
      <c r="K2611" s="39">
        <v>7.92</v>
      </c>
      <c r="L2611" s="39">
        <f>K2611*J2611</f>
        <v>2296.8000000000002</v>
      </c>
      <c r="M2611" s="117" t="s">
        <v>323</v>
      </c>
      <c r="N2611" s="33">
        <v>44957</v>
      </c>
      <c r="O2611" s="32">
        <v>4930</v>
      </c>
      <c r="P2611" s="391">
        <f>ROUNDUP(S2611/V2611/VLOOKUP(B2611,$C$2:$F$6,3,FALSE),2)</f>
        <v>5.3999999999999995</v>
      </c>
      <c r="Q2611" s="254">
        <v>5.4</v>
      </c>
      <c r="R2611" s="323">
        <f>Q2611*J2611</f>
        <v>1566</v>
      </c>
      <c r="S2611" s="273">
        <v>570</v>
      </c>
      <c r="T2611" s="287">
        <f>S2611*J2611</f>
        <v>165300</v>
      </c>
      <c r="U2611" s="264"/>
      <c r="V2611" s="260">
        <v>120</v>
      </c>
    </row>
    <row r="2612" spans="1:22" customFormat="1" ht="18" customHeight="1">
      <c r="A2612" s="1"/>
      <c r="B2612" s="12" t="s">
        <v>302</v>
      </c>
      <c r="C2612" s="6" t="s">
        <v>3399</v>
      </c>
      <c r="D2612" s="14" t="s">
        <v>3202</v>
      </c>
      <c r="E2612" s="22">
        <v>5521</v>
      </c>
      <c r="F2612" s="107">
        <v>148</v>
      </c>
      <c r="G2612" s="22" t="s">
        <v>212</v>
      </c>
      <c r="H2612" s="60">
        <v>58</v>
      </c>
      <c r="I2612" s="61">
        <v>3</v>
      </c>
      <c r="J2612" s="60">
        <f>H2612*I2612</f>
        <v>174</v>
      </c>
      <c r="K2612" s="39">
        <v>7.92</v>
      </c>
      <c r="L2612" s="39">
        <f>K2612*J2612</f>
        <v>1378.08</v>
      </c>
      <c r="M2612" s="117" t="s">
        <v>323</v>
      </c>
      <c r="N2612" s="33">
        <v>45008</v>
      </c>
      <c r="O2612" s="32">
        <v>5079</v>
      </c>
      <c r="P2612" s="391">
        <f>ROUNDUP(S2612/V2612/VLOOKUP(B2612,$C$2:$F$6,3,FALSE),2)</f>
        <v>5.3999999999999995</v>
      </c>
      <c r="Q2612" s="254">
        <v>5.4</v>
      </c>
      <c r="R2612" s="323">
        <f>Q2612*J2612</f>
        <v>939.6</v>
      </c>
      <c r="S2612" s="273">
        <v>570</v>
      </c>
      <c r="T2612" s="287">
        <f>S2612*J2612</f>
        <v>99180</v>
      </c>
      <c r="U2612" s="264"/>
      <c r="V2612" s="260">
        <v>120</v>
      </c>
    </row>
    <row r="2613" spans="1:22" s="7" customFormat="1" ht="18" customHeight="1">
      <c r="B2613" s="12"/>
      <c r="C2613" s="6" t="s">
        <v>3399</v>
      </c>
      <c r="D2613" s="14" t="s">
        <v>3202</v>
      </c>
      <c r="E2613" s="22"/>
      <c r="F2613" s="340"/>
      <c r="G2613" s="22" t="s">
        <v>316</v>
      </c>
      <c r="H2613" s="8"/>
      <c r="I2613" s="109" ph="1"/>
      <c r="J2613" s="38">
        <v>1</v>
      </c>
      <c r="K2613" s="39">
        <v>20</v>
      </c>
      <c r="L2613" s="39">
        <f>K2613*J2613</f>
        <v>20</v>
      </c>
      <c r="M2613" s="91"/>
      <c r="N2613" s="33">
        <v>45008</v>
      </c>
      <c r="O2613" s="32">
        <v>5079</v>
      </c>
      <c r="P2613" s="6"/>
      <c r="Q2613" s="322">
        <v>20</v>
      </c>
      <c r="R2613" s="322">
        <v>20</v>
      </c>
      <c r="S2613" s="7">
        <f>900+900</f>
        <v>1800</v>
      </c>
      <c r="T2613" s="7">
        <f>900+900</f>
        <v>1800</v>
      </c>
      <c r="U2613" s="21"/>
      <c r="V2613" s="260">
        <v>120</v>
      </c>
    </row>
    <row r="2614" spans="1:22" s="191" customFormat="1" ht="18" customHeight="1">
      <c r="B2614" s="190"/>
      <c r="C2614" s="179" t="s">
        <v>3399</v>
      </c>
      <c r="D2614" s="180" t="s">
        <v>3202</v>
      </c>
      <c r="E2614" s="181"/>
      <c r="F2614" s="182"/>
      <c r="G2614" s="182" t="s">
        <v>250</v>
      </c>
      <c r="H2614" s="184" t="s">
        <v>251</v>
      </c>
      <c r="I2614" s="185"/>
      <c r="J2614" s="183"/>
      <c r="K2614" s="192">
        <v>0</v>
      </c>
      <c r="L2614" s="188"/>
      <c r="M2614" s="187"/>
      <c r="N2614" s="187">
        <v>45008</v>
      </c>
      <c r="O2614" s="186">
        <v>5079</v>
      </c>
      <c r="P2614" s="179"/>
      <c r="Q2614" s="725">
        <v>0</v>
      </c>
      <c r="S2614" s="197">
        <v>0</v>
      </c>
      <c r="T2614" s="198">
        <v>0</v>
      </c>
      <c r="U2614" s="335"/>
      <c r="V2614" s="260">
        <v>120</v>
      </c>
    </row>
    <row r="2615" spans="1:22" customFormat="1" ht="18" customHeight="1">
      <c r="A2615" s="1"/>
      <c r="B2615" s="26"/>
      <c r="C2615" s="6" t="s">
        <v>3400</v>
      </c>
      <c r="D2615" s="14" t="s">
        <v>3401</v>
      </c>
      <c r="E2615" s="19" t="s">
        <v>3250</v>
      </c>
      <c r="F2615" s="107"/>
      <c r="G2615" s="22"/>
      <c r="H2615" s="108"/>
      <c r="I2615" s="109"/>
      <c r="J2615" s="108"/>
      <c r="K2615" s="110" t="s">
        <v>5</v>
      </c>
      <c r="L2615" s="33"/>
      <c r="M2615" s="33"/>
      <c r="N2615" s="33">
        <v>44936</v>
      </c>
      <c r="O2615" s="32">
        <v>4885</v>
      </c>
      <c r="P2615" s="14"/>
      <c r="Q2615" s="254"/>
      <c r="R2615" s="1"/>
      <c r="S2615" s="261"/>
      <c r="T2615" s="92"/>
      <c r="U2615" s="264"/>
      <c r="V2615" s="260">
        <v>120</v>
      </c>
    </row>
    <row r="2616" spans="1:22" customFormat="1" ht="18" customHeight="1">
      <c r="A2616" s="1"/>
      <c r="B2616" s="12" t="s">
        <v>302</v>
      </c>
      <c r="C2616" s="6" t="s">
        <v>3400</v>
      </c>
      <c r="D2616" s="14" t="s">
        <v>3401</v>
      </c>
      <c r="E2616" s="22" t="s">
        <v>3402</v>
      </c>
      <c r="F2616" s="133" t="s">
        <v>378</v>
      </c>
      <c r="G2616" s="22" t="s">
        <v>3252</v>
      </c>
      <c r="H2616" s="60"/>
      <c r="I2616" s="61"/>
      <c r="J2616" s="60">
        <v>3</v>
      </c>
      <c r="K2616" s="39">
        <v>8.89</v>
      </c>
      <c r="L2616" s="39">
        <f>K2616*J2616</f>
        <v>26.67</v>
      </c>
      <c r="M2616" s="117" t="s">
        <v>323</v>
      </c>
      <c r="N2616" s="33">
        <v>44936</v>
      </c>
      <c r="O2616" s="32">
        <v>4885</v>
      </c>
      <c r="P2616" s="391">
        <f>ROUNDUP(S2616/V2616/VLOOKUP(B2616,$C$2:$F$6,3,FALSE),2)</f>
        <v>6.0699999999999994</v>
      </c>
      <c r="Q2616" s="254">
        <v>6.07</v>
      </c>
      <c r="R2616" s="323">
        <f>Q2616*J2616</f>
        <v>18.21</v>
      </c>
      <c r="S2616" s="273">
        <v>640</v>
      </c>
      <c r="T2616" s="287">
        <f>S2616*J2616</f>
        <v>1920</v>
      </c>
      <c r="U2616" s="264"/>
      <c r="V2616" s="260">
        <v>120</v>
      </c>
    </row>
    <row r="2617" spans="1:22" s="7" customFormat="1" ht="15">
      <c r="B2617" s="12"/>
      <c r="C2617" s="6" t="s">
        <v>3400</v>
      </c>
      <c r="D2617" s="14" t="s">
        <v>3401</v>
      </c>
      <c r="E2617" s="22"/>
      <c r="F2617" s="102"/>
      <c r="G2617" s="22" t="s">
        <v>3253</v>
      </c>
      <c r="H2617" s="8"/>
      <c r="I2617" s="35"/>
      <c r="J2617" s="38">
        <v>1</v>
      </c>
      <c r="K2617" s="39">
        <v>15</v>
      </c>
      <c r="L2617" s="39">
        <f>K2617*J2617</f>
        <v>15</v>
      </c>
      <c r="M2617" s="91"/>
      <c r="N2617" s="33">
        <v>44936</v>
      </c>
      <c r="O2617" s="32">
        <v>4885</v>
      </c>
      <c r="P2617" s="6"/>
      <c r="Q2617" s="254">
        <v>15</v>
      </c>
      <c r="R2617" s="322">
        <v>15</v>
      </c>
      <c r="S2617" s="7">
        <v>1000</v>
      </c>
      <c r="T2617" s="7">
        <f>S2617*J2617</f>
        <v>1000</v>
      </c>
      <c r="U2617" s="21"/>
      <c r="V2617" s="260">
        <v>120</v>
      </c>
    </row>
    <row r="2618" spans="1:22" s="7" customFormat="1" ht="15">
      <c r="B2618" s="12"/>
      <c r="C2618" s="6" t="s">
        <v>3400</v>
      </c>
      <c r="D2618" s="14" t="s">
        <v>3401</v>
      </c>
      <c r="E2618" s="22"/>
      <c r="F2618" s="102"/>
      <c r="G2618" s="22" t="s">
        <v>316</v>
      </c>
      <c r="H2618" s="8"/>
      <c r="I2618" s="35"/>
      <c r="J2618" s="38">
        <v>1</v>
      </c>
      <c r="K2618" s="39">
        <v>12</v>
      </c>
      <c r="L2618" s="39">
        <f>K2618*J2618</f>
        <v>12</v>
      </c>
      <c r="M2618" s="91"/>
      <c r="N2618" s="33">
        <v>44936</v>
      </c>
      <c r="O2618" s="32">
        <v>4885</v>
      </c>
      <c r="P2618" s="6"/>
      <c r="Q2618" s="322">
        <v>12</v>
      </c>
      <c r="R2618" s="322">
        <f>Q2618*J2618</f>
        <v>12</v>
      </c>
      <c r="S2618" s="92">
        <v>0</v>
      </c>
      <c r="T2618" s="92">
        <v>0</v>
      </c>
      <c r="U2618" s="21"/>
      <c r="V2618" s="260">
        <v>120</v>
      </c>
    </row>
    <row r="2619" spans="1:22" s="191" customFormat="1" ht="15">
      <c r="B2619" s="190"/>
      <c r="C2619" s="179" t="s">
        <v>3400</v>
      </c>
      <c r="D2619" s="180" t="s">
        <v>3401</v>
      </c>
      <c r="E2619" s="181"/>
      <c r="F2619" s="622"/>
      <c r="G2619" s="182" t="s">
        <v>250</v>
      </c>
      <c r="H2619" s="184" t="s">
        <v>252</v>
      </c>
      <c r="I2619" s="185"/>
      <c r="J2619" s="183"/>
      <c r="K2619" s="203">
        <v>21</v>
      </c>
      <c r="L2619" s="203">
        <v>21</v>
      </c>
      <c r="M2619" s="947"/>
      <c r="N2619" s="187">
        <v>44936</v>
      </c>
      <c r="O2619" s="186">
        <v>4885</v>
      </c>
      <c r="P2619" s="179"/>
      <c r="Q2619" s="203">
        <v>21</v>
      </c>
      <c r="R2619" s="203">
        <v>21</v>
      </c>
      <c r="S2619" s="273">
        <v>2358</v>
      </c>
      <c r="T2619" s="273">
        <v>2358</v>
      </c>
      <c r="U2619" s="335"/>
      <c r="V2619" s="260">
        <v>120</v>
      </c>
    </row>
    <row r="2620" spans="1:22" s="7" customFormat="1" ht="18" customHeight="1">
      <c r="B2620" s="12"/>
      <c r="C2620" s="6" t="s">
        <v>3403</v>
      </c>
      <c r="D2620" s="14" t="s">
        <v>1970</v>
      </c>
      <c r="E2620" s="17" t="s">
        <v>2968</v>
      </c>
      <c r="F2620" s="319"/>
      <c r="G2620" s="299"/>
      <c r="H2620" s="300" t="s">
        <v>355</v>
      </c>
      <c r="I2620" s="320"/>
      <c r="J2620" s="321"/>
      <c r="K2620" s="110" t="s">
        <v>101</v>
      </c>
      <c r="L2620" s="139"/>
      <c r="M2620" s="33"/>
      <c r="N2620" s="33">
        <v>44937</v>
      </c>
      <c r="O2620" s="32">
        <v>4893</v>
      </c>
      <c r="P2620" s="6"/>
      <c r="Q2620" s="322"/>
      <c r="U2620" s="39"/>
      <c r="V2620" s="260">
        <v>120</v>
      </c>
    </row>
    <row r="2621" spans="1:22" s="7" customFormat="1" ht="18" customHeight="1">
      <c r="B2621" s="12" t="s">
        <v>300</v>
      </c>
      <c r="C2621" s="6" t="s">
        <v>3403</v>
      </c>
      <c r="D2621" s="14" t="s">
        <v>1970</v>
      </c>
      <c r="E2621" s="22">
        <v>4063</v>
      </c>
      <c r="F2621" s="24">
        <v>15</v>
      </c>
      <c r="G2621" s="22" t="s">
        <v>2969</v>
      </c>
      <c r="H2621" s="108">
        <v>30</v>
      </c>
      <c r="I2621" s="109">
        <v>1</v>
      </c>
      <c r="J2621" s="8">
        <f>H2621*I2621</f>
        <v>30</v>
      </c>
      <c r="K2621" s="39">
        <v>1.1499999999999999</v>
      </c>
      <c r="L2621" s="39">
        <f>K2621*J2621</f>
        <v>34.5</v>
      </c>
      <c r="M2621" s="117" t="s">
        <v>349</v>
      </c>
      <c r="N2621" s="33">
        <v>44937</v>
      </c>
      <c r="O2621" s="32">
        <v>4893</v>
      </c>
      <c r="P2621" s="391">
        <f>ROUNDUP(S2621/V2621/VLOOKUP(B2621,$C$2:$F$6,3,FALSE),2)</f>
        <v>0.74</v>
      </c>
      <c r="Q2621" s="358">
        <v>0.74</v>
      </c>
      <c r="R2621" s="322">
        <f>Q2621*J2621</f>
        <v>22.2</v>
      </c>
      <c r="S2621" s="7">
        <v>62</v>
      </c>
      <c r="T2621" s="7">
        <f>S2621*J2621</f>
        <v>1860</v>
      </c>
      <c r="U2621" s="267"/>
      <c r="V2621" s="260">
        <v>120</v>
      </c>
    </row>
    <row r="2622" spans="1:22" s="7" customFormat="1" ht="18" customHeight="1">
      <c r="B2622" s="12"/>
      <c r="C2622" s="6" t="s">
        <v>3403</v>
      </c>
      <c r="D2622" s="14" t="s">
        <v>1970</v>
      </c>
      <c r="E2622" s="82"/>
      <c r="F2622" s="102"/>
      <c r="G2622" s="22" t="s">
        <v>316</v>
      </c>
      <c r="H2622" s="8"/>
      <c r="I2622" s="35"/>
      <c r="J2622" s="38">
        <v>1</v>
      </c>
      <c r="K2622" s="39">
        <v>12</v>
      </c>
      <c r="L2622" s="39">
        <f>K2622*J2622</f>
        <v>12</v>
      </c>
      <c r="M2622" s="91"/>
      <c r="N2622" s="33">
        <v>44937</v>
      </c>
      <c r="O2622" s="32">
        <v>4893</v>
      </c>
      <c r="P2622" s="6"/>
      <c r="Q2622" s="322">
        <v>12</v>
      </c>
      <c r="R2622" s="322">
        <v>12</v>
      </c>
      <c r="S2622" s="7">
        <v>0</v>
      </c>
      <c r="T2622" s="7">
        <f>S2622*J2622</f>
        <v>0</v>
      </c>
      <c r="U2622" s="21"/>
      <c r="V2622" s="260">
        <v>120</v>
      </c>
    </row>
    <row r="2623" spans="1:22" s="191" customFormat="1" ht="18" customHeight="1">
      <c r="B2623" s="190"/>
      <c r="C2623" s="179" t="s">
        <v>3403</v>
      </c>
      <c r="D2623" s="180" t="s">
        <v>1970</v>
      </c>
      <c r="E2623" s="181"/>
      <c r="F2623" s="622"/>
      <c r="G2623" s="182" t="s">
        <v>250</v>
      </c>
      <c r="H2623" s="184" t="s">
        <v>251</v>
      </c>
      <c r="I2623" s="185"/>
      <c r="J2623" s="183"/>
      <c r="K2623" s="192">
        <v>0</v>
      </c>
      <c r="L2623" s="188"/>
      <c r="M2623" s="187"/>
      <c r="N2623" s="187">
        <v>44937</v>
      </c>
      <c r="O2623" s="186">
        <v>4893</v>
      </c>
      <c r="P2623" s="179"/>
      <c r="Q2623" s="725">
        <v>0</v>
      </c>
      <c r="S2623" s="197">
        <v>0</v>
      </c>
      <c r="T2623" s="198">
        <v>0</v>
      </c>
      <c r="U2623" s="335"/>
      <c r="V2623" s="260">
        <v>120</v>
      </c>
    </row>
    <row r="2624" spans="1:22" s="7" customFormat="1" ht="18" customHeight="1">
      <c r="B2624" s="12"/>
      <c r="C2624" s="6" t="s">
        <v>3404</v>
      </c>
      <c r="D2624" s="14" t="s">
        <v>2259</v>
      </c>
      <c r="E2624" s="19" t="s">
        <v>238</v>
      </c>
      <c r="F2624" s="107"/>
      <c r="G2624" s="22"/>
      <c r="H2624" s="108"/>
      <c r="I2624" s="109"/>
      <c r="J2624" s="108"/>
      <c r="K2624" s="29" t="s">
        <v>5</v>
      </c>
      <c r="L2624" s="39"/>
      <c r="M2624" s="91"/>
      <c r="N2624" s="33">
        <v>44937</v>
      </c>
      <c r="O2624" s="32">
        <v>4894</v>
      </c>
      <c r="P2624" s="14"/>
      <c r="Q2624" s="322"/>
      <c r="U2624" s="14"/>
      <c r="V2624" s="260">
        <v>120</v>
      </c>
    </row>
    <row r="2625" spans="2:22" s="7" customFormat="1" ht="18" customHeight="1">
      <c r="B2625" s="12" t="s">
        <v>302</v>
      </c>
      <c r="C2625" s="6" t="s">
        <v>3404</v>
      </c>
      <c r="D2625" s="14" t="s">
        <v>2259</v>
      </c>
      <c r="E2625" s="22" t="s">
        <v>3405</v>
      </c>
      <c r="F2625" s="107">
        <v>160</v>
      </c>
      <c r="G2625" s="396" t="s">
        <v>2293</v>
      </c>
      <c r="H2625" s="108"/>
      <c r="I2625" s="109"/>
      <c r="J2625" s="8">
        <v>1</v>
      </c>
      <c r="K2625" s="39">
        <v>4.59</v>
      </c>
      <c r="L2625" s="964" t="s">
        <v>263</v>
      </c>
      <c r="M2625" s="117" t="s">
        <v>322</v>
      </c>
      <c r="N2625" s="33">
        <v>44937</v>
      </c>
      <c r="O2625" s="32">
        <v>4894</v>
      </c>
      <c r="P2625" s="391">
        <f>ROUNDUP(S2625/V2625/VLOOKUP(B2625,$C$2:$F$6,3,FALSE),2)</f>
        <v>3.13</v>
      </c>
      <c r="Q2625" s="322">
        <v>3.13</v>
      </c>
      <c r="R2625" s="322">
        <f>Q2625*J2625</f>
        <v>3.13</v>
      </c>
      <c r="S2625" s="7">
        <v>330</v>
      </c>
      <c r="T2625" s="7">
        <f>S2625*J2625</f>
        <v>330</v>
      </c>
      <c r="U2625" s="21"/>
      <c r="V2625" s="260">
        <v>120</v>
      </c>
    </row>
    <row r="2626" spans="2:22" s="7" customFormat="1" ht="18" customHeight="1">
      <c r="B2626" s="12" t="s">
        <v>302</v>
      </c>
      <c r="C2626" s="6" t="s">
        <v>3404</v>
      </c>
      <c r="D2626" s="14" t="s">
        <v>2259</v>
      </c>
      <c r="E2626" s="22" t="s">
        <v>239</v>
      </c>
      <c r="F2626" s="107">
        <v>150</v>
      </c>
      <c r="G2626" s="396" t="s">
        <v>2293</v>
      </c>
      <c r="H2626" s="108"/>
      <c r="I2626" s="109"/>
      <c r="J2626" s="8">
        <v>1</v>
      </c>
      <c r="K2626" s="39">
        <v>7.09</v>
      </c>
      <c r="L2626" s="964" t="s">
        <v>263</v>
      </c>
      <c r="M2626" s="117" t="s">
        <v>323</v>
      </c>
      <c r="N2626" s="33">
        <v>44937</v>
      </c>
      <c r="O2626" s="32">
        <v>4894</v>
      </c>
      <c r="P2626" s="391">
        <f>ROUNDUP(S2626/V2626/VLOOKUP(B2626,$C$2:$F$6,3,FALSE),2)</f>
        <v>4.83</v>
      </c>
      <c r="Q2626" s="322">
        <v>4.83</v>
      </c>
      <c r="R2626" s="322">
        <f>Q2626*J2626</f>
        <v>4.83</v>
      </c>
      <c r="S2626" s="7">
        <v>510</v>
      </c>
      <c r="T2626" s="7">
        <f>S2626*J2626</f>
        <v>510</v>
      </c>
      <c r="U2626" s="21"/>
      <c r="V2626" s="260">
        <v>120</v>
      </c>
    </row>
    <row r="2627" spans="2:22" s="7" customFormat="1" ht="18" customHeight="1">
      <c r="B2627" s="12"/>
      <c r="C2627" s="6" t="s">
        <v>3404</v>
      </c>
      <c r="D2627" s="14" t="s">
        <v>2259</v>
      </c>
      <c r="E2627" s="82"/>
      <c r="F2627" s="102"/>
      <c r="G2627" s="22" t="s">
        <v>236</v>
      </c>
      <c r="H2627" s="8"/>
      <c r="I2627" s="35"/>
      <c r="J2627" s="38">
        <v>2</v>
      </c>
      <c r="K2627" s="39">
        <v>12</v>
      </c>
      <c r="L2627" s="964" t="s">
        <v>263</v>
      </c>
      <c r="M2627" s="91"/>
      <c r="N2627" s="33">
        <v>44937</v>
      </c>
      <c r="O2627" s="32">
        <v>4894</v>
      </c>
      <c r="P2627" s="6"/>
      <c r="Q2627" s="322">
        <v>12</v>
      </c>
      <c r="R2627" s="322">
        <f>Q2627*J2627</f>
        <v>24</v>
      </c>
      <c r="S2627" s="745">
        <v>1000</v>
      </c>
      <c r="T2627" s="745">
        <f>S2627*J2627</f>
        <v>2000</v>
      </c>
      <c r="U2627" s="21"/>
      <c r="V2627" s="260">
        <v>120</v>
      </c>
    </row>
    <row r="2628" spans="2:22" s="7" customFormat="1" ht="18" customHeight="1">
      <c r="B2628" s="12"/>
      <c r="C2628" s="6" t="s">
        <v>3404</v>
      </c>
      <c r="D2628" s="14" t="s">
        <v>2259</v>
      </c>
      <c r="E2628" s="82"/>
      <c r="F2628" s="102"/>
      <c r="G2628" s="22" t="s">
        <v>316</v>
      </c>
      <c r="H2628" s="8"/>
      <c r="I2628" s="35"/>
      <c r="J2628" s="38">
        <v>1</v>
      </c>
      <c r="K2628" s="39">
        <v>12</v>
      </c>
      <c r="L2628" s="964" t="s">
        <v>263</v>
      </c>
      <c r="M2628" s="91"/>
      <c r="N2628" s="33">
        <v>44937</v>
      </c>
      <c r="O2628" s="32">
        <v>4894</v>
      </c>
      <c r="P2628" s="6"/>
      <c r="Q2628" s="322">
        <v>12</v>
      </c>
      <c r="R2628" s="322">
        <f>Q2628*J2628</f>
        <v>12</v>
      </c>
      <c r="S2628" s="745">
        <v>1000</v>
      </c>
      <c r="T2628" s="745">
        <f>S2628*J2628</f>
        <v>1000</v>
      </c>
      <c r="U2628" s="21"/>
      <c r="V2628" s="260">
        <v>120</v>
      </c>
    </row>
    <row r="2629" spans="2:22" s="191" customFormat="1" ht="18" customHeight="1">
      <c r="B2629" s="190"/>
      <c r="C2629" s="179" t="s">
        <v>3404</v>
      </c>
      <c r="D2629" s="180" t="s">
        <v>2259</v>
      </c>
      <c r="E2629" s="181"/>
      <c r="F2629" s="622"/>
      <c r="G2629" s="182" t="s">
        <v>250</v>
      </c>
      <c r="H2629" s="184" t="s">
        <v>251</v>
      </c>
      <c r="I2629" s="185"/>
      <c r="J2629" s="183"/>
      <c r="K2629" s="192">
        <v>0</v>
      </c>
      <c r="L2629" s="188"/>
      <c r="M2629" s="187"/>
      <c r="N2629" s="187">
        <v>44937</v>
      </c>
      <c r="O2629" s="186">
        <v>4894</v>
      </c>
      <c r="P2629" s="179"/>
      <c r="Q2629" s="725">
        <v>0</v>
      </c>
      <c r="S2629" s="197">
        <v>0</v>
      </c>
      <c r="T2629" s="198">
        <v>0</v>
      </c>
      <c r="U2629" s="335"/>
      <c r="V2629" s="260">
        <v>120</v>
      </c>
    </row>
    <row r="2630" spans="2:22" s="7" customFormat="1" ht="15">
      <c r="B2630" s="12"/>
      <c r="C2630" s="965" t="s">
        <v>3406</v>
      </c>
      <c r="D2630" s="14" t="s">
        <v>2022</v>
      </c>
      <c r="E2630" s="19" t="s">
        <v>2244</v>
      </c>
      <c r="F2630" s="24"/>
      <c r="G2630" s="22"/>
      <c r="H2630" s="60"/>
      <c r="I2630" s="61"/>
      <c r="J2630" s="8"/>
      <c r="K2630" s="110" t="s">
        <v>5</v>
      </c>
      <c r="L2630" s="139"/>
      <c r="M2630" s="33"/>
      <c r="N2630" s="33">
        <v>44946</v>
      </c>
      <c r="O2630" s="32">
        <v>4908</v>
      </c>
      <c r="P2630" s="6" t="s">
        <v>8</v>
      </c>
      <c r="Q2630" s="358"/>
      <c r="U2630" s="120"/>
      <c r="V2630" s="260">
        <v>120</v>
      </c>
    </row>
    <row r="2631" spans="2:22" s="7" customFormat="1" ht="18" customHeight="1">
      <c r="B2631" s="12" t="s">
        <v>300</v>
      </c>
      <c r="C2631" s="965" t="s">
        <v>3406</v>
      </c>
      <c r="D2631" s="14" t="s">
        <v>2022</v>
      </c>
      <c r="E2631" s="22">
        <v>11700</v>
      </c>
      <c r="F2631" s="37">
        <v>24</v>
      </c>
      <c r="G2631" s="22" t="s">
        <v>3407</v>
      </c>
      <c r="H2631" s="8">
        <v>10</v>
      </c>
      <c r="I2631" s="35">
        <v>2</v>
      </c>
      <c r="J2631" s="108">
        <f>H2631*I2631</f>
        <v>20</v>
      </c>
      <c r="K2631" s="958">
        <v>2.59</v>
      </c>
      <c r="L2631" s="39">
        <f>K2631*J2631</f>
        <v>51.8</v>
      </c>
      <c r="M2631" s="117" t="s">
        <v>349</v>
      </c>
      <c r="N2631" s="33">
        <v>44946</v>
      </c>
      <c r="O2631" s="32">
        <v>4908</v>
      </c>
      <c r="P2631" s="391">
        <f>ROUNDUP(S2631/V2631/VLOOKUP(B2631,$C$2:$F$6,3,FALSE),2)</f>
        <v>1.66</v>
      </c>
      <c r="Q2631" s="322">
        <v>1.66</v>
      </c>
      <c r="R2631" s="322">
        <f>Q2631*J2631</f>
        <v>33.199999999999996</v>
      </c>
      <c r="S2631" s="7">
        <v>139.4</v>
      </c>
      <c r="T2631" s="7">
        <f>S2631*J2631</f>
        <v>2788</v>
      </c>
      <c r="U2631" s="39"/>
      <c r="V2631" s="260">
        <v>120</v>
      </c>
    </row>
    <row r="2632" spans="2:22" s="7" customFormat="1" ht="18" customHeight="1">
      <c r="B2632" s="12"/>
      <c r="C2632" s="965" t="s">
        <v>3406</v>
      </c>
      <c r="D2632" s="14" t="s">
        <v>2022</v>
      </c>
      <c r="E2632" s="82"/>
      <c r="F2632" s="102"/>
      <c r="G2632" s="22" t="s">
        <v>316</v>
      </c>
      <c r="H2632" s="8"/>
      <c r="I2632" s="35"/>
      <c r="J2632" s="38">
        <v>1</v>
      </c>
      <c r="K2632" s="39">
        <v>12</v>
      </c>
      <c r="L2632" s="39">
        <f>K2632*J2632</f>
        <v>12</v>
      </c>
      <c r="M2632" s="91"/>
      <c r="N2632" s="33">
        <v>44946</v>
      </c>
      <c r="O2632" s="32">
        <v>4908</v>
      </c>
      <c r="P2632" s="6"/>
      <c r="Q2632" s="322">
        <v>12</v>
      </c>
      <c r="R2632" s="322">
        <f>Q2632*J2632</f>
        <v>12</v>
      </c>
      <c r="S2632" s="7">
        <v>0</v>
      </c>
      <c r="T2632" s="7">
        <f>S2632*J2632</f>
        <v>0</v>
      </c>
      <c r="U2632" s="21"/>
      <c r="V2632" s="260">
        <v>120</v>
      </c>
    </row>
    <row r="2633" spans="2:22" s="191" customFormat="1" ht="15">
      <c r="B2633" s="190"/>
      <c r="C2633" s="966" t="s">
        <v>3406</v>
      </c>
      <c r="D2633" s="180" t="s">
        <v>2022</v>
      </c>
      <c r="E2633" s="181"/>
      <c r="F2633" s="622"/>
      <c r="G2633" s="182" t="s">
        <v>250</v>
      </c>
      <c r="H2633" s="184" t="s">
        <v>252</v>
      </c>
      <c r="I2633" s="185"/>
      <c r="J2633" s="183"/>
      <c r="K2633" s="203">
        <v>35</v>
      </c>
      <c r="L2633" s="203">
        <v>35</v>
      </c>
      <c r="M2633" s="947"/>
      <c r="N2633" s="187">
        <v>44946</v>
      </c>
      <c r="O2633" s="186">
        <v>4908</v>
      </c>
      <c r="P2633" s="179"/>
      <c r="Q2633" s="203">
        <v>35</v>
      </c>
      <c r="R2633" s="203">
        <v>35</v>
      </c>
      <c r="S2633" s="273">
        <v>2705</v>
      </c>
      <c r="T2633" s="273">
        <v>2705</v>
      </c>
      <c r="U2633" s="335"/>
      <c r="V2633" s="260">
        <v>120</v>
      </c>
    </row>
    <row r="2634" spans="2:22" s="7" customFormat="1" ht="15">
      <c r="B2634" s="12"/>
      <c r="C2634" s="6" t="s">
        <v>3408</v>
      </c>
      <c r="D2634" s="14" t="s">
        <v>2416</v>
      </c>
      <c r="E2634" s="19" t="s">
        <v>3261</v>
      </c>
      <c r="F2634" s="24"/>
      <c r="G2634" s="22"/>
      <c r="H2634" s="60"/>
      <c r="I2634" s="61"/>
      <c r="J2634" s="8"/>
      <c r="K2634" s="110" t="s">
        <v>5</v>
      </c>
      <c r="L2634" s="139"/>
      <c r="M2634" s="33"/>
      <c r="N2634" s="33">
        <v>44992</v>
      </c>
      <c r="O2634" s="32">
        <v>4985</v>
      </c>
      <c r="P2634" s="6" t="s">
        <v>8</v>
      </c>
      <c r="Q2634" s="358"/>
      <c r="U2634" s="120"/>
      <c r="V2634" s="260">
        <v>120</v>
      </c>
    </row>
    <row r="2635" spans="2:22" s="7" customFormat="1" ht="18" customHeight="1">
      <c r="B2635" s="12" t="s">
        <v>300</v>
      </c>
      <c r="C2635" s="6" t="s">
        <v>3408</v>
      </c>
      <c r="D2635" s="14" t="s">
        <v>2416</v>
      </c>
      <c r="E2635" s="22" t="s">
        <v>3262</v>
      </c>
      <c r="F2635" s="37" t="s">
        <v>359</v>
      </c>
      <c r="G2635" s="396" t="s">
        <v>3263</v>
      </c>
      <c r="H2635" s="8">
        <v>50</v>
      </c>
      <c r="I2635" s="35">
        <v>120</v>
      </c>
      <c r="J2635" s="108">
        <f>H2635*I2635</f>
        <v>6000</v>
      </c>
      <c r="K2635" s="958">
        <v>0.23</v>
      </c>
      <c r="L2635" s="39">
        <f t="shared" ref="L2635:L2641" si="170">K2635*J2635</f>
        <v>1380</v>
      </c>
      <c r="M2635" s="117" t="s">
        <v>349</v>
      </c>
      <c r="N2635" s="33">
        <v>44992</v>
      </c>
      <c r="O2635" s="32">
        <v>4985</v>
      </c>
      <c r="P2635" s="391">
        <f t="shared" ref="P2635:P2640" si="171">ROUNDUP(S2635/V2635/VLOOKUP(B2635,$C$2:$F$6,3,FALSE),2)</f>
        <v>9.9999999999999992E-2</v>
      </c>
      <c r="Q2635" s="322">
        <v>0.1</v>
      </c>
      <c r="R2635" s="322">
        <f>Q2635*J2635</f>
        <v>600</v>
      </c>
      <c r="S2635" s="7">
        <v>8.3000000000000007</v>
      </c>
      <c r="T2635" s="7">
        <f t="shared" ref="T2635:T2641" si="172">S2635*J2635</f>
        <v>49800.000000000007</v>
      </c>
      <c r="U2635" s="39"/>
      <c r="V2635" s="260">
        <v>120</v>
      </c>
    </row>
    <row r="2636" spans="2:22" s="7" customFormat="1" ht="18" customHeight="1">
      <c r="B2636" s="12" t="s">
        <v>300</v>
      </c>
      <c r="C2636" s="6" t="s">
        <v>3408</v>
      </c>
      <c r="D2636" s="14" t="s">
        <v>2416</v>
      </c>
      <c r="E2636" s="22" t="s">
        <v>3262</v>
      </c>
      <c r="F2636" s="37" t="s">
        <v>359</v>
      </c>
      <c r="G2636" s="396" t="s">
        <v>3264</v>
      </c>
      <c r="H2636" s="8">
        <v>50</v>
      </c>
      <c r="I2636" s="35">
        <v>62</v>
      </c>
      <c r="J2636" s="108">
        <f>H2636*I2636</f>
        <v>3100</v>
      </c>
      <c r="K2636" s="958">
        <v>0.23</v>
      </c>
      <c r="L2636" s="39">
        <f t="shared" si="170"/>
        <v>713</v>
      </c>
      <c r="M2636" s="117" t="s">
        <v>349</v>
      </c>
      <c r="N2636" s="33">
        <v>44992</v>
      </c>
      <c r="O2636" s="32">
        <v>4985</v>
      </c>
      <c r="P2636" s="391">
        <f t="shared" si="171"/>
        <v>9.9999999999999992E-2</v>
      </c>
      <c r="Q2636" s="322">
        <v>0.1</v>
      </c>
      <c r="R2636" s="322">
        <f>Q2636*J2636</f>
        <v>310</v>
      </c>
      <c r="S2636" s="7">
        <v>8.3000000000000007</v>
      </c>
      <c r="T2636" s="7">
        <f t="shared" si="172"/>
        <v>25730.000000000004</v>
      </c>
      <c r="U2636" s="39"/>
      <c r="V2636" s="260">
        <v>120</v>
      </c>
    </row>
    <row r="2637" spans="2:22" s="7" customFormat="1" ht="18" customHeight="1">
      <c r="B2637" s="12" t="s">
        <v>300</v>
      </c>
      <c r="C2637" s="6" t="s">
        <v>3408</v>
      </c>
      <c r="D2637" s="14" t="s">
        <v>2416</v>
      </c>
      <c r="E2637" s="22" t="s">
        <v>3262</v>
      </c>
      <c r="F2637" s="37" t="s">
        <v>359</v>
      </c>
      <c r="G2637" s="396" t="s">
        <v>3409</v>
      </c>
      <c r="H2637" s="8">
        <v>50</v>
      </c>
      <c r="I2637" s="35">
        <v>12</v>
      </c>
      <c r="J2637" s="108">
        <f>H2637*I2637</f>
        <v>600</v>
      </c>
      <c r="K2637" s="958">
        <v>0.23</v>
      </c>
      <c r="L2637" s="39">
        <f t="shared" si="170"/>
        <v>138</v>
      </c>
      <c r="M2637" s="117" t="s">
        <v>349</v>
      </c>
      <c r="N2637" s="33">
        <v>44992</v>
      </c>
      <c r="O2637" s="32">
        <v>4985</v>
      </c>
      <c r="P2637" s="391">
        <f t="shared" si="171"/>
        <v>9.9999999999999992E-2</v>
      </c>
      <c r="Q2637" s="322">
        <v>0.1</v>
      </c>
      <c r="R2637" s="322">
        <f>Q2637*J2637</f>
        <v>60</v>
      </c>
      <c r="S2637" s="7">
        <v>8.3000000000000007</v>
      </c>
      <c r="T2637" s="7">
        <f t="shared" si="172"/>
        <v>4980</v>
      </c>
      <c r="U2637" s="39"/>
      <c r="V2637" s="260">
        <v>120</v>
      </c>
    </row>
    <row r="2638" spans="2:22" s="7" customFormat="1" ht="18" customHeight="1">
      <c r="B2638" s="12" t="s">
        <v>300</v>
      </c>
      <c r="C2638" s="6" t="s">
        <v>3408</v>
      </c>
      <c r="D2638" s="14" t="s">
        <v>2416</v>
      </c>
      <c r="E2638" s="22" t="s">
        <v>3262</v>
      </c>
      <c r="F2638" s="37" t="s">
        <v>359</v>
      </c>
      <c r="G2638" s="396" t="s">
        <v>3410</v>
      </c>
      <c r="H2638" s="8">
        <v>50</v>
      </c>
      <c r="I2638" s="35">
        <v>2</v>
      </c>
      <c r="J2638" s="108">
        <f>H2638*I2638</f>
        <v>100</v>
      </c>
      <c r="K2638" s="958">
        <v>0.23</v>
      </c>
      <c r="L2638" s="39">
        <f t="shared" si="170"/>
        <v>23</v>
      </c>
      <c r="M2638" s="117" t="s">
        <v>349</v>
      </c>
      <c r="N2638" s="33">
        <v>44992</v>
      </c>
      <c r="O2638" s="32">
        <v>4985</v>
      </c>
      <c r="P2638" s="391">
        <f t="shared" si="171"/>
        <v>9.9999999999999992E-2</v>
      </c>
      <c r="Q2638" s="322">
        <v>0.1</v>
      </c>
      <c r="R2638" s="322">
        <f>Q2638*J2638</f>
        <v>10</v>
      </c>
      <c r="S2638" s="7">
        <v>8.3000000000000007</v>
      </c>
      <c r="T2638" s="7">
        <f t="shared" si="172"/>
        <v>830.00000000000011</v>
      </c>
      <c r="U2638" s="39"/>
      <c r="V2638" s="260">
        <v>120</v>
      </c>
    </row>
    <row r="2639" spans="2:22" s="7" customFormat="1" ht="18" customHeight="1">
      <c r="B2639" s="12" t="s">
        <v>300</v>
      </c>
      <c r="C2639" s="6" t="s">
        <v>3408</v>
      </c>
      <c r="D2639" s="14" t="s">
        <v>2416</v>
      </c>
      <c r="E2639" s="22" t="s">
        <v>3262</v>
      </c>
      <c r="F2639" s="37" t="s">
        <v>359</v>
      </c>
      <c r="G2639" s="396" t="s">
        <v>3411</v>
      </c>
      <c r="H2639" s="8">
        <v>50</v>
      </c>
      <c r="I2639" s="35">
        <v>16</v>
      </c>
      <c r="J2639" s="108">
        <f>H2639*I2639</f>
        <v>800</v>
      </c>
      <c r="K2639" s="958">
        <v>0.33</v>
      </c>
      <c r="L2639" s="39">
        <f>K2639*J2639</f>
        <v>264</v>
      </c>
      <c r="M2639" s="117" t="s">
        <v>349</v>
      </c>
      <c r="N2639" s="33">
        <v>44992</v>
      </c>
      <c r="O2639" s="32">
        <v>4985</v>
      </c>
      <c r="P2639" s="391">
        <f t="shared" si="171"/>
        <v>0.14000000000000001</v>
      </c>
      <c r="Q2639" s="322">
        <v>0.14000000000000001</v>
      </c>
      <c r="R2639" s="322">
        <f>Q2639*J2639</f>
        <v>112.00000000000001</v>
      </c>
      <c r="S2639" s="7">
        <v>11.7</v>
      </c>
      <c r="T2639" s="7">
        <f>S2639*J2639</f>
        <v>9360</v>
      </c>
      <c r="U2639" s="39"/>
      <c r="V2639" s="260">
        <v>120</v>
      </c>
    </row>
    <row r="2640" spans="2:22" s="7" customFormat="1" ht="17.45" customHeight="1">
      <c r="B2640" s="12" t="s">
        <v>306</v>
      </c>
      <c r="C2640" s="6" t="s">
        <v>3408</v>
      </c>
      <c r="D2640" s="14" t="s">
        <v>2416</v>
      </c>
      <c r="E2640" s="853"/>
      <c r="F2640" s="37"/>
      <c r="G2640" s="221" t="s">
        <v>3387</v>
      </c>
      <c r="H2640" s="8"/>
      <c r="I2640" s="35"/>
      <c r="J2640" s="108"/>
      <c r="K2640" s="958">
        <v>153</v>
      </c>
      <c r="L2640" s="958">
        <v>153</v>
      </c>
      <c r="M2640" s="117" t="s">
        <v>349</v>
      </c>
      <c r="N2640" s="33">
        <v>44992</v>
      </c>
      <c r="O2640" s="32">
        <v>4985</v>
      </c>
      <c r="P2640" s="391">
        <f t="shared" si="171"/>
        <v>104.17</v>
      </c>
      <c r="Q2640" s="322">
        <v>104.17</v>
      </c>
      <c r="R2640" s="322">
        <v>104.17</v>
      </c>
      <c r="S2640" s="7">
        <f>3000+8000</f>
        <v>11000</v>
      </c>
      <c r="T2640" s="7">
        <f>3000+8000</f>
        <v>11000</v>
      </c>
      <c r="U2640" s="39"/>
      <c r="V2640" s="260">
        <v>120</v>
      </c>
    </row>
    <row r="2641" spans="1:22" s="7" customFormat="1" ht="18" customHeight="1">
      <c r="B2641" s="12"/>
      <c r="C2641" s="6" t="s">
        <v>3408</v>
      </c>
      <c r="D2641" s="14" t="s">
        <v>2416</v>
      </c>
      <c r="E2641" s="22"/>
      <c r="F2641" s="340"/>
      <c r="G2641" s="22" t="s">
        <v>316</v>
      </c>
      <c r="H2641" s="8"/>
      <c r="I2641" s="109" ph="1"/>
      <c r="J2641" s="38">
        <v>1</v>
      </c>
      <c r="K2641" s="39">
        <v>12</v>
      </c>
      <c r="L2641" s="39">
        <f t="shared" si="170"/>
        <v>12</v>
      </c>
      <c r="M2641" s="117"/>
      <c r="N2641" s="33">
        <v>44992</v>
      </c>
      <c r="O2641" s="32">
        <v>4985</v>
      </c>
      <c r="P2641" s="6"/>
      <c r="Q2641" s="322">
        <v>12</v>
      </c>
      <c r="R2641" s="322">
        <v>12</v>
      </c>
      <c r="S2641" s="7">
        <v>1100</v>
      </c>
      <c r="T2641" s="7">
        <f t="shared" si="172"/>
        <v>1100</v>
      </c>
      <c r="U2641" s="21"/>
      <c r="V2641" s="260">
        <v>120</v>
      </c>
    </row>
    <row r="2642" spans="1:22" s="218" customFormat="1" ht="18" customHeight="1">
      <c r="A2642" s="7"/>
      <c r="B2642" s="189"/>
      <c r="C2642" s="179" t="s">
        <v>3412</v>
      </c>
      <c r="D2642" s="180" t="s">
        <v>2416</v>
      </c>
      <c r="E2642" s="217"/>
      <c r="F2642" s="182"/>
      <c r="G2642" s="182" t="s">
        <v>250</v>
      </c>
      <c r="H2642" s="184" t="s">
        <v>251</v>
      </c>
      <c r="I2642" s="185"/>
      <c r="J2642" s="183"/>
      <c r="K2642" s="192">
        <v>0</v>
      </c>
      <c r="L2642" s="946"/>
      <c r="M2642" s="947"/>
      <c r="N2642" s="187">
        <v>44992</v>
      </c>
      <c r="O2642" s="186">
        <v>4985</v>
      </c>
      <c r="P2642" s="179"/>
      <c r="Q2642" s="725">
        <v>0</v>
      </c>
      <c r="S2642" s="197">
        <v>0</v>
      </c>
      <c r="T2642" s="197">
        <v>0</v>
      </c>
      <c r="U2642" s="335"/>
      <c r="V2642" s="260">
        <v>120</v>
      </c>
    </row>
    <row r="2643" spans="1:22" s="7" customFormat="1" ht="15">
      <c r="B2643" s="12"/>
      <c r="C2643" s="6" t="s">
        <v>3413</v>
      </c>
      <c r="D2643" s="14" t="s">
        <v>2416</v>
      </c>
      <c r="E2643" s="19" t="s">
        <v>3261</v>
      </c>
      <c r="F2643" s="24"/>
      <c r="G2643" s="22"/>
      <c r="H2643" s="60"/>
      <c r="I2643" s="61"/>
      <c r="J2643" s="8"/>
      <c r="K2643" s="110" t="s">
        <v>5</v>
      </c>
      <c r="L2643" s="139"/>
      <c r="M2643" s="33"/>
      <c r="N2643" s="33">
        <v>44992</v>
      </c>
      <c r="O2643" s="32">
        <v>4986</v>
      </c>
      <c r="P2643" s="6" t="s">
        <v>8</v>
      </c>
      <c r="Q2643" s="358"/>
      <c r="U2643" s="120"/>
      <c r="V2643" s="260">
        <v>120</v>
      </c>
    </row>
    <row r="2644" spans="1:22" s="7" customFormat="1" ht="18" customHeight="1">
      <c r="B2644" s="12" t="s">
        <v>300</v>
      </c>
      <c r="C2644" s="6" t="s">
        <v>3413</v>
      </c>
      <c r="D2644" s="14" t="s">
        <v>2416</v>
      </c>
      <c r="E2644" s="22" t="s">
        <v>3262</v>
      </c>
      <c r="F2644" s="37" t="s">
        <v>359</v>
      </c>
      <c r="G2644" s="396" t="s">
        <v>3263</v>
      </c>
      <c r="H2644" s="8">
        <v>50</v>
      </c>
      <c r="I2644" s="35">
        <v>45</v>
      </c>
      <c r="J2644" s="108">
        <f>H2644*I2644</f>
        <v>2250</v>
      </c>
      <c r="K2644" s="958">
        <v>0.23</v>
      </c>
      <c r="L2644" s="39">
        <f>K2644*J2644</f>
        <v>517.5</v>
      </c>
      <c r="M2644" s="117" t="s">
        <v>3414</v>
      </c>
      <c r="N2644" s="33">
        <v>44992</v>
      </c>
      <c r="O2644" s="32">
        <v>4986</v>
      </c>
      <c r="P2644" s="391">
        <f>ROUNDUP(S2644/V2644/VLOOKUP(B2644,$C$2:$F$6,3,FALSE),2)</f>
        <v>9.9999999999999992E-2</v>
      </c>
      <c r="Q2644" s="322">
        <v>0.1</v>
      </c>
      <c r="R2644" s="322">
        <f>Q2644*J2644</f>
        <v>225</v>
      </c>
      <c r="S2644" s="7">
        <v>8.3000000000000007</v>
      </c>
      <c r="T2644" s="7">
        <f>S2644*J2644</f>
        <v>18675</v>
      </c>
      <c r="U2644" s="39"/>
      <c r="V2644" s="260">
        <v>120</v>
      </c>
    </row>
    <row r="2645" spans="1:22" s="7" customFormat="1" ht="18" customHeight="1">
      <c r="B2645" s="12" t="s">
        <v>300</v>
      </c>
      <c r="C2645" s="6" t="s">
        <v>3413</v>
      </c>
      <c r="D2645" s="14" t="s">
        <v>2416</v>
      </c>
      <c r="E2645" s="22" t="s">
        <v>3262</v>
      </c>
      <c r="F2645" s="37" t="s">
        <v>359</v>
      </c>
      <c r="G2645" s="396" t="s">
        <v>3264</v>
      </c>
      <c r="H2645" s="8">
        <v>50</v>
      </c>
      <c r="I2645" s="35">
        <v>41</v>
      </c>
      <c r="J2645" s="108">
        <f>H2645*I2645</f>
        <v>2050</v>
      </c>
      <c r="K2645" s="958">
        <v>0.23</v>
      </c>
      <c r="L2645" s="39">
        <f>K2645*J2645</f>
        <v>471.5</v>
      </c>
      <c r="M2645" s="117" t="s">
        <v>3414</v>
      </c>
      <c r="N2645" s="33">
        <v>44992</v>
      </c>
      <c r="O2645" s="32">
        <v>4986</v>
      </c>
      <c r="P2645" s="391">
        <f>ROUNDUP(S2645/V2645/VLOOKUP(B2645,$C$2:$F$6,3,FALSE),2)</f>
        <v>9.9999999999999992E-2</v>
      </c>
      <c r="Q2645" s="322">
        <v>0.1</v>
      </c>
      <c r="R2645" s="322">
        <f>Q2645*J2645</f>
        <v>205</v>
      </c>
      <c r="S2645" s="7">
        <v>8.3000000000000007</v>
      </c>
      <c r="T2645" s="7">
        <f>S2645*J2645</f>
        <v>17015</v>
      </c>
      <c r="U2645" s="39"/>
      <c r="V2645" s="260">
        <v>120</v>
      </c>
    </row>
    <row r="2646" spans="1:22" s="7" customFormat="1" ht="18" customHeight="1">
      <c r="B2646" s="12"/>
      <c r="C2646" s="6" t="s">
        <v>3413</v>
      </c>
      <c r="D2646" s="14" t="s">
        <v>2416</v>
      </c>
      <c r="E2646" s="49"/>
      <c r="F2646" s="340"/>
      <c r="G2646" s="22" t="s">
        <v>316</v>
      </c>
      <c r="H2646" s="8"/>
      <c r="I2646" s="109" ph="1"/>
      <c r="J2646" s="38">
        <v>1</v>
      </c>
      <c r="K2646" s="39">
        <v>12</v>
      </c>
      <c r="L2646" s="39">
        <f>K2646*J2646</f>
        <v>12</v>
      </c>
      <c r="M2646" s="117"/>
      <c r="N2646" s="33">
        <v>44992</v>
      </c>
      <c r="O2646" s="32">
        <v>4986</v>
      </c>
      <c r="P2646" s="6"/>
      <c r="Q2646" s="322">
        <v>12</v>
      </c>
      <c r="R2646" s="322">
        <v>12</v>
      </c>
      <c r="S2646" s="7">
        <v>1100</v>
      </c>
      <c r="T2646" s="7">
        <f>S2646*J2646</f>
        <v>1100</v>
      </c>
      <c r="U2646" s="21"/>
      <c r="V2646" s="260">
        <v>120</v>
      </c>
    </row>
    <row r="2647" spans="1:22" s="7" customFormat="1" ht="18" customHeight="1">
      <c r="B2647" s="12" t="s">
        <v>300</v>
      </c>
      <c r="C2647" s="145" t="s">
        <v>3413</v>
      </c>
      <c r="D2647" s="149" t="s">
        <v>2416</v>
      </c>
      <c r="E2647" s="150" t="s">
        <v>3262</v>
      </c>
      <c r="F2647" s="129" t="s">
        <v>359</v>
      </c>
      <c r="G2647" s="1099" t="s">
        <v>3415</v>
      </c>
      <c r="H2647" s="1100">
        <v>50</v>
      </c>
      <c r="I2647" s="1101">
        <v>21</v>
      </c>
      <c r="J2647" s="1102">
        <f>H2647*I2647</f>
        <v>1050</v>
      </c>
      <c r="K2647" s="1103">
        <v>0.23</v>
      </c>
      <c r="L2647" s="132"/>
      <c r="M2647" s="373" t="s">
        <v>3414</v>
      </c>
      <c r="N2647" s="1104" t="s">
        <v>72</v>
      </c>
      <c r="O2647" s="134"/>
      <c r="P2647" s="391"/>
      <c r="Q2647" s="322"/>
      <c r="R2647" s="322"/>
      <c r="U2647" s="39"/>
      <c r="V2647" s="260">
        <v>120</v>
      </c>
    </row>
    <row r="2648" spans="1:22" s="218" customFormat="1" ht="18" customHeight="1">
      <c r="A2648" s="7"/>
      <c r="B2648" s="189"/>
      <c r="C2648" s="179" t="s">
        <v>3416</v>
      </c>
      <c r="D2648" s="180" t="s">
        <v>2416</v>
      </c>
      <c r="E2648" s="217"/>
      <c r="F2648" s="182"/>
      <c r="G2648" s="182" t="s">
        <v>250</v>
      </c>
      <c r="H2648" s="184" t="s">
        <v>251</v>
      </c>
      <c r="I2648" s="185"/>
      <c r="J2648" s="183"/>
      <c r="K2648" s="192">
        <v>0</v>
      </c>
      <c r="L2648" s="946"/>
      <c r="M2648" s="947"/>
      <c r="N2648" s="187">
        <v>44992</v>
      </c>
      <c r="O2648" s="186">
        <v>4986</v>
      </c>
      <c r="P2648" s="179"/>
      <c r="Q2648" s="725">
        <v>0</v>
      </c>
      <c r="S2648" s="197">
        <v>0</v>
      </c>
      <c r="T2648" s="197">
        <v>0</v>
      </c>
      <c r="U2648" s="335"/>
      <c r="V2648" s="260">
        <v>120</v>
      </c>
    </row>
    <row r="2649" spans="1:22" s="7" customFormat="1" ht="15">
      <c r="B2649" s="12"/>
      <c r="C2649" s="6" t="s">
        <v>3417</v>
      </c>
      <c r="D2649" s="14" t="s">
        <v>2416</v>
      </c>
      <c r="E2649" s="19" t="s">
        <v>3261</v>
      </c>
      <c r="F2649" s="24"/>
      <c r="G2649" s="22"/>
      <c r="H2649" s="60"/>
      <c r="I2649" s="61"/>
      <c r="J2649" s="8"/>
      <c r="K2649" s="110" t="s">
        <v>5</v>
      </c>
      <c r="L2649" s="139"/>
      <c r="M2649" s="33"/>
      <c r="N2649" s="33">
        <v>44977</v>
      </c>
      <c r="O2649" s="32">
        <v>4987</v>
      </c>
      <c r="P2649" s="6" t="s">
        <v>8</v>
      </c>
      <c r="Q2649" s="358"/>
      <c r="U2649" s="120"/>
      <c r="V2649" s="260">
        <v>120</v>
      </c>
    </row>
    <row r="2650" spans="1:22" s="7" customFormat="1" ht="18" customHeight="1">
      <c r="B2650" s="12" t="s">
        <v>300</v>
      </c>
      <c r="C2650" s="6" t="s">
        <v>3417</v>
      </c>
      <c r="D2650" s="14" t="s">
        <v>2416</v>
      </c>
      <c r="E2650" s="22" t="s">
        <v>3262</v>
      </c>
      <c r="F2650" s="37" t="s">
        <v>359</v>
      </c>
      <c r="G2650" s="396" t="s">
        <v>3263</v>
      </c>
      <c r="H2650" s="8">
        <v>50</v>
      </c>
      <c r="I2650" s="35">
        <v>6</v>
      </c>
      <c r="J2650" s="108">
        <f>H2650*I2650</f>
        <v>300</v>
      </c>
      <c r="K2650" s="958">
        <v>0.23</v>
      </c>
      <c r="L2650" s="39">
        <f>K2650*J2650</f>
        <v>69</v>
      </c>
      <c r="M2650" s="117" t="s">
        <v>3414</v>
      </c>
      <c r="N2650" s="33">
        <v>44977</v>
      </c>
      <c r="O2650" s="32">
        <v>4987</v>
      </c>
      <c r="P2650" s="391">
        <f>ROUNDUP(S2650/V2650/VLOOKUP(B2650,$C$2:$F$6,3,FALSE),2)</f>
        <v>9.9999999999999992E-2</v>
      </c>
      <c r="Q2650" s="322">
        <v>0.1</v>
      </c>
      <c r="R2650" s="322">
        <f>Q2650*J2650</f>
        <v>30</v>
      </c>
      <c r="S2650" s="7">
        <v>8.3000000000000007</v>
      </c>
      <c r="T2650" s="7">
        <f>S2650*J2650</f>
        <v>2490</v>
      </c>
      <c r="U2650" s="39"/>
      <c r="V2650" s="260">
        <v>120</v>
      </c>
    </row>
    <row r="2651" spans="1:22" s="7" customFormat="1" ht="18" customHeight="1">
      <c r="B2651" s="12" t="s">
        <v>300</v>
      </c>
      <c r="C2651" s="6" t="s">
        <v>3417</v>
      </c>
      <c r="D2651" s="14" t="s">
        <v>2416</v>
      </c>
      <c r="E2651" s="22" t="s">
        <v>3262</v>
      </c>
      <c r="F2651" s="37" t="s">
        <v>359</v>
      </c>
      <c r="G2651" s="396" t="s">
        <v>3409</v>
      </c>
      <c r="H2651" s="8">
        <v>50</v>
      </c>
      <c r="I2651" s="35">
        <v>2</v>
      </c>
      <c r="J2651" s="108">
        <f>H2651*I2651</f>
        <v>100</v>
      </c>
      <c r="K2651" s="958">
        <v>0.23</v>
      </c>
      <c r="L2651" s="39">
        <f>K2651*J2651</f>
        <v>23</v>
      </c>
      <c r="M2651" s="117" t="s">
        <v>349</v>
      </c>
      <c r="N2651" s="33">
        <v>44977</v>
      </c>
      <c r="O2651" s="32">
        <v>4987</v>
      </c>
      <c r="P2651" s="391">
        <f>ROUNDUP(S2651/V2651/VLOOKUP(B2651,$C$2:$F$6,3,FALSE),2)</f>
        <v>9.9999999999999992E-2</v>
      </c>
      <c r="Q2651" s="322">
        <v>0.1</v>
      </c>
      <c r="R2651" s="322">
        <f>Q2651*J2651</f>
        <v>10</v>
      </c>
      <c r="S2651" s="7">
        <v>8.3000000000000007</v>
      </c>
      <c r="T2651" s="7">
        <f>S2651*J2651</f>
        <v>830.00000000000011</v>
      </c>
      <c r="U2651" s="39"/>
      <c r="V2651" s="260">
        <v>120</v>
      </c>
    </row>
    <row r="2652" spans="1:22" s="7" customFormat="1" ht="18" customHeight="1">
      <c r="B2652" s="12"/>
      <c r="C2652" s="6" t="s">
        <v>3417</v>
      </c>
      <c r="D2652" s="14" t="s">
        <v>2416</v>
      </c>
      <c r="E2652" s="22"/>
      <c r="F2652" s="340"/>
      <c r="G2652" s="22" t="s">
        <v>316</v>
      </c>
      <c r="H2652" s="8"/>
      <c r="I2652" s="109" ph="1"/>
      <c r="J2652" s="38">
        <v>1</v>
      </c>
      <c r="K2652" s="39">
        <v>12</v>
      </c>
      <c r="L2652" s="39">
        <f>K2652*J2652</f>
        <v>12</v>
      </c>
      <c r="M2652" s="117"/>
      <c r="N2652" s="33">
        <v>44977</v>
      </c>
      <c r="O2652" s="32">
        <v>4987</v>
      </c>
      <c r="P2652" s="6"/>
      <c r="Q2652" s="322">
        <v>12</v>
      </c>
      <c r="R2652" s="322">
        <v>12</v>
      </c>
      <c r="S2652" s="7">
        <v>1100</v>
      </c>
      <c r="T2652" s="7">
        <f>S2652*J2652</f>
        <v>1100</v>
      </c>
      <c r="U2652" s="21"/>
      <c r="V2652" s="260">
        <v>120</v>
      </c>
    </row>
    <row r="2653" spans="1:22" s="7" customFormat="1" ht="18" customHeight="1">
      <c r="B2653" s="12" t="s">
        <v>300</v>
      </c>
      <c r="C2653" s="6" t="s">
        <v>3417</v>
      </c>
      <c r="D2653" s="14" t="s">
        <v>2416</v>
      </c>
      <c r="E2653" s="22" t="s">
        <v>3262</v>
      </c>
      <c r="F2653" s="37" t="s">
        <v>359</v>
      </c>
      <c r="G2653" s="396" t="s">
        <v>3418</v>
      </c>
      <c r="H2653" s="8">
        <v>50</v>
      </c>
      <c r="I2653" s="35">
        <v>1</v>
      </c>
      <c r="J2653" s="108">
        <f>H2653*I2653</f>
        <v>50</v>
      </c>
      <c r="K2653" s="958">
        <v>0.33</v>
      </c>
      <c r="L2653" s="39">
        <f>K2653*J2653</f>
        <v>16.5</v>
      </c>
      <c r="M2653" s="117" t="s">
        <v>349</v>
      </c>
      <c r="N2653" s="33">
        <v>45016</v>
      </c>
      <c r="O2653" s="32">
        <v>5111</v>
      </c>
      <c r="P2653" s="391">
        <f>ROUNDUP(S2653/V2653/VLOOKUP(B2653,$C$2:$F$6,3,FALSE),2)</f>
        <v>0.14000000000000001</v>
      </c>
      <c r="Q2653" s="322">
        <v>0.14000000000000001</v>
      </c>
      <c r="R2653" s="322">
        <f>Q2653*J2653</f>
        <v>7.0000000000000009</v>
      </c>
      <c r="S2653" s="7">
        <v>11.7</v>
      </c>
      <c r="T2653" s="7">
        <f>S2653*J2653</f>
        <v>585</v>
      </c>
      <c r="U2653" s="39"/>
      <c r="V2653" s="260">
        <v>120</v>
      </c>
    </row>
    <row r="2654" spans="1:22" s="218" customFormat="1" ht="18" customHeight="1">
      <c r="A2654" s="7"/>
      <c r="B2654" s="189"/>
      <c r="C2654" s="179" t="s">
        <v>3417</v>
      </c>
      <c r="D2654" s="180" t="s">
        <v>3419</v>
      </c>
      <c r="E2654" s="217"/>
      <c r="F2654" s="182"/>
      <c r="G2654" s="182" t="s">
        <v>250</v>
      </c>
      <c r="H2654" s="184" t="s">
        <v>251</v>
      </c>
      <c r="I2654" s="185"/>
      <c r="J2654" s="183"/>
      <c r="K2654" s="192">
        <v>0</v>
      </c>
      <c r="L2654" s="946"/>
      <c r="M2654" s="947"/>
      <c r="N2654" s="187"/>
      <c r="O2654" s="186"/>
      <c r="P2654" s="179"/>
      <c r="Q2654" s="725">
        <v>0</v>
      </c>
      <c r="S2654" s="197">
        <v>0</v>
      </c>
      <c r="T2654" s="197">
        <v>0</v>
      </c>
      <c r="U2654" s="335"/>
      <c r="V2654" s="260">
        <v>120</v>
      </c>
    </row>
    <row r="2655" spans="1:22" s="7" customFormat="1" ht="15">
      <c r="B2655" s="12"/>
      <c r="C2655" s="6" t="s">
        <v>3420</v>
      </c>
      <c r="D2655" s="14" t="s">
        <v>2416</v>
      </c>
      <c r="E2655" s="19" t="s">
        <v>3261</v>
      </c>
      <c r="F2655" s="24"/>
      <c r="G2655" s="22"/>
      <c r="H2655" s="60"/>
      <c r="I2655" s="61"/>
      <c r="J2655" s="8"/>
      <c r="K2655" s="110" t="s">
        <v>5</v>
      </c>
      <c r="L2655" s="139"/>
      <c r="M2655" s="33"/>
      <c r="N2655" s="33">
        <v>44977</v>
      </c>
      <c r="O2655" s="32">
        <v>4988</v>
      </c>
      <c r="P2655" s="6" t="s">
        <v>8</v>
      </c>
      <c r="Q2655" s="358"/>
      <c r="U2655" s="120"/>
      <c r="V2655" s="260">
        <v>120</v>
      </c>
    </row>
    <row r="2656" spans="1:22" s="7" customFormat="1" ht="18" customHeight="1">
      <c r="B2656" s="12" t="s">
        <v>300</v>
      </c>
      <c r="C2656" s="6" t="s">
        <v>3420</v>
      </c>
      <c r="D2656" s="14" t="s">
        <v>2416</v>
      </c>
      <c r="E2656" s="22" t="s">
        <v>3262</v>
      </c>
      <c r="F2656" s="37" t="s">
        <v>359</v>
      </c>
      <c r="G2656" s="396" t="s">
        <v>3263</v>
      </c>
      <c r="H2656" s="8">
        <v>50</v>
      </c>
      <c r="I2656" s="35">
        <v>15</v>
      </c>
      <c r="J2656" s="108">
        <f>H2656*I2656</f>
        <v>750</v>
      </c>
      <c r="K2656" s="958">
        <v>0.23</v>
      </c>
      <c r="L2656" s="39">
        <f>K2656*J2656</f>
        <v>172.5</v>
      </c>
      <c r="M2656" s="117" t="s">
        <v>3414</v>
      </c>
      <c r="N2656" s="33">
        <v>44977</v>
      </c>
      <c r="O2656" s="32">
        <v>4988</v>
      </c>
      <c r="P2656" s="391">
        <f>ROUNDUP(S2656/V2656/VLOOKUP(B2656,$C$2:$F$6,3,FALSE),2)</f>
        <v>9.9999999999999992E-2</v>
      </c>
      <c r="Q2656" s="322">
        <v>0.1</v>
      </c>
      <c r="R2656" s="322">
        <f>Q2656*J2656</f>
        <v>75</v>
      </c>
      <c r="S2656" s="7">
        <v>8.3000000000000007</v>
      </c>
      <c r="T2656" s="7">
        <f>S2656*J2656</f>
        <v>6225.0000000000009</v>
      </c>
      <c r="U2656" s="39"/>
      <c r="V2656" s="260">
        <v>120</v>
      </c>
    </row>
    <row r="2657" spans="1:22" s="7" customFormat="1" ht="18" customHeight="1">
      <c r="B2657" s="12" t="s">
        <v>300</v>
      </c>
      <c r="C2657" s="6" t="s">
        <v>3420</v>
      </c>
      <c r="D2657" s="14" t="s">
        <v>2416</v>
      </c>
      <c r="E2657" s="22" t="s">
        <v>3262</v>
      </c>
      <c r="F2657" s="37" t="s">
        <v>359</v>
      </c>
      <c r="G2657" s="396" t="s">
        <v>3264</v>
      </c>
      <c r="H2657" s="8">
        <v>50</v>
      </c>
      <c r="I2657" s="35">
        <v>4</v>
      </c>
      <c r="J2657" s="108">
        <f>H2657*I2657</f>
        <v>200</v>
      </c>
      <c r="K2657" s="958">
        <v>0.23</v>
      </c>
      <c r="L2657" s="39">
        <f>K2657*J2657</f>
        <v>46</v>
      </c>
      <c r="M2657" s="117" t="s">
        <v>349</v>
      </c>
      <c r="N2657" s="33">
        <v>44977</v>
      </c>
      <c r="O2657" s="32">
        <v>4988</v>
      </c>
      <c r="P2657" s="391">
        <f>ROUNDUP(S2657/V2657/VLOOKUP(B2657,$C$2:$F$6,3,FALSE),2)</f>
        <v>9.9999999999999992E-2</v>
      </c>
      <c r="Q2657" s="322">
        <v>0.1</v>
      </c>
      <c r="R2657" s="322">
        <f>Q2657*J2657</f>
        <v>20</v>
      </c>
      <c r="S2657" s="7">
        <v>8.3000000000000007</v>
      </c>
      <c r="T2657" s="7">
        <f>S2657*J2657</f>
        <v>1660.0000000000002</v>
      </c>
      <c r="U2657" s="39"/>
      <c r="V2657" s="260">
        <v>120</v>
      </c>
    </row>
    <row r="2658" spans="1:22" s="7" customFormat="1" ht="18" customHeight="1">
      <c r="B2658" s="12"/>
      <c r="C2658" s="6" t="s">
        <v>3420</v>
      </c>
      <c r="D2658" s="14" t="s">
        <v>2416</v>
      </c>
      <c r="E2658" s="22"/>
      <c r="F2658" s="340"/>
      <c r="G2658" s="22" t="s">
        <v>316</v>
      </c>
      <c r="H2658" s="8"/>
      <c r="I2658" s="109" ph="1"/>
      <c r="J2658" s="38">
        <v>1</v>
      </c>
      <c r="K2658" s="39">
        <v>12</v>
      </c>
      <c r="L2658" s="39">
        <f>K2658*J2658</f>
        <v>12</v>
      </c>
      <c r="M2658" s="117"/>
      <c r="N2658" s="33">
        <v>44977</v>
      </c>
      <c r="O2658" s="32">
        <v>4988</v>
      </c>
      <c r="P2658" s="6"/>
      <c r="Q2658" s="322">
        <v>12</v>
      </c>
      <c r="R2658" s="322">
        <v>12</v>
      </c>
      <c r="S2658" s="7">
        <v>1100</v>
      </c>
      <c r="T2658" s="7">
        <f>S2658*J2658</f>
        <v>1100</v>
      </c>
      <c r="U2658" s="21"/>
      <c r="V2658" s="260">
        <v>120</v>
      </c>
    </row>
    <row r="2659" spans="1:22" s="218" customFormat="1" ht="18" customHeight="1">
      <c r="A2659" s="7"/>
      <c r="B2659" s="189"/>
      <c r="C2659" s="179" t="s">
        <v>3421</v>
      </c>
      <c r="D2659" s="180" t="s">
        <v>2416</v>
      </c>
      <c r="E2659" s="217"/>
      <c r="F2659" s="182"/>
      <c r="G2659" s="182" t="s">
        <v>250</v>
      </c>
      <c r="H2659" s="184" t="s">
        <v>251</v>
      </c>
      <c r="I2659" s="185"/>
      <c r="J2659" s="183"/>
      <c r="K2659" s="192">
        <v>0</v>
      </c>
      <c r="L2659" s="946"/>
      <c r="M2659" s="947"/>
      <c r="N2659" s="187">
        <v>44977</v>
      </c>
      <c r="O2659" s="186">
        <v>4988</v>
      </c>
      <c r="P2659" s="179"/>
      <c r="Q2659" s="322">
        <v>0</v>
      </c>
      <c r="S2659" s="197">
        <v>0</v>
      </c>
      <c r="T2659" s="197">
        <v>0</v>
      </c>
      <c r="U2659" s="335"/>
      <c r="V2659" s="260">
        <v>120</v>
      </c>
    </row>
    <row r="2660" spans="1:22" s="7" customFormat="1" ht="15">
      <c r="B2660" s="12"/>
      <c r="C2660" s="6" t="s">
        <v>3422</v>
      </c>
      <c r="D2660" s="14" t="s">
        <v>2416</v>
      </c>
      <c r="E2660" s="19" t="s">
        <v>3261</v>
      </c>
      <c r="F2660" s="24"/>
      <c r="G2660" s="22"/>
      <c r="H2660" s="60"/>
      <c r="I2660" s="61"/>
      <c r="J2660" s="8"/>
      <c r="K2660" s="110" t="s">
        <v>5</v>
      </c>
      <c r="L2660" s="139"/>
      <c r="M2660" s="33"/>
      <c r="N2660" s="33">
        <v>44991</v>
      </c>
      <c r="O2660" s="32">
        <v>4989</v>
      </c>
      <c r="P2660" s="6" t="s">
        <v>8</v>
      </c>
      <c r="Q2660" s="358"/>
      <c r="U2660" s="120"/>
      <c r="V2660" s="260">
        <v>120</v>
      </c>
    </row>
    <row r="2661" spans="1:22" s="7" customFormat="1" ht="18" customHeight="1">
      <c r="B2661" s="12" t="s">
        <v>300</v>
      </c>
      <c r="C2661" s="6" t="s">
        <v>3422</v>
      </c>
      <c r="D2661" s="14" t="s">
        <v>2416</v>
      </c>
      <c r="E2661" s="22" t="s">
        <v>3262</v>
      </c>
      <c r="F2661" s="37" t="s">
        <v>359</v>
      </c>
      <c r="G2661" s="396" t="s">
        <v>3263</v>
      </c>
      <c r="H2661" s="8">
        <v>50</v>
      </c>
      <c r="I2661" s="35">
        <v>109</v>
      </c>
      <c r="J2661" s="108">
        <f t="shared" ref="J2661:J2667" si="173">H2661*I2661</f>
        <v>5450</v>
      </c>
      <c r="K2661" s="958">
        <v>0.23</v>
      </c>
      <c r="L2661" s="39">
        <f t="shared" ref="L2661:L2669" si="174">K2661*J2661</f>
        <v>1253.5</v>
      </c>
      <c r="M2661" s="117" t="s">
        <v>349</v>
      </c>
      <c r="N2661" s="33">
        <v>44991</v>
      </c>
      <c r="O2661" s="32">
        <v>4989</v>
      </c>
      <c r="P2661" s="391">
        <f>ROUNDUP(S2661/V2661/VLOOKUP(B2661,$C$2:$F$6,3,FALSE),2)</f>
        <v>9.9999999999999992E-2</v>
      </c>
      <c r="Q2661" s="322">
        <v>0.1</v>
      </c>
      <c r="R2661" s="322">
        <f>Q2661*J2661</f>
        <v>545</v>
      </c>
      <c r="S2661" s="7">
        <v>8.3000000000000007</v>
      </c>
      <c r="T2661" s="7">
        <f t="shared" ref="T2661:T2667" si="175">S2661*J2661</f>
        <v>45235.000000000007</v>
      </c>
      <c r="U2661" s="39"/>
      <c r="V2661" s="260">
        <v>120</v>
      </c>
    </row>
    <row r="2662" spans="1:22" s="7" customFormat="1" ht="18" customHeight="1">
      <c r="B2662" s="12" t="s">
        <v>300</v>
      </c>
      <c r="C2662" s="6" t="s">
        <v>3422</v>
      </c>
      <c r="D2662" s="14" t="s">
        <v>2416</v>
      </c>
      <c r="E2662" s="22" t="s">
        <v>3262</v>
      </c>
      <c r="F2662" s="37" t="s">
        <v>359</v>
      </c>
      <c r="G2662" s="396" t="s">
        <v>3264</v>
      </c>
      <c r="H2662" s="8">
        <v>50</v>
      </c>
      <c r="I2662" s="35">
        <v>9</v>
      </c>
      <c r="J2662" s="108">
        <f t="shared" si="173"/>
        <v>450</v>
      </c>
      <c r="K2662" s="958">
        <v>0.23</v>
      </c>
      <c r="L2662" s="39">
        <f t="shared" si="174"/>
        <v>103.5</v>
      </c>
      <c r="M2662" s="117" t="s">
        <v>349</v>
      </c>
      <c r="N2662" s="33">
        <v>44991</v>
      </c>
      <c r="O2662" s="32">
        <v>4989</v>
      </c>
      <c r="P2662" s="391">
        <f>ROUNDUP(S2662/V2662/VLOOKUP(B2662,$C$2:$F$6,3,FALSE),2)</f>
        <v>9.9999999999999992E-2</v>
      </c>
      <c r="Q2662" s="322">
        <v>0.1</v>
      </c>
      <c r="R2662" s="322">
        <f>Q2662*J2662</f>
        <v>45</v>
      </c>
      <c r="S2662" s="7">
        <v>8.3000000000000007</v>
      </c>
      <c r="T2662" s="7">
        <f t="shared" si="175"/>
        <v>3735.0000000000005</v>
      </c>
      <c r="U2662" s="39"/>
      <c r="V2662" s="260">
        <v>120</v>
      </c>
    </row>
    <row r="2663" spans="1:22" s="7" customFormat="1" ht="18" customHeight="1">
      <c r="B2663" s="12" t="s">
        <v>300</v>
      </c>
      <c r="C2663" s="6" t="s">
        <v>3422</v>
      </c>
      <c r="D2663" s="14" t="s">
        <v>2416</v>
      </c>
      <c r="E2663" s="22" t="s">
        <v>3262</v>
      </c>
      <c r="F2663" s="37" t="s">
        <v>359</v>
      </c>
      <c r="G2663" s="396" t="s">
        <v>3409</v>
      </c>
      <c r="H2663" s="8">
        <v>50</v>
      </c>
      <c r="I2663" s="35">
        <v>25</v>
      </c>
      <c r="J2663" s="108">
        <f t="shared" si="173"/>
        <v>1250</v>
      </c>
      <c r="K2663" s="958">
        <v>0.23</v>
      </c>
      <c r="L2663" s="39">
        <f t="shared" si="174"/>
        <v>287.5</v>
      </c>
      <c r="M2663" s="117" t="s">
        <v>349</v>
      </c>
      <c r="N2663" s="33">
        <v>44991</v>
      </c>
      <c r="O2663" s="32">
        <v>4989</v>
      </c>
      <c r="P2663" s="391">
        <f>ROUNDUP(S2663/V2663/VLOOKUP(B2663,$C$2:$F$6,3,FALSE),2)</f>
        <v>9.9999999999999992E-2</v>
      </c>
      <c r="Q2663" s="322">
        <v>0.1</v>
      </c>
      <c r="R2663" s="322">
        <f>Q2663*J2663</f>
        <v>125</v>
      </c>
      <c r="S2663" s="7">
        <v>8.3000000000000007</v>
      </c>
      <c r="T2663" s="7">
        <f t="shared" si="175"/>
        <v>10375</v>
      </c>
      <c r="U2663" s="39"/>
      <c r="V2663" s="260">
        <v>120</v>
      </c>
    </row>
    <row r="2664" spans="1:22" s="7" customFormat="1" ht="18" customHeight="1">
      <c r="B2664" s="12" t="s">
        <v>300</v>
      </c>
      <c r="C2664" s="6" t="s">
        <v>3422</v>
      </c>
      <c r="D2664" s="14" t="s">
        <v>2416</v>
      </c>
      <c r="E2664" s="22" t="s">
        <v>3262</v>
      </c>
      <c r="F2664" s="37" t="s">
        <v>359</v>
      </c>
      <c r="G2664" s="396" t="s">
        <v>3410</v>
      </c>
      <c r="H2664" s="8">
        <v>50</v>
      </c>
      <c r="I2664" s="35">
        <v>2</v>
      </c>
      <c r="J2664" s="108">
        <f t="shared" si="173"/>
        <v>100</v>
      </c>
      <c r="K2664" s="958">
        <v>0.23</v>
      </c>
      <c r="L2664" s="39">
        <f t="shared" si="174"/>
        <v>23</v>
      </c>
      <c r="M2664" s="117" t="s">
        <v>349</v>
      </c>
      <c r="N2664" s="33">
        <v>44991</v>
      </c>
      <c r="O2664" s="32">
        <v>4989</v>
      </c>
      <c r="P2664" s="391">
        <f>ROUNDUP(S2664/V2664/VLOOKUP(B2664,$C$2:$F$6,3,FALSE),2)</f>
        <v>9.9999999999999992E-2</v>
      </c>
      <c r="Q2664" s="322">
        <v>0.1</v>
      </c>
      <c r="R2664" s="322">
        <f>Q2664*J2664</f>
        <v>10</v>
      </c>
      <c r="S2664" s="7">
        <v>8.3000000000000007</v>
      </c>
      <c r="T2664" s="7">
        <f t="shared" si="175"/>
        <v>830.00000000000011</v>
      </c>
      <c r="U2664" s="39"/>
      <c r="V2664" s="260">
        <v>120</v>
      </c>
    </row>
    <row r="2665" spans="1:22" s="7" customFormat="1" ht="18" customHeight="1">
      <c r="B2665" s="12" t="s">
        <v>300</v>
      </c>
      <c r="C2665" s="6" t="s">
        <v>3422</v>
      </c>
      <c r="D2665" s="14" t="s">
        <v>2416</v>
      </c>
      <c r="E2665" s="22" t="s">
        <v>3262</v>
      </c>
      <c r="F2665" s="37" t="s">
        <v>359</v>
      </c>
      <c r="G2665" s="396" t="s">
        <v>3423</v>
      </c>
      <c r="H2665" s="8">
        <v>50</v>
      </c>
      <c r="I2665" s="35">
        <v>1</v>
      </c>
      <c r="J2665" s="108">
        <f t="shared" si="173"/>
        <v>50</v>
      </c>
      <c r="K2665" s="958">
        <v>0.23</v>
      </c>
      <c r="L2665" s="39">
        <f t="shared" si="174"/>
        <v>11.5</v>
      </c>
      <c r="M2665" s="117" t="s">
        <v>349</v>
      </c>
      <c r="N2665" s="33">
        <v>44991</v>
      </c>
      <c r="O2665" s="32">
        <v>4989</v>
      </c>
      <c r="P2665" s="391">
        <f>ROUNDUP(S2665/V2665/VLOOKUP(B2665,$C$2:$F$6,3,FALSE),2)</f>
        <v>9.9999999999999992E-2</v>
      </c>
      <c r="Q2665" s="322">
        <v>0.1</v>
      </c>
      <c r="R2665" s="322">
        <f>Q2665*J2665</f>
        <v>5</v>
      </c>
      <c r="S2665" s="7">
        <v>8.3000000000000007</v>
      </c>
      <c r="T2665" s="7">
        <f t="shared" si="175"/>
        <v>415.00000000000006</v>
      </c>
      <c r="U2665" s="39"/>
      <c r="V2665" s="260">
        <v>120</v>
      </c>
    </row>
    <row r="2666" spans="1:22" s="7" customFormat="1" ht="18" customHeight="1">
      <c r="B2666" s="12"/>
      <c r="C2666" s="6" t="s">
        <v>3422</v>
      </c>
      <c r="D2666" s="14" t="s">
        <v>2416</v>
      </c>
      <c r="E2666" s="22"/>
      <c r="F2666" s="340"/>
      <c r="G2666" s="22" t="s">
        <v>316</v>
      </c>
      <c r="H2666" s="8"/>
      <c r="I2666" s="109" ph="1"/>
      <c r="J2666" s="38">
        <v>1</v>
      </c>
      <c r="K2666" s="39">
        <v>12</v>
      </c>
      <c r="L2666" s="39">
        <f t="shared" si="174"/>
        <v>12</v>
      </c>
      <c r="M2666" s="117"/>
      <c r="N2666" s="33">
        <v>44991</v>
      </c>
      <c r="O2666" s="32">
        <v>4989</v>
      </c>
      <c r="P2666" s="6"/>
      <c r="Q2666" s="322">
        <v>12</v>
      </c>
      <c r="R2666" s="322">
        <v>12</v>
      </c>
      <c r="S2666" s="7">
        <v>0</v>
      </c>
      <c r="T2666" s="7">
        <f t="shared" si="175"/>
        <v>0</v>
      </c>
      <c r="U2666" s="21"/>
      <c r="V2666" s="260">
        <v>120</v>
      </c>
    </row>
    <row r="2667" spans="1:22" s="7" customFormat="1" ht="18" customHeight="1">
      <c r="B2667" s="12" t="s">
        <v>300</v>
      </c>
      <c r="C2667" s="6" t="s">
        <v>3422</v>
      </c>
      <c r="D2667" s="14" t="s">
        <v>2416</v>
      </c>
      <c r="E2667" s="22" t="s">
        <v>3262</v>
      </c>
      <c r="F2667" s="37" t="s">
        <v>359</v>
      </c>
      <c r="G2667" s="396" t="s">
        <v>3418</v>
      </c>
      <c r="H2667" s="8">
        <v>50</v>
      </c>
      <c r="I2667" s="35">
        <v>14</v>
      </c>
      <c r="J2667" s="108">
        <f t="shared" si="173"/>
        <v>700</v>
      </c>
      <c r="K2667" s="958">
        <v>0.33</v>
      </c>
      <c r="L2667" s="39">
        <f t="shared" si="174"/>
        <v>231</v>
      </c>
      <c r="M2667" s="117" t="s">
        <v>349</v>
      </c>
      <c r="N2667" s="33">
        <v>45016</v>
      </c>
      <c r="O2667" s="32">
        <v>5112</v>
      </c>
      <c r="P2667" s="391">
        <f>ROUNDUP(S2667/V2667/VLOOKUP(B2667,$C$2:$F$6,3,FALSE),2)</f>
        <v>0.14000000000000001</v>
      </c>
      <c r="Q2667" s="322">
        <v>0.14000000000000001</v>
      </c>
      <c r="R2667" s="322">
        <f>Q2667*J2667</f>
        <v>98.000000000000014</v>
      </c>
      <c r="S2667" s="7">
        <v>11.7</v>
      </c>
      <c r="T2667" s="7">
        <f t="shared" si="175"/>
        <v>8189.9999999999991</v>
      </c>
      <c r="U2667" s="39"/>
      <c r="V2667" s="260">
        <v>120</v>
      </c>
    </row>
    <row r="2668" spans="1:22" s="7" customFormat="1" ht="17.45" customHeight="1">
      <c r="B2668" s="12" t="s">
        <v>306</v>
      </c>
      <c r="C2668" s="6" t="s">
        <v>3422</v>
      </c>
      <c r="D2668" s="14" t="s">
        <v>2416</v>
      </c>
      <c r="E2668" s="82"/>
      <c r="F2668" s="37"/>
      <c r="G2668" s="221" t="s">
        <v>3424</v>
      </c>
      <c r="H2668" s="8"/>
      <c r="I2668" s="35"/>
      <c r="J2668" s="38">
        <v>1</v>
      </c>
      <c r="K2668" s="958">
        <v>230</v>
      </c>
      <c r="L2668" s="39">
        <f t="shared" si="174"/>
        <v>230</v>
      </c>
      <c r="M2668" s="117" t="s">
        <v>349</v>
      </c>
      <c r="N2668" s="33">
        <v>45016</v>
      </c>
      <c r="O2668" s="32">
        <v>5112</v>
      </c>
      <c r="P2668" s="391">
        <f>ROUNDUP(S2668/V2668/VLOOKUP(B2668,$C$2:$F$6,3,FALSE),2)</f>
        <v>151.51999999999998</v>
      </c>
      <c r="Q2668" s="322">
        <v>151.52000000000001</v>
      </c>
      <c r="R2668" s="322">
        <f>Q2668*J2668</f>
        <v>151.52000000000001</v>
      </c>
      <c r="S2668" s="7">
        <f>3000+3000+10000</f>
        <v>16000</v>
      </c>
      <c r="T2668" s="7">
        <f>3000+3000+10000</f>
        <v>16000</v>
      </c>
      <c r="U2668" s="39"/>
      <c r="V2668" s="260">
        <v>120</v>
      </c>
    </row>
    <row r="2669" spans="1:22" s="7" customFormat="1" ht="18" customHeight="1">
      <c r="B2669" s="12"/>
      <c r="C2669" s="6" t="s">
        <v>3422</v>
      </c>
      <c r="D2669" s="14" t="s">
        <v>2416</v>
      </c>
      <c r="E2669" s="22"/>
      <c r="F2669" s="340"/>
      <c r="G2669" s="22" t="s">
        <v>316</v>
      </c>
      <c r="H2669" s="8"/>
      <c r="I2669" s="109" ph="1"/>
      <c r="J2669" s="38">
        <v>1</v>
      </c>
      <c r="K2669" s="39">
        <v>0</v>
      </c>
      <c r="L2669" s="39">
        <f t="shared" si="174"/>
        <v>0</v>
      </c>
      <c r="M2669" s="117"/>
      <c r="N2669" s="33">
        <v>45016</v>
      </c>
      <c r="O2669" s="32">
        <v>5112</v>
      </c>
      <c r="P2669" s="6"/>
      <c r="Q2669" s="322">
        <v>12</v>
      </c>
      <c r="R2669" s="322">
        <v>12</v>
      </c>
      <c r="S2669" s="7">
        <v>1100</v>
      </c>
      <c r="T2669" s="7">
        <f>S2669*J2669</f>
        <v>1100</v>
      </c>
      <c r="U2669" s="21"/>
      <c r="V2669" s="260">
        <v>120</v>
      </c>
    </row>
    <row r="2670" spans="1:22" s="218" customFormat="1" ht="18" customHeight="1">
      <c r="A2670" s="7"/>
      <c r="B2670" s="189"/>
      <c r="C2670" s="179" t="s">
        <v>3425</v>
      </c>
      <c r="D2670" s="180" t="s">
        <v>3419</v>
      </c>
      <c r="E2670" s="217"/>
      <c r="F2670" s="182"/>
      <c r="G2670" s="182" t="s">
        <v>250</v>
      </c>
      <c r="H2670" s="184" t="s">
        <v>251</v>
      </c>
      <c r="I2670" s="185"/>
      <c r="J2670" s="183"/>
      <c r="K2670" s="192">
        <v>0</v>
      </c>
      <c r="L2670" s="946"/>
      <c r="M2670" s="947"/>
      <c r="N2670" s="187">
        <v>45016</v>
      </c>
      <c r="O2670" s="186">
        <v>5112</v>
      </c>
      <c r="P2670" s="179"/>
      <c r="Q2670" s="725">
        <v>0</v>
      </c>
      <c r="S2670" s="197">
        <v>0</v>
      </c>
      <c r="T2670" s="197">
        <v>0</v>
      </c>
      <c r="U2670" s="335"/>
      <c r="V2670" s="260">
        <v>120</v>
      </c>
    </row>
    <row r="2671" spans="1:22" s="7" customFormat="1" ht="18" customHeight="1">
      <c r="B2671" s="12"/>
      <c r="C2671" s="6" t="s">
        <v>3426</v>
      </c>
      <c r="D2671" s="14" t="s">
        <v>2194</v>
      </c>
      <c r="E2671" s="19" t="s">
        <v>10</v>
      </c>
      <c r="F2671" s="107"/>
      <c r="G2671" s="22"/>
      <c r="H2671" s="108"/>
      <c r="I2671" s="109"/>
      <c r="J2671" s="108"/>
      <c r="K2671" s="110" t="s">
        <v>5</v>
      </c>
      <c r="L2671" s="139"/>
      <c r="M2671" s="33"/>
      <c r="N2671" s="33">
        <v>44957</v>
      </c>
      <c r="O2671" s="32">
        <v>4930</v>
      </c>
      <c r="P2671" s="14"/>
      <c r="Q2671" s="322"/>
      <c r="U2671" s="14"/>
      <c r="V2671" s="260">
        <v>120</v>
      </c>
    </row>
    <row r="2672" spans="1:22" s="7" customFormat="1" ht="18" customHeight="1">
      <c r="B2672" s="12" t="s">
        <v>302</v>
      </c>
      <c r="C2672" s="6" t="s">
        <v>3426</v>
      </c>
      <c r="D2672" s="14" t="s">
        <v>2194</v>
      </c>
      <c r="E2672" s="22" t="s">
        <v>206</v>
      </c>
      <c r="F2672" s="107">
        <v>162</v>
      </c>
      <c r="G2672" s="22" t="s">
        <v>2195</v>
      </c>
      <c r="H2672" s="108">
        <v>49</v>
      </c>
      <c r="I2672" s="109">
        <v>1</v>
      </c>
      <c r="J2672" s="8">
        <f>H2672*I2672</f>
        <v>49</v>
      </c>
      <c r="K2672" s="39">
        <v>4.59</v>
      </c>
      <c r="L2672" s="39">
        <f>K2672*J2672</f>
        <v>224.91</v>
      </c>
      <c r="M2672" s="117" t="s">
        <v>322</v>
      </c>
      <c r="N2672" s="33">
        <v>44957</v>
      </c>
      <c r="O2672" s="32">
        <v>4930</v>
      </c>
      <c r="P2672" s="391">
        <f>ROUNDUP(S2672/V2672/VLOOKUP(B2672,$C$2:$F$6,3,FALSE),2)</f>
        <v>3.13</v>
      </c>
      <c r="Q2672" s="322">
        <v>3.13</v>
      </c>
      <c r="R2672" s="322">
        <f>Q2672*J2672</f>
        <v>153.37</v>
      </c>
      <c r="S2672" s="7">
        <v>330</v>
      </c>
      <c r="T2672" s="7">
        <f>S2672*J2672</f>
        <v>16170</v>
      </c>
      <c r="U2672" s="21"/>
      <c r="V2672" s="260">
        <v>120</v>
      </c>
    </row>
    <row r="2673" spans="2:22" s="7" customFormat="1" ht="18" customHeight="1">
      <c r="B2673" s="12" t="s">
        <v>302</v>
      </c>
      <c r="C2673" s="6" t="s">
        <v>3426</v>
      </c>
      <c r="D2673" s="14" t="s">
        <v>2194</v>
      </c>
      <c r="E2673" s="22" t="s">
        <v>206</v>
      </c>
      <c r="F2673" s="107">
        <v>162</v>
      </c>
      <c r="G2673" s="22" t="s">
        <v>2195</v>
      </c>
      <c r="H2673" s="108">
        <v>50</v>
      </c>
      <c r="I2673" s="109">
        <v>16</v>
      </c>
      <c r="J2673" s="8">
        <f>H2673*I2673</f>
        <v>800</v>
      </c>
      <c r="K2673" s="39">
        <v>4.59</v>
      </c>
      <c r="L2673" s="39">
        <f>K2673*J2673</f>
        <v>3672</v>
      </c>
      <c r="M2673" s="117" t="s">
        <v>322</v>
      </c>
      <c r="N2673" s="33">
        <v>44957</v>
      </c>
      <c r="O2673" s="32">
        <v>4930</v>
      </c>
      <c r="P2673" s="391">
        <f>ROUNDUP(S2673/V2673/VLOOKUP(B2673,$C$2:$F$6,3,FALSE),2)</f>
        <v>3.13</v>
      </c>
      <c r="Q2673" s="322">
        <v>3.13</v>
      </c>
      <c r="R2673" s="322">
        <f>Q2673*J2673</f>
        <v>2504</v>
      </c>
      <c r="S2673" s="7">
        <v>330</v>
      </c>
      <c r="T2673" s="7">
        <f>S2673*J2673</f>
        <v>264000</v>
      </c>
      <c r="U2673" s="21"/>
      <c r="V2673" s="260">
        <v>120</v>
      </c>
    </row>
    <row r="2674" spans="2:22" s="7" customFormat="1" ht="18" customHeight="1">
      <c r="B2674" s="12" t="s">
        <v>302</v>
      </c>
      <c r="C2674" s="6" t="s">
        <v>3426</v>
      </c>
      <c r="D2674" s="14" t="s">
        <v>2194</v>
      </c>
      <c r="E2674" s="22" t="s">
        <v>206</v>
      </c>
      <c r="F2674" s="107">
        <v>162</v>
      </c>
      <c r="G2674" s="22" t="s">
        <v>2195</v>
      </c>
      <c r="H2674" s="108">
        <v>65</v>
      </c>
      <c r="I2674" s="109">
        <v>1</v>
      </c>
      <c r="J2674" s="8">
        <f>H2674*I2674</f>
        <v>65</v>
      </c>
      <c r="K2674" s="39">
        <v>4.59</v>
      </c>
      <c r="L2674" s="39">
        <f>K2674*J2674</f>
        <v>298.34999999999997</v>
      </c>
      <c r="M2674" s="117" t="s">
        <v>322</v>
      </c>
      <c r="N2674" s="33">
        <v>44957</v>
      </c>
      <c r="O2674" s="32">
        <v>4930</v>
      </c>
      <c r="P2674" s="391">
        <f>ROUNDUP(S2674/V2674/VLOOKUP(B2674,$C$2:$F$6,3,FALSE),2)</f>
        <v>3.13</v>
      </c>
      <c r="Q2674" s="322">
        <v>3.13</v>
      </c>
      <c r="R2674" s="322">
        <f>Q2674*J2674</f>
        <v>203.45</v>
      </c>
      <c r="S2674" s="7">
        <v>330</v>
      </c>
      <c r="T2674" s="7">
        <f>S2674*J2674</f>
        <v>21450</v>
      </c>
      <c r="U2674" s="21"/>
      <c r="V2674" s="260">
        <v>120</v>
      </c>
    </row>
    <row r="2675" spans="2:22" s="7" customFormat="1" ht="18" customHeight="1">
      <c r="B2675" s="12"/>
      <c r="C2675" s="6" t="s">
        <v>3426</v>
      </c>
      <c r="D2675" s="14" t="s">
        <v>2194</v>
      </c>
      <c r="E2675" s="159"/>
      <c r="F2675" s="37"/>
      <c r="G2675" s="22" t="s">
        <v>363</v>
      </c>
      <c r="H2675" s="8"/>
      <c r="I2675" s="109" ph="1"/>
      <c r="J2675" s="38">
        <v>1</v>
      </c>
      <c r="K2675" s="39">
        <v>20</v>
      </c>
      <c r="L2675" s="39">
        <f>K2675*J2675</f>
        <v>20</v>
      </c>
      <c r="M2675" s="91"/>
      <c r="N2675" s="33">
        <v>44957</v>
      </c>
      <c r="O2675" s="32">
        <v>4930</v>
      </c>
      <c r="P2675" s="6"/>
      <c r="Q2675" s="322">
        <v>20</v>
      </c>
      <c r="R2675" s="322">
        <f>Q2675*J2675</f>
        <v>20</v>
      </c>
      <c r="S2675" s="7">
        <v>1800</v>
      </c>
      <c r="T2675" s="7">
        <v>1800</v>
      </c>
      <c r="U2675" s="21"/>
      <c r="V2675" s="260">
        <v>120</v>
      </c>
    </row>
    <row r="2676" spans="2:22" s="191" customFormat="1" ht="18" customHeight="1">
      <c r="B2676" s="190"/>
      <c r="C2676" s="179" t="s">
        <v>3427</v>
      </c>
      <c r="D2676" s="180" t="s">
        <v>2194</v>
      </c>
      <c r="E2676" s="217"/>
      <c r="F2676" s="182"/>
      <c r="G2676" s="182" t="s">
        <v>250</v>
      </c>
      <c r="H2676" s="184" t="s">
        <v>251</v>
      </c>
      <c r="I2676" s="185"/>
      <c r="J2676" s="183"/>
      <c r="K2676" s="192">
        <v>0</v>
      </c>
      <c r="L2676" s="192">
        <v>0</v>
      </c>
      <c r="M2676" s="187"/>
      <c r="N2676" s="187">
        <v>44957</v>
      </c>
      <c r="O2676" s="186">
        <v>4930</v>
      </c>
      <c r="P2676" s="179"/>
      <c r="Q2676" s="334">
        <v>0</v>
      </c>
      <c r="R2676" s="334">
        <v>0</v>
      </c>
      <c r="S2676" s="197">
        <v>0</v>
      </c>
      <c r="T2676" s="197">
        <v>0</v>
      </c>
      <c r="U2676" s="335"/>
      <c r="V2676" s="260">
        <v>120</v>
      </c>
    </row>
    <row r="2677" spans="2:22" s="7" customFormat="1" ht="18" customHeight="1">
      <c r="B2677" s="12"/>
      <c r="C2677" s="6" t="s">
        <v>3428</v>
      </c>
      <c r="D2677" s="14" t="s">
        <v>3116</v>
      </c>
      <c r="E2677" s="19" t="s">
        <v>10</v>
      </c>
      <c r="F2677" s="107"/>
      <c r="G2677" s="22"/>
      <c r="H2677" s="108"/>
      <c r="I2677" s="109"/>
      <c r="J2677" s="108"/>
      <c r="K2677" s="29" t="s">
        <v>5</v>
      </c>
      <c r="L2677" s="39"/>
      <c r="M2677" s="91"/>
      <c r="N2677" s="33">
        <v>44952</v>
      </c>
      <c r="O2677" s="32">
        <v>4929</v>
      </c>
      <c r="P2677" s="14"/>
      <c r="Q2677" s="322"/>
      <c r="U2677" s="14"/>
      <c r="V2677" s="384">
        <v>120</v>
      </c>
    </row>
    <row r="2678" spans="2:22" s="7" customFormat="1" ht="18" customHeight="1">
      <c r="B2678" s="12" t="s">
        <v>302</v>
      </c>
      <c r="C2678" s="6" t="s">
        <v>3428</v>
      </c>
      <c r="D2678" s="14" t="s">
        <v>3116</v>
      </c>
      <c r="E2678" s="22" t="s">
        <v>190</v>
      </c>
      <c r="F2678" s="107">
        <v>160</v>
      </c>
      <c r="G2678" s="396" t="s">
        <v>90</v>
      </c>
      <c r="H2678" s="108">
        <v>50</v>
      </c>
      <c r="I2678" s="109">
        <v>1</v>
      </c>
      <c r="J2678" s="8">
        <f>I2678*H2678</f>
        <v>50</v>
      </c>
      <c r="K2678" s="39">
        <v>5</v>
      </c>
      <c r="L2678" s="39">
        <f>K2678*J2678</f>
        <v>250</v>
      </c>
      <c r="M2678" s="117" t="s">
        <v>322</v>
      </c>
      <c r="N2678" s="33">
        <v>44952</v>
      </c>
      <c r="O2678" s="32">
        <v>4929</v>
      </c>
      <c r="P2678" s="391">
        <f>ROUNDUP(S2678/V2678/VLOOKUP(B2678,$C$2:$F$6,3,FALSE),2)</f>
        <v>3.4099999999999997</v>
      </c>
      <c r="Q2678" s="322">
        <v>3.41</v>
      </c>
      <c r="R2678" s="322">
        <f>Q2678*J2678</f>
        <v>170.5</v>
      </c>
      <c r="S2678" s="7">
        <v>360</v>
      </c>
      <c r="T2678" s="7">
        <f>S2678*J2678</f>
        <v>18000</v>
      </c>
      <c r="U2678" s="21"/>
      <c r="V2678" s="260">
        <v>120</v>
      </c>
    </row>
    <row r="2679" spans="2:22" s="7" customFormat="1" ht="18" customHeight="1">
      <c r="B2679" s="12"/>
      <c r="C2679" s="6" t="s">
        <v>3428</v>
      </c>
      <c r="D2679" s="14" t="s">
        <v>3116</v>
      </c>
      <c r="E2679" s="22"/>
      <c r="F2679" s="102"/>
      <c r="G2679" s="22" t="s">
        <v>316</v>
      </c>
      <c r="H2679" s="8"/>
      <c r="I2679" s="35"/>
      <c r="J2679" s="38">
        <v>1</v>
      </c>
      <c r="K2679" s="39">
        <v>20</v>
      </c>
      <c r="L2679" s="39">
        <f>K2679*J2679</f>
        <v>20</v>
      </c>
      <c r="M2679" s="91"/>
      <c r="N2679" s="33">
        <v>44952</v>
      </c>
      <c r="O2679" s="32">
        <v>4929</v>
      </c>
      <c r="P2679" s="6" t="s">
        <v>3</v>
      </c>
      <c r="Q2679" s="322">
        <v>20</v>
      </c>
      <c r="R2679" s="322">
        <v>20</v>
      </c>
      <c r="S2679" s="7">
        <v>1800</v>
      </c>
      <c r="T2679" s="7">
        <f>S2679*J2679</f>
        <v>1800</v>
      </c>
      <c r="U2679" s="21"/>
      <c r="V2679" s="260">
        <v>120</v>
      </c>
    </row>
    <row r="2680" spans="2:22" s="191" customFormat="1" ht="18" customHeight="1">
      <c r="B2680" s="190"/>
      <c r="C2680" s="179" t="s">
        <v>3428</v>
      </c>
      <c r="D2680" s="180" t="s">
        <v>3116</v>
      </c>
      <c r="E2680" s="217"/>
      <c r="F2680" s="182"/>
      <c r="G2680" s="182" t="s">
        <v>250</v>
      </c>
      <c r="H2680" s="184" t="s">
        <v>251</v>
      </c>
      <c r="I2680" s="185"/>
      <c r="J2680" s="183"/>
      <c r="K2680" s="192">
        <v>0</v>
      </c>
      <c r="L2680" s="192">
        <v>0</v>
      </c>
      <c r="M2680" s="187"/>
      <c r="N2680" s="187">
        <v>44952</v>
      </c>
      <c r="O2680" s="186">
        <v>4929</v>
      </c>
      <c r="P2680" s="179"/>
      <c r="Q2680" s="334">
        <v>0</v>
      </c>
      <c r="R2680" s="334">
        <v>0</v>
      </c>
      <c r="S2680" s="197">
        <v>0</v>
      </c>
      <c r="T2680" s="197">
        <v>0</v>
      </c>
      <c r="U2680" s="335"/>
      <c r="V2680" s="260">
        <v>120</v>
      </c>
    </row>
    <row r="2681" spans="2:22" s="7" customFormat="1" ht="18" customHeight="1">
      <c r="B2681" s="12"/>
      <c r="C2681" s="6" t="s">
        <v>3429</v>
      </c>
      <c r="D2681" s="14" t="s">
        <v>2416</v>
      </c>
      <c r="E2681" s="19" t="s">
        <v>2599</v>
      </c>
      <c r="F2681" s="37"/>
      <c r="G2681" s="37"/>
      <c r="H2681" s="108"/>
      <c r="I2681" s="108"/>
      <c r="J2681" s="108"/>
      <c r="K2681" s="29" t="s">
        <v>102</v>
      </c>
      <c r="L2681" s="139"/>
      <c r="M2681" s="33"/>
      <c r="N2681" s="33">
        <v>44957</v>
      </c>
      <c r="O2681" s="32">
        <v>4944</v>
      </c>
      <c r="P2681" s="6"/>
      <c r="Q2681" s="339"/>
      <c r="U2681" s="21"/>
      <c r="V2681" s="260">
        <v>120</v>
      </c>
    </row>
    <row r="2682" spans="2:22" s="7" customFormat="1" ht="17.25" customHeight="1">
      <c r="B2682" s="12" t="s">
        <v>306</v>
      </c>
      <c r="C2682" s="6" t="s">
        <v>3429</v>
      </c>
      <c r="D2682" s="14" t="s">
        <v>2416</v>
      </c>
      <c r="E2682" s="19" t="s">
        <v>3430</v>
      </c>
      <c r="F2682" s="37"/>
      <c r="G2682" s="839"/>
      <c r="H2682" s="108"/>
      <c r="I2682" s="109"/>
      <c r="J2682" s="38">
        <v>1</v>
      </c>
      <c r="K2682" s="39">
        <v>35</v>
      </c>
      <c r="L2682" s="39">
        <f>K2682*J2682</f>
        <v>35</v>
      </c>
      <c r="M2682" s="117" t="s">
        <v>349</v>
      </c>
      <c r="N2682" s="33">
        <v>44957</v>
      </c>
      <c r="O2682" s="32">
        <v>4944</v>
      </c>
      <c r="P2682" s="391">
        <f>ROUNDUP(S2682/V2682/VLOOKUP(B2682,$C$2:$F$6,3,FALSE),2)</f>
        <v>23.680000000000003</v>
      </c>
      <c r="Q2682" s="322">
        <v>23.68</v>
      </c>
      <c r="R2682" s="322">
        <f>Q2682*J2682</f>
        <v>23.68</v>
      </c>
      <c r="S2682" s="7">
        <v>2500</v>
      </c>
      <c r="T2682" s="7">
        <f>S2682*J2682</f>
        <v>2500</v>
      </c>
      <c r="U2682" s="876"/>
      <c r="V2682" s="260">
        <v>120</v>
      </c>
    </row>
    <row r="2683" spans="2:22" s="7" customFormat="1" ht="18" customHeight="1">
      <c r="B2683" s="12"/>
      <c r="C2683" s="6" t="s">
        <v>3429</v>
      </c>
      <c r="D2683" s="14" t="s">
        <v>2416</v>
      </c>
      <c r="E2683" s="22"/>
      <c r="F2683" s="340"/>
      <c r="G2683" s="22" t="s">
        <v>316</v>
      </c>
      <c r="H2683" s="8"/>
      <c r="I2683" s="109" ph="1"/>
      <c r="J2683" s="38">
        <v>1</v>
      </c>
      <c r="K2683" s="39">
        <v>12</v>
      </c>
      <c r="L2683" s="39">
        <f>K2683*J2683</f>
        <v>12</v>
      </c>
      <c r="M2683" s="117"/>
      <c r="N2683" s="33">
        <v>44957</v>
      </c>
      <c r="O2683" s="32">
        <v>4944</v>
      </c>
      <c r="P2683" s="6"/>
      <c r="Q2683" s="322">
        <v>12</v>
      </c>
      <c r="R2683" s="322">
        <v>12</v>
      </c>
      <c r="S2683" s="7">
        <v>0</v>
      </c>
      <c r="T2683" s="7">
        <f>S2683*J2683</f>
        <v>0</v>
      </c>
      <c r="U2683" s="21"/>
      <c r="V2683" s="260">
        <v>120</v>
      </c>
    </row>
    <row r="2684" spans="2:22" s="191" customFormat="1" ht="15">
      <c r="B2684" s="190"/>
      <c r="C2684" s="179" t="s">
        <v>3429</v>
      </c>
      <c r="D2684" s="180" t="s">
        <v>2416</v>
      </c>
      <c r="E2684" s="181"/>
      <c r="F2684" s="622"/>
      <c r="G2684" s="182" t="s">
        <v>250</v>
      </c>
      <c r="H2684" s="184" t="s">
        <v>2945</v>
      </c>
      <c r="I2684" s="185"/>
      <c r="J2684" s="183"/>
      <c r="K2684" s="192">
        <v>0</v>
      </c>
      <c r="L2684" s="188"/>
      <c r="M2684" s="187"/>
      <c r="N2684" s="187">
        <v>44957</v>
      </c>
      <c r="O2684" s="186">
        <v>4944</v>
      </c>
      <c r="P2684" s="179"/>
      <c r="Q2684" s="725">
        <v>0</v>
      </c>
      <c r="S2684" s="197">
        <v>0</v>
      </c>
      <c r="T2684" s="198">
        <v>0</v>
      </c>
      <c r="U2684" s="335"/>
      <c r="V2684" s="260">
        <v>120</v>
      </c>
    </row>
    <row r="2685" spans="2:22" s="7" customFormat="1" ht="18" customHeight="1">
      <c r="B2685" s="12"/>
      <c r="C2685" s="6" t="s">
        <v>3431</v>
      </c>
      <c r="D2685" s="14" t="s">
        <v>3391</v>
      </c>
      <c r="E2685" s="19" t="s">
        <v>10</v>
      </c>
      <c r="F2685" s="107"/>
      <c r="G2685" s="22"/>
      <c r="H2685" s="108"/>
      <c r="I2685" s="109"/>
      <c r="J2685" s="108"/>
      <c r="K2685" s="29" t="s">
        <v>5</v>
      </c>
      <c r="L2685" s="39"/>
      <c r="M2685" s="91"/>
      <c r="N2685" s="33">
        <v>44956</v>
      </c>
      <c r="O2685" s="32">
        <v>4934</v>
      </c>
      <c r="P2685" s="14"/>
      <c r="Q2685" s="322"/>
      <c r="U2685" s="14"/>
      <c r="V2685" s="384">
        <v>120</v>
      </c>
    </row>
    <row r="2686" spans="2:22" s="7" customFormat="1" ht="18" customHeight="1">
      <c r="B2686" s="12" t="s">
        <v>302</v>
      </c>
      <c r="C2686" s="6" t="s">
        <v>3431</v>
      </c>
      <c r="D2686" s="14" t="s">
        <v>3391</v>
      </c>
      <c r="E2686" s="22" t="s">
        <v>190</v>
      </c>
      <c r="F2686" s="107">
        <v>160</v>
      </c>
      <c r="G2686" s="396" t="s">
        <v>3432</v>
      </c>
      <c r="H2686" s="108"/>
      <c r="I2686" s="109"/>
      <c r="J2686" s="8">
        <v>3</v>
      </c>
      <c r="K2686" s="39">
        <v>5</v>
      </c>
      <c r="L2686" s="39">
        <f>K2686*J2686</f>
        <v>15</v>
      </c>
      <c r="M2686" s="117" t="s">
        <v>322</v>
      </c>
      <c r="N2686" s="33">
        <v>44956</v>
      </c>
      <c r="O2686" s="32">
        <v>4934</v>
      </c>
      <c r="P2686" s="391">
        <f>ROUNDUP(S2686/V2686/VLOOKUP(B2686,$C$2:$F$6,3,FALSE),2)</f>
        <v>3.4099999999999997</v>
      </c>
      <c r="Q2686" s="322">
        <v>3.41</v>
      </c>
      <c r="R2686" s="322">
        <f>Q2686*J2686</f>
        <v>10.23</v>
      </c>
      <c r="S2686" s="7">
        <v>360</v>
      </c>
      <c r="T2686" s="7">
        <f>S2686*J2686</f>
        <v>1080</v>
      </c>
      <c r="U2686" s="21"/>
      <c r="V2686" s="260">
        <v>120</v>
      </c>
    </row>
    <row r="2687" spans="2:22" s="7" customFormat="1" ht="18" customHeight="1">
      <c r="B2687" s="12"/>
      <c r="C2687" s="6" t="s">
        <v>3431</v>
      </c>
      <c r="D2687" s="14" t="s">
        <v>3391</v>
      </c>
      <c r="E2687" s="22"/>
      <c r="F2687" s="102"/>
      <c r="G2687" s="22" t="s">
        <v>236</v>
      </c>
      <c r="H2687" s="8"/>
      <c r="I2687" s="35"/>
      <c r="J2687" s="38">
        <v>1</v>
      </c>
      <c r="K2687" s="39">
        <v>15</v>
      </c>
      <c r="L2687" s="39">
        <f>K2687*J2687</f>
        <v>15</v>
      </c>
      <c r="M2687" s="91"/>
      <c r="N2687" s="33">
        <v>44956</v>
      </c>
      <c r="O2687" s="32">
        <v>4934</v>
      </c>
      <c r="P2687" s="6" t="s">
        <v>3</v>
      </c>
      <c r="Q2687" s="322">
        <v>12</v>
      </c>
      <c r="R2687" s="322">
        <v>12</v>
      </c>
      <c r="S2687" s="7">
        <v>1000</v>
      </c>
      <c r="T2687" s="7">
        <f>S2687*J2687</f>
        <v>1000</v>
      </c>
      <c r="U2687" s="21"/>
      <c r="V2687" s="260">
        <v>120</v>
      </c>
    </row>
    <row r="2688" spans="2:22" s="7" customFormat="1" ht="18" customHeight="1">
      <c r="B2688" s="12"/>
      <c r="C2688" s="6" t="s">
        <v>3431</v>
      </c>
      <c r="D2688" s="14" t="s">
        <v>3391</v>
      </c>
      <c r="E2688" s="22"/>
      <c r="F2688" s="102"/>
      <c r="G2688" s="22" t="s">
        <v>316</v>
      </c>
      <c r="H2688" s="8"/>
      <c r="I2688" s="35"/>
      <c r="J2688" s="38">
        <v>1</v>
      </c>
      <c r="K2688" s="39">
        <v>12</v>
      </c>
      <c r="L2688" s="39">
        <f>K2688*J2688</f>
        <v>12</v>
      </c>
      <c r="M2688" s="91"/>
      <c r="N2688" s="33">
        <v>44956</v>
      </c>
      <c r="O2688" s="32">
        <v>4934</v>
      </c>
      <c r="P2688" s="6" t="s">
        <v>3</v>
      </c>
      <c r="Q2688" s="322">
        <v>12</v>
      </c>
      <c r="R2688" s="322">
        <v>12</v>
      </c>
      <c r="S2688" s="7">
        <v>1000</v>
      </c>
      <c r="T2688" s="7">
        <f>S2688*J2688</f>
        <v>1000</v>
      </c>
      <c r="U2688" s="21"/>
      <c r="V2688" s="260">
        <v>120</v>
      </c>
    </row>
    <row r="2689" spans="1:22" s="191" customFormat="1" ht="18" customHeight="1">
      <c r="B2689" s="190"/>
      <c r="C2689" s="179" t="s">
        <v>3431</v>
      </c>
      <c r="D2689" s="180" t="s">
        <v>3391</v>
      </c>
      <c r="E2689" s="217"/>
      <c r="F2689" s="182"/>
      <c r="G2689" s="182" t="s">
        <v>250</v>
      </c>
      <c r="H2689" s="184" t="s">
        <v>251</v>
      </c>
      <c r="I2689" s="185"/>
      <c r="J2689" s="183"/>
      <c r="K2689" s="192">
        <v>0</v>
      </c>
      <c r="L2689" s="192">
        <v>0</v>
      </c>
      <c r="M2689" s="187"/>
      <c r="N2689" s="187">
        <v>44956</v>
      </c>
      <c r="O2689" s="186">
        <v>4934</v>
      </c>
      <c r="P2689" s="179"/>
      <c r="Q2689" s="334">
        <v>0</v>
      </c>
      <c r="R2689" s="334">
        <v>0</v>
      </c>
      <c r="S2689" s="197">
        <v>0</v>
      </c>
      <c r="T2689" s="197">
        <v>0</v>
      </c>
      <c r="U2689" s="335"/>
      <c r="V2689" s="260">
        <v>120</v>
      </c>
    </row>
    <row r="2690" spans="1:22" s="7" customFormat="1" ht="15">
      <c r="B2690" s="12"/>
      <c r="C2690" s="6" t="s">
        <v>3433</v>
      </c>
      <c r="D2690" s="14" t="s">
        <v>2416</v>
      </c>
      <c r="E2690" s="19" t="s">
        <v>3261</v>
      </c>
      <c r="F2690" s="24"/>
      <c r="G2690" s="22"/>
      <c r="H2690" s="60"/>
      <c r="I2690" s="61"/>
      <c r="J2690" s="8"/>
      <c r="K2690" s="110" t="s">
        <v>5</v>
      </c>
      <c r="L2690" s="139"/>
      <c r="M2690" s="33"/>
      <c r="N2690" s="33">
        <v>44957</v>
      </c>
      <c r="O2690" s="32">
        <v>4941</v>
      </c>
      <c r="P2690" s="6" t="s">
        <v>8</v>
      </c>
      <c r="Q2690" s="358"/>
      <c r="U2690" s="120"/>
      <c r="V2690" s="260">
        <v>120</v>
      </c>
    </row>
    <row r="2691" spans="1:22" s="7" customFormat="1" ht="18" customHeight="1">
      <c r="B2691" s="12" t="s">
        <v>300</v>
      </c>
      <c r="C2691" s="6" t="s">
        <v>3433</v>
      </c>
      <c r="D2691" s="14" t="s">
        <v>2416</v>
      </c>
      <c r="E2691" s="22" t="s">
        <v>3262</v>
      </c>
      <c r="F2691" s="37" t="s">
        <v>359</v>
      </c>
      <c r="G2691" s="396" t="s">
        <v>3263</v>
      </c>
      <c r="H2691" s="8">
        <v>50</v>
      </c>
      <c r="I2691" s="35">
        <v>2</v>
      </c>
      <c r="J2691" s="108">
        <f>H2691*I2691</f>
        <v>100</v>
      </c>
      <c r="K2691" s="958">
        <v>0.23</v>
      </c>
      <c r="L2691" s="39">
        <f>K2691*J2691</f>
        <v>23</v>
      </c>
      <c r="M2691" s="117" t="s">
        <v>349</v>
      </c>
      <c r="N2691" s="33">
        <v>44957</v>
      </c>
      <c r="O2691" s="32">
        <v>4941</v>
      </c>
      <c r="P2691" s="391">
        <f>ROUNDUP(S2691/V2691/VLOOKUP(B2691,$C$2:$F$6,3,FALSE),2)</f>
        <v>9.9999999999999992E-2</v>
      </c>
      <c r="Q2691" s="322">
        <v>0.1</v>
      </c>
      <c r="R2691" s="322">
        <f>Q2691*J2691</f>
        <v>10</v>
      </c>
      <c r="S2691" s="7">
        <v>8.3000000000000007</v>
      </c>
      <c r="T2691" s="7">
        <f>S2691*J2691</f>
        <v>830.00000000000011</v>
      </c>
      <c r="U2691" s="39"/>
      <c r="V2691" s="260">
        <v>120</v>
      </c>
    </row>
    <row r="2692" spans="1:22" s="7" customFormat="1" ht="18" customHeight="1">
      <c r="B2692" s="12" t="s">
        <v>300</v>
      </c>
      <c r="C2692" s="6" t="s">
        <v>3433</v>
      </c>
      <c r="D2692" s="14" t="s">
        <v>2416</v>
      </c>
      <c r="E2692" s="22" t="s">
        <v>3262</v>
      </c>
      <c r="F2692" s="37" t="s">
        <v>359</v>
      </c>
      <c r="G2692" s="396" t="s">
        <v>3434</v>
      </c>
      <c r="H2692" s="8">
        <v>50</v>
      </c>
      <c r="I2692" s="35">
        <v>3</v>
      </c>
      <c r="J2692" s="108">
        <f>H2692*I2692</f>
        <v>150</v>
      </c>
      <c r="K2692" s="958">
        <v>0.23</v>
      </c>
      <c r="L2692" s="39">
        <f>K2692*J2692</f>
        <v>34.5</v>
      </c>
      <c r="M2692" s="117" t="s">
        <v>349</v>
      </c>
      <c r="N2692" s="33">
        <v>44957</v>
      </c>
      <c r="O2692" s="32">
        <v>4941</v>
      </c>
      <c r="P2692" s="391">
        <f>ROUNDUP(S2692/V2692/VLOOKUP(B2692,$C$2:$F$6,3,FALSE),2)</f>
        <v>9.9999999999999992E-2</v>
      </c>
      <c r="Q2692" s="322">
        <v>0.1</v>
      </c>
      <c r="R2692" s="322">
        <f>Q2692*J2692</f>
        <v>15</v>
      </c>
      <c r="S2692" s="7">
        <v>8.3000000000000007</v>
      </c>
      <c r="T2692" s="7">
        <f>S2692*J2692</f>
        <v>1245</v>
      </c>
      <c r="U2692" s="39"/>
      <c r="V2692" s="260">
        <v>120</v>
      </c>
    </row>
    <row r="2693" spans="1:22" s="7" customFormat="1" ht="18" customHeight="1">
      <c r="B2693" s="12"/>
      <c r="C2693" s="6" t="s">
        <v>3433</v>
      </c>
      <c r="D2693" s="14" t="s">
        <v>2416</v>
      </c>
      <c r="E2693" s="22"/>
      <c r="F2693" s="340"/>
      <c r="G2693" s="22" t="s">
        <v>316</v>
      </c>
      <c r="H2693" s="8"/>
      <c r="I2693" s="109" ph="1"/>
      <c r="J2693" s="38">
        <v>1</v>
      </c>
      <c r="K2693" s="39">
        <v>12</v>
      </c>
      <c r="L2693" s="39">
        <f>K2693*J2693</f>
        <v>12</v>
      </c>
      <c r="M2693" s="117"/>
      <c r="N2693" s="33">
        <v>44957</v>
      </c>
      <c r="O2693" s="32">
        <v>4941</v>
      </c>
      <c r="P2693" s="6"/>
      <c r="Q2693" s="322">
        <v>12</v>
      </c>
      <c r="R2693" s="322">
        <v>12</v>
      </c>
      <c r="S2693" s="7">
        <v>1100</v>
      </c>
      <c r="T2693" s="7">
        <f>S2693*J2693</f>
        <v>1100</v>
      </c>
      <c r="U2693" s="21"/>
      <c r="V2693" s="260">
        <v>120</v>
      </c>
    </row>
    <row r="2694" spans="1:22" s="218" customFormat="1" ht="18" customHeight="1">
      <c r="A2694" s="7"/>
      <c r="B2694" s="189"/>
      <c r="C2694" s="179" t="s">
        <v>3433</v>
      </c>
      <c r="D2694" s="180" t="s">
        <v>3419</v>
      </c>
      <c r="E2694" s="217"/>
      <c r="F2694" s="182"/>
      <c r="G2694" s="182" t="s">
        <v>250</v>
      </c>
      <c r="H2694" s="184" t="s">
        <v>251</v>
      </c>
      <c r="I2694" s="185"/>
      <c r="J2694" s="183"/>
      <c r="K2694" s="192">
        <v>0</v>
      </c>
      <c r="L2694" s="946"/>
      <c r="M2694" s="947"/>
      <c r="N2694" s="187">
        <v>44957</v>
      </c>
      <c r="O2694" s="186">
        <v>4941</v>
      </c>
      <c r="P2694" s="179"/>
      <c r="Q2694" s="725">
        <v>0</v>
      </c>
      <c r="S2694" s="197">
        <v>0</v>
      </c>
      <c r="T2694" s="197">
        <v>0</v>
      </c>
      <c r="U2694" s="335"/>
      <c r="V2694" s="260">
        <v>120</v>
      </c>
    </row>
    <row r="2695" spans="1:22" s="7" customFormat="1" ht="18" customHeight="1">
      <c r="B2695" s="12"/>
      <c r="C2695" s="6" t="s">
        <v>3435</v>
      </c>
      <c r="D2695" s="14" t="s">
        <v>2116</v>
      </c>
      <c r="E2695" s="19" t="s">
        <v>2865</v>
      </c>
      <c r="F2695" s="37"/>
      <c r="G2695" s="37"/>
      <c r="H2695" s="108"/>
      <c r="I2695" s="108"/>
      <c r="J2695" s="108"/>
      <c r="K2695" s="29" t="s">
        <v>5</v>
      </c>
      <c r="L2695" s="139"/>
      <c r="M2695" s="33"/>
      <c r="N2695" s="33">
        <v>44963</v>
      </c>
      <c r="O2695" s="32">
        <v>4955</v>
      </c>
      <c r="P2695" s="6"/>
      <c r="Q2695" s="339"/>
      <c r="U2695" s="21"/>
      <c r="V2695" s="260">
        <v>120</v>
      </c>
    </row>
    <row r="2696" spans="1:22" s="7" customFormat="1" ht="18" customHeight="1">
      <c r="B2696" s="12" t="s">
        <v>300</v>
      </c>
      <c r="C2696" s="6" t="s">
        <v>3435</v>
      </c>
      <c r="D2696" s="14" t="s">
        <v>2116</v>
      </c>
      <c r="E2696" s="22" t="s">
        <v>2866</v>
      </c>
      <c r="F2696" s="24">
        <v>18</v>
      </c>
      <c r="G2696" s="22" t="s">
        <v>3436</v>
      </c>
      <c r="H2696" s="813">
        <v>10</v>
      </c>
      <c r="I2696" s="814">
        <v>1</v>
      </c>
      <c r="J2696" s="8">
        <f>H2696*I2696</f>
        <v>10</v>
      </c>
      <c r="K2696" s="137">
        <v>3.67</v>
      </c>
      <c r="L2696" s="39">
        <f>K2696*J2696</f>
        <v>36.700000000000003</v>
      </c>
      <c r="M2696" s="117" t="s">
        <v>349</v>
      </c>
      <c r="N2696" s="33">
        <v>44963</v>
      </c>
      <c r="O2696" s="32">
        <v>4955</v>
      </c>
      <c r="P2696" s="391">
        <f>ROUNDUP(S2696/V2696/VLOOKUP(B2696,$C$2:$F$6,3,FALSE),2)</f>
        <v>2.36</v>
      </c>
      <c r="Q2696" s="322">
        <v>2.36</v>
      </c>
      <c r="R2696" s="322">
        <f>Q2696*J2696</f>
        <v>23.599999999999998</v>
      </c>
      <c r="S2696" s="92">
        <v>198</v>
      </c>
      <c r="T2696" s="7">
        <f>S2696*J2696</f>
        <v>1980</v>
      </c>
      <c r="U2696" s="120"/>
      <c r="V2696" s="260">
        <v>120</v>
      </c>
    </row>
    <row r="2697" spans="1:22" s="7" customFormat="1" ht="15.75">
      <c r="B2697" s="12"/>
      <c r="C2697" s="6" t="s">
        <v>3435</v>
      </c>
      <c r="D2697" s="14" t="s">
        <v>2116</v>
      </c>
      <c r="E2697" s="22"/>
      <c r="F2697" s="102"/>
      <c r="G2697" s="22" t="s">
        <v>316</v>
      </c>
      <c r="H2697" s="8"/>
      <c r="I2697" s="35"/>
      <c r="J2697" s="38">
        <v>1</v>
      </c>
      <c r="K2697" s="39">
        <v>12</v>
      </c>
      <c r="L2697" s="39">
        <f>K2697*J2697</f>
        <v>12</v>
      </c>
      <c r="M2697" s="117"/>
      <c r="N2697" s="33">
        <v>44963</v>
      </c>
      <c r="O2697" s="32">
        <v>4955</v>
      </c>
      <c r="P2697" s="391">
        <v>12</v>
      </c>
      <c r="Q2697" s="322">
        <f>P2697*J2697</f>
        <v>12</v>
      </c>
      <c r="R2697" s="322">
        <f>Q2697*J2697</f>
        <v>12</v>
      </c>
      <c r="S2697" s="7">
        <v>1000</v>
      </c>
      <c r="T2697" s="7">
        <f>S2697*J2697</f>
        <v>1000</v>
      </c>
      <c r="U2697" s="21"/>
      <c r="V2697" s="260">
        <v>120</v>
      </c>
    </row>
    <row r="2698" spans="1:22" s="191" customFormat="1" ht="15">
      <c r="B2698" s="190"/>
      <c r="C2698" s="179" t="s">
        <v>3435</v>
      </c>
      <c r="D2698" s="180" t="s">
        <v>2116</v>
      </c>
      <c r="E2698" s="181"/>
      <c r="F2698" s="182"/>
      <c r="G2698" s="182" t="s">
        <v>250</v>
      </c>
      <c r="H2698" s="184" t="s">
        <v>252</v>
      </c>
      <c r="I2698" s="185"/>
      <c r="J2698" s="183"/>
      <c r="K2698" s="192">
        <v>31</v>
      </c>
      <c r="L2698" s="192">
        <v>31</v>
      </c>
      <c r="M2698" s="187"/>
      <c r="N2698" s="187">
        <v>44963</v>
      </c>
      <c r="O2698" s="186">
        <v>4955</v>
      </c>
      <c r="P2698" s="179"/>
      <c r="Q2698" s="725">
        <v>31</v>
      </c>
      <c r="R2698" s="725">
        <v>31</v>
      </c>
      <c r="S2698" s="197">
        <v>2814</v>
      </c>
      <c r="T2698" s="197">
        <v>2814</v>
      </c>
      <c r="U2698" s="335"/>
      <c r="V2698" s="260">
        <v>120</v>
      </c>
    </row>
    <row r="2699" spans="1:22" s="7" customFormat="1" ht="18" customHeight="1">
      <c r="B2699" s="12"/>
      <c r="C2699" s="965" t="s">
        <v>4168</v>
      </c>
      <c r="D2699" s="14" t="s">
        <v>2162</v>
      </c>
      <c r="E2699" s="19" t="s">
        <v>2949</v>
      </c>
      <c r="F2699" s="37"/>
      <c r="G2699" s="37"/>
      <c r="H2699" s="108"/>
      <c r="I2699" s="108"/>
      <c r="J2699" s="108"/>
      <c r="K2699" s="29" t="s">
        <v>5</v>
      </c>
      <c r="L2699" s="139"/>
      <c r="M2699" s="33"/>
      <c r="N2699" s="33">
        <v>44978</v>
      </c>
      <c r="O2699" s="32">
        <v>5007</v>
      </c>
      <c r="P2699" s="6"/>
      <c r="Q2699" s="339"/>
      <c r="U2699" s="21"/>
      <c r="V2699" s="260">
        <v>120</v>
      </c>
    </row>
    <row r="2700" spans="1:22" s="7" customFormat="1" ht="17.25" customHeight="1">
      <c r="B2700" s="12" t="s">
        <v>300</v>
      </c>
      <c r="C2700" s="965" t="s">
        <v>4168</v>
      </c>
      <c r="D2700" s="14" t="s">
        <v>2162</v>
      </c>
      <c r="E2700" s="22" t="s">
        <v>2950</v>
      </c>
      <c r="F2700" s="37"/>
      <c r="G2700" s="839" t="s">
        <v>3383</v>
      </c>
      <c r="H2700" s="108">
        <v>30</v>
      </c>
      <c r="I2700" s="109">
        <v>34</v>
      </c>
      <c r="J2700" s="8">
        <f>H2700*I2700</f>
        <v>1020</v>
      </c>
      <c r="K2700" s="39">
        <v>0.84</v>
      </c>
      <c r="L2700" s="39">
        <f>K2700*J2700</f>
        <v>856.8</v>
      </c>
      <c r="M2700" s="117" t="s">
        <v>323</v>
      </c>
      <c r="N2700" s="33">
        <v>44978</v>
      </c>
      <c r="O2700" s="32">
        <v>5007</v>
      </c>
      <c r="P2700" s="391">
        <f>ROUNDUP(S2700/V2700/VLOOKUP(B2700,$C$2:$F$6,3,FALSE),2)</f>
        <v>0.54</v>
      </c>
      <c r="Q2700" s="322">
        <v>0.54</v>
      </c>
      <c r="R2700" s="322">
        <f>Q2700*J2700</f>
        <v>550.80000000000007</v>
      </c>
      <c r="S2700" s="7">
        <v>45</v>
      </c>
      <c r="T2700" s="7">
        <f>S2700*J2700</f>
        <v>45900</v>
      </c>
      <c r="U2700" s="876"/>
      <c r="V2700" s="260">
        <v>120</v>
      </c>
    </row>
    <row r="2701" spans="1:22" s="7" customFormat="1" ht="15">
      <c r="B2701" s="12"/>
      <c r="C2701" s="965" t="s">
        <v>4168</v>
      </c>
      <c r="D2701" s="14" t="s">
        <v>2162</v>
      </c>
      <c r="E2701" s="82"/>
      <c r="F2701" s="102"/>
      <c r="G2701" s="22" t="s">
        <v>316</v>
      </c>
      <c r="H2701" s="8"/>
      <c r="I2701" s="35"/>
      <c r="J2701" s="38">
        <v>1</v>
      </c>
      <c r="K2701" s="39">
        <v>12</v>
      </c>
      <c r="L2701" s="39">
        <f>K2701*J2701</f>
        <v>12</v>
      </c>
      <c r="M2701" s="91"/>
      <c r="N2701" s="33">
        <v>44978</v>
      </c>
      <c r="O2701" s="32">
        <v>5007</v>
      </c>
      <c r="P2701" s="6"/>
      <c r="Q2701" s="322">
        <v>12</v>
      </c>
      <c r="R2701" s="322">
        <f>Q2701*J2701</f>
        <v>12</v>
      </c>
      <c r="S2701" s="7">
        <v>0</v>
      </c>
      <c r="T2701" s="7">
        <f>S2701*J2701</f>
        <v>0</v>
      </c>
      <c r="U2701" s="21"/>
      <c r="V2701" s="260">
        <v>120</v>
      </c>
    </row>
    <row r="2702" spans="1:22" s="191" customFormat="1" ht="15">
      <c r="B2702" s="190"/>
      <c r="C2702" s="966" t="s">
        <v>4168</v>
      </c>
      <c r="D2702" s="180" t="s">
        <v>2162</v>
      </c>
      <c r="E2702" s="181"/>
      <c r="F2702" s="622"/>
      <c r="G2702" s="182" t="s">
        <v>250</v>
      </c>
      <c r="H2702" s="184" t="s">
        <v>251</v>
      </c>
      <c r="I2702" s="185"/>
      <c r="J2702" s="183"/>
      <c r="K2702" s="192">
        <v>0</v>
      </c>
      <c r="L2702" s="188"/>
      <c r="M2702" s="187"/>
      <c r="N2702" s="187">
        <v>44978</v>
      </c>
      <c r="O2702" s="186">
        <v>5007</v>
      </c>
      <c r="P2702" s="179"/>
      <c r="Q2702" s="725">
        <v>0</v>
      </c>
      <c r="S2702" s="197">
        <v>0</v>
      </c>
      <c r="T2702" s="198">
        <v>0</v>
      </c>
      <c r="U2702" s="335"/>
      <c r="V2702" s="260">
        <v>120</v>
      </c>
    </row>
    <row r="2703" spans="1:22" s="7" customFormat="1" ht="18" customHeight="1">
      <c r="B2703" s="12"/>
      <c r="C2703" s="6" t="s">
        <v>4169</v>
      </c>
      <c r="D2703" s="14" t="s">
        <v>4170</v>
      </c>
      <c r="E2703" s="19" t="s">
        <v>2270</v>
      </c>
      <c r="F2703" s="37"/>
      <c r="G2703" s="37"/>
      <c r="H2703" s="108"/>
      <c r="I2703" s="108"/>
      <c r="J2703" s="108"/>
      <c r="K2703" s="29" t="s">
        <v>5</v>
      </c>
      <c r="L2703" s="139"/>
      <c r="M2703" s="33"/>
      <c r="N2703" s="33">
        <v>44973</v>
      </c>
      <c r="O2703" s="32">
        <v>4960</v>
      </c>
      <c r="P2703" s="6"/>
      <c r="Q2703" s="339"/>
      <c r="U2703" s="21"/>
      <c r="V2703" s="260">
        <v>120</v>
      </c>
    </row>
    <row r="2704" spans="1:22" s="7" customFormat="1" ht="18" customHeight="1">
      <c r="B2704" s="12" t="s">
        <v>300</v>
      </c>
      <c r="C2704" s="6" t="s">
        <v>4169</v>
      </c>
      <c r="D2704" s="14" t="s">
        <v>4170</v>
      </c>
      <c r="E2704" s="22">
        <v>5636</v>
      </c>
      <c r="F2704" s="37" t="s">
        <v>230</v>
      </c>
      <c r="G2704" s="396" t="s">
        <v>4171</v>
      </c>
      <c r="H2704" s="108">
        <v>50</v>
      </c>
      <c r="I2704" s="109">
        <v>5</v>
      </c>
      <c r="J2704" s="8">
        <f>H2704*I2704</f>
        <v>250</v>
      </c>
      <c r="K2704" s="39">
        <v>0.28999999999999998</v>
      </c>
      <c r="L2704" s="39">
        <f>K2704*J2704</f>
        <v>72.5</v>
      </c>
      <c r="M2704" s="117" t="s">
        <v>349</v>
      </c>
      <c r="N2704" s="33">
        <v>44973</v>
      </c>
      <c r="O2704" s="32">
        <v>4960</v>
      </c>
      <c r="P2704" s="391">
        <f>ROUNDUP(S2704/V2704/VLOOKUP(B2704,$C$2:$F$6,3,FALSE),2)</f>
        <v>0.19</v>
      </c>
      <c r="Q2704" s="322">
        <v>0.19</v>
      </c>
      <c r="R2704" s="322">
        <f>Q2704*J2704</f>
        <v>47.5</v>
      </c>
      <c r="S2704" s="7">
        <v>15.7</v>
      </c>
      <c r="T2704" s="7">
        <f>S2704*J2704</f>
        <v>3925</v>
      </c>
      <c r="U2704" s="778"/>
      <c r="V2704" s="260">
        <v>120</v>
      </c>
    </row>
    <row r="2705" spans="1:22" s="7" customFormat="1" ht="18" customHeight="1">
      <c r="B2705" s="12"/>
      <c r="C2705" s="6" t="s">
        <v>4169</v>
      </c>
      <c r="D2705" s="14" t="s">
        <v>4170</v>
      </c>
      <c r="E2705" s="82"/>
      <c r="F2705" s="102"/>
      <c r="G2705" s="22" t="s">
        <v>316</v>
      </c>
      <c r="H2705" s="8"/>
      <c r="I2705" s="35"/>
      <c r="J2705" s="38">
        <v>1</v>
      </c>
      <c r="K2705" s="39">
        <v>12</v>
      </c>
      <c r="L2705" s="39">
        <f>K2705*J2705</f>
        <v>12</v>
      </c>
      <c r="M2705" s="91"/>
      <c r="N2705" s="33">
        <v>44973</v>
      </c>
      <c r="O2705" s="32">
        <v>4960</v>
      </c>
      <c r="P2705" s="6"/>
      <c r="Q2705" s="322">
        <v>12</v>
      </c>
      <c r="R2705" s="322">
        <v>12</v>
      </c>
      <c r="S2705" s="7">
        <v>1100</v>
      </c>
      <c r="T2705" s="7">
        <f>S2705*J2705</f>
        <v>1100</v>
      </c>
      <c r="U2705" s="21"/>
      <c r="V2705" s="260">
        <v>120</v>
      </c>
    </row>
    <row r="2706" spans="1:22" s="191" customFormat="1" ht="18" customHeight="1">
      <c r="B2706" s="190"/>
      <c r="C2706" s="179" t="s">
        <v>4169</v>
      </c>
      <c r="D2706" s="180" t="s">
        <v>4170</v>
      </c>
      <c r="E2706" s="181"/>
      <c r="F2706" s="622"/>
      <c r="G2706" s="182" t="s">
        <v>250</v>
      </c>
      <c r="H2706" s="184" t="s">
        <v>251</v>
      </c>
      <c r="I2706" s="185"/>
      <c r="J2706" s="183"/>
      <c r="K2706" s="192">
        <v>0</v>
      </c>
      <c r="L2706" s="188"/>
      <c r="M2706" s="187"/>
      <c r="N2706" s="187">
        <v>44973</v>
      </c>
      <c r="O2706" s="186">
        <v>4960</v>
      </c>
      <c r="P2706" s="179"/>
      <c r="Q2706" s="725">
        <v>0</v>
      </c>
      <c r="S2706" s="197">
        <v>0</v>
      </c>
      <c r="T2706" s="198">
        <v>0</v>
      </c>
      <c r="U2706" s="335"/>
      <c r="V2706" s="260">
        <v>120</v>
      </c>
    </row>
    <row r="2707" spans="1:22" s="7" customFormat="1" ht="18" customHeight="1">
      <c r="B2707" s="12"/>
      <c r="C2707" s="6" t="s">
        <v>4183</v>
      </c>
      <c r="D2707" s="14" t="s">
        <v>3116</v>
      </c>
      <c r="E2707" s="19" t="s">
        <v>10</v>
      </c>
      <c r="F2707" s="107"/>
      <c r="G2707" s="22"/>
      <c r="H2707" s="108"/>
      <c r="I2707" s="109"/>
      <c r="J2707" s="108"/>
      <c r="K2707" s="29" t="s">
        <v>5</v>
      </c>
      <c r="L2707" s="39"/>
      <c r="M2707" s="91"/>
      <c r="N2707" s="33">
        <v>44971</v>
      </c>
      <c r="O2707" s="32">
        <v>4977</v>
      </c>
      <c r="P2707" s="14"/>
      <c r="Q2707" s="322"/>
      <c r="U2707" s="14"/>
      <c r="V2707" s="384">
        <v>120</v>
      </c>
    </row>
    <row r="2708" spans="1:22" s="7" customFormat="1" ht="18" customHeight="1">
      <c r="B2708" s="12" t="s">
        <v>302</v>
      </c>
      <c r="C2708" s="6" t="s">
        <v>4183</v>
      </c>
      <c r="D2708" s="14" t="s">
        <v>3116</v>
      </c>
      <c r="E2708" s="22" t="s">
        <v>190</v>
      </c>
      <c r="F2708" s="107">
        <v>160</v>
      </c>
      <c r="G2708" s="396" t="s">
        <v>90</v>
      </c>
      <c r="H2708" s="108"/>
      <c r="I2708" s="109"/>
      <c r="J2708" s="8">
        <v>8</v>
      </c>
      <c r="K2708" s="39">
        <v>5</v>
      </c>
      <c r="L2708" s="39">
        <f>K2708*J2708</f>
        <v>40</v>
      </c>
      <c r="M2708" s="117" t="s">
        <v>322</v>
      </c>
      <c r="N2708" s="33">
        <v>44971</v>
      </c>
      <c r="O2708" s="32">
        <v>4977</v>
      </c>
      <c r="P2708" s="391">
        <f>ROUNDUP(S2708/V2708/VLOOKUP(B2708,$C$2:$F$6,3,FALSE),2)</f>
        <v>3.4099999999999997</v>
      </c>
      <c r="Q2708" s="322">
        <v>3.41</v>
      </c>
      <c r="R2708" s="322">
        <f>Q2708*J2708</f>
        <v>27.28</v>
      </c>
      <c r="S2708" s="7">
        <v>360</v>
      </c>
      <c r="T2708" s="7">
        <f>S2708*J2708</f>
        <v>2880</v>
      </c>
      <c r="U2708" s="21"/>
      <c r="V2708" s="260">
        <v>120</v>
      </c>
    </row>
    <row r="2709" spans="1:22" s="7" customFormat="1" ht="18" customHeight="1">
      <c r="B2709" s="12" t="s">
        <v>302</v>
      </c>
      <c r="C2709" s="6" t="s">
        <v>4183</v>
      </c>
      <c r="D2709" s="14" t="s">
        <v>3116</v>
      </c>
      <c r="E2709" s="22" t="s">
        <v>190</v>
      </c>
      <c r="F2709" s="107">
        <v>160</v>
      </c>
      <c r="G2709" s="396" t="s">
        <v>4184</v>
      </c>
      <c r="H2709" s="108"/>
      <c r="I2709" s="109"/>
      <c r="J2709" s="8">
        <v>12</v>
      </c>
      <c r="K2709" s="39">
        <v>5</v>
      </c>
      <c r="L2709" s="39">
        <f>K2709*J2709</f>
        <v>60</v>
      </c>
      <c r="M2709" s="117" t="s">
        <v>323</v>
      </c>
      <c r="N2709" s="33">
        <v>44971</v>
      </c>
      <c r="O2709" s="32">
        <v>4977</v>
      </c>
      <c r="P2709" s="391">
        <f>ROUNDUP(S2709/V2709/VLOOKUP(B2709,$C$2:$F$6,3,FALSE),2)</f>
        <v>3.4099999999999997</v>
      </c>
      <c r="Q2709" s="322">
        <v>3.41</v>
      </c>
      <c r="R2709" s="322">
        <f>Q2709*J2709</f>
        <v>40.92</v>
      </c>
      <c r="S2709" s="7">
        <v>360</v>
      </c>
      <c r="T2709" s="7">
        <f>S2709*J2709</f>
        <v>4320</v>
      </c>
      <c r="U2709" s="21"/>
      <c r="V2709" s="260">
        <v>120</v>
      </c>
    </row>
    <row r="2710" spans="1:22" s="7" customFormat="1" ht="18" customHeight="1">
      <c r="B2710" s="12"/>
      <c r="C2710" s="6" t="s">
        <v>4183</v>
      </c>
      <c r="D2710" s="14" t="s">
        <v>3116</v>
      </c>
      <c r="E2710" s="22"/>
      <c r="F2710" s="102"/>
      <c r="G2710" s="22" t="s">
        <v>236</v>
      </c>
      <c r="H2710" s="8"/>
      <c r="I2710" s="35"/>
      <c r="J2710" s="38">
        <v>2</v>
      </c>
      <c r="K2710" s="39">
        <v>15</v>
      </c>
      <c r="L2710" s="39">
        <f>K2710*J2710</f>
        <v>30</v>
      </c>
      <c r="M2710" s="91"/>
      <c r="N2710" s="33">
        <v>44971</v>
      </c>
      <c r="O2710" s="32">
        <v>4977</v>
      </c>
      <c r="P2710" s="391"/>
      <c r="Q2710" s="322">
        <v>12</v>
      </c>
      <c r="R2710" s="322">
        <f>Q2710*J2710</f>
        <v>24</v>
      </c>
      <c r="S2710" s="7">
        <v>1000</v>
      </c>
      <c r="T2710" s="7">
        <f>S2710*J2710</f>
        <v>2000</v>
      </c>
      <c r="U2710" s="21"/>
      <c r="V2710" s="260">
        <v>120</v>
      </c>
    </row>
    <row r="2711" spans="1:22" s="7" customFormat="1" ht="18" customHeight="1">
      <c r="B2711" s="12"/>
      <c r="C2711" s="6" t="s">
        <v>4183</v>
      </c>
      <c r="D2711" s="14" t="s">
        <v>3116</v>
      </c>
      <c r="E2711" s="22"/>
      <c r="F2711" s="102"/>
      <c r="G2711" s="22" t="s">
        <v>316</v>
      </c>
      <c r="H2711" s="8"/>
      <c r="I2711" s="35"/>
      <c r="J2711" s="38">
        <v>1</v>
      </c>
      <c r="K2711" s="39">
        <v>20</v>
      </c>
      <c r="L2711" s="39">
        <f>K2711*J2711</f>
        <v>20</v>
      </c>
      <c r="M2711" s="91"/>
      <c r="N2711" s="33">
        <v>44971</v>
      </c>
      <c r="O2711" s="32">
        <v>4977</v>
      </c>
      <c r="P2711" s="6" t="s">
        <v>3</v>
      </c>
      <c r="Q2711" s="322">
        <v>20</v>
      </c>
      <c r="R2711" s="322">
        <v>20</v>
      </c>
      <c r="S2711" s="7">
        <v>1000</v>
      </c>
      <c r="T2711" s="7">
        <f>S2711*J2711</f>
        <v>1000</v>
      </c>
      <c r="U2711" s="21"/>
      <c r="V2711" s="260">
        <v>120</v>
      </c>
    </row>
    <row r="2712" spans="1:22" s="191" customFormat="1" ht="18" customHeight="1">
      <c r="B2712" s="190"/>
      <c r="C2712" s="179" t="s">
        <v>4183</v>
      </c>
      <c r="D2712" s="180" t="s">
        <v>3116</v>
      </c>
      <c r="E2712" s="217"/>
      <c r="F2712" s="182"/>
      <c r="G2712" s="182" t="s">
        <v>250</v>
      </c>
      <c r="H2712" s="184" t="s">
        <v>251</v>
      </c>
      <c r="I2712" s="185"/>
      <c r="J2712" s="183"/>
      <c r="K2712" s="192">
        <v>0</v>
      </c>
      <c r="L2712" s="192">
        <v>0</v>
      </c>
      <c r="M2712" s="187"/>
      <c r="N2712" s="187">
        <v>44971</v>
      </c>
      <c r="O2712" s="186">
        <v>4977</v>
      </c>
      <c r="P2712" s="179"/>
      <c r="Q2712" s="334">
        <v>0</v>
      </c>
      <c r="R2712" s="334">
        <v>0</v>
      </c>
      <c r="S2712" s="197">
        <v>0</v>
      </c>
      <c r="T2712" s="197">
        <v>0</v>
      </c>
      <c r="U2712" s="335"/>
      <c r="V2712" s="260">
        <v>120</v>
      </c>
    </row>
    <row r="2713" spans="1:22" s="7" customFormat="1" ht="18" customHeight="1">
      <c r="B2713" s="12"/>
      <c r="C2713" s="6" t="s">
        <v>4186</v>
      </c>
      <c r="D2713" s="14" t="s">
        <v>2378</v>
      </c>
      <c r="E2713" s="19" t="s">
        <v>2882</v>
      </c>
      <c r="F2713" s="107"/>
      <c r="G2713" s="22"/>
      <c r="H2713" s="108"/>
      <c r="I2713" s="109"/>
      <c r="J2713" s="108"/>
      <c r="K2713" s="29" t="s">
        <v>5</v>
      </c>
      <c r="L2713" s="139"/>
      <c r="M2713" s="33"/>
      <c r="N2713" s="33">
        <v>44974</v>
      </c>
      <c r="O2713" s="32">
        <v>5001</v>
      </c>
      <c r="P2713" s="14"/>
      <c r="Q2713" s="322"/>
      <c r="U2713" s="14"/>
      <c r="V2713" s="260">
        <v>120</v>
      </c>
    </row>
    <row r="2714" spans="1:22" s="7" customFormat="1" ht="18" customHeight="1">
      <c r="B2714" s="12" t="s">
        <v>300</v>
      </c>
      <c r="C2714" s="6" t="s">
        <v>4186</v>
      </c>
      <c r="D2714" s="14" t="s">
        <v>2378</v>
      </c>
      <c r="E2714" s="22" t="s">
        <v>2468</v>
      </c>
      <c r="F2714" s="107"/>
      <c r="G2714" s="22" t="s">
        <v>100</v>
      </c>
      <c r="H2714" s="108">
        <v>13.7</v>
      </c>
      <c r="I2714" s="109">
        <v>34</v>
      </c>
      <c r="J2714" s="131">
        <f>H2714*I2714</f>
        <v>465.79999999999995</v>
      </c>
      <c r="K2714" s="39">
        <v>1.75</v>
      </c>
      <c r="L2714" s="39">
        <f>K2714*J2714</f>
        <v>815.14999999999986</v>
      </c>
      <c r="M2714" s="117" t="s">
        <v>349</v>
      </c>
      <c r="N2714" s="33">
        <v>44974</v>
      </c>
      <c r="O2714" s="32">
        <v>5001</v>
      </c>
      <c r="P2714" s="391">
        <f>ROUNDUP(S2714/V2714/VLOOKUP(B2714,$C$2:$F$6,3,FALSE),2)</f>
        <v>0.9</v>
      </c>
      <c r="Q2714" s="611">
        <v>0.9</v>
      </c>
      <c r="R2714" s="322">
        <f>Q2714*J2714</f>
        <v>419.21999999999997</v>
      </c>
      <c r="S2714" s="7">
        <v>75</v>
      </c>
      <c r="T2714" s="7">
        <f>S2714*J2714</f>
        <v>34935</v>
      </c>
      <c r="U2714" s="21"/>
      <c r="V2714" s="260">
        <v>120</v>
      </c>
    </row>
    <row r="2715" spans="1:22" s="7" customFormat="1" ht="18" customHeight="1">
      <c r="B2715" s="12"/>
      <c r="C2715" s="6" t="s">
        <v>4186</v>
      </c>
      <c r="D2715" s="14" t="s">
        <v>2378</v>
      </c>
      <c r="E2715" s="22"/>
      <c r="F2715" s="102"/>
      <c r="G2715" s="22" t="s">
        <v>316</v>
      </c>
      <c r="H2715" s="8"/>
      <c r="I2715" s="35"/>
      <c r="J2715" s="38">
        <v>1</v>
      </c>
      <c r="K2715" s="39">
        <v>12</v>
      </c>
      <c r="L2715" s="39">
        <f>K2715*J2715</f>
        <v>12</v>
      </c>
      <c r="M2715" s="33"/>
      <c r="N2715" s="33">
        <v>44974</v>
      </c>
      <c r="O2715" s="32">
        <v>5001</v>
      </c>
      <c r="P2715" s="391">
        <v>12</v>
      </c>
      <c r="Q2715" s="322">
        <v>12</v>
      </c>
      <c r="R2715" s="322">
        <v>12</v>
      </c>
      <c r="S2715" s="7">
        <v>0</v>
      </c>
      <c r="T2715" s="7">
        <f>S2715*J2715</f>
        <v>0</v>
      </c>
      <c r="U2715" s="21"/>
      <c r="V2715" s="260">
        <v>120</v>
      </c>
    </row>
    <row r="2716" spans="1:22" s="191" customFormat="1" ht="15">
      <c r="A2716" s="7"/>
      <c r="B2716" s="12"/>
      <c r="C2716" s="179" t="s">
        <v>4185</v>
      </c>
      <c r="D2716" s="180" t="s">
        <v>2378</v>
      </c>
      <c r="E2716" s="217"/>
      <c r="F2716" s="182"/>
      <c r="G2716" s="182" t="s">
        <v>250</v>
      </c>
      <c r="H2716" s="184" t="s">
        <v>252</v>
      </c>
      <c r="I2716" s="185"/>
      <c r="J2716" s="183"/>
      <c r="K2716" s="333">
        <v>37</v>
      </c>
      <c r="L2716" s="333">
        <v>37</v>
      </c>
      <c r="M2716" s="187"/>
      <c r="N2716" s="187">
        <v>44974</v>
      </c>
      <c r="O2716" s="186">
        <v>5001</v>
      </c>
      <c r="P2716" s="179"/>
      <c r="Q2716" s="333">
        <v>37</v>
      </c>
      <c r="R2716" s="333">
        <v>37</v>
      </c>
      <c r="S2716" s="197">
        <v>4242</v>
      </c>
      <c r="T2716" s="197">
        <v>4242</v>
      </c>
      <c r="U2716" s="335"/>
      <c r="V2716" s="260">
        <v>120</v>
      </c>
    </row>
    <row r="2717" spans="1:22" s="7" customFormat="1" ht="18" customHeight="1">
      <c r="B2717" s="12"/>
      <c r="C2717" s="6" t="s">
        <v>4188</v>
      </c>
      <c r="D2717" s="14" t="s">
        <v>3116</v>
      </c>
      <c r="E2717" s="19" t="s">
        <v>10</v>
      </c>
      <c r="F2717" s="107"/>
      <c r="G2717" s="22"/>
      <c r="H2717" s="108"/>
      <c r="I2717" s="109"/>
      <c r="J2717" s="108"/>
      <c r="K2717" s="29" t="s">
        <v>5</v>
      </c>
      <c r="L2717" s="39"/>
      <c r="M2717" s="91"/>
      <c r="N2717" s="33">
        <v>44978</v>
      </c>
      <c r="O2717" s="32">
        <v>5008</v>
      </c>
      <c r="P2717" s="14"/>
      <c r="Q2717" s="322"/>
      <c r="U2717" s="14"/>
      <c r="V2717" s="384">
        <v>120</v>
      </c>
    </row>
    <row r="2718" spans="1:22" s="7" customFormat="1" ht="18" customHeight="1">
      <c r="B2718" s="12" t="s">
        <v>302</v>
      </c>
      <c r="C2718" s="6" t="s">
        <v>4188</v>
      </c>
      <c r="D2718" s="14" t="s">
        <v>3116</v>
      </c>
      <c r="E2718" s="22" t="s">
        <v>190</v>
      </c>
      <c r="F2718" s="107">
        <v>160</v>
      </c>
      <c r="G2718" s="396" t="s">
        <v>4187</v>
      </c>
      <c r="H2718" s="108"/>
      <c r="I2718" s="109"/>
      <c r="J2718" s="8">
        <v>7</v>
      </c>
      <c r="K2718" s="39">
        <v>5</v>
      </c>
      <c r="L2718" s="39">
        <f>K2718*J2718</f>
        <v>35</v>
      </c>
      <c r="M2718" s="117" t="s">
        <v>322</v>
      </c>
      <c r="N2718" s="33">
        <v>44978</v>
      </c>
      <c r="O2718" s="32">
        <v>5008</v>
      </c>
      <c r="P2718" s="391">
        <f>ROUNDUP(S2718/V2718/VLOOKUP(B2718,$C$2:$F$6,3,FALSE),2)</f>
        <v>3.4099999999999997</v>
      </c>
      <c r="Q2718" s="322">
        <v>3.41</v>
      </c>
      <c r="R2718" s="322">
        <f>Q2718*J2718</f>
        <v>23.87</v>
      </c>
      <c r="S2718" s="7">
        <v>360</v>
      </c>
      <c r="T2718" s="7">
        <f>S2718*J2718</f>
        <v>2520</v>
      </c>
      <c r="U2718" s="21"/>
      <c r="V2718" s="260">
        <v>120</v>
      </c>
    </row>
    <row r="2719" spans="1:22" s="7" customFormat="1" ht="18" customHeight="1">
      <c r="B2719" s="12"/>
      <c r="C2719" s="6" t="s">
        <v>4188</v>
      </c>
      <c r="D2719" s="14" t="s">
        <v>3116</v>
      </c>
      <c r="E2719" s="22"/>
      <c r="F2719" s="102"/>
      <c r="G2719" s="22" t="s">
        <v>236</v>
      </c>
      <c r="H2719" s="8"/>
      <c r="I2719" s="35"/>
      <c r="J2719" s="38">
        <v>1</v>
      </c>
      <c r="K2719" s="39">
        <v>15</v>
      </c>
      <c r="L2719" s="39">
        <f>K2719*J2719</f>
        <v>15</v>
      </c>
      <c r="M2719" s="91"/>
      <c r="N2719" s="33">
        <v>44978</v>
      </c>
      <c r="O2719" s="32">
        <v>5008</v>
      </c>
      <c r="P2719" s="391"/>
      <c r="Q2719" s="322">
        <v>12</v>
      </c>
      <c r="R2719" s="322">
        <f>Q2719*J2719</f>
        <v>12</v>
      </c>
      <c r="S2719" s="7">
        <v>1000</v>
      </c>
      <c r="T2719" s="7">
        <f>S2719*J2719</f>
        <v>1000</v>
      </c>
      <c r="U2719" s="21"/>
      <c r="V2719" s="260">
        <v>120</v>
      </c>
    </row>
    <row r="2720" spans="1:22" s="7" customFormat="1" ht="18" customHeight="1">
      <c r="B2720" s="12"/>
      <c r="C2720" s="6" t="s">
        <v>4188</v>
      </c>
      <c r="D2720" s="14" t="s">
        <v>3116</v>
      </c>
      <c r="E2720" s="22"/>
      <c r="F2720" s="102"/>
      <c r="G2720" s="22" t="s">
        <v>316</v>
      </c>
      <c r="H2720" s="8"/>
      <c r="I2720" s="35"/>
      <c r="J2720" s="38">
        <v>1</v>
      </c>
      <c r="K2720" s="39">
        <v>20</v>
      </c>
      <c r="L2720" s="39">
        <f>K2720*J2720</f>
        <v>20</v>
      </c>
      <c r="M2720" s="91"/>
      <c r="N2720" s="33">
        <v>44978</v>
      </c>
      <c r="O2720" s="32">
        <v>5008</v>
      </c>
      <c r="P2720" s="6" t="s">
        <v>3</v>
      </c>
      <c r="Q2720" s="322">
        <v>20</v>
      </c>
      <c r="R2720" s="322">
        <v>20</v>
      </c>
      <c r="S2720" s="7">
        <v>1000</v>
      </c>
      <c r="T2720" s="7">
        <f>S2720*J2720</f>
        <v>1000</v>
      </c>
      <c r="U2720" s="21"/>
      <c r="V2720" s="260">
        <v>120</v>
      </c>
    </row>
    <row r="2721" spans="1:22" s="191" customFormat="1" ht="18" customHeight="1">
      <c r="B2721" s="190"/>
      <c r="C2721" s="179" t="s">
        <v>4188</v>
      </c>
      <c r="D2721" s="180" t="s">
        <v>3116</v>
      </c>
      <c r="E2721" s="217"/>
      <c r="F2721" s="182"/>
      <c r="G2721" s="182" t="s">
        <v>250</v>
      </c>
      <c r="H2721" s="184" t="s">
        <v>251</v>
      </c>
      <c r="I2721" s="185"/>
      <c r="J2721" s="183"/>
      <c r="K2721" s="192">
        <v>0</v>
      </c>
      <c r="L2721" s="192">
        <v>0</v>
      </c>
      <c r="M2721" s="187"/>
      <c r="N2721" s="187">
        <v>44978</v>
      </c>
      <c r="O2721" s="186">
        <v>5008</v>
      </c>
      <c r="P2721" s="179"/>
      <c r="Q2721" s="334">
        <v>0</v>
      </c>
      <c r="R2721" s="334">
        <v>0</v>
      </c>
      <c r="S2721" s="197">
        <v>0</v>
      </c>
      <c r="T2721" s="197">
        <v>0</v>
      </c>
      <c r="U2721" s="335"/>
      <c r="V2721" s="260">
        <v>120</v>
      </c>
    </row>
    <row r="2722" spans="1:22" s="7" customFormat="1" ht="15">
      <c r="B2722" s="12"/>
      <c r="C2722" s="6" t="s">
        <v>4191</v>
      </c>
      <c r="D2722" s="14" t="s">
        <v>3150</v>
      </c>
      <c r="E2722" s="19" t="s">
        <v>2244</v>
      </c>
      <c r="F2722" s="24"/>
      <c r="G2722" s="22"/>
      <c r="H2722" s="60"/>
      <c r="I2722" s="61"/>
      <c r="J2722" s="8"/>
      <c r="K2722" s="110" t="s">
        <v>5</v>
      </c>
      <c r="L2722" s="139"/>
      <c r="M2722" s="33"/>
      <c r="N2722" s="33">
        <v>44998</v>
      </c>
      <c r="O2722" s="32">
        <v>5055</v>
      </c>
      <c r="P2722" s="6" t="s">
        <v>8</v>
      </c>
      <c r="Q2722" s="358"/>
      <c r="U2722" s="120"/>
      <c r="V2722" s="260">
        <v>120</v>
      </c>
    </row>
    <row r="2723" spans="1:22" s="7" customFormat="1" ht="18" customHeight="1">
      <c r="B2723" s="12" t="s">
        <v>300</v>
      </c>
      <c r="C2723" s="6" t="s">
        <v>4191</v>
      </c>
      <c r="D2723" s="14" t="s">
        <v>3150</v>
      </c>
      <c r="E2723" s="22">
        <v>11700</v>
      </c>
      <c r="F2723" s="37">
        <v>36</v>
      </c>
      <c r="G2723" s="22" t="s">
        <v>118</v>
      </c>
      <c r="H2723" s="8">
        <v>10</v>
      </c>
      <c r="I2723" s="35">
        <v>1</v>
      </c>
      <c r="J2723" s="108">
        <f>H2723*I2723</f>
        <v>10</v>
      </c>
      <c r="K2723" s="958">
        <v>4.3</v>
      </c>
      <c r="L2723" s="39">
        <f>K2723*J2723</f>
        <v>43</v>
      </c>
      <c r="M2723" s="117" t="s">
        <v>349</v>
      </c>
      <c r="N2723" s="33">
        <v>44998</v>
      </c>
      <c r="O2723" s="32">
        <v>5055</v>
      </c>
      <c r="P2723" s="391">
        <f>ROUNDUP(S2723/V2723/VLOOKUP(B2723,$C$2:$F$6,3,FALSE),2)</f>
        <v>2.7699999999999996</v>
      </c>
      <c r="Q2723" s="322">
        <v>2.77</v>
      </c>
      <c r="R2723" s="322">
        <f>Q2723*J2723</f>
        <v>27.7</v>
      </c>
      <c r="S2723" s="7">
        <v>231.9</v>
      </c>
      <c r="T2723" s="7">
        <f>S2723*J2723</f>
        <v>2319</v>
      </c>
      <c r="U2723" s="39"/>
      <c r="V2723" s="260">
        <v>120</v>
      </c>
    </row>
    <row r="2724" spans="1:22" s="7" customFormat="1" ht="18" customHeight="1">
      <c r="B2724" s="12" t="s">
        <v>300</v>
      </c>
      <c r="C2724" s="6" t="s">
        <v>4191</v>
      </c>
      <c r="D2724" s="14" t="s">
        <v>3150</v>
      </c>
      <c r="E2724" s="22">
        <v>11700</v>
      </c>
      <c r="F2724" s="37">
        <v>48</v>
      </c>
      <c r="G2724" s="22" t="s">
        <v>118</v>
      </c>
      <c r="H2724" s="8">
        <v>10</v>
      </c>
      <c r="I2724" s="35">
        <v>1</v>
      </c>
      <c r="J2724" s="108">
        <f>H2724*I2724</f>
        <v>10</v>
      </c>
      <c r="K2724" s="958">
        <v>6.33</v>
      </c>
      <c r="L2724" s="39">
        <f>K2724*J2724</f>
        <v>63.3</v>
      </c>
      <c r="M2724" s="117" t="s">
        <v>349</v>
      </c>
      <c r="N2724" s="33">
        <v>44998</v>
      </c>
      <c r="O2724" s="32">
        <v>5055</v>
      </c>
      <c r="P2724" s="391">
        <f>ROUNDUP(S2724/V2724/VLOOKUP(B2724,$C$2:$F$6,3,FALSE),2)</f>
        <v>4.0699999999999994</v>
      </c>
      <c r="Q2724" s="322">
        <v>4.07</v>
      </c>
      <c r="R2724" s="322">
        <f>Q2724*J2724</f>
        <v>40.700000000000003</v>
      </c>
      <c r="S2724" s="7">
        <v>341.8</v>
      </c>
      <c r="T2724" s="7">
        <f>S2724*J2724</f>
        <v>3418</v>
      </c>
      <c r="U2724" s="39"/>
      <c r="V2724" s="260">
        <v>120</v>
      </c>
    </row>
    <row r="2725" spans="1:22" customFormat="1" ht="15.95" customHeight="1">
      <c r="A2725" s="1"/>
      <c r="B2725" s="12" t="s">
        <v>306</v>
      </c>
      <c r="C2725" s="6" t="s">
        <v>4191</v>
      </c>
      <c r="D2725" s="14" t="s">
        <v>3150</v>
      </c>
      <c r="E2725" s="22"/>
      <c r="F2725" s="102"/>
      <c r="G2725" s="37" t="s">
        <v>316</v>
      </c>
      <c r="H2725" s="8"/>
      <c r="I2725" s="35"/>
      <c r="J2725" s="38">
        <v>1</v>
      </c>
      <c r="K2725" s="39">
        <v>12</v>
      </c>
      <c r="L2725" s="39">
        <f>K2725*J2725</f>
        <v>12</v>
      </c>
      <c r="M2725" s="91"/>
      <c r="N2725" s="33">
        <v>44998</v>
      </c>
      <c r="O2725" s="32">
        <v>5055</v>
      </c>
      <c r="P2725" s="39"/>
      <c r="Q2725" s="358">
        <v>12</v>
      </c>
      <c r="R2725" s="323">
        <v>12</v>
      </c>
      <c r="S2725" s="7">
        <v>0</v>
      </c>
      <c r="T2725" s="7">
        <v>0</v>
      </c>
      <c r="U2725" s="270"/>
      <c r="V2725" s="260">
        <v>120</v>
      </c>
    </row>
    <row r="2726" spans="1:22" s="191" customFormat="1" ht="15">
      <c r="B2726" s="190"/>
      <c r="C2726" s="179" t="s">
        <v>4191</v>
      </c>
      <c r="D2726" s="180" t="s">
        <v>3150</v>
      </c>
      <c r="E2726" s="181"/>
      <c r="F2726" s="182"/>
      <c r="G2726" s="182" t="s">
        <v>250</v>
      </c>
      <c r="H2726" s="184" t="s">
        <v>251</v>
      </c>
      <c r="I2726" s="185"/>
      <c r="J2726" s="183"/>
      <c r="K2726" s="192">
        <v>0</v>
      </c>
      <c r="L2726" s="187"/>
      <c r="M2726" s="187"/>
      <c r="N2726" s="187">
        <v>44998</v>
      </c>
      <c r="O2726" s="186">
        <v>5055</v>
      </c>
      <c r="P2726" s="179"/>
      <c r="Q2726" s="255">
        <v>0</v>
      </c>
      <c r="S2726" s="275">
        <v>0</v>
      </c>
      <c r="T2726" s="198">
        <v>0</v>
      </c>
      <c r="U2726" s="271"/>
      <c r="V2726" s="260">
        <v>120</v>
      </c>
    </row>
    <row r="2727" spans="1:22" customFormat="1" ht="18" customHeight="1">
      <c r="B2727" s="26"/>
      <c r="C2727" s="6" t="s">
        <v>4194</v>
      </c>
      <c r="D2727" s="14" t="s">
        <v>4193</v>
      </c>
      <c r="E2727" s="19" t="s">
        <v>326</v>
      </c>
      <c r="F2727" s="37"/>
      <c r="G2727" s="37"/>
      <c r="H2727" s="108"/>
      <c r="I2727" s="108"/>
      <c r="J2727" s="108"/>
      <c r="K2727" s="29" t="s">
        <v>101</v>
      </c>
      <c r="L2727" s="33"/>
      <c r="M2727" s="33"/>
      <c r="N2727" s="33">
        <v>45000</v>
      </c>
      <c r="O2727" s="32">
        <v>5057</v>
      </c>
      <c r="P2727" s="6"/>
      <c r="Q2727" s="272"/>
      <c r="R2727" s="1"/>
      <c r="S2727" s="325" t="s">
        <v>330</v>
      </c>
      <c r="T2727" s="92"/>
      <c r="U2727" s="324"/>
      <c r="V2727" s="260">
        <v>120</v>
      </c>
    </row>
    <row r="2728" spans="1:22" customFormat="1" ht="18" customHeight="1">
      <c r="B2728" s="26" t="s">
        <v>300</v>
      </c>
      <c r="C2728" s="6" t="s">
        <v>4194</v>
      </c>
      <c r="D2728" s="14" t="s">
        <v>4193</v>
      </c>
      <c r="E2728" s="22">
        <v>3806</v>
      </c>
      <c r="F2728" s="37">
        <v>19</v>
      </c>
      <c r="G2728" s="22" t="s">
        <v>3153</v>
      </c>
      <c r="H2728" s="108">
        <v>30</v>
      </c>
      <c r="I2728" s="109">
        <v>1</v>
      </c>
      <c r="J2728" s="60">
        <f>H2728*I2728</f>
        <v>30</v>
      </c>
      <c r="K2728" s="39">
        <v>0.39</v>
      </c>
      <c r="L2728" s="39">
        <f>K2728*J2728</f>
        <v>11.700000000000001</v>
      </c>
      <c r="M2728" s="117" t="s">
        <v>323</v>
      </c>
      <c r="N2728" s="33">
        <v>45000</v>
      </c>
      <c r="O2728" s="32">
        <v>5057</v>
      </c>
      <c r="P2728" s="391">
        <f>ROUNDUP(S2728/V2728/VLOOKUP(B2728,$C$2:$F$6,3,FALSE),2)</f>
        <v>0.24000000000000002</v>
      </c>
      <c r="Q2728" s="253">
        <v>0.24</v>
      </c>
      <c r="R2728" s="323">
        <f>Q2728*J2728</f>
        <v>7.1999999999999993</v>
      </c>
      <c r="S2728" s="257">
        <v>19.829999999999998</v>
      </c>
      <c r="T2728" s="92">
        <f>S2728*J2728</f>
        <v>594.9</v>
      </c>
      <c r="U2728" s="394" t="s">
        <v>4192</v>
      </c>
      <c r="V2728" s="260">
        <v>120</v>
      </c>
    </row>
    <row r="2729" spans="1:22" customFormat="1" ht="18" customHeight="1">
      <c r="B2729" s="26" t="s">
        <v>300</v>
      </c>
      <c r="C2729" s="6" t="s">
        <v>4194</v>
      </c>
      <c r="D2729" s="14" t="s">
        <v>4193</v>
      </c>
      <c r="E2729" s="22">
        <v>3806</v>
      </c>
      <c r="F2729" s="37">
        <v>19</v>
      </c>
      <c r="G2729" s="22" t="s">
        <v>4195</v>
      </c>
      <c r="H2729" s="108">
        <v>30</v>
      </c>
      <c r="I2729" s="109">
        <v>1</v>
      </c>
      <c r="J2729" s="60">
        <f>H2729*I2729</f>
        <v>30</v>
      </c>
      <c r="K2729" s="39">
        <v>0.39</v>
      </c>
      <c r="L2729" s="39">
        <f>K2729*J2729</f>
        <v>11.700000000000001</v>
      </c>
      <c r="M2729" s="117" t="s">
        <v>323</v>
      </c>
      <c r="N2729" s="33">
        <v>45000</v>
      </c>
      <c r="O2729" s="32">
        <v>5057</v>
      </c>
      <c r="P2729" s="391">
        <f>ROUNDUP(S2729/V2729/VLOOKUP(B2729,$C$2:$F$6,3,FALSE),2)</f>
        <v>0.24000000000000002</v>
      </c>
      <c r="Q2729" s="253">
        <v>0.24</v>
      </c>
      <c r="R2729" s="323">
        <f>Q2729*J2729</f>
        <v>7.1999999999999993</v>
      </c>
      <c r="S2729" s="257">
        <v>19.829999999999998</v>
      </c>
      <c r="T2729" s="92">
        <f>S2729*J2729</f>
        <v>594.9</v>
      </c>
      <c r="U2729" s="394" t="s">
        <v>4192</v>
      </c>
      <c r="V2729" s="260">
        <v>120</v>
      </c>
    </row>
    <row r="2730" spans="1:22" s="7" customFormat="1" ht="15.95" customHeight="1">
      <c r="B2730" s="12"/>
      <c r="C2730" s="6" t="s">
        <v>4194</v>
      </c>
      <c r="D2730" s="14" t="s">
        <v>4193</v>
      </c>
      <c r="E2730" s="22"/>
      <c r="F2730" s="102"/>
      <c r="G2730" s="37" t="s">
        <v>316</v>
      </c>
      <c r="H2730" s="8"/>
      <c r="I2730" s="35"/>
      <c r="J2730" s="38">
        <v>1</v>
      </c>
      <c r="K2730" s="39">
        <v>12</v>
      </c>
      <c r="L2730" s="39">
        <f>K2730*J2730</f>
        <v>12</v>
      </c>
      <c r="M2730" s="33"/>
      <c r="N2730" s="33">
        <v>45000</v>
      </c>
      <c r="O2730" s="32">
        <v>5057</v>
      </c>
      <c r="P2730" s="6"/>
      <c r="Q2730" s="254">
        <v>12</v>
      </c>
      <c r="R2730" s="323">
        <f>Q2730*J2730</f>
        <v>12</v>
      </c>
      <c r="S2730" s="257">
        <v>0</v>
      </c>
      <c r="T2730" s="92">
        <f>S2730*J2730</f>
        <v>0</v>
      </c>
      <c r="U2730" s="266"/>
      <c r="V2730" s="260">
        <v>120</v>
      </c>
    </row>
    <row r="2731" spans="1:22" s="191" customFormat="1" ht="15" customHeight="1">
      <c r="B2731" s="190"/>
      <c r="C2731" s="179" t="s">
        <v>4194</v>
      </c>
      <c r="D2731" s="180" t="s">
        <v>4193</v>
      </c>
      <c r="E2731" s="181"/>
      <c r="F2731" s="182"/>
      <c r="G2731" s="316" t="s">
        <v>250</v>
      </c>
      <c r="H2731" s="184" t="s">
        <v>251</v>
      </c>
      <c r="I2731" s="185"/>
      <c r="J2731" s="183"/>
      <c r="K2731" s="192">
        <v>0</v>
      </c>
      <c r="L2731" s="187"/>
      <c r="M2731" s="187"/>
      <c r="N2731" s="187">
        <v>45000</v>
      </c>
      <c r="O2731" s="186">
        <v>5057</v>
      </c>
      <c r="P2731" s="179"/>
      <c r="Q2731" s="255">
        <v>0</v>
      </c>
      <c r="S2731" s="275">
        <v>0</v>
      </c>
      <c r="T2731" s="198">
        <v>0</v>
      </c>
      <c r="U2731" s="271"/>
      <c r="V2731" s="260">
        <v>120</v>
      </c>
    </row>
    <row r="2732" spans="1:22" s="7" customFormat="1" ht="18" customHeight="1">
      <c r="B2732" s="12"/>
      <c r="C2732" s="6" t="s">
        <v>4196</v>
      </c>
      <c r="D2732" s="14" t="s">
        <v>2059</v>
      </c>
      <c r="E2732" s="19" t="s">
        <v>3092</v>
      </c>
      <c r="F2732" s="37"/>
      <c r="G2732" s="37"/>
      <c r="H2732" s="108"/>
      <c r="I2732" s="108"/>
      <c r="J2732" s="108"/>
      <c r="K2732" s="29" t="s">
        <v>5</v>
      </c>
      <c r="L2732" s="139"/>
      <c r="M2732" s="33"/>
      <c r="N2732" s="33">
        <v>45001</v>
      </c>
      <c r="O2732" s="32">
        <v>5065</v>
      </c>
      <c r="P2732" s="6"/>
      <c r="Q2732" s="339"/>
      <c r="U2732" s="21"/>
      <c r="V2732" s="260">
        <v>120</v>
      </c>
    </row>
    <row r="2733" spans="1:22" s="7" customFormat="1" ht="18" customHeight="1">
      <c r="B2733" s="12" t="s">
        <v>300</v>
      </c>
      <c r="C2733" s="6" t="s">
        <v>4196</v>
      </c>
      <c r="D2733" s="14" t="s">
        <v>2059</v>
      </c>
      <c r="E2733" s="22">
        <v>5634</v>
      </c>
      <c r="F2733" s="37" t="s">
        <v>311</v>
      </c>
      <c r="G2733" s="221" t="s">
        <v>4197</v>
      </c>
      <c r="H2733" s="108">
        <v>50</v>
      </c>
      <c r="I2733" s="109">
        <v>2</v>
      </c>
      <c r="J2733" s="8">
        <f>H2733*I2733</f>
        <v>100</v>
      </c>
      <c r="K2733" s="39">
        <v>0.32</v>
      </c>
      <c r="L2733" s="39">
        <f>K2733*J2733</f>
        <v>32</v>
      </c>
      <c r="M2733" s="117" t="s">
        <v>323</v>
      </c>
      <c r="N2733" s="33">
        <v>45001</v>
      </c>
      <c r="O2733" s="32">
        <v>5065</v>
      </c>
      <c r="P2733" s="391">
        <f>ROUNDUP(S2733/V2733/VLOOKUP(B2733,$C$2:$F$6,3,FALSE),2)</f>
        <v>0.21000000000000002</v>
      </c>
      <c r="Q2733" s="322">
        <v>0.21</v>
      </c>
      <c r="R2733" s="322">
        <f>Q2733*J2733</f>
        <v>21</v>
      </c>
      <c r="S2733" s="7">
        <v>17.2</v>
      </c>
      <c r="T2733" s="92">
        <f>S2733*J2733</f>
        <v>1720</v>
      </c>
      <c r="U2733" s="962" t="s">
        <v>3398</v>
      </c>
      <c r="V2733" s="260">
        <v>120</v>
      </c>
    </row>
    <row r="2734" spans="1:22" s="7" customFormat="1" ht="18" customHeight="1">
      <c r="B2734" s="12" t="s">
        <v>300</v>
      </c>
      <c r="C2734" s="6" t="s">
        <v>4196</v>
      </c>
      <c r="D2734" s="14" t="s">
        <v>2059</v>
      </c>
      <c r="E2734" s="22">
        <v>5634</v>
      </c>
      <c r="F2734" s="37" t="s">
        <v>311</v>
      </c>
      <c r="G2734" s="221" t="s">
        <v>3376</v>
      </c>
      <c r="H2734" s="108">
        <v>50</v>
      </c>
      <c r="I2734" s="109">
        <v>1</v>
      </c>
      <c r="J2734" s="8">
        <f>H2734*I2734</f>
        <v>50</v>
      </c>
      <c r="K2734" s="39">
        <v>0.32</v>
      </c>
      <c r="L2734" s="39">
        <f>K2734*J2734</f>
        <v>16</v>
      </c>
      <c r="M2734" s="117" t="s">
        <v>323</v>
      </c>
      <c r="N2734" s="33">
        <v>45001</v>
      </c>
      <c r="O2734" s="32">
        <v>5065</v>
      </c>
      <c r="P2734" s="391">
        <f>ROUNDUP(S2734/V2734/VLOOKUP(B2734,$C$2:$F$6,3,FALSE),2)</f>
        <v>0.21000000000000002</v>
      </c>
      <c r="Q2734" s="322">
        <v>0.21</v>
      </c>
      <c r="R2734" s="322">
        <f>Q2734*J2734</f>
        <v>10.5</v>
      </c>
      <c r="S2734" s="7">
        <v>17.2</v>
      </c>
      <c r="T2734" s="92">
        <f>S2734*J2734</f>
        <v>860</v>
      </c>
      <c r="U2734" s="962" t="s">
        <v>3398</v>
      </c>
      <c r="V2734" s="260">
        <v>120</v>
      </c>
    </row>
    <row r="2735" spans="1:22" s="7" customFormat="1" ht="18" customHeight="1">
      <c r="B2735" s="12"/>
      <c r="C2735" s="6" t="s">
        <v>4196</v>
      </c>
      <c r="D2735" s="14" t="s">
        <v>2059</v>
      </c>
      <c r="E2735" s="82"/>
      <c r="F2735" s="102"/>
      <c r="G2735" s="22" t="s">
        <v>316</v>
      </c>
      <c r="H2735" s="8"/>
      <c r="I2735" s="35"/>
      <c r="J2735" s="38">
        <v>1</v>
      </c>
      <c r="K2735" s="39">
        <v>12</v>
      </c>
      <c r="L2735" s="39">
        <f>K2735*J2735</f>
        <v>12</v>
      </c>
      <c r="M2735" s="91"/>
      <c r="N2735" s="33">
        <v>45001</v>
      </c>
      <c r="O2735" s="32">
        <v>5065</v>
      </c>
      <c r="P2735" s="6"/>
      <c r="Q2735" s="322">
        <v>12</v>
      </c>
      <c r="R2735" s="322">
        <f>Q2735*J2735</f>
        <v>12</v>
      </c>
      <c r="S2735" s="7">
        <v>1100</v>
      </c>
      <c r="T2735" s="7">
        <f>S2735*J2735</f>
        <v>1100</v>
      </c>
      <c r="U2735" s="21"/>
      <c r="V2735" s="260">
        <v>120</v>
      </c>
    </row>
    <row r="2736" spans="1:22" s="191" customFormat="1" ht="18" customHeight="1">
      <c r="B2736" s="190"/>
      <c r="C2736" s="179" t="s">
        <v>4196</v>
      </c>
      <c r="D2736" s="180" t="s">
        <v>2059</v>
      </c>
      <c r="E2736" s="736"/>
      <c r="F2736" s="737"/>
      <c r="G2736" s="182" t="s">
        <v>250</v>
      </c>
      <c r="H2736" s="184" t="s">
        <v>251</v>
      </c>
      <c r="I2736" s="185"/>
      <c r="J2736" s="183"/>
      <c r="K2736" s="192">
        <v>0</v>
      </c>
      <c r="L2736" s="188"/>
      <c r="M2736" s="187"/>
      <c r="N2736" s="187">
        <v>45001</v>
      </c>
      <c r="O2736" s="186">
        <v>5065</v>
      </c>
      <c r="P2736" s="179"/>
      <c r="Q2736" s="725">
        <v>0</v>
      </c>
      <c r="S2736" s="197">
        <v>0</v>
      </c>
      <c r="T2736" s="198">
        <v>0</v>
      </c>
      <c r="U2736" s="335"/>
      <c r="V2736" s="260">
        <v>120</v>
      </c>
    </row>
    <row r="2737" spans="2:22" s="7" customFormat="1" ht="18" customHeight="1">
      <c r="B2737" s="12"/>
      <c r="C2737" s="6" t="s">
        <v>4198</v>
      </c>
      <c r="D2737" s="14" t="s">
        <v>2059</v>
      </c>
      <c r="E2737" s="19" t="s">
        <v>3092</v>
      </c>
      <c r="F2737" s="37"/>
      <c r="G2737" s="37"/>
      <c r="H2737" s="108"/>
      <c r="I2737" s="108"/>
      <c r="J2737" s="108"/>
      <c r="K2737" s="29" t="s">
        <v>5</v>
      </c>
      <c r="L2737" s="139"/>
      <c r="M2737" s="33"/>
      <c r="N2737" s="33">
        <v>45013</v>
      </c>
      <c r="O2737" s="32">
        <v>5095</v>
      </c>
      <c r="P2737" s="6"/>
      <c r="Q2737" s="339"/>
      <c r="U2737" s="21"/>
      <c r="V2737" s="260">
        <v>120</v>
      </c>
    </row>
    <row r="2738" spans="2:22" s="7" customFormat="1" ht="18" customHeight="1">
      <c r="B2738" s="12" t="s">
        <v>300</v>
      </c>
      <c r="C2738" s="6" t="s">
        <v>4198</v>
      </c>
      <c r="D2738" s="14" t="s">
        <v>2059</v>
      </c>
      <c r="E2738" s="22">
        <v>5634</v>
      </c>
      <c r="F2738" s="37" t="s">
        <v>311</v>
      </c>
      <c r="G2738" s="221" t="s">
        <v>3376</v>
      </c>
      <c r="H2738" s="108">
        <v>50</v>
      </c>
      <c r="I2738" s="109">
        <v>5</v>
      </c>
      <c r="J2738" s="8">
        <f>H2738*I2738</f>
        <v>250</v>
      </c>
      <c r="K2738" s="39">
        <v>0.32</v>
      </c>
      <c r="L2738" s="39">
        <f>K2738*J2738</f>
        <v>80</v>
      </c>
      <c r="M2738" s="117" t="s">
        <v>323</v>
      </c>
      <c r="N2738" s="33">
        <v>45013</v>
      </c>
      <c r="O2738" s="32">
        <v>5095</v>
      </c>
      <c r="P2738" s="391">
        <f>ROUNDUP(S2738/V2738/VLOOKUP(B2738,$C$2:$F$6,3,FALSE),2)</f>
        <v>0.21000000000000002</v>
      </c>
      <c r="Q2738" s="322">
        <v>0.21</v>
      </c>
      <c r="R2738" s="322">
        <f>Q2738*J2738</f>
        <v>52.5</v>
      </c>
      <c r="S2738" s="7">
        <v>17.2</v>
      </c>
      <c r="T2738" s="92">
        <f>S2738*J2738</f>
        <v>4300</v>
      </c>
      <c r="U2738" s="962" t="s">
        <v>3398</v>
      </c>
      <c r="V2738" s="260">
        <v>120</v>
      </c>
    </row>
    <row r="2739" spans="2:22" s="7" customFormat="1" ht="15">
      <c r="B2739" s="12"/>
      <c r="C2739" s="6" t="s">
        <v>4198</v>
      </c>
      <c r="D2739" s="14" t="s">
        <v>2059</v>
      </c>
      <c r="E2739" s="19" t="s">
        <v>231</v>
      </c>
      <c r="F2739" s="37"/>
      <c r="G2739" s="37"/>
      <c r="H2739" s="108"/>
      <c r="I2739" s="108"/>
      <c r="J2739" s="108"/>
      <c r="K2739" s="29" t="s">
        <v>232</v>
      </c>
      <c r="L2739" s="139"/>
      <c r="M2739" s="33"/>
      <c r="N2739" s="33">
        <v>45013</v>
      </c>
      <c r="O2739" s="32">
        <v>5095</v>
      </c>
      <c r="P2739" s="6"/>
      <c r="Q2739" s="339"/>
      <c r="U2739" s="21"/>
      <c r="V2739" s="260">
        <v>120</v>
      </c>
    </row>
    <row r="2740" spans="2:22" s="7" customFormat="1" ht="15.75">
      <c r="B2740" s="12" t="s">
        <v>300</v>
      </c>
      <c r="C2740" s="6" t="s">
        <v>4198</v>
      </c>
      <c r="D2740" s="14" t="s">
        <v>2059</v>
      </c>
      <c r="E2740" s="22" t="s">
        <v>257</v>
      </c>
      <c r="F2740" s="112">
        <v>160</v>
      </c>
      <c r="G2740" s="165" t="s">
        <v>4199</v>
      </c>
      <c r="H2740" s="166"/>
      <c r="I2740" s="166"/>
      <c r="J2740" s="166">
        <v>70</v>
      </c>
      <c r="K2740" s="39">
        <v>0.99</v>
      </c>
      <c r="L2740" s="39">
        <f>K2740*J2740</f>
        <v>69.3</v>
      </c>
      <c r="M2740" s="117" t="s">
        <v>349</v>
      </c>
      <c r="N2740" s="33">
        <v>45013</v>
      </c>
      <c r="O2740" s="32">
        <v>5095</v>
      </c>
      <c r="P2740" s="391">
        <f>ROUNDUP(S2740/V2740/VLOOKUP(B2740,$C$2:$F$6,3,FALSE),2)</f>
        <v>0.5</v>
      </c>
      <c r="Q2740" s="322">
        <v>0.5</v>
      </c>
      <c r="R2740" s="322">
        <f>Q2740*J2740</f>
        <v>35</v>
      </c>
      <c r="S2740" s="7">
        <v>41.3</v>
      </c>
      <c r="T2740" s="7">
        <f>S2740*J2740</f>
        <v>2891</v>
      </c>
      <c r="U2740" s="845"/>
      <c r="V2740" s="260">
        <v>120</v>
      </c>
    </row>
    <row r="2741" spans="2:22" s="7" customFormat="1" ht="18" customHeight="1">
      <c r="B2741" s="12" t="s">
        <v>306</v>
      </c>
      <c r="C2741" s="6" t="s">
        <v>4198</v>
      </c>
      <c r="D2741" s="14" t="s">
        <v>2059</v>
      </c>
      <c r="E2741" s="22"/>
      <c r="F2741" s="102"/>
      <c r="G2741" s="22" t="s">
        <v>3379</v>
      </c>
      <c r="H2741" s="8"/>
      <c r="I2741" s="35"/>
      <c r="J2741" s="38">
        <v>1</v>
      </c>
      <c r="K2741" s="39">
        <v>10</v>
      </c>
      <c r="L2741" s="39">
        <f>K2741*J2741</f>
        <v>10</v>
      </c>
      <c r="M2741" s="117"/>
      <c r="N2741" s="33">
        <v>45013</v>
      </c>
      <c r="O2741" s="32">
        <v>5095</v>
      </c>
      <c r="P2741" s="391">
        <f>ROUNDUP(S2741/V2741/VLOOKUP(B2741,$C$2:$F$6,3,FALSE),2)</f>
        <v>4.74</v>
      </c>
      <c r="Q2741" s="322">
        <v>4.74</v>
      </c>
      <c r="R2741" s="322">
        <f>Q2741*J2741</f>
        <v>4.74</v>
      </c>
      <c r="S2741" s="7">
        <v>500</v>
      </c>
      <c r="T2741" s="7">
        <f>S2741*J2741</f>
        <v>500</v>
      </c>
      <c r="U2741" s="21"/>
      <c r="V2741" s="260">
        <v>120</v>
      </c>
    </row>
    <row r="2742" spans="2:22" s="7" customFormat="1" ht="18" customHeight="1">
      <c r="B2742" s="12"/>
      <c r="C2742" s="6" t="s">
        <v>4198</v>
      </c>
      <c r="D2742" s="14" t="s">
        <v>2059</v>
      </c>
      <c r="E2742" s="22"/>
      <c r="F2742" s="102"/>
      <c r="G2742" s="22" t="s">
        <v>316</v>
      </c>
      <c r="H2742" s="8"/>
      <c r="I2742" s="35"/>
      <c r="J2742" s="38">
        <v>1</v>
      </c>
      <c r="K2742" s="39">
        <v>12</v>
      </c>
      <c r="L2742" s="39">
        <f>K2742*J2742</f>
        <v>12</v>
      </c>
      <c r="M2742" s="91"/>
      <c r="N2742" s="33">
        <v>45013</v>
      </c>
      <c r="O2742" s="32">
        <v>5095</v>
      </c>
      <c r="P2742" s="6"/>
      <c r="Q2742" s="322">
        <v>12</v>
      </c>
      <c r="R2742" s="322">
        <f>Q2742*J2742</f>
        <v>12</v>
      </c>
      <c r="S2742" s="7">
        <v>1100</v>
      </c>
      <c r="T2742" s="92">
        <f>J2742*S2742</f>
        <v>1100</v>
      </c>
      <c r="U2742" s="21"/>
      <c r="V2742" s="260">
        <v>120</v>
      </c>
    </row>
    <row r="2743" spans="2:22" s="191" customFormat="1" ht="15">
      <c r="B2743" s="190"/>
      <c r="C2743" s="179" t="s">
        <v>4198</v>
      </c>
      <c r="D2743" s="180" t="s">
        <v>2059</v>
      </c>
      <c r="E2743" s="217"/>
      <c r="F2743" s="182"/>
      <c r="G2743" s="182" t="s">
        <v>250</v>
      </c>
      <c r="H2743" s="184" t="s">
        <v>251</v>
      </c>
      <c r="I2743" s="185"/>
      <c r="J2743" s="183"/>
      <c r="K2743" s="192">
        <v>0</v>
      </c>
      <c r="L2743" s="188"/>
      <c r="M2743" s="187"/>
      <c r="N2743" s="187">
        <v>45013</v>
      </c>
      <c r="O2743" s="186">
        <v>5095</v>
      </c>
      <c r="P2743" s="179"/>
      <c r="Q2743" s="725">
        <v>0</v>
      </c>
      <c r="S2743" s="197">
        <v>0</v>
      </c>
      <c r="T2743" s="198">
        <v>0</v>
      </c>
      <c r="U2743" s="335"/>
      <c r="V2743" s="260">
        <v>120</v>
      </c>
    </row>
    <row r="2744" spans="2:22" customFormat="1" ht="18" customHeight="1">
      <c r="B2744" s="26"/>
      <c r="C2744" s="6" t="s">
        <v>4200</v>
      </c>
      <c r="D2744" s="14" t="s">
        <v>4201</v>
      </c>
      <c r="E2744" s="19" t="s">
        <v>326</v>
      </c>
      <c r="F2744" s="37"/>
      <c r="G2744" s="37"/>
      <c r="H2744" s="108"/>
      <c r="I2744" s="108"/>
      <c r="J2744" s="108"/>
      <c r="K2744" s="29" t="s">
        <v>101</v>
      </c>
      <c r="L2744" s="33"/>
      <c r="M2744" s="33"/>
      <c r="N2744" s="33">
        <v>45048</v>
      </c>
      <c r="O2744" s="32">
        <v>5080</v>
      </c>
      <c r="P2744" s="6"/>
      <c r="Q2744" s="272"/>
      <c r="R2744" s="1"/>
      <c r="S2744" s="325" t="s">
        <v>330</v>
      </c>
      <c r="T2744" s="92"/>
      <c r="U2744" s="324"/>
      <c r="V2744" s="260">
        <v>120</v>
      </c>
    </row>
    <row r="2745" spans="2:22" customFormat="1" ht="18" customHeight="1">
      <c r="B2745" s="26" t="s">
        <v>300</v>
      </c>
      <c r="C2745" s="6" t="s">
        <v>4200</v>
      </c>
      <c r="D2745" s="14" t="s">
        <v>4201</v>
      </c>
      <c r="E2745" s="22">
        <v>3806</v>
      </c>
      <c r="F2745" s="37">
        <v>19</v>
      </c>
      <c r="G2745" s="22" t="s">
        <v>4195</v>
      </c>
      <c r="H2745" s="108">
        <v>30</v>
      </c>
      <c r="I2745" s="109">
        <v>20</v>
      </c>
      <c r="J2745" s="60">
        <f>H2745*I2745</f>
        <v>600</v>
      </c>
      <c r="K2745" s="39">
        <v>0.39</v>
      </c>
      <c r="L2745" s="39">
        <f>K2745*J2745</f>
        <v>234</v>
      </c>
      <c r="M2745" s="117" t="s">
        <v>323</v>
      </c>
      <c r="N2745" s="33">
        <v>45048</v>
      </c>
      <c r="O2745" s="32">
        <v>5080</v>
      </c>
      <c r="P2745" s="391">
        <f>ROUNDUP(S2745/V2745/VLOOKUP(B2745,$C$2:$F$6,3,FALSE),2)</f>
        <v>0.24000000000000002</v>
      </c>
      <c r="Q2745" s="253">
        <v>0.24</v>
      </c>
      <c r="R2745" s="323">
        <f>Q2745*J2745</f>
        <v>144</v>
      </c>
      <c r="S2745" s="257">
        <v>19.829999999999998</v>
      </c>
      <c r="T2745" s="92">
        <f>S2745*J2745</f>
        <v>11897.999999999998</v>
      </c>
      <c r="U2745" s="394" t="s">
        <v>4192</v>
      </c>
      <c r="V2745" s="260">
        <v>120</v>
      </c>
    </row>
    <row r="2746" spans="2:22" customFormat="1" ht="18" customHeight="1">
      <c r="B2746" s="26" t="s">
        <v>300</v>
      </c>
      <c r="C2746" s="6" t="s">
        <v>4200</v>
      </c>
      <c r="D2746" s="14" t="s">
        <v>4201</v>
      </c>
      <c r="E2746" s="22">
        <v>3806</v>
      </c>
      <c r="F2746" s="37">
        <v>19</v>
      </c>
      <c r="G2746" s="22" t="s">
        <v>3153</v>
      </c>
      <c r="H2746" s="108">
        <v>30</v>
      </c>
      <c r="I2746" s="109">
        <v>45</v>
      </c>
      <c r="J2746" s="60">
        <f>H2746*I2746</f>
        <v>1350</v>
      </c>
      <c r="K2746" s="39">
        <v>0.39</v>
      </c>
      <c r="L2746" s="39">
        <f>K2746*J2746</f>
        <v>526.5</v>
      </c>
      <c r="M2746" s="117" t="s">
        <v>323</v>
      </c>
      <c r="N2746" s="33">
        <v>45048</v>
      </c>
      <c r="O2746" s="32">
        <v>5080</v>
      </c>
      <c r="P2746" s="391">
        <f>ROUNDUP(S2746/V2746/VLOOKUP(B2746,$C$2:$F$6,3,FALSE),2)</f>
        <v>0.24000000000000002</v>
      </c>
      <c r="Q2746" s="253">
        <v>0.24</v>
      </c>
      <c r="R2746" s="323">
        <f>Q2746*J2746</f>
        <v>324</v>
      </c>
      <c r="S2746" s="257">
        <v>19.829999999999998</v>
      </c>
      <c r="T2746" s="92">
        <f>S2746*J2746</f>
        <v>26770.499999999996</v>
      </c>
      <c r="U2746" s="394" t="s">
        <v>4192</v>
      </c>
      <c r="V2746" s="260">
        <v>120</v>
      </c>
    </row>
    <row r="2747" spans="2:22" customFormat="1" ht="18" customHeight="1">
      <c r="B2747" s="26" t="s">
        <v>300</v>
      </c>
      <c r="C2747" s="6" t="s">
        <v>4259</v>
      </c>
      <c r="D2747" s="14" t="s">
        <v>4201</v>
      </c>
      <c r="E2747" s="22">
        <v>3806</v>
      </c>
      <c r="F2747" s="37">
        <v>19</v>
      </c>
      <c r="G2747" s="22" t="s">
        <v>3153</v>
      </c>
      <c r="H2747" s="108">
        <v>30</v>
      </c>
      <c r="I2747" s="109">
        <v>3</v>
      </c>
      <c r="J2747" s="60">
        <f>H2747*I2747</f>
        <v>90</v>
      </c>
      <c r="K2747" s="39">
        <v>0.39</v>
      </c>
      <c r="L2747" s="39">
        <f>K2747*J2747</f>
        <v>35.1</v>
      </c>
      <c r="M2747" s="117" t="s">
        <v>323</v>
      </c>
      <c r="N2747" s="33">
        <v>45048</v>
      </c>
      <c r="O2747" s="32">
        <v>5080</v>
      </c>
      <c r="P2747" s="391">
        <f>ROUNDUP(S2747/V2747/VLOOKUP(B2747,$C$2:$F$6,3,FALSE),2)</f>
        <v>0.24000000000000002</v>
      </c>
      <c r="Q2747" s="253">
        <v>0.24</v>
      </c>
      <c r="R2747" s="323">
        <f>Q2747*J2747</f>
        <v>21.599999999999998</v>
      </c>
      <c r="S2747" s="257">
        <v>19.829999999999998</v>
      </c>
      <c r="T2747" s="92">
        <f>S2747*J2747</f>
        <v>1784.6999999999998</v>
      </c>
      <c r="U2747" s="394" t="s">
        <v>4192</v>
      </c>
      <c r="V2747" s="260">
        <v>120</v>
      </c>
    </row>
    <row r="2748" spans="2:22" s="7" customFormat="1" ht="15.95" customHeight="1">
      <c r="B2748" s="12"/>
      <c r="C2748" s="6" t="s">
        <v>4259</v>
      </c>
      <c r="D2748" s="14" t="s">
        <v>4201</v>
      </c>
      <c r="E2748" s="853"/>
      <c r="F2748" s="102"/>
      <c r="G2748" s="37" t="s">
        <v>316</v>
      </c>
      <c r="H2748" s="8"/>
      <c r="I2748" s="35"/>
      <c r="J2748" s="38">
        <v>2</v>
      </c>
      <c r="K2748" s="39">
        <v>12</v>
      </c>
      <c r="L2748" s="39">
        <f>K2748*J2748</f>
        <v>24</v>
      </c>
      <c r="M2748" s="33"/>
      <c r="N2748" s="33">
        <v>45048</v>
      </c>
      <c r="O2748" s="32">
        <v>5080</v>
      </c>
      <c r="P2748" s="6"/>
      <c r="Q2748" s="254">
        <v>12</v>
      </c>
      <c r="R2748" s="323">
        <f>Q2748*J2748</f>
        <v>24</v>
      </c>
      <c r="S2748" s="257">
        <v>0</v>
      </c>
      <c r="T2748" s="92">
        <f>S2748*J2748</f>
        <v>0</v>
      </c>
      <c r="U2748" s="266"/>
      <c r="V2748" s="260">
        <v>120</v>
      </c>
    </row>
    <row r="2749" spans="2:22" s="191" customFormat="1" ht="15" customHeight="1">
      <c r="B2749" s="190"/>
      <c r="C2749" s="179" t="s">
        <v>4200</v>
      </c>
      <c r="D2749" s="180" t="s">
        <v>4201</v>
      </c>
      <c r="E2749" s="181"/>
      <c r="F2749" s="182"/>
      <c r="G2749" s="316" t="s">
        <v>250</v>
      </c>
      <c r="H2749" s="184" t="s">
        <v>252</v>
      </c>
      <c r="I2749" s="185"/>
      <c r="J2749" s="183"/>
      <c r="K2749" s="192">
        <v>77</v>
      </c>
      <c r="L2749" s="192">
        <v>77</v>
      </c>
      <c r="M2749" s="187"/>
      <c r="N2749" s="187">
        <v>45048</v>
      </c>
      <c r="O2749" s="186">
        <v>5080</v>
      </c>
      <c r="P2749" s="179"/>
      <c r="Q2749" s="1133">
        <v>77</v>
      </c>
      <c r="R2749" s="1133">
        <v>77</v>
      </c>
      <c r="S2749" s="275">
        <v>8664</v>
      </c>
      <c r="T2749" s="275">
        <v>8664</v>
      </c>
      <c r="U2749" s="271"/>
      <c r="V2749" s="260">
        <v>120</v>
      </c>
    </row>
    <row r="2750" spans="2:22" s="7" customFormat="1" ht="18" customHeight="1">
      <c r="B2750" s="12"/>
      <c r="C2750" s="6" t="s">
        <v>4202</v>
      </c>
      <c r="D2750" s="14" t="s">
        <v>2231</v>
      </c>
      <c r="E2750" s="19" t="s">
        <v>2270</v>
      </c>
      <c r="F2750" s="37"/>
      <c r="G2750" s="37"/>
      <c r="H2750" s="108"/>
      <c r="I2750" s="108"/>
      <c r="J2750" s="108"/>
      <c r="K2750" s="29" t="s">
        <v>5</v>
      </c>
      <c r="L2750" s="139"/>
      <c r="M2750" s="33"/>
      <c r="N2750" s="33">
        <v>45030</v>
      </c>
      <c r="O2750" s="32">
        <v>5101</v>
      </c>
      <c r="P2750" s="6"/>
      <c r="Q2750" s="339"/>
      <c r="U2750" s="21"/>
      <c r="V2750" s="260">
        <v>120</v>
      </c>
    </row>
    <row r="2751" spans="2:22" s="7" customFormat="1" ht="18" customHeight="1">
      <c r="B2751" s="12" t="s">
        <v>300</v>
      </c>
      <c r="C2751" s="6" t="s">
        <v>4202</v>
      </c>
      <c r="D2751" s="14" t="s">
        <v>2231</v>
      </c>
      <c r="E2751" s="22">
        <v>5636</v>
      </c>
      <c r="F2751" s="37" t="s">
        <v>230</v>
      </c>
      <c r="G2751" s="839" t="s">
        <v>283</v>
      </c>
      <c r="H2751" s="108">
        <v>50</v>
      </c>
      <c r="I2751" s="109">
        <v>56</v>
      </c>
      <c r="J2751" s="8">
        <f>H2751*I2751</f>
        <v>2800</v>
      </c>
      <c r="K2751" s="39">
        <v>0.28999999999999998</v>
      </c>
      <c r="L2751" s="39">
        <f>K2751*J2751</f>
        <v>812</v>
      </c>
      <c r="M2751" s="117" t="s">
        <v>349</v>
      </c>
      <c r="N2751" s="33">
        <v>45030</v>
      </c>
      <c r="O2751" s="32">
        <v>5101</v>
      </c>
      <c r="P2751" s="391">
        <f>ROUNDUP(S2751/V2751/VLOOKUP(B2751,$C$2:$F$6,3,FALSE),2)</f>
        <v>0.14000000000000001</v>
      </c>
      <c r="Q2751" s="322">
        <v>0.14000000000000001</v>
      </c>
      <c r="R2751" s="322">
        <f>Q2751*J2751</f>
        <v>392.00000000000006</v>
      </c>
      <c r="S2751" s="7">
        <v>11.6</v>
      </c>
      <c r="T2751" s="7">
        <f>S2751*J2751</f>
        <v>32480</v>
      </c>
      <c r="U2751" s="778"/>
      <c r="V2751" s="260">
        <v>120</v>
      </c>
    </row>
    <row r="2752" spans="2:22" s="7" customFormat="1" ht="18" customHeight="1">
      <c r="B2752" s="12" t="s">
        <v>300</v>
      </c>
      <c r="C2752" s="6" t="s">
        <v>4202</v>
      </c>
      <c r="D2752" s="14" t="s">
        <v>2231</v>
      </c>
      <c r="E2752" s="22">
        <v>5636</v>
      </c>
      <c r="F2752" s="37" t="s">
        <v>230</v>
      </c>
      <c r="G2752" s="839" t="s">
        <v>4203</v>
      </c>
      <c r="H2752" s="108">
        <v>50</v>
      </c>
      <c r="I2752" s="109">
        <v>21</v>
      </c>
      <c r="J2752" s="8">
        <f>H2752*I2752</f>
        <v>1050</v>
      </c>
      <c r="K2752" s="39">
        <v>0.28999999999999998</v>
      </c>
      <c r="L2752" s="39">
        <f>K2752*J2752</f>
        <v>304.5</v>
      </c>
      <c r="M2752" s="117" t="s">
        <v>349</v>
      </c>
      <c r="N2752" s="33">
        <v>45030</v>
      </c>
      <c r="O2752" s="32">
        <v>5101</v>
      </c>
      <c r="P2752" s="391">
        <f>ROUNDUP(S2752/V2752/VLOOKUP(B2752,$C$2:$F$6,3,FALSE),2)</f>
        <v>0.19</v>
      </c>
      <c r="Q2752" s="322">
        <v>0.19</v>
      </c>
      <c r="R2752" s="322">
        <f>Q2752*J2752</f>
        <v>199.5</v>
      </c>
      <c r="S2752" s="7">
        <v>15.7</v>
      </c>
      <c r="T2752" s="7">
        <f>S2752*J2752</f>
        <v>16485</v>
      </c>
      <c r="U2752" s="778"/>
      <c r="V2752" s="260">
        <v>120</v>
      </c>
    </row>
    <row r="2753" spans="2:22" s="7" customFormat="1" ht="18" customHeight="1">
      <c r="B2753" s="12"/>
      <c r="C2753" s="6" t="s">
        <v>4202</v>
      </c>
      <c r="D2753" s="14" t="s">
        <v>2231</v>
      </c>
      <c r="E2753" s="82"/>
      <c r="F2753" s="102"/>
      <c r="G2753" s="22" t="s">
        <v>316</v>
      </c>
      <c r="H2753" s="8"/>
      <c r="I2753" s="35"/>
      <c r="J2753" s="38">
        <v>1</v>
      </c>
      <c r="K2753" s="39">
        <v>12</v>
      </c>
      <c r="L2753" s="39">
        <f>K2753*J2753</f>
        <v>12</v>
      </c>
      <c r="M2753" s="91"/>
      <c r="N2753" s="33">
        <v>45030</v>
      </c>
      <c r="O2753" s="32">
        <v>5101</v>
      </c>
      <c r="P2753" s="6"/>
      <c r="Q2753" s="322">
        <v>12</v>
      </c>
      <c r="R2753" s="322">
        <v>12</v>
      </c>
      <c r="S2753" s="7">
        <v>1100</v>
      </c>
      <c r="T2753" s="7">
        <f>S2753*J2753</f>
        <v>1100</v>
      </c>
      <c r="U2753" s="21"/>
      <c r="V2753" s="260">
        <v>120</v>
      </c>
    </row>
    <row r="2754" spans="2:22" s="191" customFormat="1" ht="18" customHeight="1">
      <c r="B2754" s="190"/>
      <c r="C2754" s="179" t="s">
        <v>4202</v>
      </c>
      <c r="D2754" s="180" t="s">
        <v>2231</v>
      </c>
      <c r="E2754" s="181"/>
      <c r="F2754" s="622"/>
      <c r="G2754" s="182" t="s">
        <v>250</v>
      </c>
      <c r="H2754" s="184" t="s">
        <v>251</v>
      </c>
      <c r="I2754" s="185"/>
      <c r="J2754" s="183"/>
      <c r="K2754" s="192">
        <v>0</v>
      </c>
      <c r="L2754" s="188"/>
      <c r="M2754" s="187"/>
      <c r="N2754" s="187">
        <v>45030</v>
      </c>
      <c r="O2754" s="186">
        <v>5101</v>
      </c>
      <c r="P2754" s="179"/>
      <c r="Q2754" s="725">
        <v>0</v>
      </c>
      <c r="S2754" s="197">
        <v>0</v>
      </c>
      <c r="T2754" s="198">
        <v>0</v>
      </c>
      <c r="U2754" s="335"/>
      <c r="V2754" s="260">
        <v>120</v>
      </c>
    </row>
    <row r="2755" spans="2:22" s="7" customFormat="1" ht="18" customHeight="1">
      <c r="B2755" s="12"/>
      <c r="C2755" s="6" t="s">
        <v>4204</v>
      </c>
      <c r="D2755" s="14" t="s">
        <v>3116</v>
      </c>
      <c r="E2755" s="19" t="s">
        <v>10</v>
      </c>
      <c r="F2755" s="107"/>
      <c r="G2755" s="22"/>
      <c r="H2755" s="108"/>
      <c r="I2755" s="109"/>
      <c r="J2755" s="108"/>
      <c r="K2755" s="29" t="s">
        <v>5</v>
      </c>
      <c r="L2755" s="39"/>
      <c r="M2755" s="91"/>
      <c r="N2755" s="33">
        <v>45012</v>
      </c>
      <c r="O2755" s="32">
        <v>5097</v>
      </c>
      <c r="P2755" s="14"/>
      <c r="Q2755" s="322"/>
      <c r="U2755" s="14"/>
      <c r="V2755" s="384">
        <v>120</v>
      </c>
    </row>
    <row r="2756" spans="2:22" s="7" customFormat="1" ht="18" customHeight="1">
      <c r="B2756" s="12" t="s">
        <v>302</v>
      </c>
      <c r="C2756" s="6" t="s">
        <v>4204</v>
      </c>
      <c r="D2756" s="14" t="s">
        <v>3116</v>
      </c>
      <c r="E2756" s="22" t="s">
        <v>190</v>
      </c>
      <c r="F2756" s="107">
        <v>160</v>
      </c>
      <c r="G2756" s="396" t="s">
        <v>4205</v>
      </c>
      <c r="H2756" s="108"/>
      <c r="I2756" s="109"/>
      <c r="J2756" s="8">
        <v>7</v>
      </c>
      <c r="K2756" s="39">
        <v>5.28</v>
      </c>
      <c r="L2756" s="39">
        <f>K2756*J2756</f>
        <v>36.96</v>
      </c>
      <c r="M2756" s="117" t="s">
        <v>322</v>
      </c>
      <c r="N2756" s="33">
        <v>45012</v>
      </c>
      <c r="O2756" s="32">
        <v>5097</v>
      </c>
      <c r="P2756" s="391">
        <f>ROUNDUP(S2756/V2756/VLOOKUP(B2756,$C$2:$F$6,3,FALSE),2)</f>
        <v>3.5999999999999996</v>
      </c>
      <c r="Q2756" s="322">
        <v>3.6</v>
      </c>
      <c r="R2756" s="322">
        <f>Q2756*J2756</f>
        <v>25.2</v>
      </c>
      <c r="S2756" s="7">
        <v>380</v>
      </c>
      <c r="T2756" s="7">
        <f>S2756*J2756</f>
        <v>2660</v>
      </c>
      <c r="U2756" s="21"/>
      <c r="V2756" s="260">
        <v>120</v>
      </c>
    </row>
    <row r="2757" spans="2:22" s="7" customFormat="1" ht="18" customHeight="1">
      <c r="B2757" s="12" t="s">
        <v>302</v>
      </c>
      <c r="C2757" s="6" t="s">
        <v>4204</v>
      </c>
      <c r="D2757" s="14" t="s">
        <v>3116</v>
      </c>
      <c r="E2757" s="22" t="s">
        <v>190</v>
      </c>
      <c r="F2757" s="107">
        <v>160</v>
      </c>
      <c r="G2757" s="396" t="s">
        <v>4206</v>
      </c>
      <c r="H2757" s="108"/>
      <c r="I2757" s="109"/>
      <c r="J2757" s="8">
        <v>1</v>
      </c>
      <c r="K2757" s="39">
        <v>5.28</v>
      </c>
      <c r="L2757" s="39">
        <f>K2757*J2757</f>
        <v>5.28</v>
      </c>
      <c r="M2757" s="117" t="s">
        <v>323</v>
      </c>
      <c r="N2757" s="33">
        <v>45012</v>
      </c>
      <c r="O2757" s="32">
        <v>5097</v>
      </c>
      <c r="P2757" s="391">
        <f>ROUNDUP(S2757/V2757/VLOOKUP(B2757,$C$2:$F$6,3,FALSE),2)</f>
        <v>3.5999999999999996</v>
      </c>
      <c r="Q2757" s="322">
        <v>3.6</v>
      </c>
      <c r="R2757" s="322">
        <f>Q2757*J2757</f>
        <v>3.6</v>
      </c>
      <c r="S2757" s="7">
        <v>380</v>
      </c>
      <c r="T2757" s="7">
        <f>S2757*J2757</f>
        <v>380</v>
      </c>
      <c r="U2757" s="21"/>
      <c r="V2757" s="260">
        <v>120</v>
      </c>
    </row>
    <row r="2758" spans="2:22" s="7" customFormat="1" ht="18" customHeight="1">
      <c r="B2758" s="12" t="s">
        <v>302</v>
      </c>
      <c r="C2758" s="6" t="s">
        <v>4204</v>
      </c>
      <c r="D2758" s="14" t="s">
        <v>3116</v>
      </c>
      <c r="E2758" s="22" t="s">
        <v>190</v>
      </c>
      <c r="F2758" s="107">
        <v>160</v>
      </c>
      <c r="G2758" s="396" t="s">
        <v>4207</v>
      </c>
      <c r="H2758" s="108"/>
      <c r="I2758" s="109"/>
      <c r="J2758" s="8">
        <v>1</v>
      </c>
      <c r="K2758" s="39">
        <v>5.28</v>
      </c>
      <c r="L2758" s="39">
        <f>K2758*J2758</f>
        <v>5.28</v>
      </c>
      <c r="M2758" s="117" t="s">
        <v>322</v>
      </c>
      <c r="N2758" s="33">
        <v>45012</v>
      </c>
      <c r="O2758" s="32">
        <v>5097</v>
      </c>
      <c r="P2758" s="391">
        <f>ROUNDUP(S2758/V2758/VLOOKUP(B2758,$C$2:$F$6,3,FALSE),2)</f>
        <v>3.5999999999999996</v>
      </c>
      <c r="Q2758" s="322">
        <v>3.6</v>
      </c>
      <c r="R2758" s="322">
        <f>Q2758*J2758</f>
        <v>3.6</v>
      </c>
      <c r="S2758" s="7">
        <v>380</v>
      </c>
      <c r="T2758" s="7">
        <f>S2758*J2758</f>
        <v>380</v>
      </c>
      <c r="U2758" s="21"/>
      <c r="V2758" s="260">
        <v>120</v>
      </c>
    </row>
    <row r="2759" spans="2:22" s="7" customFormat="1" ht="18" customHeight="1">
      <c r="B2759" s="12"/>
      <c r="C2759" s="6" t="s">
        <v>4204</v>
      </c>
      <c r="D2759" s="14" t="s">
        <v>3116</v>
      </c>
      <c r="E2759" s="22"/>
      <c r="F2759" s="102"/>
      <c r="G2759" s="22" t="s">
        <v>236</v>
      </c>
      <c r="H2759" s="8"/>
      <c r="I2759" s="35"/>
      <c r="J2759" s="38">
        <v>3</v>
      </c>
      <c r="K2759" s="39">
        <v>15</v>
      </c>
      <c r="L2759" s="39">
        <f>K2759*J2759</f>
        <v>45</v>
      </c>
      <c r="M2759" s="91"/>
      <c r="N2759" s="33">
        <v>45012</v>
      </c>
      <c r="O2759" s="32">
        <v>5097</v>
      </c>
      <c r="P2759" s="391"/>
      <c r="Q2759" s="322">
        <v>12</v>
      </c>
      <c r="R2759" s="322">
        <f>Q2759*J2759</f>
        <v>36</v>
      </c>
      <c r="S2759" s="7">
        <v>1000</v>
      </c>
      <c r="T2759" s="7">
        <f>S2759*J2759</f>
        <v>3000</v>
      </c>
      <c r="U2759" s="21"/>
      <c r="V2759" s="260">
        <v>120</v>
      </c>
    </row>
    <row r="2760" spans="2:22" s="7" customFormat="1" ht="18" customHeight="1">
      <c r="B2760" s="12"/>
      <c r="C2760" s="6" t="s">
        <v>4204</v>
      </c>
      <c r="D2760" s="14" t="s">
        <v>3116</v>
      </c>
      <c r="E2760" s="22"/>
      <c r="F2760" s="102"/>
      <c r="G2760" s="22" t="s">
        <v>316</v>
      </c>
      <c r="H2760" s="8"/>
      <c r="I2760" s="35"/>
      <c r="J2760" s="38">
        <v>1</v>
      </c>
      <c r="K2760" s="39">
        <v>20</v>
      </c>
      <c r="L2760" s="39">
        <f>K2760*J2760</f>
        <v>20</v>
      </c>
      <c r="M2760" s="91"/>
      <c r="N2760" s="33">
        <v>45012</v>
      </c>
      <c r="O2760" s="32">
        <v>5097</v>
      </c>
      <c r="P2760" s="6" t="s">
        <v>3</v>
      </c>
      <c r="Q2760" s="322">
        <v>20</v>
      </c>
      <c r="R2760" s="322">
        <v>20</v>
      </c>
      <c r="S2760" s="7">
        <v>1000</v>
      </c>
      <c r="T2760" s="7">
        <f>S2760*J2760</f>
        <v>1000</v>
      </c>
      <c r="U2760" s="21"/>
      <c r="V2760" s="260">
        <v>120</v>
      </c>
    </row>
    <row r="2761" spans="2:22" s="191" customFormat="1" ht="18" customHeight="1">
      <c r="B2761" s="190"/>
      <c r="C2761" s="179" t="s">
        <v>4204</v>
      </c>
      <c r="D2761" s="180" t="s">
        <v>3116</v>
      </c>
      <c r="E2761" s="217"/>
      <c r="F2761" s="182"/>
      <c r="G2761" s="182" t="s">
        <v>250</v>
      </c>
      <c r="H2761" s="184" t="s">
        <v>251</v>
      </c>
      <c r="I2761" s="185"/>
      <c r="J2761" s="183"/>
      <c r="K2761" s="192">
        <v>0</v>
      </c>
      <c r="L2761" s="192">
        <v>0</v>
      </c>
      <c r="M2761" s="187"/>
      <c r="N2761" s="187">
        <v>45012</v>
      </c>
      <c r="O2761" s="186">
        <v>5097</v>
      </c>
      <c r="P2761" s="179"/>
      <c r="Q2761" s="334">
        <v>0</v>
      </c>
      <c r="R2761" s="334">
        <v>0</v>
      </c>
      <c r="S2761" s="197">
        <v>0</v>
      </c>
      <c r="T2761" s="197">
        <v>0</v>
      </c>
      <c r="U2761" s="335"/>
      <c r="V2761" s="260">
        <v>120</v>
      </c>
    </row>
    <row r="2762" spans="2:22" s="7" customFormat="1" ht="15">
      <c r="B2762" s="12"/>
      <c r="C2762" s="6" t="s">
        <v>4271</v>
      </c>
      <c r="D2762" s="14" t="s">
        <v>2416</v>
      </c>
      <c r="E2762" s="19" t="s">
        <v>3261</v>
      </c>
      <c r="F2762" s="24"/>
      <c r="G2762" s="22"/>
      <c r="H2762" s="8"/>
      <c r="I2762" s="35"/>
      <c r="J2762" s="8"/>
      <c r="K2762" s="110" t="s">
        <v>5</v>
      </c>
      <c r="L2762" s="139"/>
      <c r="M2762" s="33"/>
      <c r="N2762" s="33">
        <v>45068</v>
      </c>
      <c r="O2762" s="32">
        <v>5110</v>
      </c>
      <c r="P2762" s="6" t="s">
        <v>8</v>
      </c>
      <c r="Q2762" s="358"/>
      <c r="U2762" s="120"/>
      <c r="V2762" s="260">
        <v>120</v>
      </c>
    </row>
    <row r="2763" spans="2:22" s="7" customFormat="1" ht="18" customHeight="1">
      <c r="B2763" s="12" t="s">
        <v>300</v>
      </c>
      <c r="C2763" s="6" t="s">
        <v>4271</v>
      </c>
      <c r="D2763" s="14" t="s">
        <v>2416</v>
      </c>
      <c r="E2763" s="22" t="s">
        <v>3262</v>
      </c>
      <c r="F2763" s="37" t="s">
        <v>359</v>
      </c>
      <c r="G2763" s="396" t="s">
        <v>4208</v>
      </c>
      <c r="H2763" s="8">
        <v>50</v>
      </c>
      <c r="I2763" s="35">
        <v>12</v>
      </c>
      <c r="J2763" s="108">
        <f>H2763*I2763</f>
        <v>600</v>
      </c>
      <c r="K2763" s="958">
        <v>0.23</v>
      </c>
      <c r="L2763" s="39">
        <f t="shared" ref="L2763:L2768" si="176">K2763*J2763</f>
        <v>138</v>
      </c>
      <c r="M2763" s="117" t="s">
        <v>349</v>
      </c>
      <c r="N2763" s="33">
        <v>45068</v>
      </c>
      <c r="O2763" s="32">
        <v>5110</v>
      </c>
      <c r="P2763" s="391">
        <f t="shared" ref="P2763:P2768" si="177">ROUNDUP(S2763/V2763/VLOOKUP(B2763,$C$2:$F$6,3,FALSE),2)</f>
        <v>0.11</v>
      </c>
      <c r="Q2763" s="322">
        <v>0.11</v>
      </c>
      <c r="R2763" s="322">
        <f t="shared" ref="R2763:R2768" si="178">Q2763*J2763</f>
        <v>66</v>
      </c>
      <c r="S2763" s="7">
        <v>8.8000000000000007</v>
      </c>
      <c r="T2763" s="7">
        <f>S2763*J2763</f>
        <v>5280</v>
      </c>
      <c r="U2763" s="39"/>
      <c r="V2763" s="260">
        <v>120</v>
      </c>
    </row>
    <row r="2764" spans="2:22" s="7" customFormat="1" ht="18" customHeight="1">
      <c r="B2764" s="12" t="s">
        <v>300</v>
      </c>
      <c r="C2764" s="6" t="s">
        <v>4272</v>
      </c>
      <c r="D2764" s="14" t="s">
        <v>2416</v>
      </c>
      <c r="E2764" s="22" t="s">
        <v>3262</v>
      </c>
      <c r="F2764" s="37" t="s">
        <v>359</v>
      </c>
      <c r="G2764" s="396" t="s">
        <v>4209</v>
      </c>
      <c r="H2764" s="8">
        <v>50</v>
      </c>
      <c r="I2764" s="35">
        <v>3</v>
      </c>
      <c r="J2764" s="108">
        <f>H2764*I2764</f>
        <v>150</v>
      </c>
      <c r="K2764" s="958">
        <v>0.23</v>
      </c>
      <c r="L2764" s="39">
        <f t="shared" si="176"/>
        <v>34.5</v>
      </c>
      <c r="M2764" s="117" t="s">
        <v>349</v>
      </c>
      <c r="N2764" s="33">
        <v>45068</v>
      </c>
      <c r="O2764" s="32">
        <v>5110</v>
      </c>
      <c r="P2764" s="391">
        <f t="shared" si="177"/>
        <v>0.11</v>
      </c>
      <c r="Q2764" s="322">
        <v>0.11</v>
      </c>
      <c r="R2764" s="322">
        <f t="shared" si="178"/>
        <v>16.5</v>
      </c>
      <c r="S2764" s="7">
        <v>8.8000000000000007</v>
      </c>
      <c r="T2764" s="7">
        <f>S2764*J2764</f>
        <v>1320</v>
      </c>
      <c r="U2764" s="39"/>
      <c r="V2764" s="260">
        <v>120</v>
      </c>
    </row>
    <row r="2765" spans="2:22" s="7" customFormat="1" ht="18" customHeight="1">
      <c r="B2765" s="12" t="s">
        <v>300</v>
      </c>
      <c r="C2765" s="6" t="s">
        <v>4272</v>
      </c>
      <c r="D2765" s="14" t="s">
        <v>2416</v>
      </c>
      <c r="E2765" s="22" t="s">
        <v>3262</v>
      </c>
      <c r="F2765" s="37" t="s">
        <v>359</v>
      </c>
      <c r="G2765" s="396" t="s">
        <v>4210</v>
      </c>
      <c r="H2765" s="8">
        <v>50</v>
      </c>
      <c r="I2765" s="35">
        <v>4</v>
      </c>
      <c r="J2765" s="108">
        <f>H2765*I2765</f>
        <v>200</v>
      </c>
      <c r="K2765" s="958">
        <v>0.23</v>
      </c>
      <c r="L2765" s="39">
        <f t="shared" si="176"/>
        <v>46</v>
      </c>
      <c r="M2765" s="117" t="s">
        <v>349</v>
      </c>
      <c r="N2765" s="33">
        <v>45068</v>
      </c>
      <c r="O2765" s="32">
        <v>5110</v>
      </c>
      <c r="P2765" s="391">
        <f t="shared" si="177"/>
        <v>0.11</v>
      </c>
      <c r="Q2765" s="322">
        <v>0.11</v>
      </c>
      <c r="R2765" s="322">
        <f t="shared" si="178"/>
        <v>22</v>
      </c>
      <c r="S2765" s="7">
        <v>8.8000000000000007</v>
      </c>
      <c r="T2765" s="7">
        <f>S2765*J2765</f>
        <v>1760.0000000000002</v>
      </c>
      <c r="U2765" s="39"/>
      <c r="V2765" s="260">
        <v>120</v>
      </c>
    </row>
    <row r="2766" spans="2:22" s="7" customFormat="1" ht="18" customHeight="1">
      <c r="B2766" s="12" t="s">
        <v>300</v>
      </c>
      <c r="C2766" s="6" t="s">
        <v>4272</v>
      </c>
      <c r="D2766" s="14" t="s">
        <v>2416</v>
      </c>
      <c r="E2766" s="22" t="s">
        <v>3262</v>
      </c>
      <c r="F2766" s="37" t="s">
        <v>359</v>
      </c>
      <c r="G2766" s="396" t="s">
        <v>4211</v>
      </c>
      <c r="H2766" s="8">
        <v>50</v>
      </c>
      <c r="I2766" s="35">
        <v>2</v>
      </c>
      <c r="J2766" s="108">
        <f>H2766*I2766</f>
        <v>100</v>
      </c>
      <c r="K2766" s="958">
        <v>0.33</v>
      </c>
      <c r="L2766" s="39">
        <f t="shared" si="176"/>
        <v>33</v>
      </c>
      <c r="M2766" s="117" t="s">
        <v>349</v>
      </c>
      <c r="N2766" s="33">
        <v>45068</v>
      </c>
      <c r="O2766" s="32">
        <v>5110</v>
      </c>
      <c r="P2766" s="391">
        <f t="shared" si="177"/>
        <v>0.14000000000000001</v>
      </c>
      <c r="Q2766" s="322">
        <v>0.14000000000000001</v>
      </c>
      <c r="R2766" s="322">
        <f t="shared" si="178"/>
        <v>14.000000000000002</v>
      </c>
      <c r="S2766" s="7">
        <v>11.7</v>
      </c>
      <c r="T2766" s="7">
        <f>S2766*J2766</f>
        <v>1170</v>
      </c>
      <c r="U2766" s="39"/>
      <c r="V2766" s="260">
        <v>120</v>
      </c>
    </row>
    <row r="2767" spans="2:22" s="7" customFormat="1" ht="18" customHeight="1">
      <c r="B2767" s="12" t="s">
        <v>300</v>
      </c>
      <c r="C2767" s="6" t="s">
        <v>4272</v>
      </c>
      <c r="D2767" s="14" t="s">
        <v>2416</v>
      </c>
      <c r="E2767" s="22" t="s">
        <v>3262</v>
      </c>
      <c r="F2767" s="37" t="s">
        <v>359</v>
      </c>
      <c r="G2767" s="396" t="s">
        <v>4212</v>
      </c>
      <c r="H2767" s="8">
        <v>50</v>
      </c>
      <c r="I2767" s="35">
        <v>4</v>
      </c>
      <c r="J2767" s="108">
        <f>H2767*I2767</f>
        <v>200</v>
      </c>
      <c r="K2767" s="958">
        <v>0.33</v>
      </c>
      <c r="L2767" s="39">
        <f t="shared" si="176"/>
        <v>66</v>
      </c>
      <c r="M2767" s="117" t="s">
        <v>349</v>
      </c>
      <c r="N2767" s="33">
        <v>45068</v>
      </c>
      <c r="O2767" s="32">
        <v>5110</v>
      </c>
      <c r="P2767" s="391">
        <f t="shared" si="177"/>
        <v>0.14000000000000001</v>
      </c>
      <c r="Q2767" s="322">
        <v>0.14000000000000001</v>
      </c>
      <c r="R2767" s="322">
        <f t="shared" si="178"/>
        <v>28.000000000000004</v>
      </c>
      <c r="S2767" s="7">
        <v>11.7</v>
      </c>
      <c r="T2767" s="7">
        <f>S2767*J2767</f>
        <v>2340</v>
      </c>
      <c r="U2767" s="39"/>
      <c r="V2767" s="260">
        <v>120</v>
      </c>
    </row>
    <row r="2768" spans="2:22" s="7" customFormat="1" ht="17.45" customHeight="1">
      <c r="B2768" s="12" t="s">
        <v>306</v>
      </c>
      <c r="C2768" s="6" t="s">
        <v>4272</v>
      </c>
      <c r="D2768" s="14" t="s">
        <v>2416</v>
      </c>
      <c r="E2768" s="22"/>
      <c r="F2768" s="37"/>
      <c r="G2768" s="221" t="s">
        <v>4213</v>
      </c>
      <c r="H2768" s="8"/>
      <c r="I2768" s="35"/>
      <c r="J2768" s="38">
        <v>2</v>
      </c>
      <c r="K2768" s="958">
        <v>153</v>
      </c>
      <c r="L2768" s="39">
        <f t="shared" si="176"/>
        <v>306</v>
      </c>
      <c r="M2768" s="117" t="s">
        <v>349</v>
      </c>
      <c r="N2768" s="33">
        <v>45068</v>
      </c>
      <c r="O2768" s="32">
        <v>5110</v>
      </c>
      <c r="P2768" s="391">
        <f t="shared" si="177"/>
        <v>104.17</v>
      </c>
      <c r="Q2768" s="322">
        <v>104.17</v>
      </c>
      <c r="R2768" s="322">
        <f t="shared" si="178"/>
        <v>208.34</v>
      </c>
      <c r="S2768" s="7">
        <f>3000+8000</f>
        <v>11000</v>
      </c>
      <c r="T2768" s="7">
        <f>(3000+8000)*J2768</f>
        <v>22000</v>
      </c>
      <c r="U2768" s="39"/>
      <c r="V2768" s="260">
        <v>120</v>
      </c>
    </row>
    <row r="2769" spans="1:22" s="7" customFormat="1" ht="15">
      <c r="B2769" s="12"/>
      <c r="C2769" s="6" t="s">
        <v>4270</v>
      </c>
      <c r="D2769" s="14" t="s">
        <v>2416</v>
      </c>
      <c r="E2769" s="19" t="s">
        <v>4214</v>
      </c>
      <c r="F2769" s="24"/>
      <c r="G2769" s="22"/>
      <c r="H2769" s="8"/>
      <c r="I2769" s="35"/>
      <c r="J2769" s="8"/>
      <c r="K2769" s="110" t="s">
        <v>5</v>
      </c>
      <c r="L2769" s="139"/>
      <c r="M2769" s="33"/>
      <c r="N2769" s="33">
        <v>45068</v>
      </c>
      <c r="O2769" s="32">
        <v>5248</v>
      </c>
      <c r="P2769" s="6" t="s">
        <v>8</v>
      </c>
      <c r="Q2769" s="358"/>
      <c r="U2769" s="120"/>
      <c r="V2769" s="260">
        <v>120</v>
      </c>
    </row>
    <row r="2770" spans="1:22" s="7" customFormat="1" ht="18" customHeight="1">
      <c r="B2770" s="12" t="s">
        <v>300</v>
      </c>
      <c r="C2770" s="6" t="s">
        <v>4270</v>
      </c>
      <c r="D2770" s="14" t="s">
        <v>2416</v>
      </c>
      <c r="E2770" s="22" t="s">
        <v>4215</v>
      </c>
      <c r="F2770" s="37" t="s">
        <v>359</v>
      </c>
      <c r="G2770" s="396" t="s">
        <v>4212</v>
      </c>
      <c r="H2770" s="8">
        <v>50</v>
      </c>
      <c r="I2770" s="35">
        <v>6</v>
      </c>
      <c r="J2770" s="108">
        <f>H2770*I2770</f>
        <v>300</v>
      </c>
      <c r="K2770" s="958">
        <v>0.45</v>
      </c>
      <c r="L2770" s="39">
        <f>K2770*J2770</f>
        <v>135</v>
      </c>
      <c r="M2770" s="117" t="s">
        <v>349</v>
      </c>
      <c r="N2770" s="33">
        <v>45068</v>
      </c>
      <c r="O2770" s="32">
        <v>5248</v>
      </c>
      <c r="P2770" s="391">
        <f>ROUNDUP(S2770/V2770/VLOOKUP(B2770,$C$2:$F$6,3,FALSE),2)</f>
        <v>0.24000000000000002</v>
      </c>
      <c r="Q2770" s="322">
        <v>0.24</v>
      </c>
      <c r="R2770" s="322">
        <f>Q2770*J2770</f>
        <v>72</v>
      </c>
      <c r="S2770" s="7">
        <v>20</v>
      </c>
      <c r="T2770" s="7">
        <f>S2770*J2770</f>
        <v>6000</v>
      </c>
      <c r="U2770" s="39"/>
      <c r="V2770" s="260">
        <v>120</v>
      </c>
    </row>
    <row r="2771" spans="1:22" s="7" customFormat="1" ht="17.45" customHeight="1">
      <c r="B2771" s="12" t="s">
        <v>306</v>
      </c>
      <c r="C2771" s="6" t="s">
        <v>4270</v>
      </c>
      <c r="D2771" s="14" t="s">
        <v>2416</v>
      </c>
      <c r="E2771" s="22"/>
      <c r="F2771" s="37"/>
      <c r="G2771" s="221" t="s">
        <v>4216</v>
      </c>
      <c r="H2771" s="8"/>
      <c r="I2771" s="35"/>
      <c r="J2771" s="38">
        <v>1</v>
      </c>
      <c r="K2771" s="958">
        <v>85</v>
      </c>
      <c r="L2771" s="39">
        <f>K2771*J2771</f>
        <v>85</v>
      </c>
      <c r="M2771" s="117" t="s">
        <v>349</v>
      </c>
      <c r="N2771" s="33">
        <v>45068</v>
      </c>
      <c r="O2771" s="32">
        <v>5248</v>
      </c>
      <c r="P2771" s="391">
        <f>ROUNDUP(S2771/V2771/VLOOKUP(B2771,$C$2:$F$6,3,FALSE),2)</f>
        <v>56.82</v>
      </c>
      <c r="Q2771" s="322">
        <v>56.82</v>
      </c>
      <c r="R2771" s="322">
        <f>Q2771*J2771</f>
        <v>56.82</v>
      </c>
      <c r="S2771" s="7">
        <v>6000</v>
      </c>
      <c r="T2771" s="7">
        <v>6000</v>
      </c>
      <c r="U2771" s="39"/>
      <c r="V2771" s="260">
        <v>120</v>
      </c>
    </row>
    <row r="2772" spans="1:22" s="7" customFormat="1" ht="18" customHeight="1">
      <c r="B2772" s="12"/>
      <c r="C2772" s="6" t="s">
        <v>4270</v>
      </c>
      <c r="D2772" s="14" t="s">
        <v>2416</v>
      </c>
      <c r="E2772" s="22"/>
      <c r="F2772" s="340"/>
      <c r="G2772" s="22" t="s">
        <v>316</v>
      </c>
      <c r="H2772" s="8"/>
      <c r="I2772" s="109" ph="1"/>
      <c r="J2772" s="38">
        <v>1</v>
      </c>
      <c r="K2772" s="39">
        <v>12</v>
      </c>
      <c r="L2772" s="39">
        <f>K2772*J2772</f>
        <v>12</v>
      </c>
      <c r="M2772" s="117"/>
      <c r="N2772" s="33">
        <v>45068</v>
      </c>
      <c r="O2772" s="32">
        <v>5248</v>
      </c>
      <c r="P2772" s="6"/>
      <c r="Q2772" s="322">
        <v>12</v>
      </c>
      <c r="R2772" s="322">
        <v>12</v>
      </c>
      <c r="S2772" s="7">
        <v>1100</v>
      </c>
      <c r="T2772" s="7">
        <f>S2772*J2772</f>
        <v>1100</v>
      </c>
      <c r="U2772" s="21"/>
      <c r="V2772" s="260">
        <v>120</v>
      </c>
    </row>
    <row r="2773" spans="1:22" s="218" customFormat="1" ht="18" customHeight="1">
      <c r="A2773" s="7"/>
      <c r="B2773" s="189"/>
      <c r="C2773" s="179" t="s">
        <v>4270</v>
      </c>
      <c r="D2773" s="180" t="s">
        <v>3419</v>
      </c>
      <c r="E2773" s="217"/>
      <c r="F2773" s="182"/>
      <c r="G2773" s="182" t="s">
        <v>250</v>
      </c>
      <c r="H2773" s="184" t="s">
        <v>251</v>
      </c>
      <c r="I2773" s="185"/>
      <c r="J2773" s="183"/>
      <c r="K2773" s="192">
        <v>0</v>
      </c>
      <c r="L2773" s="946"/>
      <c r="M2773" s="947"/>
      <c r="N2773" s="187">
        <v>45068</v>
      </c>
      <c r="O2773" s="186">
        <v>5248</v>
      </c>
      <c r="P2773" s="179"/>
      <c r="Q2773" s="725">
        <v>0</v>
      </c>
      <c r="S2773" s="197">
        <v>0</v>
      </c>
      <c r="T2773" s="197">
        <v>0</v>
      </c>
      <c r="U2773" s="335"/>
      <c r="V2773" s="260">
        <v>120</v>
      </c>
    </row>
    <row r="2774" spans="1:22" s="7" customFormat="1" ht="15">
      <c r="B2774" s="12"/>
      <c r="C2774" s="6" t="s">
        <v>4269</v>
      </c>
      <c r="D2774" s="14" t="s">
        <v>2416</v>
      </c>
      <c r="E2774" s="19" t="s">
        <v>4214</v>
      </c>
      <c r="F2774" s="24"/>
      <c r="G2774" s="22"/>
      <c r="H2774" s="8"/>
      <c r="I2774" s="35"/>
      <c r="J2774" s="8"/>
      <c r="K2774" s="110" t="s">
        <v>5</v>
      </c>
      <c r="L2774" s="139"/>
      <c r="M2774" s="33"/>
      <c r="N2774" s="33">
        <v>45016</v>
      </c>
      <c r="O2774" s="32">
        <v>5113</v>
      </c>
      <c r="P2774" s="6" t="s">
        <v>8</v>
      </c>
      <c r="Q2774" s="358"/>
      <c r="U2774" s="120"/>
      <c r="V2774" s="260">
        <v>120</v>
      </c>
    </row>
    <row r="2775" spans="1:22" s="7" customFormat="1" ht="18" customHeight="1">
      <c r="B2775" s="12" t="s">
        <v>300</v>
      </c>
      <c r="C2775" s="6" t="s">
        <v>4217</v>
      </c>
      <c r="D2775" s="14" t="s">
        <v>2416</v>
      </c>
      <c r="E2775" s="22" t="s">
        <v>4215</v>
      </c>
      <c r="F2775" s="37" t="s">
        <v>359</v>
      </c>
      <c r="G2775" s="396" t="s">
        <v>4208</v>
      </c>
      <c r="H2775" s="8">
        <v>50</v>
      </c>
      <c r="I2775" s="35">
        <v>6</v>
      </c>
      <c r="J2775" s="108">
        <f>H2775*I2775</f>
        <v>300</v>
      </c>
      <c r="K2775" s="958">
        <v>0.35</v>
      </c>
      <c r="L2775" s="39">
        <f t="shared" ref="L2775:L2782" si="179">K2775*J2775</f>
        <v>105</v>
      </c>
      <c r="M2775" s="117" t="s">
        <v>349</v>
      </c>
      <c r="N2775" s="33">
        <v>45016</v>
      </c>
      <c r="O2775" s="32">
        <v>5113</v>
      </c>
      <c r="P2775" s="391">
        <f>ROUNDUP(S2775/V2775/VLOOKUP(B2775,$C$2:$F$6,3,FALSE),2)</f>
        <v>0.19</v>
      </c>
      <c r="Q2775" s="322">
        <v>0.19</v>
      </c>
      <c r="R2775" s="322">
        <f>Q2775*J2775</f>
        <v>57</v>
      </c>
      <c r="S2775" s="7">
        <v>15.6</v>
      </c>
      <c r="T2775" s="7">
        <f>S2775*J2775</f>
        <v>4680</v>
      </c>
      <c r="U2775" s="39"/>
      <c r="V2775" s="260">
        <v>120</v>
      </c>
    </row>
    <row r="2776" spans="1:22" s="7" customFormat="1" ht="18" customHeight="1">
      <c r="B2776" s="12"/>
      <c r="C2776" s="6" t="s">
        <v>4217</v>
      </c>
      <c r="D2776" s="14" t="s">
        <v>2416</v>
      </c>
      <c r="E2776" s="22"/>
      <c r="F2776" s="340"/>
      <c r="G2776" s="22" t="s">
        <v>316</v>
      </c>
      <c r="H2776" s="8"/>
      <c r="I2776" s="109" ph="1"/>
      <c r="J2776" s="38">
        <v>1</v>
      </c>
      <c r="K2776" s="39">
        <v>12</v>
      </c>
      <c r="L2776" s="39">
        <f t="shared" si="179"/>
        <v>12</v>
      </c>
      <c r="M2776" s="117"/>
      <c r="N2776" s="33">
        <v>45016</v>
      </c>
      <c r="O2776" s="32">
        <v>5113</v>
      </c>
      <c r="P2776" s="6"/>
      <c r="Q2776" s="322">
        <v>12</v>
      </c>
      <c r="R2776" s="322">
        <v>12</v>
      </c>
      <c r="S2776" s="7">
        <v>1100</v>
      </c>
      <c r="T2776" s="7">
        <f>S2776*J2776</f>
        <v>1100</v>
      </c>
      <c r="U2776" s="21"/>
      <c r="V2776" s="260">
        <v>120</v>
      </c>
    </row>
    <row r="2777" spans="1:22" s="7" customFormat="1" ht="18" customHeight="1">
      <c r="B2777" s="12" t="s">
        <v>300</v>
      </c>
      <c r="C2777" s="6" t="s">
        <v>4217</v>
      </c>
      <c r="D2777" s="14" t="s">
        <v>2416</v>
      </c>
      <c r="E2777" s="22" t="s">
        <v>4215</v>
      </c>
      <c r="F2777" s="37" t="s">
        <v>359</v>
      </c>
      <c r="G2777" s="396" t="s">
        <v>4218</v>
      </c>
      <c r="H2777" s="8">
        <v>50</v>
      </c>
      <c r="I2777" s="35">
        <v>4</v>
      </c>
      <c r="J2777" s="108">
        <f>H2777*I2777</f>
        <v>200</v>
      </c>
      <c r="K2777" s="958">
        <v>0.45</v>
      </c>
      <c r="L2777" s="39">
        <f t="shared" si="179"/>
        <v>90</v>
      </c>
      <c r="M2777" s="117" t="s">
        <v>349</v>
      </c>
      <c r="N2777" s="33">
        <v>45035</v>
      </c>
      <c r="O2777" s="32">
        <v>5166</v>
      </c>
      <c r="P2777" s="391">
        <f>ROUNDUP(S2777/V2777/VLOOKUP(B2777,$C$2:$F$6,3,FALSE),2)</f>
        <v>0.24000000000000002</v>
      </c>
      <c r="Q2777" s="322">
        <v>0.24</v>
      </c>
      <c r="R2777" s="322">
        <f>Q2777*J2777</f>
        <v>48</v>
      </c>
      <c r="S2777" s="7">
        <v>20</v>
      </c>
      <c r="T2777" s="7">
        <f>S2777*J2777</f>
        <v>4000</v>
      </c>
      <c r="U2777" s="39"/>
      <c r="V2777" s="260">
        <v>120</v>
      </c>
    </row>
    <row r="2778" spans="1:22" s="7" customFormat="1" ht="18" customHeight="1">
      <c r="B2778" s="12" t="s">
        <v>300</v>
      </c>
      <c r="C2778" s="6" t="s">
        <v>4217</v>
      </c>
      <c r="D2778" s="14" t="s">
        <v>2416</v>
      </c>
      <c r="E2778" s="22" t="s">
        <v>4215</v>
      </c>
      <c r="F2778" s="37" t="s">
        <v>359</v>
      </c>
      <c r="G2778" s="396" t="s">
        <v>4212</v>
      </c>
      <c r="H2778" s="8">
        <v>50</v>
      </c>
      <c r="I2778" s="35">
        <v>4</v>
      </c>
      <c r="J2778" s="108">
        <f>H2778*I2778</f>
        <v>200</v>
      </c>
      <c r="K2778" s="958">
        <v>0.45</v>
      </c>
      <c r="L2778" s="39">
        <f t="shared" si="179"/>
        <v>90</v>
      </c>
      <c r="M2778" s="117" t="s">
        <v>349</v>
      </c>
      <c r="N2778" s="33">
        <v>45035</v>
      </c>
      <c r="O2778" s="32">
        <v>5166</v>
      </c>
      <c r="P2778" s="391">
        <f>ROUNDUP(S2778/V2778/VLOOKUP(B2778,$C$2:$F$6,3,FALSE),2)</f>
        <v>0.24000000000000002</v>
      </c>
      <c r="Q2778" s="322">
        <v>0.24</v>
      </c>
      <c r="R2778" s="322">
        <f>Q2778*J2778</f>
        <v>48</v>
      </c>
      <c r="S2778" s="7">
        <v>20</v>
      </c>
      <c r="T2778" s="7">
        <f>S2778*J2778</f>
        <v>4000</v>
      </c>
      <c r="U2778" s="39"/>
      <c r="V2778" s="260">
        <v>120</v>
      </c>
    </row>
    <row r="2779" spans="1:22" s="7" customFormat="1" ht="18" customHeight="1">
      <c r="B2779" s="12" t="s">
        <v>300</v>
      </c>
      <c r="C2779" s="6" t="s">
        <v>4217</v>
      </c>
      <c r="D2779" s="14" t="s">
        <v>2416</v>
      </c>
      <c r="E2779" s="22" t="s">
        <v>4215</v>
      </c>
      <c r="F2779" s="37" t="s">
        <v>359</v>
      </c>
      <c r="G2779" s="396" t="s">
        <v>4219</v>
      </c>
      <c r="H2779" s="8">
        <v>50</v>
      </c>
      <c r="I2779" s="35">
        <v>4</v>
      </c>
      <c r="J2779" s="108">
        <f>H2779*I2779</f>
        <v>200</v>
      </c>
      <c r="K2779" s="958">
        <v>0.45</v>
      </c>
      <c r="L2779" s="39">
        <f t="shared" si="179"/>
        <v>90</v>
      </c>
      <c r="M2779" s="117" t="s">
        <v>349</v>
      </c>
      <c r="N2779" s="33">
        <v>45035</v>
      </c>
      <c r="O2779" s="32">
        <v>5166</v>
      </c>
      <c r="P2779" s="391">
        <f>ROUNDUP(S2779/V2779/VLOOKUP(B2779,$C$2:$F$6,3,FALSE),2)</f>
        <v>0.24000000000000002</v>
      </c>
      <c r="Q2779" s="322">
        <v>0.24</v>
      </c>
      <c r="R2779" s="322">
        <f>Q2779*J2779</f>
        <v>48</v>
      </c>
      <c r="S2779" s="7">
        <v>20</v>
      </c>
      <c r="T2779" s="7">
        <f>S2779*J2779</f>
        <v>4000</v>
      </c>
      <c r="U2779" s="39"/>
      <c r="V2779" s="260">
        <v>120</v>
      </c>
    </row>
    <row r="2780" spans="1:22" s="7" customFormat="1" ht="17.45" customHeight="1">
      <c r="B2780" s="12" t="s">
        <v>306</v>
      </c>
      <c r="C2780" s="6" t="s">
        <v>4217</v>
      </c>
      <c r="D2780" s="14" t="s">
        <v>2416</v>
      </c>
      <c r="E2780" s="22"/>
      <c r="F2780" s="37"/>
      <c r="G2780" s="221" t="s">
        <v>4235</v>
      </c>
      <c r="H2780" s="8"/>
      <c r="I2780" s="35"/>
      <c r="J2780" s="38">
        <v>2</v>
      </c>
      <c r="K2780" s="958">
        <v>195</v>
      </c>
      <c r="L2780" s="39">
        <f t="shared" si="179"/>
        <v>390</v>
      </c>
      <c r="M2780" s="117" t="s">
        <v>349</v>
      </c>
      <c r="N2780" s="33">
        <v>45035</v>
      </c>
      <c r="O2780" s="32">
        <v>5166</v>
      </c>
      <c r="P2780" s="391">
        <f>ROUNDUP(S2780/V2780/VLOOKUP(B2780,$C$2:$F$6,3,FALSE),2)</f>
        <v>132.57999999999998</v>
      </c>
      <c r="Q2780" s="322">
        <v>132.58000000000001</v>
      </c>
      <c r="R2780" s="322">
        <f>Q2780*J2780</f>
        <v>265.16000000000003</v>
      </c>
      <c r="S2780" s="7">
        <f>6000+8000</f>
        <v>14000</v>
      </c>
      <c r="T2780" s="7">
        <f>(6000+8000)*J2780</f>
        <v>28000</v>
      </c>
      <c r="U2780" s="39"/>
      <c r="V2780" s="260">
        <v>120</v>
      </c>
    </row>
    <row r="2781" spans="1:22" s="7" customFormat="1" ht="18" customHeight="1">
      <c r="B2781" s="12"/>
      <c r="C2781" s="6" t="s">
        <v>4217</v>
      </c>
      <c r="D2781" s="14" t="s">
        <v>2416</v>
      </c>
      <c r="E2781" s="22"/>
      <c r="F2781" s="340"/>
      <c r="G2781" s="22" t="s">
        <v>316</v>
      </c>
      <c r="H2781" s="8"/>
      <c r="I2781" s="109" ph="1"/>
      <c r="J2781" s="38">
        <v>1</v>
      </c>
      <c r="K2781" s="39">
        <v>12</v>
      </c>
      <c r="L2781" s="39">
        <f t="shared" si="179"/>
        <v>12</v>
      </c>
      <c r="M2781" s="117"/>
      <c r="N2781" s="33">
        <v>45035</v>
      </c>
      <c r="O2781" s="32">
        <v>5166</v>
      </c>
      <c r="P2781" s="6"/>
      <c r="Q2781" s="322">
        <v>12</v>
      </c>
      <c r="R2781" s="322">
        <v>12</v>
      </c>
      <c r="S2781" s="7">
        <v>550</v>
      </c>
      <c r="T2781" s="7">
        <f>S2781*J2781</f>
        <v>550</v>
      </c>
      <c r="U2781" s="21"/>
      <c r="V2781" s="260">
        <v>120</v>
      </c>
    </row>
    <row r="2782" spans="1:22" s="7" customFormat="1" ht="17.45" customHeight="1">
      <c r="B2782" s="12" t="s">
        <v>306</v>
      </c>
      <c r="C2782" s="6" t="s">
        <v>4217</v>
      </c>
      <c r="D2782" s="14" t="s">
        <v>2416</v>
      </c>
      <c r="E2782" s="22"/>
      <c r="F2782" s="37"/>
      <c r="G2782" s="221" t="s">
        <v>4216</v>
      </c>
      <c r="H2782" s="8"/>
      <c r="I2782" s="35"/>
      <c r="J2782" s="38">
        <v>1</v>
      </c>
      <c r="K2782" s="958">
        <v>0</v>
      </c>
      <c r="L2782" s="39">
        <f t="shared" si="179"/>
        <v>0</v>
      </c>
      <c r="M2782" s="117" t="s">
        <v>349</v>
      </c>
      <c r="N2782" s="33">
        <v>45035</v>
      </c>
      <c r="O2782" s="32">
        <v>5166</v>
      </c>
      <c r="P2782" s="391">
        <f>ROUNDUP(S2782/V2782/VLOOKUP(B2782,$C$2:$F$6,3,FALSE),2)</f>
        <v>0</v>
      </c>
      <c r="Q2782" s="322">
        <v>0</v>
      </c>
      <c r="R2782" s="322">
        <f>Q2782*J2782</f>
        <v>0</v>
      </c>
      <c r="S2782" s="7">
        <v>0</v>
      </c>
      <c r="T2782" s="7">
        <v>0</v>
      </c>
      <c r="U2782" s="39"/>
      <c r="V2782" s="260">
        <v>120</v>
      </c>
    </row>
    <row r="2783" spans="1:22" s="218" customFormat="1" ht="18" customHeight="1">
      <c r="A2783" s="7"/>
      <c r="B2783" s="189"/>
      <c r="C2783" s="179" t="s">
        <v>4217</v>
      </c>
      <c r="D2783" s="180" t="s">
        <v>2416</v>
      </c>
      <c r="E2783" s="217"/>
      <c r="F2783" s="182"/>
      <c r="G2783" s="182" t="s">
        <v>250</v>
      </c>
      <c r="H2783" s="184" t="s">
        <v>251</v>
      </c>
      <c r="I2783" s="185"/>
      <c r="J2783" s="183"/>
      <c r="K2783" s="192">
        <v>0</v>
      </c>
      <c r="L2783" s="946"/>
      <c r="M2783" s="947"/>
      <c r="N2783" s="187">
        <v>45035</v>
      </c>
      <c r="O2783" s="186">
        <v>5166</v>
      </c>
      <c r="P2783" s="179"/>
      <c r="Q2783" s="725">
        <v>0</v>
      </c>
      <c r="S2783" s="197">
        <v>0</v>
      </c>
      <c r="T2783" s="197">
        <v>0</v>
      </c>
      <c r="U2783" s="335"/>
      <c r="V2783" s="260">
        <v>120</v>
      </c>
    </row>
    <row r="2784" spans="1:22" s="7" customFormat="1" ht="15">
      <c r="B2784" s="12"/>
      <c r="C2784" s="6" t="s">
        <v>4268</v>
      </c>
      <c r="D2784" s="14" t="s">
        <v>2416</v>
      </c>
      <c r="E2784" s="19" t="s">
        <v>4214</v>
      </c>
      <c r="F2784" s="24"/>
      <c r="G2784" s="22"/>
      <c r="H2784" s="8"/>
      <c r="I2784" s="35"/>
      <c r="J2784" s="8"/>
      <c r="K2784" s="110" t="s">
        <v>5</v>
      </c>
      <c r="L2784" s="139"/>
      <c r="M2784" s="33"/>
      <c r="N2784" s="33">
        <v>45068</v>
      </c>
      <c r="O2784" s="32">
        <v>5248</v>
      </c>
      <c r="P2784" s="6" t="s">
        <v>8</v>
      </c>
      <c r="Q2784" s="358"/>
      <c r="U2784" s="120"/>
      <c r="V2784" s="260">
        <v>120</v>
      </c>
    </row>
    <row r="2785" spans="1:22" s="7" customFormat="1" ht="18" customHeight="1">
      <c r="B2785" s="12" t="s">
        <v>300</v>
      </c>
      <c r="C2785" s="6" t="s">
        <v>4268</v>
      </c>
      <c r="D2785" s="14" t="s">
        <v>2416</v>
      </c>
      <c r="E2785" s="22" t="s">
        <v>4215</v>
      </c>
      <c r="F2785" s="37" t="s">
        <v>359</v>
      </c>
      <c r="G2785" s="396" t="s">
        <v>4208</v>
      </c>
      <c r="H2785" s="8">
        <v>50</v>
      </c>
      <c r="I2785" s="35">
        <v>3</v>
      </c>
      <c r="J2785" s="108">
        <f>H2785*I2785</f>
        <v>150</v>
      </c>
      <c r="K2785" s="958">
        <v>0.35</v>
      </c>
      <c r="L2785" s="39">
        <f>K2785*J2785</f>
        <v>52.5</v>
      </c>
      <c r="M2785" s="117" t="s">
        <v>349</v>
      </c>
      <c r="N2785" s="33">
        <v>45068</v>
      </c>
      <c r="O2785" s="32">
        <v>5248</v>
      </c>
      <c r="P2785" s="391">
        <f>ROUNDUP(S2785/V2785/VLOOKUP(B2785,$C$2:$F$6,3,FALSE),2)</f>
        <v>0.19</v>
      </c>
      <c r="Q2785" s="322">
        <v>0.19</v>
      </c>
      <c r="R2785" s="322">
        <f>Q2785*J2785</f>
        <v>28.5</v>
      </c>
      <c r="S2785" s="7">
        <v>15.6</v>
      </c>
      <c r="T2785" s="7">
        <f>S2785*J2785</f>
        <v>2340</v>
      </c>
      <c r="U2785" s="39"/>
      <c r="V2785" s="260">
        <v>120</v>
      </c>
    </row>
    <row r="2786" spans="1:22" s="7" customFormat="1" ht="18" customHeight="1">
      <c r="B2786" s="12"/>
      <c r="C2786" s="6" t="s">
        <v>4268</v>
      </c>
      <c r="D2786" s="14" t="s">
        <v>2416</v>
      </c>
      <c r="E2786" s="853"/>
      <c r="F2786" s="340"/>
      <c r="G2786" s="22" t="s">
        <v>316</v>
      </c>
      <c r="H2786" s="8"/>
      <c r="I2786" s="109" ph="1"/>
      <c r="J2786" s="38">
        <v>1</v>
      </c>
      <c r="K2786" s="39">
        <v>12</v>
      </c>
      <c r="L2786" s="39">
        <f>K2786*J2786</f>
        <v>12</v>
      </c>
      <c r="M2786" s="117"/>
      <c r="N2786" s="33">
        <v>45068</v>
      </c>
      <c r="O2786" s="32">
        <v>5248</v>
      </c>
      <c r="P2786" s="6"/>
      <c r="Q2786" s="322">
        <v>12</v>
      </c>
      <c r="R2786" s="322">
        <v>12</v>
      </c>
      <c r="S2786" s="7">
        <v>1100</v>
      </c>
      <c r="T2786" s="7">
        <f>S2786*J2786</f>
        <v>1100</v>
      </c>
      <c r="U2786" s="21"/>
      <c r="V2786" s="260">
        <v>120</v>
      </c>
    </row>
    <row r="2787" spans="1:22" s="218" customFormat="1" ht="18" customHeight="1">
      <c r="A2787" s="7"/>
      <c r="B2787" s="189"/>
      <c r="C2787" s="179" t="s">
        <v>4268</v>
      </c>
      <c r="D2787" s="180" t="s">
        <v>2416</v>
      </c>
      <c r="E2787" s="217"/>
      <c r="F2787" s="182"/>
      <c r="G2787" s="182" t="s">
        <v>250</v>
      </c>
      <c r="H2787" s="184" t="s">
        <v>251</v>
      </c>
      <c r="I2787" s="185"/>
      <c r="J2787" s="183"/>
      <c r="K2787" s="192">
        <v>0</v>
      </c>
      <c r="L2787" s="946"/>
      <c r="M2787" s="947"/>
      <c r="N2787" s="187">
        <v>45068</v>
      </c>
      <c r="O2787" s="186">
        <v>5248</v>
      </c>
      <c r="P2787" s="179"/>
      <c r="Q2787" s="725">
        <v>0</v>
      </c>
      <c r="S2787" s="197">
        <v>0</v>
      </c>
      <c r="T2787" s="197">
        <v>0</v>
      </c>
      <c r="U2787" s="335"/>
      <c r="V2787" s="260">
        <v>120</v>
      </c>
    </row>
    <row r="2788" spans="1:22" s="7" customFormat="1" ht="18" customHeight="1">
      <c r="B2788" s="12"/>
      <c r="C2788" s="965" t="s">
        <v>4221</v>
      </c>
      <c r="D2788" s="14" t="s">
        <v>2162</v>
      </c>
      <c r="E2788" s="19" t="s">
        <v>4222</v>
      </c>
      <c r="F2788" s="37"/>
      <c r="G2788" s="37"/>
      <c r="H2788" s="108"/>
      <c r="I2788" s="108"/>
      <c r="J2788" s="108"/>
      <c r="K2788" s="29" t="s">
        <v>5</v>
      </c>
      <c r="L2788" s="139"/>
      <c r="M2788" s="33"/>
      <c r="N2788" s="33">
        <v>45013</v>
      </c>
      <c r="O2788" s="32">
        <v>5102</v>
      </c>
      <c r="P2788" s="6"/>
      <c r="Q2788" s="339"/>
      <c r="U2788" s="21"/>
      <c r="V2788" s="260">
        <v>120</v>
      </c>
    </row>
    <row r="2789" spans="1:22" s="7" customFormat="1" ht="17.25" customHeight="1">
      <c r="B2789" s="12" t="s">
        <v>300</v>
      </c>
      <c r="C2789" s="965" t="s">
        <v>4221</v>
      </c>
      <c r="D2789" s="14" t="s">
        <v>2162</v>
      </c>
      <c r="E2789" s="22">
        <v>5288</v>
      </c>
      <c r="F2789" s="37" t="s">
        <v>4223</v>
      </c>
      <c r="G2789" s="839" t="s">
        <v>3463</v>
      </c>
      <c r="H2789" s="108">
        <v>50</v>
      </c>
      <c r="I2789" s="109">
        <v>1</v>
      </c>
      <c r="J2789" s="8">
        <f>H2789*I2789</f>
        <v>50</v>
      </c>
      <c r="K2789" s="39">
        <v>0.21</v>
      </c>
      <c r="L2789" s="39">
        <f>K2789*J2789</f>
        <v>10.5</v>
      </c>
      <c r="M2789" s="117" t="s">
        <v>323</v>
      </c>
      <c r="N2789" s="33">
        <v>45013</v>
      </c>
      <c r="O2789" s="32">
        <v>5102</v>
      </c>
      <c r="P2789" s="391">
        <f>ROUNDUP(S2789/V2789/VLOOKUP(B2789,$C$2:$F$6,3,FALSE),2)</f>
        <v>0.14000000000000001</v>
      </c>
      <c r="Q2789" s="322">
        <v>0.14000000000000001</v>
      </c>
      <c r="R2789" s="322">
        <f>Q2789*J2789</f>
        <v>7.0000000000000009</v>
      </c>
      <c r="S2789" s="7">
        <v>11</v>
      </c>
      <c r="T2789" s="7">
        <f>S2789*J2789</f>
        <v>550</v>
      </c>
      <c r="U2789" s="876"/>
      <c r="V2789" s="260">
        <v>120</v>
      </c>
    </row>
    <row r="2790" spans="1:22" s="7" customFormat="1" ht="15">
      <c r="B2790" s="12"/>
      <c r="C2790" s="965" t="s">
        <v>4221</v>
      </c>
      <c r="D2790" s="14" t="s">
        <v>2162</v>
      </c>
      <c r="E2790" s="82"/>
      <c r="F2790" s="102"/>
      <c r="G2790" s="22" t="s">
        <v>316</v>
      </c>
      <c r="H2790" s="8"/>
      <c r="I2790" s="35"/>
      <c r="J2790" s="38">
        <v>1</v>
      </c>
      <c r="K2790" s="39">
        <v>12</v>
      </c>
      <c r="L2790" s="39">
        <f>K2790*J2790</f>
        <v>12</v>
      </c>
      <c r="M2790" s="91"/>
      <c r="N2790" s="33">
        <v>45013</v>
      </c>
      <c r="O2790" s="32">
        <v>5102</v>
      </c>
      <c r="P2790" s="6"/>
      <c r="Q2790" s="322">
        <v>12</v>
      </c>
      <c r="R2790" s="322">
        <f>Q2790*J2790</f>
        <v>12</v>
      </c>
      <c r="S2790" s="7">
        <v>1000</v>
      </c>
      <c r="T2790" s="7">
        <f>S2790*J2790</f>
        <v>1000</v>
      </c>
      <c r="U2790" s="21"/>
      <c r="V2790" s="260">
        <v>120</v>
      </c>
    </row>
    <row r="2791" spans="1:22" s="191" customFormat="1" ht="15">
      <c r="B2791" s="190"/>
      <c r="C2791" s="966" t="s">
        <v>4221</v>
      </c>
      <c r="D2791" s="180" t="s">
        <v>2162</v>
      </c>
      <c r="E2791" s="181"/>
      <c r="F2791" s="622"/>
      <c r="G2791" s="182" t="s">
        <v>250</v>
      </c>
      <c r="H2791" s="184" t="s">
        <v>251</v>
      </c>
      <c r="I2791" s="185"/>
      <c r="J2791" s="183"/>
      <c r="K2791" s="192">
        <v>0</v>
      </c>
      <c r="L2791" s="188"/>
      <c r="M2791" s="187"/>
      <c r="N2791" s="187">
        <v>45013</v>
      </c>
      <c r="O2791" s="186">
        <v>5102</v>
      </c>
      <c r="P2791" s="179"/>
      <c r="Q2791" s="725">
        <v>0</v>
      </c>
      <c r="S2791" s="197">
        <v>0</v>
      </c>
      <c r="T2791" s="198">
        <v>0</v>
      </c>
      <c r="U2791" s="335"/>
      <c r="V2791" s="260">
        <v>120</v>
      </c>
    </row>
    <row r="2792" spans="1:22" s="7" customFormat="1" ht="18" customHeight="1">
      <c r="B2792" s="12"/>
      <c r="C2792" s="965" t="s">
        <v>4172</v>
      </c>
      <c r="D2792" s="14" t="s">
        <v>2022</v>
      </c>
      <c r="E2792" s="19" t="s">
        <v>59</v>
      </c>
      <c r="F2792" s="107"/>
      <c r="G2792" s="22"/>
      <c r="H2792" s="108"/>
      <c r="I2792" s="109"/>
      <c r="J2792" s="108"/>
      <c r="K2792" s="29" t="s">
        <v>5</v>
      </c>
      <c r="L2792" s="39"/>
      <c r="M2792" s="91"/>
      <c r="N2792" s="33">
        <v>45072</v>
      </c>
      <c r="O2792" s="32">
        <v>4970</v>
      </c>
      <c r="P2792" s="14"/>
      <c r="Q2792" s="322"/>
      <c r="U2792" s="14"/>
      <c r="V2792" s="260">
        <v>120</v>
      </c>
    </row>
    <row r="2793" spans="1:22" s="7" customFormat="1" ht="18" customHeight="1">
      <c r="B2793" s="12" t="s">
        <v>302</v>
      </c>
      <c r="C2793" s="965" t="s">
        <v>4172</v>
      </c>
      <c r="D2793" s="14" t="s">
        <v>2022</v>
      </c>
      <c r="E2793" s="22">
        <v>4446</v>
      </c>
      <c r="F2793" s="107">
        <v>148</v>
      </c>
      <c r="G2793" s="396" t="s">
        <v>4173</v>
      </c>
      <c r="H2793" s="108">
        <v>46</v>
      </c>
      <c r="I2793" s="109">
        <v>1</v>
      </c>
      <c r="J2793" s="8">
        <f>H2793*I2793</f>
        <v>46</v>
      </c>
      <c r="K2793" s="39">
        <v>11.95</v>
      </c>
      <c r="L2793" s="39">
        <f>K2793*J2793</f>
        <v>549.69999999999993</v>
      </c>
      <c r="M2793" s="117" t="s">
        <v>323</v>
      </c>
      <c r="N2793" s="33">
        <v>45072</v>
      </c>
      <c r="O2793" s="32">
        <v>4970</v>
      </c>
      <c r="P2793" s="391">
        <f>ROUNDUP(S2793/V2793/VLOOKUP(B2793,$C$2:$F$6,3,FALSE),2)</f>
        <v>8.34</v>
      </c>
      <c r="Q2793" s="322">
        <v>8.34</v>
      </c>
      <c r="R2793" s="322">
        <f>Q2793*J2793</f>
        <v>383.64</v>
      </c>
      <c r="S2793" s="7">
        <v>880</v>
      </c>
      <c r="T2793" s="7">
        <f>S2793*J2793</f>
        <v>40480</v>
      </c>
      <c r="U2793" s="21"/>
      <c r="V2793" s="260">
        <v>120</v>
      </c>
    </row>
    <row r="2794" spans="1:22" s="7" customFormat="1" ht="18" customHeight="1">
      <c r="B2794" s="12"/>
      <c r="C2794" s="965" t="s">
        <v>4172</v>
      </c>
      <c r="D2794" s="14" t="s">
        <v>2022</v>
      </c>
      <c r="E2794" s="82"/>
      <c r="F2794" s="102"/>
      <c r="G2794" s="22" t="s">
        <v>316</v>
      </c>
      <c r="H2794" s="8"/>
      <c r="I2794" s="35"/>
      <c r="J2794" s="38">
        <v>1</v>
      </c>
      <c r="K2794" s="39">
        <v>20</v>
      </c>
      <c r="L2794" s="39">
        <f>K2794*J2794</f>
        <v>20</v>
      </c>
      <c r="M2794" s="91"/>
      <c r="N2794" s="33">
        <v>45072</v>
      </c>
      <c r="O2794" s="32">
        <v>4970</v>
      </c>
      <c r="P2794" s="6"/>
      <c r="Q2794" s="322">
        <v>20</v>
      </c>
      <c r="R2794" s="322">
        <f>Q2794*J2794</f>
        <v>20</v>
      </c>
      <c r="S2794" s="7">
        <v>1800</v>
      </c>
      <c r="T2794" s="7">
        <f>S2794*J2794</f>
        <v>1800</v>
      </c>
      <c r="U2794" s="21"/>
      <c r="V2794" s="260">
        <v>120</v>
      </c>
    </row>
    <row r="2795" spans="1:22" s="191" customFormat="1" ht="18" customHeight="1">
      <c r="B2795" s="190"/>
      <c r="C2795" s="966" t="s">
        <v>4172</v>
      </c>
      <c r="D2795" s="180" t="s">
        <v>2022</v>
      </c>
      <c r="E2795" s="181"/>
      <c r="F2795" s="622"/>
      <c r="G2795" s="182" t="s">
        <v>250</v>
      </c>
      <c r="H2795" s="184" t="s">
        <v>252</v>
      </c>
      <c r="I2795" s="185"/>
      <c r="J2795" s="183"/>
      <c r="K2795" s="203">
        <v>200</v>
      </c>
      <c r="L2795" s="203">
        <v>200</v>
      </c>
      <c r="M2795" s="187"/>
      <c r="N2795" s="187">
        <v>45072</v>
      </c>
      <c r="O2795" s="186">
        <v>4970</v>
      </c>
      <c r="P2795" s="179"/>
      <c r="Q2795" s="203">
        <v>200</v>
      </c>
      <c r="R2795" s="203">
        <v>200</v>
      </c>
      <c r="S2795" s="197">
        <v>7891</v>
      </c>
      <c r="T2795" s="197">
        <v>7891</v>
      </c>
      <c r="U2795" s="335"/>
      <c r="V2795" s="260">
        <v>120</v>
      </c>
    </row>
    <row r="2796" spans="1:22" s="7" customFormat="1" ht="18" customHeight="1">
      <c r="B2796" s="12"/>
      <c r="C2796" s="965" t="s">
        <v>4236</v>
      </c>
      <c r="D2796" s="14" t="s">
        <v>2162</v>
      </c>
      <c r="E2796" s="19" t="s">
        <v>2949</v>
      </c>
      <c r="F2796" s="37"/>
      <c r="G2796" s="37"/>
      <c r="H2796" s="108"/>
      <c r="I2796" s="108"/>
      <c r="J2796" s="108"/>
      <c r="K2796" s="29" t="s">
        <v>5</v>
      </c>
      <c r="L2796" s="139"/>
      <c r="M2796" s="33"/>
      <c r="N2796" s="33">
        <v>45015</v>
      </c>
      <c r="O2796" s="32">
        <v>5109</v>
      </c>
      <c r="P2796" s="6"/>
      <c r="Q2796" s="339"/>
      <c r="U2796" s="21"/>
      <c r="V2796" s="260">
        <v>120</v>
      </c>
    </row>
    <row r="2797" spans="1:22" s="7" customFormat="1" ht="17.25" customHeight="1">
      <c r="B2797" s="12" t="s">
        <v>300</v>
      </c>
      <c r="C2797" s="965" t="s">
        <v>4236</v>
      </c>
      <c r="D2797" s="14" t="s">
        <v>2162</v>
      </c>
      <c r="E2797" s="22">
        <v>5601</v>
      </c>
      <c r="F2797" s="37"/>
      <c r="G2797" s="839" t="s">
        <v>4237</v>
      </c>
      <c r="H2797" s="108">
        <v>50</v>
      </c>
      <c r="I2797" s="109">
        <v>1</v>
      </c>
      <c r="J2797" s="8">
        <f>H2797*I2797</f>
        <v>50</v>
      </c>
      <c r="K2797" s="39">
        <v>0.15000000000000002</v>
      </c>
      <c r="L2797" s="39">
        <f>K2797*J2797</f>
        <v>7.5000000000000009</v>
      </c>
      <c r="M2797" s="117" t="s">
        <v>323</v>
      </c>
      <c r="N2797" s="33">
        <v>45015</v>
      </c>
      <c r="O2797" s="32">
        <v>5109</v>
      </c>
      <c r="P2797" s="391">
        <f>ROUNDUP(S2797/V2797/VLOOKUP(B2797,$C$2:$F$6,3,FALSE),2)</f>
        <v>9.9999999999999992E-2</v>
      </c>
      <c r="Q2797" s="322">
        <v>0.1</v>
      </c>
      <c r="R2797" s="322">
        <f>Q2797*J2797</f>
        <v>5</v>
      </c>
      <c r="S2797" s="7">
        <v>7.8</v>
      </c>
      <c r="T2797" s="7">
        <f>S2797*J2797</f>
        <v>390</v>
      </c>
      <c r="U2797" s="876"/>
      <c r="V2797" s="260">
        <v>120</v>
      </c>
    </row>
    <row r="2798" spans="1:22" s="7" customFormat="1" ht="17.25" customHeight="1">
      <c r="B2798" s="12" t="s">
        <v>300</v>
      </c>
      <c r="C2798" s="965" t="s">
        <v>4236</v>
      </c>
      <c r="D2798" s="14" t="s">
        <v>2162</v>
      </c>
      <c r="E2798" s="22">
        <v>5602</v>
      </c>
      <c r="F2798" s="37"/>
      <c r="G2798" s="839" t="s">
        <v>4237</v>
      </c>
      <c r="H2798" s="108">
        <v>50</v>
      </c>
      <c r="I2798" s="109">
        <v>1</v>
      </c>
      <c r="J2798" s="8">
        <f>H2798*I2798</f>
        <v>50</v>
      </c>
      <c r="K2798" s="39">
        <v>0.22</v>
      </c>
      <c r="L2798" s="39">
        <f>K2798*J2798</f>
        <v>11</v>
      </c>
      <c r="M2798" s="117" t="s">
        <v>323</v>
      </c>
      <c r="N2798" s="33">
        <v>45015</v>
      </c>
      <c r="O2798" s="32">
        <v>5109</v>
      </c>
      <c r="P2798" s="391">
        <f>ROUNDUP(S2798/V2798/VLOOKUP(B2798,$C$2:$F$6,3,FALSE),2)</f>
        <v>0.14000000000000001</v>
      </c>
      <c r="Q2798" s="322">
        <v>0.14000000000000001</v>
      </c>
      <c r="R2798" s="322">
        <f>Q2798*J2798</f>
        <v>7.0000000000000009</v>
      </c>
      <c r="S2798" s="7">
        <v>11.5</v>
      </c>
      <c r="T2798" s="7">
        <f>S2798*J2798</f>
        <v>575</v>
      </c>
      <c r="U2798" s="876"/>
      <c r="V2798" s="260">
        <v>120</v>
      </c>
    </row>
    <row r="2799" spans="1:22" s="7" customFormat="1" ht="15">
      <c r="B2799" s="12"/>
      <c r="C2799" s="965" t="s">
        <v>4236</v>
      </c>
      <c r="D2799" s="14" t="s">
        <v>2162</v>
      </c>
      <c r="E2799" s="82"/>
      <c r="F2799" s="102"/>
      <c r="G2799" s="22" t="s">
        <v>316</v>
      </c>
      <c r="H2799" s="8"/>
      <c r="I2799" s="35"/>
      <c r="J2799" s="38">
        <v>1</v>
      </c>
      <c r="K2799" s="39">
        <v>12</v>
      </c>
      <c r="L2799" s="39">
        <f>K2799*J2799</f>
        <v>12</v>
      </c>
      <c r="M2799" s="91"/>
      <c r="N2799" s="33">
        <v>45015</v>
      </c>
      <c r="O2799" s="32">
        <v>5109</v>
      </c>
      <c r="P2799" s="6"/>
      <c r="Q2799" s="322">
        <v>12</v>
      </c>
      <c r="R2799" s="322">
        <f>Q2799*J2799</f>
        <v>12</v>
      </c>
      <c r="S2799" s="7">
        <v>1100</v>
      </c>
      <c r="T2799" s="7">
        <f>S2799*J2799</f>
        <v>1100</v>
      </c>
      <c r="U2799" s="21"/>
      <c r="V2799" s="260">
        <v>120</v>
      </c>
    </row>
    <row r="2800" spans="1:22" s="191" customFormat="1" ht="15">
      <c r="B2800" s="190"/>
      <c r="C2800" s="966" t="s">
        <v>4236</v>
      </c>
      <c r="D2800" s="180" t="s">
        <v>2162</v>
      </c>
      <c r="E2800" s="181"/>
      <c r="F2800" s="622"/>
      <c r="G2800" s="182" t="s">
        <v>250</v>
      </c>
      <c r="H2800" s="184" t="s">
        <v>251</v>
      </c>
      <c r="I2800" s="185"/>
      <c r="J2800" s="183"/>
      <c r="K2800" s="192">
        <v>0</v>
      </c>
      <c r="L2800" s="188"/>
      <c r="M2800" s="187"/>
      <c r="N2800" s="187">
        <v>45015</v>
      </c>
      <c r="O2800" s="186">
        <v>5109</v>
      </c>
      <c r="P2800" s="179"/>
      <c r="Q2800" s="725">
        <v>0</v>
      </c>
      <c r="S2800" s="197">
        <v>0</v>
      </c>
      <c r="T2800" s="198">
        <v>0</v>
      </c>
      <c r="U2800" s="335"/>
      <c r="V2800" s="260">
        <v>120</v>
      </c>
    </row>
    <row r="2801" spans="2:22" s="7" customFormat="1" ht="18" customHeight="1">
      <c r="B2801" s="12"/>
      <c r="C2801" s="965" t="s">
        <v>4239</v>
      </c>
      <c r="D2801" s="14" t="s">
        <v>3112</v>
      </c>
      <c r="E2801" s="19" t="s">
        <v>4243</v>
      </c>
      <c r="F2801" s="37"/>
      <c r="G2801" s="37"/>
      <c r="H2801" s="108"/>
      <c r="I2801" s="108"/>
      <c r="J2801" s="108"/>
      <c r="K2801" s="29" t="s">
        <v>5</v>
      </c>
      <c r="L2801" s="139"/>
      <c r="M2801" s="33"/>
      <c r="N2801" s="33">
        <v>45019</v>
      </c>
      <c r="O2801" s="32">
        <v>5116</v>
      </c>
      <c r="P2801" s="6"/>
      <c r="Q2801" s="339"/>
      <c r="U2801" s="21"/>
      <c r="V2801" s="260">
        <v>120</v>
      </c>
    </row>
    <row r="2802" spans="2:22" s="7" customFormat="1" ht="17.25" customHeight="1">
      <c r="B2802" s="12" t="s">
        <v>302</v>
      </c>
      <c r="C2802" s="965" t="s">
        <v>4239</v>
      </c>
      <c r="D2802" s="14" t="s">
        <v>3112</v>
      </c>
      <c r="E2802" s="22" t="s">
        <v>4240</v>
      </c>
      <c r="F2802" s="820">
        <v>188</v>
      </c>
      <c r="G2802" s="37" t="s">
        <v>4241</v>
      </c>
      <c r="H2802" s="108">
        <v>60</v>
      </c>
      <c r="I2802" s="109">
        <v>1</v>
      </c>
      <c r="J2802" s="8">
        <f>H2802*I2802</f>
        <v>60</v>
      </c>
      <c r="K2802" s="1130">
        <v>3.0599999999999996</v>
      </c>
      <c r="L2802" s="39">
        <f>K2802*J2802</f>
        <v>183.59999999999997</v>
      </c>
      <c r="M2802" s="117" t="s">
        <v>323</v>
      </c>
      <c r="N2802" s="33">
        <v>45019</v>
      </c>
      <c r="O2802" s="32">
        <v>5116</v>
      </c>
      <c r="P2802" s="391">
        <f>ROUNDUP(S2802/V2802/VLOOKUP(B2802,$C$2:$F$6,3,FALSE),2)</f>
        <v>2.09</v>
      </c>
      <c r="Q2802" s="322">
        <v>2.09</v>
      </c>
      <c r="R2802" s="322">
        <f>Q2802*J2802</f>
        <v>125.39999999999999</v>
      </c>
      <c r="S2802" s="7">
        <v>220</v>
      </c>
      <c r="T2802" s="7">
        <f>S2802*J2802</f>
        <v>13200</v>
      </c>
      <c r="U2802" s="876"/>
      <c r="V2802" s="260">
        <v>120</v>
      </c>
    </row>
    <row r="2803" spans="2:22" s="7" customFormat="1" ht="17.25" customHeight="1">
      <c r="B2803" s="12" t="s">
        <v>302</v>
      </c>
      <c r="C2803" s="965" t="s">
        <v>4239</v>
      </c>
      <c r="D2803" s="14" t="s">
        <v>3112</v>
      </c>
      <c r="E2803" s="22">
        <v>5200</v>
      </c>
      <c r="F2803" s="820">
        <v>188</v>
      </c>
      <c r="G2803" s="22" t="s">
        <v>4242</v>
      </c>
      <c r="H2803" s="108">
        <v>55</v>
      </c>
      <c r="I2803" s="109">
        <v>1</v>
      </c>
      <c r="J2803" s="8">
        <f>H2803*I2803</f>
        <v>55</v>
      </c>
      <c r="K2803" s="1130">
        <v>5</v>
      </c>
      <c r="L2803" s="39">
        <f>K2803*J2803</f>
        <v>275</v>
      </c>
      <c r="M2803" s="117" t="s">
        <v>323</v>
      </c>
      <c r="N2803" s="33">
        <v>45019</v>
      </c>
      <c r="O2803" s="32">
        <v>5116</v>
      </c>
      <c r="P2803" s="391">
        <f>ROUNDUP(S2803/V2803/VLOOKUP(B2803,$C$2:$F$6,3,FALSE),2)</f>
        <v>3.4099999999999997</v>
      </c>
      <c r="Q2803" s="322">
        <v>3.41</v>
      </c>
      <c r="R2803" s="322">
        <f>Q2803*J2803</f>
        <v>187.55</v>
      </c>
      <c r="S2803" s="7">
        <v>360</v>
      </c>
      <c r="T2803" s="7">
        <f>S2803*J2803</f>
        <v>19800</v>
      </c>
      <c r="U2803" s="876"/>
      <c r="V2803" s="260">
        <v>120</v>
      </c>
    </row>
    <row r="2804" spans="2:22" s="7" customFormat="1" ht="18" customHeight="1">
      <c r="B2804" s="12"/>
      <c r="C2804" s="965" t="s">
        <v>4239</v>
      </c>
      <c r="D2804" s="14" t="s">
        <v>3112</v>
      </c>
      <c r="E2804" s="82"/>
      <c r="F2804" s="102"/>
      <c r="G2804" s="22" t="s">
        <v>316</v>
      </c>
      <c r="H2804" s="8"/>
      <c r="I2804" s="35"/>
      <c r="J2804" s="38">
        <v>1</v>
      </c>
      <c r="K2804" s="39">
        <v>20</v>
      </c>
      <c r="L2804" s="39">
        <f>K2804*J2804</f>
        <v>20</v>
      </c>
      <c r="M2804" s="91"/>
      <c r="N2804" s="33">
        <v>45019</v>
      </c>
      <c r="O2804" s="32">
        <v>5116</v>
      </c>
      <c r="P2804" s="6"/>
      <c r="Q2804" s="322">
        <v>20</v>
      </c>
      <c r="R2804" s="322">
        <f>Q2804*J2804</f>
        <v>20</v>
      </c>
      <c r="S2804" s="7">
        <v>1000</v>
      </c>
      <c r="T2804" s="7">
        <f>S2804*J2804</f>
        <v>1000</v>
      </c>
      <c r="U2804" s="21"/>
      <c r="V2804" s="260">
        <v>120</v>
      </c>
    </row>
    <row r="2805" spans="2:22" s="191" customFormat="1" ht="18" customHeight="1">
      <c r="B2805" s="190"/>
      <c r="C2805" s="966" t="s">
        <v>4239</v>
      </c>
      <c r="D2805" s="180" t="s">
        <v>3112</v>
      </c>
      <c r="E2805" s="181"/>
      <c r="F2805" s="622"/>
      <c r="G2805" s="182" t="s">
        <v>250</v>
      </c>
      <c r="H2805" s="184" t="s">
        <v>251</v>
      </c>
      <c r="I2805" s="185"/>
      <c r="J2805" s="183"/>
      <c r="K2805" s="192">
        <v>0</v>
      </c>
      <c r="L2805" s="188"/>
      <c r="M2805" s="187"/>
      <c r="N2805" s="187">
        <v>45019</v>
      </c>
      <c r="O2805" s="186">
        <v>5116</v>
      </c>
      <c r="P2805" s="179"/>
      <c r="Q2805" s="725">
        <v>0</v>
      </c>
      <c r="S2805" s="197">
        <v>0</v>
      </c>
      <c r="T2805" s="198">
        <v>0</v>
      </c>
      <c r="U2805" s="335"/>
      <c r="V2805" s="260">
        <v>120</v>
      </c>
    </row>
    <row r="2806" spans="2:22" s="7" customFormat="1" ht="18" customHeight="1">
      <c r="B2806" s="12"/>
      <c r="C2806" s="6" t="s">
        <v>4244</v>
      </c>
      <c r="D2806" s="14" t="s">
        <v>2231</v>
      </c>
      <c r="E2806" s="19" t="s">
        <v>2270</v>
      </c>
      <c r="F2806" s="37"/>
      <c r="G2806" s="37"/>
      <c r="H2806" s="108"/>
      <c r="I2806" s="108"/>
      <c r="J2806" s="108"/>
      <c r="K2806" s="29" t="s">
        <v>5</v>
      </c>
      <c r="L2806" s="139"/>
      <c r="M2806" s="33"/>
      <c r="N2806" s="33">
        <v>45061</v>
      </c>
      <c r="O2806" s="32">
        <v>5115</v>
      </c>
      <c r="P2806" s="6"/>
      <c r="Q2806" s="339"/>
      <c r="U2806" s="21"/>
      <c r="V2806" s="260">
        <v>120</v>
      </c>
    </row>
    <row r="2807" spans="2:22" s="7" customFormat="1" ht="18" customHeight="1">
      <c r="B2807" s="12" t="s">
        <v>300</v>
      </c>
      <c r="C2807" s="6" t="s">
        <v>4244</v>
      </c>
      <c r="D2807" s="14" t="s">
        <v>2231</v>
      </c>
      <c r="E2807" s="22">
        <v>5636</v>
      </c>
      <c r="F2807" s="37" t="s">
        <v>230</v>
      </c>
      <c r="G2807" s="839" t="s">
        <v>283</v>
      </c>
      <c r="H2807" s="108">
        <v>50</v>
      </c>
      <c r="I2807" s="109">
        <v>57</v>
      </c>
      <c r="J2807" s="8">
        <f>H2807*I2807</f>
        <v>2850</v>
      </c>
      <c r="K2807" s="39">
        <v>0.28999999999999998</v>
      </c>
      <c r="L2807" s="39">
        <f>K2807*J2807</f>
        <v>826.49999999999989</v>
      </c>
      <c r="M2807" s="117" t="s">
        <v>349</v>
      </c>
      <c r="N2807" s="33">
        <v>45061</v>
      </c>
      <c r="O2807" s="32">
        <v>5115</v>
      </c>
      <c r="P2807" s="391">
        <f>ROUNDUP(S2807/V2807/VLOOKUP(B2807,$C$2:$F$6,3,FALSE),2)</f>
        <v>0.14000000000000001</v>
      </c>
      <c r="Q2807" s="322">
        <v>0.14000000000000001</v>
      </c>
      <c r="R2807" s="322">
        <f>Q2807*J2807</f>
        <v>399.00000000000006</v>
      </c>
      <c r="S2807" s="7">
        <v>11.6</v>
      </c>
      <c r="T2807" s="7">
        <f>S2807*J2807</f>
        <v>33060</v>
      </c>
      <c r="U2807" s="778"/>
      <c r="V2807" s="260">
        <v>120</v>
      </c>
    </row>
    <row r="2808" spans="2:22" s="7" customFormat="1" ht="18" customHeight="1">
      <c r="B2808" s="12"/>
      <c r="C2808" s="6" t="s">
        <v>4244</v>
      </c>
      <c r="D2808" s="14" t="s">
        <v>2231</v>
      </c>
      <c r="E2808" s="82"/>
      <c r="F2808" s="102"/>
      <c r="G2808" s="22" t="s">
        <v>316</v>
      </c>
      <c r="H2808" s="8"/>
      <c r="I2808" s="35"/>
      <c r="J2808" s="38">
        <v>1</v>
      </c>
      <c r="K2808" s="39">
        <v>12</v>
      </c>
      <c r="L2808" s="39">
        <f>K2808*J2808</f>
        <v>12</v>
      </c>
      <c r="M2808" s="91"/>
      <c r="N2808" s="33">
        <v>45061</v>
      </c>
      <c r="O2808" s="32">
        <v>5115</v>
      </c>
      <c r="P2808" s="6"/>
      <c r="Q2808" s="322">
        <v>12</v>
      </c>
      <c r="R2808" s="322">
        <v>12</v>
      </c>
      <c r="S2808" s="7">
        <v>1100</v>
      </c>
      <c r="T2808" s="7">
        <f>S2808*J2808</f>
        <v>1100</v>
      </c>
      <c r="U2808" s="21"/>
      <c r="V2808" s="260">
        <v>120</v>
      </c>
    </row>
    <row r="2809" spans="2:22" s="191" customFormat="1" ht="18" customHeight="1">
      <c r="B2809" s="190"/>
      <c r="C2809" s="179" t="s">
        <v>4244</v>
      </c>
      <c r="D2809" s="180" t="s">
        <v>2231</v>
      </c>
      <c r="E2809" s="181"/>
      <c r="F2809" s="622"/>
      <c r="G2809" s="182" t="s">
        <v>250</v>
      </c>
      <c r="H2809" s="184" t="s">
        <v>251</v>
      </c>
      <c r="I2809" s="185"/>
      <c r="J2809" s="183"/>
      <c r="K2809" s="192">
        <v>0</v>
      </c>
      <c r="L2809" s="188"/>
      <c r="M2809" s="187"/>
      <c r="N2809" s="187">
        <v>45061</v>
      </c>
      <c r="O2809" s="186">
        <v>5115</v>
      </c>
      <c r="P2809" s="179"/>
      <c r="Q2809" s="725">
        <v>0</v>
      </c>
      <c r="S2809" s="197">
        <v>0</v>
      </c>
      <c r="T2809" s="198">
        <v>0</v>
      </c>
      <c r="U2809" s="335"/>
      <c r="V2809" s="260">
        <v>120</v>
      </c>
    </row>
    <row r="2810" spans="2:22" ht="15">
      <c r="C2810" s="6" t="s">
        <v>4249</v>
      </c>
      <c r="D2810" s="14" t="s">
        <v>3238</v>
      </c>
      <c r="E2810" s="19" t="s">
        <v>59</v>
      </c>
      <c r="F2810" s="107"/>
      <c r="G2810" s="22"/>
      <c r="H2810" s="108"/>
      <c r="I2810" s="109"/>
      <c r="J2810" s="108"/>
      <c r="K2810" s="110" t="s">
        <v>5</v>
      </c>
      <c r="L2810" s="33"/>
      <c r="M2810" s="33"/>
      <c r="N2810" s="33">
        <v>45021</v>
      </c>
      <c r="O2810" s="32">
        <v>5125</v>
      </c>
      <c r="P2810" s="14"/>
      <c r="Q2810" s="254"/>
      <c r="S2810" s="261"/>
      <c r="T2810" s="92"/>
      <c r="U2810" s="264"/>
      <c r="V2810" s="260">
        <v>120</v>
      </c>
    </row>
    <row r="2811" spans="2:22" ht="15.75">
      <c r="B2811" s="12" t="s">
        <v>302</v>
      </c>
      <c r="C2811" s="6" t="s">
        <v>4249</v>
      </c>
      <c r="D2811" s="14" t="s">
        <v>3238</v>
      </c>
      <c r="E2811" s="22">
        <v>2440</v>
      </c>
      <c r="F2811" s="107">
        <v>140</v>
      </c>
      <c r="G2811" s="22" t="s">
        <v>4250</v>
      </c>
      <c r="H2811" s="1131">
        <v>10</v>
      </c>
      <c r="I2811" s="1132">
        <v>1</v>
      </c>
      <c r="J2811" s="60">
        <v>10</v>
      </c>
      <c r="K2811" s="39">
        <v>4.17</v>
      </c>
      <c r="L2811" s="39">
        <f t="shared" ref="L2811:L2818" si="180">K2811*J2811</f>
        <v>41.7</v>
      </c>
      <c r="M2811" s="117" t="s">
        <v>323</v>
      </c>
      <c r="N2811" s="33">
        <v>45021</v>
      </c>
      <c r="O2811" s="32">
        <v>5125</v>
      </c>
      <c r="P2811" s="391">
        <f t="shared" ref="P2811:P2816" si="181">ROUNDUP(S2811/V2811/VLOOKUP(B2811,$C$2:$F$6,3,FALSE),2)</f>
        <v>2.8499999999999996</v>
      </c>
      <c r="Q2811" s="254">
        <v>2.85</v>
      </c>
      <c r="R2811" s="323">
        <f t="shared" ref="R2811:R2817" si="182">Q2811*J2811</f>
        <v>28.5</v>
      </c>
      <c r="S2811" s="257">
        <v>300</v>
      </c>
      <c r="T2811" s="287">
        <f t="shared" ref="T2811:T2818" si="183">S2811*J2811</f>
        <v>3000</v>
      </c>
      <c r="U2811" s="264"/>
      <c r="V2811" s="260">
        <v>120</v>
      </c>
    </row>
    <row r="2812" spans="2:22" ht="15.75">
      <c r="B2812" s="12" t="s">
        <v>302</v>
      </c>
      <c r="C2812" s="6" t="s">
        <v>4249</v>
      </c>
      <c r="D2812" s="14" t="s">
        <v>3238</v>
      </c>
      <c r="E2812" s="22">
        <v>2440</v>
      </c>
      <c r="F2812" s="107">
        <v>140</v>
      </c>
      <c r="G2812" s="22" t="s">
        <v>4251</v>
      </c>
      <c r="H2812" s="1131">
        <v>10</v>
      </c>
      <c r="I2812" s="1132">
        <v>1</v>
      </c>
      <c r="J2812" s="60">
        <v>10</v>
      </c>
      <c r="K2812" s="39">
        <v>4.17</v>
      </c>
      <c r="L2812" s="39">
        <f t="shared" si="180"/>
        <v>41.7</v>
      </c>
      <c r="M2812" s="117" t="s">
        <v>323</v>
      </c>
      <c r="N2812" s="33">
        <v>45021</v>
      </c>
      <c r="O2812" s="32">
        <v>5125</v>
      </c>
      <c r="P2812" s="391">
        <f t="shared" si="181"/>
        <v>2.8499999999999996</v>
      </c>
      <c r="Q2812" s="254">
        <v>2.85</v>
      </c>
      <c r="R2812" s="323">
        <f t="shared" si="182"/>
        <v>28.5</v>
      </c>
      <c r="S2812" s="257">
        <v>300</v>
      </c>
      <c r="T2812" s="287">
        <f t="shared" si="183"/>
        <v>3000</v>
      </c>
      <c r="U2812" s="264"/>
      <c r="V2812" s="260">
        <v>120</v>
      </c>
    </row>
    <row r="2813" spans="2:22" ht="15.75">
      <c r="B2813" s="12" t="s">
        <v>302</v>
      </c>
      <c r="C2813" s="6" t="s">
        <v>4249</v>
      </c>
      <c r="D2813" s="14" t="s">
        <v>3238</v>
      </c>
      <c r="E2813" s="22">
        <v>2440</v>
      </c>
      <c r="F2813" s="107">
        <v>140</v>
      </c>
      <c r="G2813" s="22" t="s">
        <v>4252</v>
      </c>
      <c r="H2813" s="60">
        <v>10</v>
      </c>
      <c r="I2813" s="61">
        <v>1</v>
      </c>
      <c r="J2813" s="60">
        <v>10</v>
      </c>
      <c r="K2813" s="39">
        <v>4.17</v>
      </c>
      <c r="L2813" s="39">
        <f t="shared" si="180"/>
        <v>41.7</v>
      </c>
      <c r="M2813" s="117" t="s">
        <v>323</v>
      </c>
      <c r="N2813" s="33">
        <v>45021</v>
      </c>
      <c r="O2813" s="32">
        <v>5125</v>
      </c>
      <c r="P2813" s="391">
        <f t="shared" si="181"/>
        <v>2.8499999999999996</v>
      </c>
      <c r="Q2813" s="254">
        <v>2.85</v>
      </c>
      <c r="R2813" s="323">
        <f t="shared" si="182"/>
        <v>28.5</v>
      </c>
      <c r="S2813" s="257">
        <v>300</v>
      </c>
      <c r="T2813" s="287">
        <f t="shared" si="183"/>
        <v>3000</v>
      </c>
      <c r="U2813" s="264"/>
      <c r="V2813" s="260">
        <v>120</v>
      </c>
    </row>
    <row r="2814" spans="2:22" ht="15.75">
      <c r="B2814" s="12" t="s">
        <v>302</v>
      </c>
      <c r="C2814" s="6" t="s">
        <v>4249</v>
      </c>
      <c r="D2814" s="14" t="s">
        <v>3238</v>
      </c>
      <c r="E2814" s="22">
        <v>2440</v>
      </c>
      <c r="F2814" s="107">
        <v>140</v>
      </c>
      <c r="G2814" s="22" t="s">
        <v>4253</v>
      </c>
      <c r="H2814" s="60">
        <v>10</v>
      </c>
      <c r="I2814" s="61">
        <v>1</v>
      </c>
      <c r="J2814" s="60">
        <v>10</v>
      </c>
      <c r="K2814" s="39">
        <v>4.17</v>
      </c>
      <c r="L2814" s="39">
        <f t="shared" si="180"/>
        <v>41.7</v>
      </c>
      <c r="M2814" s="117" t="s">
        <v>323</v>
      </c>
      <c r="N2814" s="33">
        <v>45021</v>
      </c>
      <c r="O2814" s="32">
        <v>5125</v>
      </c>
      <c r="P2814" s="391">
        <f t="shared" si="181"/>
        <v>2.8499999999999996</v>
      </c>
      <c r="Q2814" s="254">
        <v>2.85</v>
      </c>
      <c r="R2814" s="323">
        <f t="shared" si="182"/>
        <v>28.5</v>
      </c>
      <c r="S2814" s="257">
        <v>300</v>
      </c>
      <c r="T2814" s="287">
        <f t="shared" si="183"/>
        <v>3000</v>
      </c>
      <c r="U2814" s="264"/>
      <c r="V2814" s="260">
        <v>120</v>
      </c>
    </row>
    <row r="2815" spans="2:22" ht="15.75">
      <c r="B2815" s="12" t="s">
        <v>302</v>
      </c>
      <c r="C2815" s="6" t="s">
        <v>4249</v>
      </c>
      <c r="D2815" s="14" t="s">
        <v>3238</v>
      </c>
      <c r="E2815" s="22">
        <v>2440</v>
      </c>
      <c r="F2815" s="107">
        <v>140</v>
      </c>
      <c r="G2815" s="22" t="s">
        <v>4254</v>
      </c>
      <c r="H2815" s="1131">
        <v>10</v>
      </c>
      <c r="I2815" s="1132">
        <v>1</v>
      </c>
      <c r="J2815" s="60">
        <v>10</v>
      </c>
      <c r="K2815" s="39">
        <v>4.17</v>
      </c>
      <c r="L2815" s="39">
        <f t="shared" si="180"/>
        <v>41.7</v>
      </c>
      <c r="M2815" s="117" t="s">
        <v>323</v>
      </c>
      <c r="N2815" s="33">
        <v>45021</v>
      </c>
      <c r="O2815" s="32">
        <v>5125</v>
      </c>
      <c r="P2815" s="391">
        <f t="shared" si="181"/>
        <v>2.8499999999999996</v>
      </c>
      <c r="Q2815" s="254">
        <v>2.85</v>
      </c>
      <c r="R2815" s="323">
        <f t="shared" si="182"/>
        <v>28.5</v>
      </c>
      <c r="S2815" s="257">
        <v>300</v>
      </c>
      <c r="T2815" s="287">
        <f t="shared" si="183"/>
        <v>3000</v>
      </c>
      <c r="U2815" s="264"/>
      <c r="V2815" s="260">
        <v>120</v>
      </c>
    </row>
    <row r="2816" spans="2:22" ht="15.75">
      <c r="B2816" s="12" t="s">
        <v>302</v>
      </c>
      <c r="C2816" s="6" t="s">
        <v>4249</v>
      </c>
      <c r="D2816" s="14" t="s">
        <v>3238</v>
      </c>
      <c r="E2816" s="22">
        <v>2440</v>
      </c>
      <c r="F2816" s="107">
        <v>140</v>
      </c>
      <c r="G2816" s="22" t="s">
        <v>4255</v>
      </c>
      <c r="H2816" s="1131">
        <v>10</v>
      </c>
      <c r="I2816" s="1132">
        <v>1</v>
      </c>
      <c r="J2816" s="60">
        <v>10</v>
      </c>
      <c r="K2816" s="39">
        <v>4.17</v>
      </c>
      <c r="L2816" s="39">
        <f t="shared" si="180"/>
        <v>41.7</v>
      </c>
      <c r="M2816" s="117" t="s">
        <v>323</v>
      </c>
      <c r="N2816" s="33">
        <v>45021</v>
      </c>
      <c r="O2816" s="32">
        <v>5125</v>
      </c>
      <c r="P2816" s="391">
        <f t="shared" si="181"/>
        <v>2.8499999999999996</v>
      </c>
      <c r="Q2816" s="254">
        <v>2.85</v>
      </c>
      <c r="R2816" s="323">
        <f t="shared" si="182"/>
        <v>28.5</v>
      </c>
      <c r="S2816" s="257">
        <v>300</v>
      </c>
      <c r="T2816" s="287">
        <f t="shared" si="183"/>
        <v>3000</v>
      </c>
      <c r="U2816" s="264"/>
      <c r="V2816" s="260">
        <v>120</v>
      </c>
    </row>
    <row r="2817" spans="1:51" s="7" customFormat="1" ht="18" customHeight="1">
      <c r="B2817" s="12"/>
      <c r="C2817" s="6" t="s">
        <v>4249</v>
      </c>
      <c r="D2817" s="14" t="s">
        <v>3238</v>
      </c>
      <c r="E2817" s="82"/>
      <c r="F2817" s="102"/>
      <c r="G2817" s="22" t="s">
        <v>236</v>
      </c>
      <c r="H2817" s="8"/>
      <c r="I2817" s="35"/>
      <c r="J2817" s="38">
        <v>6</v>
      </c>
      <c r="K2817" s="39">
        <v>15</v>
      </c>
      <c r="L2817" s="39">
        <f t="shared" si="180"/>
        <v>90</v>
      </c>
      <c r="M2817" s="91"/>
      <c r="N2817" s="33">
        <v>45021</v>
      </c>
      <c r="O2817" s="32">
        <v>5125</v>
      </c>
      <c r="P2817" s="6"/>
      <c r="Q2817" s="322">
        <v>12</v>
      </c>
      <c r="R2817" s="323">
        <f t="shared" si="182"/>
        <v>72</v>
      </c>
      <c r="S2817" s="7">
        <v>1000</v>
      </c>
      <c r="T2817" s="7">
        <f t="shared" si="183"/>
        <v>6000</v>
      </c>
      <c r="U2817" s="21"/>
      <c r="V2817" s="260">
        <v>120</v>
      </c>
    </row>
    <row r="2818" spans="1:51" s="7" customFormat="1" ht="18" customHeight="1">
      <c r="B2818" s="12"/>
      <c r="C2818" s="6" t="s">
        <v>4249</v>
      </c>
      <c r="D2818" s="14" t="s">
        <v>3238</v>
      </c>
      <c r="E2818" s="82"/>
      <c r="F2818" s="102"/>
      <c r="G2818" s="22" t="s">
        <v>316</v>
      </c>
      <c r="H2818" s="8"/>
      <c r="I2818" s="35"/>
      <c r="J2818" s="38">
        <v>1</v>
      </c>
      <c r="K2818" s="39">
        <v>20</v>
      </c>
      <c r="L2818" s="39">
        <f t="shared" si="180"/>
        <v>20</v>
      </c>
      <c r="M2818" s="91"/>
      <c r="N2818" s="33">
        <v>45021</v>
      </c>
      <c r="O2818" s="32">
        <v>5125</v>
      </c>
      <c r="P2818" s="6"/>
      <c r="Q2818" s="322">
        <v>20</v>
      </c>
      <c r="R2818" s="322">
        <v>20</v>
      </c>
      <c r="S2818" s="7">
        <v>1000</v>
      </c>
      <c r="T2818" s="7">
        <f t="shared" si="183"/>
        <v>1000</v>
      </c>
      <c r="U2818" s="21"/>
      <c r="V2818" s="260">
        <v>120</v>
      </c>
    </row>
    <row r="2819" spans="1:51" s="191" customFormat="1" ht="15">
      <c r="B2819" s="190"/>
      <c r="C2819" s="179" t="s">
        <v>4249</v>
      </c>
      <c r="D2819" s="180" t="s">
        <v>3238</v>
      </c>
      <c r="E2819" s="181"/>
      <c r="F2819" s="182"/>
      <c r="G2819" s="182" t="s">
        <v>2738</v>
      </c>
      <c r="H2819" s="184" t="s">
        <v>251</v>
      </c>
      <c r="I2819" s="185"/>
      <c r="J2819" s="183"/>
      <c r="K2819" s="192">
        <v>0</v>
      </c>
      <c r="L2819" s="187"/>
      <c r="M2819" s="187"/>
      <c r="N2819" s="187">
        <v>45021</v>
      </c>
      <c r="O2819" s="186">
        <v>5125</v>
      </c>
      <c r="P2819" s="179"/>
      <c r="Q2819" s="255">
        <v>0</v>
      </c>
      <c r="S2819" s="274">
        <v>0</v>
      </c>
      <c r="T2819" s="198">
        <v>0</v>
      </c>
      <c r="U2819" s="271"/>
      <c r="V2819" s="260">
        <v>120</v>
      </c>
    </row>
    <row r="2820" spans="1:51" customFormat="1" ht="18" customHeight="1">
      <c r="A2820" s="1"/>
      <c r="B2820" s="26"/>
      <c r="C2820" s="6" t="s">
        <v>4258</v>
      </c>
      <c r="D2820" s="14" t="s">
        <v>3086</v>
      </c>
      <c r="E2820" s="19" t="s">
        <v>59</v>
      </c>
      <c r="F2820" s="107"/>
      <c r="G2820" s="22"/>
      <c r="H2820" s="108"/>
      <c r="I2820" s="109"/>
      <c r="J2820" s="108"/>
      <c r="K2820" s="110" t="s">
        <v>5</v>
      </c>
      <c r="L2820" s="33"/>
      <c r="M2820" s="33"/>
      <c r="N2820" s="33">
        <v>45022</v>
      </c>
      <c r="O2820" s="32">
        <v>5128</v>
      </c>
      <c r="P2820" s="14"/>
      <c r="Q2820" s="254"/>
      <c r="R2820" s="1"/>
      <c r="S2820" s="261"/>
      <c r="T2820" s="92"/>
      <c r="U2820" s="264"/>
      <c r="V2820" s="260">
        <v>120</v>
      </c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1"/>
      <c r="AI2820" s="1"/>
      <c r="AJ2820" s="1"/>
      <c r="AK2820" s="1"/>
      <c r="AL2820" s="1"/>
      <c r="AM2820" s="1"/>
      <c r="AN2820" s="1"/>
      <c r="AO2820" s="1"/>
      <c r="AP2820" s="1"/>
      <c r="AQ2820" s="1"/>
      <c r="AR2820" s="1"/>
      <c r="AS2820" s="1"/>
      <c r="AT2820" s="1"/>
      <c r="AU2820" s="1"/>
      <c r="AV2820" s="1"/>
      <c r="AW2820" s="1"/>
      <c r="AX2820" s="1"/>
      <c r="AY2820" s="1"/>
    </row>
    <row r="2821" spans="1:51" customFormat="1" ht="18" customHeight="1">
      <c r="B2821" s="12" t="s">
        <v>302</v>
      </c>
      <c r="C2821" s="6" t="s">
        <v>4258</v>
      </c>
      <c r="D2821" s="14" t="s">
        <v>3086</v>
      </c>
      <c r="E2821" s="22">
        <v>2440</v>
      </c>
      <c r="F2821" s="107">
        <v>140</v>
      </c>
      <c r="G2821" s="22" t="s">
        <v>4256</v>
      </c>
      <c r="H2821" s="1131">
        <v>53</v>
      </c>
      <c r="I2821" s="1132">
        <v>3</v>
      </c>
      <c r="J2821" s="60">
        <f>H2821*I2821</f>
        <v>159</v>
      </c>
      <c r="K2821" s="39">
        <v>4.17</v>
      </c>
      <c r="L2821" s="39">
        <f>K2821*J2821</f>
        <v>663.03</v>
      </c>
      <c r="M2821" s="117" t="s">
        <v>323</v>
      </c>
      <c r="N2821" s="33">
        <v>45022</v>
      </c>
      <c r="O2821" s="32">
        <v>5128</v>
      </c>
      <c r="P2821" s="391">
        <f>ROUNDUP(S2821/V2821/VLOOKUP(B2821,$C$2:$F$6,3,FALSE),2)</f>
        <v>2.8499999999999996</v>
      </c>
      <c r="Q2821" s="254">
        <v>2.85</v>
      </c>
      <c r="R2821" s="323">
        <f>Q2821*J2821</f>
        <v>453.15000000000003</v>
      </c>
      <c r="S2821" s="257">
        <v>300</v>
      </c>
      <c r="T2821" s="287">
        <f>S2821*J2821</f>
        <v>47700</v>
      </c>
      <c r="U2821" s="264"/>
      <c r="V2821" s="260">
        <v>120</v>
      </c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1"/>
      <c r="AI2821" s="1"/>
      <c r="AJ2821" s="1"/>
      <c r="AK2821" s="1"/>
      <c r="AL2821" s="1"/>
      <c r="AM2821" s="1"/>
      <c r="AN2821" s="1"/>
      <c r="AO2821" s="1"/>
      <c r="AP2821" s="1"/>
      <c r="AQ2821" s="1"/>
      <c r="AR2821" s="1"/>
      <c r="AS2821" s="1"/>
      <c r="AT2821" s="1"/>
      <c r="AU2821" s="1"/>
      <c r="AV2821" s="1"/>
      <c r="AW2821" s="1"/>
      <c r="AX2821" s="1"/>
      <c r="AY2821" s="1"/>
    </row>
    <row r="2822" spans="1:51" customFormat="1" ht="18" customHeight="1">
      <c r="B2822" s="12" t="s">
        <v>302</v>
      </c>
      <c r="C2822" s="6" t="s">
        <v>4258</v>
      </c>
      <c r="D2822" s="14" t="s">
        <v>3086</v>
      </c>
      <c r="E2822" s="22">
        <v>2440</v>
      </c>
      <c r="F2822" s="107">
        <v>140</v>
      </c>
      <c r="G2822" s="22" t="s">
        <v>4256</v>
      </c>
      <c r="H2822" s="1131">
        <v>54</v>
      </c>
      <c r="I2822" s="1132">
        <v>3</v>
      </c>
      <c r="J2822" s="60">
        <f>H2822*I2822</f>
        <v>162</v>
      </c>
      <c r="K2822" s="39">
        <v>4.17</v>
      </c>
      <c r="L2822" s="39">
        <f>K2822*J2822</f>
        <v>675.54</v>
      </c>
      <c r="M2822" s="117" t="s">
        <v>323</v>
      </c>
      <c r="N2822" s="33">
        <v>45022</v>
      </c>
      <c r="O2822" s="32">
        <v>5128</v>
      </c>
      <c r="P2822" s="391">
        <f>ROUNDUP(S2822/V2822/VLOOKUP(B2822,$C$2:$F$6,3,FALSE),2)</f>
        <v>2.8499999999999996</v>
      </c>
      <c r="Q2822" s="254">
        <v>2.85</v>
      </c>
      <c r="R2822" s="323">
        <f>Q2822*J2822</f>
        <v>461.7</v>
      </c>
      <c r="S2822" s="257">
        <v>300</v>
      </c>
      <c r="T2822" s="287">
        <f>S2822*J2822</f>
        <v>48600</v>
      </c>
      <c r="U2822" s="264"/>
      <c r="V2822" s="260">
        <v>120</v>
      </c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1"/>
      <c r="AI2822" s="1"/>
      <c r="AJ2822" s="1"/>
      <c r="AK2822" s="1"/>
      <c r="AL2822" s="1"/>
      <c r="AM2822" s="1"/>
      <c r="AN2822" s="1"/>
      <c r="AO2822" s="1"/>
      <c r="AP2822" s="1"/>
      <c r="AQ2822" s="1"/>
      <c r="AR2822" s="1"/>
      <c r="AS2822" s="1"/>
      <c r="AT2822" s="1"/>
      <c r="AU2822" s="1"/>
      <c r="AV2822" s="1"/>
      <c r="AW2822" s="1"/>
      <c r="AX2822" s="1"/>
      <c r="AY2822" s="1"/>
    </row>
    <row r="2823" spans="1:51" s="7" customFormat="1" ht="18" customHeight="1">
      <c r="B2823" s="12" t="s">
        <v>302</v>
      </c>
      <c r="C2823" s="6" t="s">
        <v>4258</v>
      </c>
      <c r="D2823" s="14" t="s">
        <v>3086</v>
      </c>
      <c r="E2823" s="22">
        <v>2440</v>
      </c>
      <c r="F2823" s="107">
        <v>140</v>
      </c>
      <c r="G2823" s="22" t="s">
        <v>4257</v>
      </c>
      <c r="H2823" s="1131">
        <v>52</v>
      </c>
      <c r="I2823" s="1132">
        <v>1</v>
      </c>
      <c r="J2823" s="60">
        <v>52</v>
      </c>
      <c r="K2823" s="39">
        <v>4.17</v>
      </c>
      <c r="L2823" s="39">
        <f>K2823*J2823</f>
        <v>216.84</v>
      </c>
      <c r="M2823" s="117" t="s">
        <v>323</v>
      </c>
      <c r="N2823" s="33">
        <v>45022</v>
      </c>
      <c r="O2823" s="32">
        <v>5128</v>
      </c>
      <c r="P2823" s="391">
        <f>ROUNDUP(S2823/V2823/VLOOKUP(B2823,$C$2:$F$6,3,FALSE),2)</f>
        <v>2.8499999999999996</v>
      </c>
      <c r="Q2823" s="254">
        <v>2.85</v>
      </c>
      <c r="R2823" s="323">
        <f>Q2823*J2823</f>
        <v>148.20000000000002</v>
      </c>
      <c r="S2823" s="257">
        <v>300</v>
      </c>
      <c r="T2823" s="287">
        <f>S2823*J2823</f>
        <v>15600</v>
      </c>
      <c r="U2823" s="264"/>
      <c r="V2823" s="260">
        <v>120</v>
      </c>
      <c r="W2823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1"/>
      <c r="AI2823" s="1"/>
      <c r="AJ2823" s="1"/>
      <c r="AK2823" s="1"/>
      <c r="AL2823" s="1"/>
      <c r="AM2823" s="1"/>
      <c r="AN2823" s="1"/>
      <c r="AO2823" s="1"/>
      <c r="AP2823" s="1"/>
      <c r="AQ2823" s="1"/>
      <c r="AR2823" s="1"/>
      <c r="AS2823" s="1"/>
      <c r="AT2823" s="1"/>
      <c r="AU2823" s="1"/>
      <c r="AV2823" s="1"/>
      <c r="AW2823" s="1"/>
      <c r="AX2823" s="1"/>
      <c r="AY2823" s="1"/>
    </row>
    <row r="2824" spans="1:51" s="7" customFormat="1" ht="18" customHeight="1">
      <c r="B2824" s="12" t="s">
        <v>302</v>
      </c>
      <c r="C2824" s="6" t="s">
        <v>4258</v>
      </c>
      <c r="D2824" s="14" t="s">
        <v>3086</v>
      </c>
      <c r="E2824" s="22">
        <v>2440</v>
      </c>
      <c r="F2824" s="107">
        <v>140</v>
      </c>
      <c r="G2824" s="22" t="s">
        <v>4257</v>
      </c>
      <c r="H2824" s="1131">
        <v>54</v>
      </c>
      <c r="I2824" s="1132">
        <v>1</v>
      </c>
      <c r="J2824" s="60">
        <v>54</v>
      </c>
      <c r="K2824" s="39">
        <v>4.17</v>
      </c>
      <c r="L2824" s="39">
        <f>K2824*J2824</f>
        <v>225.18</v>
      </c>
      <c r="M2824" s="117" t="s">
        <v>323</v>
      </c>
      <c r="N2824" s="33">
        <v>45022</v>
      </c>
      <c r="O2824" s="32">
        <v>5128</v>
      </c>
      <c r="P2824" s="391">
        <f>ROUNDUP(S2824/V2824/VLOOKUP(B2824,$C$2:$F$6,3,FALSE),2)</f>
        <v>2.8499999999999996</v>
      </c>
      <c r="Q2824" s="254">
        <v>2.85</v>
      </c>
      <c r="R2824" s="323">
        <f>Q2824*J2824</f>
        <v>153.9</v>
      </c>
      <c r="S2824" s="257">
        <v>300</v>
      </c>
      <c r="T2824" s="287">
        <f>S2824*J2824</f>
        <v>16200</v>
      </c>
      <c r="U2824" s="264"/>
      <c r="V2824" s="260">
        <v>120</v>
      </c>
      <c r="W2824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1"/>
      <c r="AI2824" s="1"/>
      <c r="AJ2824" s="1"/>
      <c r="AK2824" s="1"/>
      <c r="AL2824" s="1"/>
      <c r="AM2824" s="1"/>
      <c r="AN2824" s="1"/>
      <c r="AO2824" s="1"/>
      <c r="AP2824" s="1"/>
      <c r="AQ2824" s="1"/>
      <c r="AR2824" s="1"/>
      <c r="AS2824" s="1"/>
      <c r="AT2824" s="1"/>
      <c r="AU2824" s="1"/>
      <c r="AV2824" s="1"/>
      <c r="AW2824" s="1"/>
      <c r="AX2824" s="1"/>
      <c r="AY2824" s="1"/>
    </row>
    <row r="2825" spans="1:51" s="7" customFormat="1" ht="18" customHeight="1">
      <c r="B2825" s="12"/>
      <c r="C2825" s="6" t="s">
        <v>4258</v>
      </c>
      <c r="D2825" s="14" t="s">
        <v>3086</v>
      </c>
      <c r="E2825" s="22"/>
      <c r="F2825" s="340"/>
      <c r="G2825" s="22" t="s">
        <v>316</v>
      </c>
      <c r="H2825" s="8"/>
      <c r="I2825" s="109" ph="1"/>
      <c r="J2825" s="38">
        <v>1</v>
      </c>
      <c r="K2825" s="39">
        <v>20</v>
      </c>
      <c r="L2825" s="39">
        <f>K2825*J2825</f>
        <v>20</v>
      </c>
      <c r="M2825" s="91"/>
      <c r="N2825" s="33">
        <v>45022</v>
      </c>
      <c r="O2825" s="32">
        <v>5128</v>
      </c>
      <c r="P2825" s="6"/>
      <c r="Q2825" s="322">
        <v>20</v>
      </c>
      <c r="R2825" s="323">
        <f>Q2825*J2825</f>
        <v>20</v>
      </c>
      <c r="S2825" s="7">
        <v>1800</v>
      </c>
      <c r="T2825" s="7">
        <v>1800</v>
      </c>
      <c r="U2825" s="21"/>
      <c r="V2825" s="260">
        <v>120</v>
      </c>
    </row>
    <row r="2826" spans="1:51" s="191" customFormat="1" ht="18" customHeight="1">
      <c r="B2826" s="190"/>
      <c r="C2826" s="179" t="s">
        <v>4258</v>
      </c>
      <c r="D2826" s="180" t="s">
        <v>3086</v>
      </c>
      <c r="E2826" s="181"/>
      <c r="F2826" s="182"/>
      <c r="G2826" s="182" t="s">
        <v>250</v>
      </c>
      <c r="H2826" s="184" t="s">
        <v>252</v>
      </c>
      <c r="I2826" s="185"/>
      <c r="J2826" s="183"/>
      <c r="K2826" s="333">
        <v>250</v>
      </c>
      <c r="L2826" s="333">
        <v>250</v>
      </c>
      <c r="M2826" s="187"/>
      <c r="N2826" s="187">
        <v>45022</v>
      </c>
      <c r="O2826" s="186">
        <v>5128</v>
      </c>
      <c r="P2826" s="179"/>
      <c r="Q2826" s="333">
        <v>250</v>
      </c>
      <c r="R2826" s="333">
        <v>250</v>
      </c>
      <c r="S2826" s="212">
        <v>28217</v>
      </c>
      <c r="T2826" s="212">
        <v>28217</v>
      </c>
      <c r="U2826" s="335"/>
      <c r="V2826" s="260">
        <v>120</v>
      </c>
    </row>
    <row r="2827" spans="1:51" s="7" customFormat="1" ht="17.25" customHeight="1">
      <c r="B2827" s="12"/>
      <c r="C2827" s="6" t="s">
        <v>4260</v>
      </c>
      <c r="D2827" s="14" t="s">
        <v>1963</v>
      </c>
      <c r="E2827" s="19" t="s">
        <v>238</v>
      </c>
      <c r="F2827" s="107"/>
      <c r="G2827" s="22"/>
      <c r="H2827" s="108"/>
      <c r="I2827" s="109"/>
      <c r="J2827" s="108"/>
      <c r="K2827" s="29" t="s">
        <v>5</v>
      </c>
      <c r="L2827" s="139"/>
      <c r="M2827" s="33"/>
      <c r="N2827" s="33">
        <v>45027</v>
      </c>
      <c r="O2827" s="32">
        <v>5144</v>
      </c>
      <c r="P2827" s="14"/>
      <c r="Q2827" s="322"/>
      <c r="U2827" s="14"/>
      <c r="V2827" s="260">
        <v>120</v>
      </c>
    </row>
    <row r="2828" spans="1:51" s="7" customFormat="1" ht="18" customHeight="1">
      <c r="B2828" s="12" t="s">
        <v>302</v>
      </c>
      <c r="C2828" s="6" t="s">
        <v>4260</v>
      </c>
      <c r="D2828" s="14" t="s">
        <v>1963</v>
      </c>
      <c r="E2828" s="22" t="s">
        <v>239</v>
      </c>
      <c r="F2828" s="107">
        <v>150</v>
      </c>
      <c r="G2828" s="22" t="s">
        <v>4261</v>
      </c>
      <c r="H2828" s="108">
        <v>5</v>
      </c>
      <c r="I2828" s="109">
        <v>1</v>
      </c>
      <c r="J2828" s="8">
        <f>H2828*I2828</f>
        <v>5</v>
      </c>
      <c r="K2828" s="39">
        <v>7.37</v>
      </c>
      <c r="L2828" s="39">
        <f>K2828*J2828</f>
        <v>36.85</v>
      </c>
      <c r="M2828" s="117" t="s">
        <v>349</v>
      </c>
      <c r="N2828" s="33">
        <v>45027</v>
      </c>
      <c r="O2828" s="32">
        <v>5144</v>
      </c>
      <c r="P2828" s="391">
        <f>ROUNDUP(S2828/V2828/VLOOKUP(B2828,$C$2:$F$6,3,FALSE),2)</f>
        <v>5.0199999999999996</v>
      </c>
      <c r="Q2828" s="322">
        <v>5.0199999999999996</v>
      </c>
      <c r="R2828" s="322">
        <f>Q2828*J2828</f>
        <v>25.099999999999998</v>
      </c>
      <c r="S2828" s="7">
        <v>530</v>
      </c>
      <c r="T2828" s="7">
        <f>S2828*J2828</f>
        <v>2650</v>
      </c>
      <c r="U2828" s="21"/>
      <c r="V2828" s="260">
        <v>120</v>
      </c>
    </row>
    <row r="2829" spans="1:51" s="7" customFormat="1" ht="18" customHeight="1">
      <c r="B2829" s="12" t="s">
        <v>302</v>
      </c>
      <c r="C2829" s="6" t="s">
        <v>4260</v>
      </c>
      <c r="D2829" s="14" t="s">
        <v>1963</v>
      </c>
      <c r="E2829" s="22" t="s">
        <v>239</v>
      </c>
      <c r="F2829" s="107">
        <v>150</v>
      </c>
      <c r="G2829" s="22" t="s">
        <v>4261</v>
      </c>
      <c r="H2829" s="108">
        <v>10</v>
      </c>
      <c r="I2829" s="109">
        <v>1</v>
      </c>
      <c r="J2829" s="8">
        <f>H2829*I2829</f>
        <v>10</v>
      </c>
      <c r="K2829" s="39">
        <v>7.37</v>
      </c>
      <c r="L2829" s="39">
        <f>K2829*J2829</f>
        <v>73.7</v>
      </c>
      <c r="M2829" s="117" t="s">
        <v>349</v>
      </c>
      <c r="N2829" s="33">
        <v>45027</v>
      </c>
      <c r="O2829" s="32">
        <v>5144</v>
      </c>
      <c r="P2829" s="391">
        <f>ROUNDUP(S2829/V2829/VLOOKUP(B2829,$C$2:$F$6,3,FALSE),2)</f>
        <v>5.0199999999999996</v>
      </c>
      <c r="Q2829" s="322">
        <v>5.0199999999999996</v>
      </c>
      <c r="R2829" s="322">
        <f>Q2829*J2829</f>
        <v>50.199999999999996</v>
      </c>
      <c r="S2829" s="7">
        <v>530</v>
      </c>
      <c r="T2829" s="7">
        <f>S2829*J2829</f>
        <v>5300</v>
      </c>
      <c r="U2829" s="21"/>
      <c r="V2829" s="260">
        <v>120</v>
      </c>
    </row>
    <row r="2830" spans="1:51" s="7" customFormat="1" ht="15">
      <c r="B2830" s="12"/>
      <c r="C2830" s="6" t="s">
        <v>4260</v>
      </c>
      <c r="D2830" s="14" t="s">
        <v>1963</v>
      </c>
      <c r="E2830" s="49"/>
      <c r="F2830" s="102"/>
      <c r="G2830" s="22" t="s">
        <v>2625</v>
      </c>
      <c r="H2830" s="38"/>
      <c r="I2830" s="35"/>
      <c r="J2830" s="38">
        <v>2</v>
      </c>
      <c r="K2830" s="39">
        <v>15</v>
      </c>
      <c r="L2830" s="39">
        <f>K2830*J2830</f>
        <v>30</v>
      </c>
      <c r="M2830" s="91"/>
      <c r="N2830" s="33">
        <v>45027</v>
      </c>
      <c r="O2830" s="32">
        <v>5144</v>
      </c>
      <c r="P2830" s="391">
        <v>12</v>
      </c>
      <c r="Q2830" s="322">
        <v>12</v>
      </c>
      <c r="R2830" s="322">
        <f>Q2830*J2830</f>
        <v>24</v>
      </c>
      <c r="S2830" s="7">
        <v>1000</v>
      </c>
      <c r="T2830" s="7">
        <f>S2830*J2830</f>
        <v>2000</v>
      </c>
      <c r="U2830" s="21"/>
      <c r="V2830" s="260">
        <v>120</v>
      </c>
    </row>
    <row r="2831" spans="1:51" s="7" customFormat="1" ht="15">
      <c r="B2831" s="12"/>
      <c r="C2831" s="6" t="s">
        <v>4260</v>
      </c>
      <c r="D2831" s="14" t="s">
        <v>1963</v>
      </c>
      <c r="E2831" s="49"/>
      <c r="F2831" s="102"/>
      <c r="G2831" s="22" t="s">
        <v>316</v>
      </c>
      <c r="H2831" s="38"/>
      <c r="I2831" s="35"/>
      <c r="J2831" s="38">
        <v>1</v>
      </c>
      <c r="K2831" s="39">
        <v>20</v>
      </c>
      <c r="L2831" s="39">
        <f>K2831*J2831</f>
        <v>20</v>
      </c>
      <c r="M2831" s="91"/>
      <c r="N2831" s="33">
        <v>45027</v>
      </c>
      <c r="O2831" s="32">
        <v>5144</v>
      </c>
      <c r="P2831" s="722"/>
      <c r="Q2831" s="322">
        <v>20</v>
      </c>
      <c r="R2831" s="322">
        <f>Q2831*J2831</f>
        <v>20</v>
      </c>
      <c r="S2831" s="7">
        <v>1000</v>
      </c>
      <c r="T2831" s="7">
        <f>S2831*J2831</f>
        <v>1000</v>
      </c>
      <c r="U2831" s="21"/>
      <c r="V2831" s="260">
        <v>120</v>
      </c>
    </row>
    <row r="2832" spans="1:51" s="191" customFormat="1" ht="15">
      <c r="B2832" s="190"/>
      <c r="C2832" s="179" t="s">
        <v>4260</v>
      </c>
      <c r="D2832" s="180" t="s">
        <v>1963</v>
      </c>
      <c r="E2832" s="181"/>
      <c r="F2832" s="182"/>
      <c r="G2832" s="182" t="s">
        <v>250</v>
      </c>
      <c r="H2832" s="184" t="s">
        <v>251</v>
      </c>
      <c r="I2832" s="185"/>
      <c r="J2832" s="183"/>
      <c r="K2832" s="192">
        <v>0</v>
      </c>
      <c r="L2832" s="188"/>
      <c r="M2832" s="187"/>
      <c r="N2832" s="187">
        <v>45027</v>
      </c>
      <c r="O2832" s="186">
        <v>5144</v>
      </c>
      <c r="P2832" s="179"/>
      <c r="Q2832" s="725">
        <v>0</v>
      </c>
      <c r="R2832" s="322">
        <f>Q2832*J2832</f>
        <v>0</v>
      </c>
      <c r="S2832" s="197">
        <v>0</v>
      </c>
      <c r="T2832" s="198">
        <v>0</v>
      </c>
      <c r="U2832" s="335"/>
      <c r="V2832" s="260">
        <v>120</v>
      </c>
    </row>
    <row r="2833" spans="2:22" s="7" customFormat="1" ht="18" customHeight="1">
      <c r="B2833" s="12"/>
      <c r="C2833" s="6" t="s">
        <v>4262</v>
      </c>
      <c r="D2833" s="14" t="s">
        <v>3116</v>
      </c>
      <c r="E2833" s="19" t="s">
        <v>10</v>
      </c>
      <c r="F2833" s="107"/>
      <c r="G2833" s="22"/>
      <c r="H2833" s="108"/>
      <c r="I2833" s="109"/>
      <c r="J2833" s="108"/>
      <c r="K2833" s="29" t="s">
        <v>5</v>
      </c>
      <c r="L2833" s="39"/>
      <c r="M2833" s="91"/>
      <c r="N2833" s="33">
        <v>45030</v>
      </c>
      <c r="O2833" s="32">
        <v>5153</v>
      </c>
      <c r="P2833" s="14"/>
      <c r="Q2833" s="322"/>
      <c r="U2833" s="14"/>
      <c r="V2833" s="384">
        <v>120</v>
      </c>
    </row>
    <row r="2834" spans="2:22" s="7" customFormat="1" ht="18" customHeight="1">
      <c r="B2834" s="12" t="s">
        <v>302</v>
      </c>
      <c r="C2834" s="6" t="s">
        <v>4262</v>
      </c>
      <c r="D2834" s="14" t="s">
        <v>3116</v>
      </c>
      <c r="E2834" s="22" t="s">
        <v>190</v>
      </c>
      <c r="F2834" s="107">
        <v>160</v>
      </c>
      <c r="G2834" s="396" t="s">
        <v>13</v>
      </c>
      <c r="H2834" s="108">
        <v>50</v>
      </c>
      <c r="I2834" s="109">
        <v>1</v>
      </c>
      <c r="J2834" s="8">
        <f>H2834*I2834</f>
        <v>50</v>
      </c>
      <c r="K2834" s="39">
        <v>5.28</v>
      </c>
      <c r="L2834" s="39">
        <f>K2834*J2834</f>
        <v>264</v>
      </c>
      <c r="M2834" s="117" t="s">
        <v>322</v>
      </c>
      <c r="N2834" s="33">
        <v>45030</v>
      </c>
      <c r="O2834" s="32">
        <v>5153</v>
      </c>
      <c r="P2834" s="391">
        <f>ROUNDUP(S2834/V2834/VLOOKUP(B2834,$C$2:$F$6,3,FALSE),2)</f>
        <v>3.5999999999999996</v>
      </c>
      <c r="Q2834" s="322">
        <v>3.6</v>
      </c>
      <c r="R2834" s="322">
        <f>Q2834*J2834</f>
        <v>180</v>
      </c>
      <c r="S2834" s="7">
        <v>380</v>
      </c>
      <c r="T2834" s="7">
        <f>S2834*J2834</f>
        <v>19000</v>
      </c>
      <c r="U2834" s="21"/>
      <c r="V2834" s="260">
        <v>120</v>
      </c>
    </row>
    <row r="2835" spans="2:22" s="7" customFormat="1" ht="18" customHeight="1">
      <c r="B2835" s="12" t="s">
        <v>302</v>
      </c>
      <c r="C2835" s="6" t="s">
        <v>4262</v>
      </c>
      <c r="D2835" s="14" t="s">
        <v>3116</v>
      </c>
      <c r="E2835" s="22" t="s">
        <v>190</v>
      </c>
      <c r="F2835" s="107">
        <v>160</v>
      </c>
      <c r="G2835" s="396" t="s">
        <v>13</v>
      </c>
      <c r="H2835" s="108">
        <v>10</v>
      </c>
      <c r="I2835" s="109">
        <v>1</v>
      </c>
      <c r="J2835" s="8">
        <f>H2835*I2835</f>
        <v>10</v>
      </c>
      <c r="K2835" s="39">
        <v>5.28</v>
      </c>
      <c r="L2835" s="39">
        <f>K2835*J2835</f>
        <v>52.800000000000004</v>
      </c>
      <c r="M2835" s="117" t="s">
        <v>322</v>
      </c>
      <c r="N2835" s="33">
        <v>45030</v>
      </c>
      <c r="O2835" s="32">
        <v>5153</v>
      </c>
      <c r="P2835" s="391">
        <f>ROUNDUP(S2835/V2835/VLOOKUP(B2835,$C$2:$F$6,3,FALSE),2)</f>
        <v>3.5999999999999996</v>
      </c>
      <c r="Q2835" s="322">
        <v>3.6</v>
      </c>
      <c r="R2835" s="322">
        <f>Q2835*J2835</f>
        <v>36</v>
      </c>
      <c r="S2835" s="7">
        <v>380</v>
      </c>
      <c r="T2835" s="7">
        <f>S2835*J2835</f>
        <v>3800</v>
      </c>
      <c r="U2835" s="21"/>
      <c r="V2835" s="260">
        <v>120</v>
      </c>
    </row>
    <row r="2836" spans="2:22" s="7" customFormat="1" ht="15">
      <c r="B2836" s="12"/>
      <c r="C2836" s="6" t="s">
        <v>4262</v>
      </c>
      <c r="D2836" s="14" t="s">
        <v>3116</v>
      </c>
      <c r="E2836" s="49"/>
      <c r="F2836" s="102"/>
      <c r="G2836" s="22" t="s">
        <v>2625</v>
      </c>
      <c r="H2836" s="38"/>
      <c r="I2836" s="35"/>
      <c r="J2836" s="38">
        <v>1</v>
      </c>
      <c r="K2836" s="39">
        <v>15</v>
      </c>
      <c r="L2836" s="39">
        <f>K2836*J2836</f>
        <v>15</v>
      </c>
      <c r="M2836" s="91"/>
      <c r="N2836" s="33">
        <v>45030</v>
      </c>
      <c r="O2836" s="32">
        <v>5153</v>
      </c>
      <c r="P2836" s="391">
        <v>15</v>
      </c>
      <c r="Q2836" s="322">
        <v>15</v>
      </c>
      <c r="R2836" s="322">
        <f>Q2836*J2836</f>
        <v>15</v>
      </c>
      <c r="S2836" s="7">
        <v>1000</v>
      </c>
      <c r="T2836" s="7">
        <f>S2836*J2836</f>
        <v>1000</v>
      </c>
      <c r="U2836" s="21"/>
      <c r="V2836" s="260">
        <v>120</v>
      </c>
    </row>
    <row r="2837" spans="2:22" s="7" customFormat="1" ht="18" customHeight="1">
      <c r="B2837" s="12"/>
      <c r="C2837" s="6" t="s">
        <v>4262</v>
      </c>
      <c r="D2837" s="14" t="s">
        <v>3116</v>
      </c>
      <c r="E2837" s="22"/>
      <c r="F2837" s="102"/>
      <c r="G2837" s="22" t="s">
        <v>316</v>
      </c>
      <c r="H2837" s="8"/>
      <c r="I2837" s="35"/>
      <c r="J2837" s="38">
        <v>1</v>
      </c>
      <c r="K2837" s="39">
        <v>20</v>
      </c>
      <c r="L2837" s="39">
        <f>K2837*J2837</f>
        <v>20</v>
      </c>
      <c r="M2837" s="91"/>
      <c r="N2837" s="33">
        <v>45030</v>
      </c>
      <c r="O2837" s="32">
        <v>5153</v>
      </c>
      <c r="P2837" s="6" t="s">
        <v>3</v>
      </c>
      <c r="Q2837" s="322">
        <v>20</v>
      </c>
      <c r="R2837" s="322">
        <f>Q2837*J2837</f>
        <v>20</v>
      </c>
      <c r="S2837" s="7">
        <v>1800</v>
      </c>
      <c r="T2837" s="7">
        <f>S2837*J2837</f>
        <v>1800</v>
      </c>
      <c r="U2837" s="21"/>
      <c r="V2837" s="260">
        <v>120</v>
      </c>
    </row>
    <row r="2838" spans="2:22" s="191" customFormat="1" ht="18" customHeight="1">
      <c r="B2838" s="190"/>
      <c r="C2838" s="179" t="s">
        <v>4262</v>
      </c>
      <c r="D2838" s="180" t="s">
        <v>3116</v>
      </c>
      <c r="E2838" s="217"/>
      <c r="F2838" s="182"/>
      <c r="G2838" s="182" t="s">
        <v>250</v>
      </c>
      <c r="H2838" s="184" t="s">
        <v>251</v>
      </c>
      <c r="I2838" s="185"/>
      <c r="J2838" s="183"/>
      <c r="K2838" s="192">
        <v>0</v>
      </c>
      <c r="L2838" s="192">
        <v>0</v>
      </c>
      <c r="M2838" s="187"/>
      <c r="N2838" s="187">
        <v>45030</v>
      </c>
      <c r="O2838" s="186">
        <v>5153</v>
      </c>
      <c r="P2838" s="179"/>
      <c r="Q2838" s="334">
        <v>0</v>
      </c>
      <c r="R2838" s="334">
        <v>0</v>
      </c>
      <c r="S2838" s="197">
        <v>0</v>
      </c>
      <c r="T2838" s="197">
        <v>0</v>
      </c>
      <c r="U2838" s="335"/>
      <c r="V2838" s="260">
        <v>120</v>
      </c>
    </row>
    <row r="2839" spans="2:22" s="7" customFormat="1" ht="18" customHeight="1">
      <c r="B2839" s="12"/>
      <c r="C2839" s="6" t="s">
        <v>4267</v>
      </c>
      <c r="D2839" s="14" t="s">
        <v>2059</v>
      </c>
      <c r="E2839" s="19" t="s">
        <v>3092</v>
      </c>
      <c r="F2839" s="37"/>
      <c r="G2839" s="37"/>
      <c r="H2839" s="108"/>
      <c r="I2839" s="108"/>
      <c r="J2839" s="108"/>
      <c r="K2839" s="29" t="s">
        <v>5</v>
      </c>
      <c r="L2839" s="139"/>
      <c r="M2839" s="33"/>
      <c r="N2839" s="33">
        <v>45029</v>
      </c>
      <c r="O2839" s="32">
        <v>5149</v>
      </c>
      <c r="P2839" s="6"/>
      <c r="Q2839" s="339"/>
      <c r="U2839" s="21"/>
      <c r="V2839" s="260">
        <v>120</v>
      </c>
    </row>
    <row r="2840" spans="2:22" s="7" customFormat="1" ht="18" customHeight="1">
      <c r="B2840" s="12" t="s">
        <v>300</v>
      </c>
      <c r="C2840" s="6" t="s">
        <v>4267</v>
      </c>
      <c r="D2840" s="14" t="s">
        <v>2059</v>
      </c>
      <c r="E2840" s="22">
        <v>5634</v>
      </c>
      <c r="F2840" s="37" t="s">
        <v>311</v>
      </c>
      <c r="G2840" s="221" t="s">
        <v>4263</v>
      </c>
      <c r="H2840" s="108">
        <v>50</v>
      </c>
      <c r="I2840" s="109">
        <v>1</v>
      </c>
      <c r="J2840" s="8">
        <f>H2840*I2840</f>
        <v>50</v>
      </c>
      <c r="K2840" s="39">
        <v>0.32</v>
      </c>
      <c r="L2840" s="39">
        <f>K2840*J2840</f>
        <v>16</v>
      </c>
      <c r="M2840" s="117" t="s">
        <v>323</v>
      </c>
      <c r="N2840" s="33">
        <v>45029</v>
      </c>
      <c r="O2840" s="32">
        <v>5149</v>
      </c>
      <c r="P2840" s="391">
        <f>ROUNDUP(S2840/V2840/VLOOKUP(B2840,$C$2:$F$6,3,FALSE),2)</f>
        <v>0.21000000000000002</v>
      </c>
      <c r="Q2840" s="322">
        <v>0.21</v>
      </c>
      <c r="R2840" s="322">
        <f>Q2840*J2840</f>
        <v>10.5</v>
      </c>
      <c r="S2840" s="7">
        <v>17.2</v>
      </c>
      <c r="T2840" s="92">
        <f>S2840*J2840</f>
        <v>860</v>
      </c>
      <c r="U2840" s="962" t="s">
        <v>3398</v>
      </c>
      <c r="V2840" s="260">
        <v>120</v>
      </c>
    </row>
    <row r="2841" spans="2:22" s="7" customFormat="1" ht="18" customHeight="1">
      <c r="B2841" s="12"/>
      <c r="C2841" s="6" t="s">
        <v>4267</v>
      </c>
      <c r="D2841" s="14" t="s">
        <v>2059</v>
      </c>
      <c r="E2841" s="82"/>
      <c r="F2841" s="102"/>
      <c r="G2841" s="22" t="s">
        <v>316</v>
      </c>
      <c r="H2841" s="8"/>
      <c r="I2841" s="35"/>
      <c r="J2841" s="38">
        <v>1</v>
      </c>
      <c r="K2841" s="39">
        <v>12</v>
      </c>
      <c r="L2841" s="39">
        <f>K2841*J2841</f>
        <v>12</v>
      </c>
      <c r="M2841" s="91"/>
      <c r="N2841" s="33">
        <v>45029</v>
      </c>
      <c r="O2841" s="32">
        <v>5149</v>
      </c>
      <c r="P2841" s="6"/>
      <c r="Q2841" s="322">
        <v>12</v>
      </c>
      <c r="R2841" s="322">
        <f>Q2841*J2841</f>
        <v>12</v>
      </c>
      <c r="S2841" s="7">
        <v>1100</v>
      </c>
      <c r="T2841" s="7">
        <f>S2841*J2841</f>
        <v>1100</v>
      </c>
      <c r="U2841" s="21"/>
      <c r="V2841" s="260">
        <v>120</v>
      </c>
    </row>
    <row r="2842" spans="2:22" s="191" customFormat="1" ht="18" customHeight="1">
      <c r="B2842" s="190"/>
      <c r="C2842" s="179" t="s">
        <v>4267</v>
      </c>
      <c r="D2842" s="180" t="s">
        <v>2059</v>
      </c>
      <c r="E2842" s="736"/>
      <c r="F2842" s="737"/>
      <c r="G2842" s="182" t="s">
        <v>250</v>
      </c>
      <c r="H2842" s="184" t="s">
        <v>251</v>
      </c>
      <c r="I2842" s="185"/>
      <c r="J2842" s="183"/>
      <c r="K2842" s="192">
        <v>0</v>
      </c>
      <c r="L2842" s="188"/>
      <c r="M2842" s="187"/>
      <c r="N2842" s="187">
        <v>45029</v>
      </c>
      <c r="O2842" s="186">
        <v>5149</v>
      </c>
      <c r="P2842" s="179"/>
      <c r="Q2842" s="725">
        <v>0</v>
      </c>
      <c r="S2842" s="197">
        <v>0</v>
      </c>
      <c r="T2842" s="198">
        <v>0</v>
      </c>
      <c r="U2842" s="335"/>
      <c r="V2842" s="260">
        <v>120</v>
      </c>
    </row>
    <row r="2843" spans="2:22" s="7" customFormat="1" ht="18" customHeight="1">
      <c r="B2843" s="12"/>
      <c r="C2843" s="6" t="s">
        <v>4264</v>
      </c>
      <c r="D2843" s="14" t="s">
        <v>3116</v>
      </c>
      <c r="E2843" s="19" t="s">
        <v>10</v>
      </c>
      <c r="F2843" s="107"/>
      <c r="G2843" s="22"/>
      <c r="H2843" s="108"/>
      <c r="I2843" s="109"/>
      <c r="J2843" s="108"/>
      <c r="K2843" s="29" t="s">
        <v>5</v>
      </c>
      <c r="L2843" s="39"/>
      <c r="M2843" s="91"/>
      <c r="N2843" s="33">
        <v>45029</v>
      </c>
      <c r="O2843" s="32">
        <v>5148</v>
      </c>
      <c r="P2843" s="14"/>
      <c r="Q2843" s="322"/>
      <c r="U2843" s="14"/>
      <c r="V2843" s="384">
        <v>120</v>
      </c>
    </row>
    <row r="2844" spans="2:22" s="7" customFormat="1" ht="18" customHeight="1">
      <c r="B2844" s="12" t="s">
        <v>302</v>
      </c>
      <c r="C2844" s="6" t="s">
        <v>4264</v>
      </c>
      <c r="D2844" s="14" t="s">
        <v>3116</v>
      </c>
      <c r="E2844" s="22" t="s">
        <v>190</v>
      </c>
      <c r="F2844" s="107">
        <v>160</v>
      </c>
      <c r="G2844" s="396" t="s">
        <v>13</v>
      </c>
      <c r="H2844" s="108">
        <v>50</v>
      </c>
      <c r="I2844" s="109">
        <v>4</v>
      </c>
      <c r="J2844" s="8">
        <f>H2844*I2844</f>
        <v>200</v>
      </c>
      <c r="K2844" s="39">
        <v>5.28</v>
      </c>
      <c r="L2844" s="39">
        <f>K2844*J2844</f>
        <v>1056</v>
      </c>
      <c r="M2844" s="117" t="s">
        <v>322</v>
      </c>
      <c r="N2844" s="33">
        <v>45029</v>
      </c>
      <c r="O2844" s="32">
        <v>5148</v>
      </c>
      <c r="P2844" s="391">
        <f>ROUNDUP(S2844/V2844/VLOOKUP(B2844,$C$2:$F$6,3,FALSE),2)</f>
        <v>3.5999999999999996</v>
      </c>
      <c r="Q2844" s="322">
        <v>3.6</v>
      </c>
      <c r="R2844" s="322">
        <f>Q2844*J2844</f>
        <v>720</v>
      </c>
      <c r="S2844" s="7">
        <v>380</v>
      </c>
      <c r="T2844" s="7">
        <f>S2844*J2844</f>
        <v>76000</v>
      </c>
      <c r="U2844" s="21"/>
      <c r="V2844" s="260">
        <v>120</v>
      </c>
    </row>
    <row r="2845" spans="2:22" s="7" customFormat="1" ht="18" customHeight="1">
      <c r="B2845" s="12" t="s">
        <v>302</v>
      </c>
      <c r="C2845" s="6" t="s">
        <v>4264</v>
      </c>
      <c r="D2845" s="14" t="s">
        <v>3116</v>
      </c>
      <c r="E2845" s="22" t="s">
        <v>190</v>
      </c>
      <c r="F2845" s="107">
        <v>160</v>
      </c>
      <c r="G2845" s="396" t="s">
        <v>13</v>
      </c>
      <c r="H2845" s="108">
        <v>25</v>
      </c>
      <c r="I2845" s="109">
        <v>1</v>
      </c>
      <c r="J2845" s="8">
        <f>H2845*I2845</f>
        <v>25</v>
      </c>
      <c r="K2845" s="39">
        <v>5.28</v>
      </c>
      <c r="L2845" s="39">
        <f>K2845*J2845</f>
        <v>132</v>
      </c>
      <c r="M2845" s="117" t="s">
        <v>322</v>
      </c>
      <c r="N2845" s="33">
        <v>45029</v>
      </c>
      <c r="O2845" s="32">
        <v>5148</v>
      </c>
      <c r="P2845" s="391">
        <f>ROUNDUP(S2845/V2845/VLOOKUP(B2845,$C$2:$F$6,3,FALSE),2)</f>
        <v>3.5999999999999996</v>
      </c>
      <c r="Q2845" s="322">
        <v>3.6</v>
      </c>
      <c r="R2845" s="322">
        <f>Q2845*J2845</f>
        <v>90</v>
      </c>
      <c r="S2845" s="7">
        <v>380</v>
      </c>
      <c r="T2845" s="7">
        <f>S2845*J2845</f>
        <v>9500</v>
      </c>
      <c r="U2845" s="21"/>
      <c r="V2845" s="260">
        <v>120</v>
      </c>
    </row>
    <row r="2846" spans="2:22" s="7" customFormat="1" ht="18" customHeight="1">
      <c r="B2846" s="12"/>
      <c r="C2846" s="6" t="s">
        <v>4264</v>
      </c>
      <c r="D2846" s="14" t="s">
        <v>3116</v>
      </c>
      <c r="E2846" s="22"/>
      <c r="F2846" s="102"/>
      <c r="G2846" s="22" t="s">
        <v>236</v>
      </c>
      <c r="H2846" s="8"/>
      <c r="I2846" s="35"/>
      <c r="J2846" s="38">
        <v>1</v>
      </c>
      <c r="K2846" s="39">
        <v>15</v>
      </c>
      <c r="L2846" s="39">
        <f>K2846*J2846</f>
        <v>15</v>
      </c>
      <c r="M2846" s="91"/>
      <c r="N2846" s="33">
        <v>45029</v>
      </c>
      <c r="O2846" s="32">
        <v>5148</v>
      </c>
      <c r="P2846" s="6" t="s">
        <v>3</v>
      </c>
      <c r="Q2846" s="322">
        <v>12</v>
      </c>
      <c r="R2846" s="322">
        <v>12</v>
      </c>
      <c r="S2846" s="7">
        <v>1000</v>
      </c>
      <c r="T2846" s="7">
        <f>S2846*J2846</f>
        <v>1000</v>
      </c>
      <c r="U2846" s="21"/>
      <c r="V2846" s="260">
        <v>120</v>
      </c>
    </row>
    <row r="2847" spans="2:22" s="7" customFormat="1" ht="18" customHeight="1">
      <c r="B2847" s="12"/>
      <c r="C2847" s="6" t="s">
        <v>4264</v>
      </c>
      <c r="D2847" s="14" t="s">
        <v>3116</v>
      </c>
      <c r="E2847" s="22"/>
      <c r="F2847" s="102"/>
      <c r="G2847" s="22" t="s">
        <v>316</v>
      </c>
      <c r="H2847" s="8"/>
      <c r="I2847" s="35"/>
      <c r="J2847" s="38">
        <v>1</v>
      </c>
      <c r="K2847" s="39">
        <v>20</v>
      </c>
      <c r="L2847" s="39">
        <f>K2847*J2847</f>
        <v>20</v>
      </c>
      <c r="M2847" s="91"/>
      <c r="N2847" s="33">
        <v>45029</v>
      </c>
      <c r="O2847" s="32">
        <v>5148</v>
      </c>
      <c r="P2847" s="6" t="s">
        <v>3</v>
      </c>
      <c r="Q2847" s="322">
        <v>20</v>
      </c>
      <c r="R2847" s="322">
        <v>20</v>
      </c>
      <c r="S2847" s="7">
        <v>1800</v>
      </c>
      <c r="T2847" s="7">
        <f>S2847*J2847</f>
        <v>1800</v>
      </c>
      <c r="U2847" s="21"/>
      <c r="V2847" s="260">
        <v>120</v>
      </c>
    </row>
    <row r="2848" spans="2:22" s="191" customFormat="1" ht="18" customHeight="1">
      <c r="B2848" s="190"/>
      <c r="C2848" s="179" t="s">
        <v>4264</v>
      </c>
      <c r="D2848" s="180" t="s">
        <v>3116</v>
      </c>
      <c r="E2848" s="217"/>
      <c r="F2848" s="182"/>
      <c r="G2848" s="182" t="s">
        <v>250</v>
      </c>
      <c r="H2848" s="184" t="s">
        <v>251</v>
      </c>
      <c r="I2848" s="185"/>
      <c r="J2848" s="183"/>
      <c r="K2848" s="192">
        <v>0</v>
      </c>
      <c r="L2848" s="192">
        <v>0</v>
      </c>
      <c r="M2848" s="187"/>
      <c r="N2848" s="187">
        <v>45029</v>
      </c>
      <c r="O2848" s="186">
        <v>5148</v>
      </c>
      <c r="P2848" s="179"/>
      <c r="Q2848" s="334">
        <v>0</v>
      </c>
      <c r="R2848" s="334">
        <v>0</v>
      </c>
      <c r="S2848" s="197">
        <v>0</v>
      </c>
      <c r="T2848" s="197">
        <v>0</v>
      </c>
      <c r="U2848" s="335"/>
      <c r="V2848" s="260">
        <v>120</v>
      </c>
    </row>
    <row r="2849" spans="2:22" s="7" customFormat="1" ht="18" customHeight="1">
      <c r="B2849" s="12"/>
      <c r="C2849" s="6" t="s">
        <v>4266</v>
      </c>
      <c r="D2849" s="14" t="s">
        <v>2059</v>
      </c>
      <c r="E2849" s="19" t="s">
        <v>3092</v>
      </c>
      <c r="F2849" s="37"/>
      <c r="G2849" s="37"/>
      <c r="H2849" s="108"/>
      <c r="I2849" s="108"/>
      <c r="J2849" s="108"/>
      <c r="K2849" s="29" t="s">
        <v>5</v>
      </c>
      <c r="L2849" s="139"/>
      <c r="M2849" s="33"/>
      <c r="N2849" s="33">
        <v>45034</v>
      </c>
      <c r="O2849" s="32">
        <v>5158</v>
      </c>
      <c r="P2849" s="6"/>
      <c r="Q2849" s="339"/>
      <c r="U2849" s="21"/>
      <c r="V2849" s="260">
        <v>120</v>
      </c>
    </row>
    <row r="2850" spans="2:22" s="7" customFormat="1" ht="18" customHeight="1">
      <c r="B2850" s="12" t="s">
        <v>300</v>
      </c>
      <c r="C2850" s="6" t="s">
        <v>4266</v>
      </c>
      <c r="D2850" s="14" t="s">
        <v>2059</v>
      </c>
      <c r="E2850" s="22">
        <v>5634</v>
      </c>
      <c r="F2850" s="37" t="s">
        <v>311</v>
      </c>
      <c r="G2850" s="221" t="s">
        <v>4265</v>
      </c>
      <c r="H2850" s="108">
        <v>50</v>
      </c>
      <c r="I2850" s="109">
        <v>12</v>
      </c>
      <c r="J2850" s="8">
        <f>H2850*I2850</f>
        <v>600</v>
      </c>
      <c r="K2850" s="39">
        <v>0.32</v>
      </c>
      <c r="L2850" s="39">
        <f>K2850*J2850</f>
        <v>192</v>
      </c>
      <c r="M2850" s="117" t="s">
        <v>323</v>
      </c>
      <c r="N2850" s="33">
        <v>45034</v>
      </c>
      <c r="O2850" s="32">
        <v>5158</v>
      </c>
      <c r="P2850" s="391">
        <f>ROUNDUP(S2850/V2850/VLOOKUP(B2850,$C$2:$F$6,3,FALSE),2)</f>
        <v>0.21000000000000002</v>
      </c>
      <c r="Q2850" s="322">
        <v>0.21</v>
      </c>
      <c r="R2850" s="322">
        <f>Q2850*J2850</f>
        <v>126</v>
      </c>
      <c r="S2850" s="7">
        <v>17.2</v>
      </c>
      <c r="T2850" s="92">
        <f>S2850*J2850</f>
        <v>10320</v>
      </c>
      <c r="U2850" s="962" t="s">
        <v>3398</v>
      </c>
      <c r="V2850" s="260">
        <v>120</v>
      </c>
    </row>
    <row r="2851" spans="2:22" s="7" customFormat="1" ht="18" customHeight="1">
      <c r="B2851" s="12"/>
      <c r="C2851" s="6" t="s">
        <v>4266</v>
      </c>
      <c r="D2851" s="14" t="s">
        <v>2059</v>
      </c>
      <c r="E2851" s="82"/>
      <c r="F2851" s="102"/>
      <c r="G2851" s="22" t="s">
        <v>316</v>
      </c>
      <c r="H2851" s="8"/>
      <c r="I2851" s="35"/>
      <c r="J2851" s="38">
        <v>1</v>
      </c>
      <c r="K2851" s="39">
        <v>12</v>
      </c>
      <c r="L2851" s="39">
        <f>K2851*J2851</f>
        <v>12</v>
      </c>
      <c r="M2851" s="91"/>
      <c r="N2851" s="33">
        <v>45034</v>
      </c>
      <c r="O2851" s="32">
        <v>5158</v>
      </c>
      <c r="P2851" s="6"/>
      <c r="Q2851" s="322">
        <v>12</v>
      </c>
      <c r="R2851" s="322">
        <f>Q2851*J2851</f>
        <v>12</v>
      </c>
      <c r="S2851" s="7">
        <v>1100</v>
      </c>
      <c r="T2851" s="7">
        <f>S2851*J2851</f>
        <v>1100</v>
      </c>
      <c r="U2851" s="21"/>
      <c r="V2851" s="260">
        <v>120</v>
      </c>
    </row>
    <row r="2852" spans="2:22" s="191" customFormat="1" ht="18" customHeight="1">
      <c r="B2852" s="190"/>
      <c r="C2852" s="179" t="s">
        <v>4266</v>
      </c>
      <c r="D2852" s="180" t="s">
        <v>2059</v>
      </c>
      <c r="E2852" s="736"/>
      <c r="F2852" s="737"/>
      <c r="G2852" s="182" t="s">
        <v>250</v>
      </c>
      <c r="H2852" s="184" t="s">
        <v>252</v>
      </c>
      <c r="I2852" s="185"/>
      <c r="J2852" s="183"/>
      <c r="K2852" s="203">
        <v>33</v>
      </c>
      <c r="L2852" s="203">
        <v>33</v>
      </c>
      <c r="M2852" s="187"/>
      <c r="N2852" s="187">
        <v>45034</v>
      </c>
      <c r="O2852" s="186">
        <v>5158</v>
      </c>
      <c r="P2852" s="179"/>
      <c r="Q2852" s="203">
        <v>33</v>
      </c>
      <c r="R2852" s="203">
        <v>33</v>
      </c>
      <c r="S2852" s="7">
        <v>3916</v>
      </c>
      <c r="T2852" s="7">
        <v>3916</v>
      </c>
      <c r="U2852" s="335"/>
      <c r="V2852" s="260">
        <v>120</v>
      </c>
    </row>
    <row r="2853" spans="2:22" s="7" customFormat="1" ht="18" customHeight="1">
      <c r="B2853" s="12"/>
      <c r="C2853" s="6" t="s">
        <v>4273</v>
      </c>
      <c r="D2853" s="14" t="s">
        <v>3116</v>
      </c>
      <c r="E2853" s="19" t="s">
        <v>10</v>
      </c>
      <c r="F2853" s="107"/>
      <c r="G2853" s="22"/>
      <c r="H2853" s="108"/>
      <c r="I2853" s="109"/>
      <c r="J2853" s="108"/>
      <c r="K2853" s="29" t="s">
        <v>5</v>
      </c>
      <c r="L2853" s="39"/>
      <c r="M2853" s="91"/>
      <c r="N2853" s="33">
        <v>45037</v>
      </c>
      <c r="O2853" s="32">
        <v>5170</v>
      </c>
      <c r="P2853" s="14"/>
      <c r="Q2853" s="322"/>
      <c r="U2853" s="14"/>
      <c r="V2853" s="384">
        <v>120</v>
      </c>
    </row>
    <row r="2854" spans="2:22" s="7" customFormat="1" ht="18" customHeight="1">
      <c r="B2854" s="12" t="s">
        <v>302</v>
      </c>
      <c r="C2854" s="6" t="s">
        <v>4273</v>
      </c>
      <c r="D2854" s="14" t="s">
        <v>3116</v>
      </c>
      <c r="E2854" s="22" t="s">
        <v>190</v>
      </c>
      <c r="F2854" s="107">
        <v>160</v>
      </c>
      <c r="G2854" s="396" t="s">
        <v>4274</v>
      </c>
      <c r="H2854" s="108"/>
      <c r="I2854" s="109"/>
      <c r="J2854" s="8">
        <v>7</v>
      </c>
      <c r="K2854" s="39">
        <v>5.28</v>
      </c>
      <c r="L2854" s="39">
        <f>K2854*J2854</f>
        <v>36.96</v>
      </c>
      <c r="M2854" s="117" t="s">
        <v>323</v>
      </c>
      <c r="N2854" s="33">
        <v>45037</v>
      </c>
      <c r="O2854" s="32">
        <v>5170</v>
      </c>
      <c r="P2854" s="391">
        <f>ROUNDUP(S2854/V2854/VLOOKUP(B2854,$C$2:$F$6,3,FALSE),2)</f>
        <v>3.5999999999999996</v>
      </c>
      <c r="Q2854" s="322">
        <v>3.6</v>
      </c>
      <c r="R2854" s="322">
        <f>Q2854*J2854</f>
        <v>25.2</v>
      </c>
      <c r="S2854" s="7">
        <v>380</v>
      </c>
      <c r="T2854" s="7">
        <f>S2854*J2854</f>
        <v>2660</v>
      </c>
      <c r="U2854" s="21"/>
      <c r="V2854" s="260">
        <v>120</v>
      </c>
    </row>
    <row r="2855" spans="2:22" s="7" customFormat="1" ht="18" customHeight="1">
      <c r="B2855" s="12"/>
      <c r="C2855" s="6" t="s">
        <v>4273</v>
      </c>
      <c r="D2855" s="14" t="s">
        <v>3116</v>
      </c>
      <c r="E2855" s="22"/>
      <c r="F2855" s="102"/>
      <c r="G2855" s="22" t="s">
        <v>236</v>
      </c>
      <c r="H2855" s="8"/>
      <c r="I2855" s="35"/>
      <c r="J2855" s="38">
        <v>1</v>
      </c>
      <c r="K2855" s="39">
        <v>15</v>
      </c>
      <c r="L2855" s="39">
        <f>K2855*J2855</f>
        <v>15</v>
      </c>
      <c r="M2855" s="91"/>
      <c r="N2855" s="33">
        <v>45037</v>
      </c>
      <c r="O2855" s="32">
        <v>5170</v>
      </c>
      <c r="P2855" s="6" t="s">
        <v>3</v>
      </c>
      <c r="Q2855" s="39">
        <v>15</v>
      </c>
      <c r="R2855" s="322">
        <f>Q2855*J2855</f>
        <v>15</v>
      </c>
      <c r="S2855" s="7">
        <v>1000</v>
      </c>
      <c r="T2855" s="7">
        <f>S2855*J2855</f>
        <v>1000</v>
      </c>
      <c r="U2855" s="21"/>
      <c r="V2855" s="260">
        <v>120</v>
      </c>
    </row>
    <row r="2856" spans="2:22" s="7" customFormat="1" ht="18" customHeight="1">
      <c r="B2856" s="12"/>
      <c r="C2856" s="6" t="s">
        <v>4273</v>
      </c>
      <c r="D2856" s="14" t="s">
        <v>3116</v>
      </c>
      <c r="E2856" s="22"/>
      <c r="F2856" s="102"/>
      <c r="G2856" s="22" t="s">
        <v>316</v>
      </c>
      <c r="H2856" s="8"/>
      <c r="I2856" s="35"/>
      <c r="J2856" s="38">
        <v>1</v>
      </c>
      <c r="K2856" s="39">
        <v>20</v>
      </c>
      <c r="L2856" s="39">
        <f>K2856*J2856</f>
        <v>20</v>
      </c>
      <c r="M2856" s="91"/>
      <c r="N2856" s="33">
        <v>45037</v>
      </c>
      <c r="O2856" s="32">
        <v>5170</v>
      </c>
      <c r="P2856" s="6" t="s">
        <v>3</v>
      </c>
      <c r="Q2856" s="39">
        <v>20</v>
      </c>
      <c r="R2856" s="322">
        <f>Q2856*J2856</f>
        <v>20</v>
      </c>
      <c r="S2856" s="7">
        <v>1000</v>
      </c>
      <c r="T2856" s="7">
        <f>S2856*J2856</f>
        <v>1000</v>
      </c>
      <c r="U2856" s="21"/>
      <c r="V2856" s="260">
        <v>120</v>
      </c>
    </row>
    <row r="2857" spans="2:22" s="191" customFormat="1" ht="18" customHeight="1">
      <c r="B2857" s="190"/>
      <c r="C2857" s="179" t="s">
        <v>4273</v>
      </c>
      <c r="D2857" s="180" t="s">
        <v>3116</v>
      </c>
      <c r="E2857" s="217"/>
      <c r="F2857" s="182"/>
      <c r="G2857" s="182" t="s">
        <v>250</v>
      </c>
      <c r="H2857" s="184" t="s">
        <v>251</v>
      </c>
      <c r="I2857" s="185"/>
      <c r="J2857" s="183"/>
      <c r="K2857" s="192">
        <v>0</v>
      </c>
      <c r="L2857" s="192">
        <v>0</v>
      </c>
      <c r="M2857" s="187"/>
      <c r="N2857" s="187">
        <v>45037</v>
      </c>
      <c r="O2857" s="186">
        <v>5170</v>
      </c>
      <c r="P2857" s="179"/>
      <c r="Q2857" s="334">
        <v>0</v>
      </c>
      <c r="R2857" s="334">
        <v>0</v>
      </c>
      <c r="S2857" s="197">
        <v>0</v>
      </c>
      <c r="T2857" s="197">
        <v>0</v>
      </c>
      <c r="U2857" s="335"/>
      <c r="V2857" s="260">
        <v>120</v>
      </c>
    </row>
    <row r="2858" spans="2:22" s="7" customFormat="1" ht="18" customHeight="1">
      <c r="B2858" s="12"/>
      <c r="C2858" s="6" t="s">
        <v>4275</v>
      </c>
      <c r="D2858" s="14" t="s">
        <v>3116</v>
      </c>
      <c r="E2858" s="19" t="s">
        <v>4277</v>
      </c>
      <c r="F2858" s="107"/>
      <c r="G2858" s="22"/>
      <c r="H2858" s="108"/>
      <c r="I2858" s="109"/>
      <c r="J2858" s="108"/>
      <c r="K2858" s="29" t="s">
        <v>5</v>
      </c>
      <c r="L2858" s="39"/>
      <c r="M2858" s="91"/>
      <c r="N2858" s="33">
        <v>45041</v>
      </c>
      <c r="O2858" s="32">
        <v>5176</v>
      </c>
      <c r="P2858" s="14"/>
      <c r="Q2858" s="322"/>
      <c r="U2858" s="14"/>
      <c r="V2858" s="384">
        <v>120</v>
      </c>
    </row>
    <row r="2859" spans="2:22" s="7" customFormat="1" ht="18" customHeight="1">
      <c r="B2859" s="12" t="s">
        <v>302</v>
      </c>
      <c r="C2859" s="6" t="s">
        <v>4275</v>
      </c>
      <c r="D2859" s="14" t="s">
        <v>3116</v>
      </c>
      <c r="E2859" s="22" t="s">
        <v>4276</v>
      </c>
      <c r="F2859" s="107">
        <v>112</v>
      </c>
      <c r="G2859" s="396" t="s">
        <v>4278</v>
      </c>
      <c r="H2859" s="108"/>
      <c r="I2859" s="109"/>
      <c r="J2859" s="8">
        <v>15</v>
      </c>
      <c r="K2859" s="39">
        <v>10.28</v>
      </c>
      <c r="L2859" s="39">
        <f>K2859*J2859</f>
        <v>154.19999999999999</v>
      </c>
      <c r="M2859" s="117" t="s">
        <v>323</v>
      </c>
      <c r="N2859" s="33">
        <v>45041</v>
      </c>
      <c r="O2859" s="32">
        <v>5176</v>
      </c>
      <c r="P2859" s="391">
        <f>ROUNDUP(S2859/V2859/VLOOKUP(B2859,$C$2:$F$6,3,FALSE),2)</f>
        <v>7.01</v>
      </c>
      <c r="Q2859" s="322">
        <v>7.01</v>
      </c>
      <c r="R2859" s="322">
        <f>Q2859*J2859</f>
        <v>105.14999999999999</v>
      </c>
      <c r="S2859" s="7">
        <v>740</v>
      </c>
      <c r="T2859" s="7">
        <f>S2859*J2859</f>
        <v>11100</v>
      </c>
      <c r="U2859" s="21"/>
      <c r="V2859" s="260">
        <v>120</v>
      </c>
    </row>
    <row r="2860" spans="2:22" s="7" customFormat="1" ht="18" customHeight="1">
      <c r="B2860" s="12" t="s">
        <v>302</v>
      </c>
      <c r="C2860" s="6" t="s">
        <v>4275</v>
      </c>
      <c r="D2860" s="14" t="s">
        <v>3116</v>
      </c>
      <c r="E2860" s="22" t="s">
        <v>4276</v>
      </c>
      <c r="F2860" s="107">
        <v>112</v>
      </c>
      <c r="G2860" s="396" t="s">
        <v>4279</v>
      </c>
      <c r="H2860" s="108"/>
      <c r="I2860" s="109"/>
      <c r="J2860" s="8">
        <v>15</v>
      </c>
      <c r="K2860" s="39">
        <v>10.28</v>
      </c>
      <c r="L2860" s="39">
        <f>K2860*J2860</f>
        <v>154.19999999999999</v>
      </c>
      <c r="M2860" s="117" t="s">
        <v>323</v>
      </c>
      <c r="N2860" s="33">
        <v>45041</v>
      </c>
      <c r="O2860" s="32">
        <v>5176</v>
      </c>
      <c r="P2860" s="391">
        <f>ROUNDUP(S2860/V2860/VLOOKUP(B2860,$C$2:$F$6,3,FALSE),2)</f>
        <v>7.01</v>
      </c>
      <c r="Q2860" s="322">
        <v>7.01</v>
      </c>
      <c r="R2860" s="322">
        <f>Q2860*J2860</f>
        <v>105.14999999999999</v>
      </c>
      <c r="S2860" s="7">
        <v>740</v>
      </c>
      <c r="T2860" s="7">
        <f>S2860*J2860</f>
        <v>11100</v>
      </c>
      <c r="U2860" s="21"/>
      <c r="V2860" s="260">
        <v>120</v>
      </c>
    </row>
    <row r="2861" spans="2:22" s="7" customFormat="1" ht="18" customHeight="1">
      <c r="B2861" s="12" t="s">
        <v>302</v>
      </c>
      <c r="C2861" s="6" t="s">
        <v>4275</v>
      </c>
      <c r="D2861" s="14" t="s">
        <v>3116</v>
      </c>
      <c r="E2861" s="22" t="s">
        <v>4276</v>
      </c>
      <c r="F2861" s="107">
        <v>112</v>
      </c>
      <c r="G2861" s="396" t="s">
        <v>4254</v>
      </c>
      <c r="H2861" s="108"/>
      <c r="I2861" s="109"/>
      <c r="J2861" s="8">
        <v>5</v>
      </c>
      <c r="K2861" s="39">
        <v>10.28</v>
      </c>
      <c r="L2861" s="39">
        <f>K2861*J2861</f>
        <v>51.4</v>
      </c>
      <c r="M2861" s="117" t="s">
        <v>323</v>
      </c>
      <c r="N2861" s="33">
        <v>45041</v>
      </c>
      <c r="O2861" s="32">
        <v>5176</v>
      </c>
      <c r="P2861" s="391">
        <f>ROUNDUP(S2861/V2861/VLOOKUP(B2861,$C$2:$F$6,3,FALSE),2)</f>
        <v>7.01</v>
      </c>
      <c r="Q2861" s="322">
        <v>7.01</v>
      </c>
      <c r="R2861" s="322">
        <f>Q2861*J2861</f>
        <v>35.049999999999997</v>
      </c>
      <c r="S2861" s="7">
        <v>740</v>
      </c>
      <c r="T2861" s="7">
        <f>S2861*J2861</f>
        <v>3700</v>
      </c>
      <c r="U2861" s="21"/>
      <c r="V2861" s="260">
        <v>120</v>
      </c>
    </row>
    <row r="2862" spans="2:22" s="7" customFormat="1" ht="18" customHeight="1">
      <c r="B2862" s="12"/>
      <c r="C2862" s="6" t="s">
        <v>4275</v>
      </c>
      <c r="D2862" s="14" t="s">
        <v>3116</v>
      </c>
      <c r="E2862" s="22"/>
      <c r="F2862" s="102"/>
      <c r="G2862" s="22" t="s">
        <v>236</v>
      </c>
      <c r="H2862" s="8"/>
      <c r="I2862" s="35"/>
      <c r="J2862" s="8">
        <v>35</v>
      </c>
      <c r="K2862" s="39">
        <v>3.13</v>
      </c>
      <c r="L2862" s="39">
        <f>K2862*J2862</f>
        <v>109.55</v>
      </c>
      <c r="M2862" s="1134"/>
      <c r="N2862" s="33">
        <v>45041</v>
      </c>
      <c r="O2862" s="32">
        <v>5176</v>
      </c>
      <c r="P2862" s="6" t="s">
        <v>3</v>
      </c>
      <c r="Q2862" s="39">
        <v>3.13</v>
      </c>
      <c r="R2862" s="322">
        <f>Q2862*J2862</f>
        <v>109.55</v>
      </c>
      <c r="S2862" s="7">
        <v>300</v>
      </c>
      <c r="T2862" s="7">
        <f>S2862*J2862</f>
        <v>10500</v>
      </c>
      <c r="U2862" s="21"/>
      <c r="V2862" s="260">
        <v>120</v>
      </c>
    </row>
    <row r="2863" spans="2:22" s="7" customFormat="1" ht="18" customHeight="1">
      <c r="B2863" s="12"/>
      <c r="C2863" s="6" t="s">
        <v>4275</v>
      </c>
      <c r="D2863" s="14" t="s">
        <v>3116</v>
      </c>
      <c r="E2863" s="22"/>
      <c r="F2863" s="102"/>
      <c r="G2863" s="22" t="s">
        <v>316</v>
      </c>
      <c r="H2863" s="8"/>
      <c r="I2863" s="35"/>
      <c r="J2863" s="38">
        <v>1</v>
      </c>
      <c r="K2863" s="39">
        <v>20</v>
      </c>
      <c r="L2863" s="39">
        <f>K2863*J2863</f>
        <v>20</v>
      </c>
      <c r="M2863" s="91"/>
      <c r="N2863" s="33">
        <v>45041</v>
      </c>
      <c r="O2863" s="32">
        <v>5176</v>
      </c>
      <c r="P2863" s="6" t="s">
        <v>3</v>
      </c>
      <c r="Q2863" s="39">
        <v>20</v>
      </c>
      <c r="R2863" s="322">
        <f>Q2863*J2863</f>
        <v>20</v>
      </c>
      <c r="S2863" s="7">
        <v>0</v>
      </c>
      <c r="T2863" s="7">
        <f>S2863*J2863</f>
        <v>0</v>
      </c>
      <c r="U2863" s="21"/>
      <c r="V2863" s="260">
        <v>120</v>
      </c>
    </row>
    <row r="2864" spans="2:22" s="191" customFormat="1" ht="18" customHeight="1">
      <c r="B2864" s="190"/>
      <c r="C2864" s="179" t="s">
        <v>4275</v>
      </c>
      <c r="D2864" s="180" t="s">
        <v>3116</v>
      </c>
      <c r="E2864" s="217"/>
      <c r="F2864" s="182"/>
      <c r="G2864" s="182" t="s">
        <v>250</v>
      </c>
      <c r="H2864" s="184" t="s">
        <v>251</v>
      </c>
      <c r="I2864" s="185"/>
      <c r="J2864" s="183"/>
      <c r="K2864" s="192">
        <v>0</v>
      </c>
      <c r="L2864" s="192">
        <v>0</v>
      </c>
      <c r="M2864" s="187"/>
      <c r="N2864" s="187">
        <v>45041</v>
      </c>
      <c r="O2864" s="186">
        <v>5176</v>
      </c>
      <c r="P2864" s="179"/>
      <c r="Q2864" s="334">
        <v>0</v>
      </c>
      <c r="R2864" s="334">
        <v>0</v>
      </c>
      <c r="S2864" s="197">
        <v>0</v>
      </c>
      <c r="T2864" s="197">
        <v>0</v>
      </c>
      <c r="U2864" s="335"/>
      <c r="V2864" s="260">
        <v>120</v>
      </c>
    </row>
    <row r="2865" spans="2:24" s="7" customFormat="1" ht="18" customHeight="1">
      <c r="B2865" s="12"/>
      <c r="C2865" s="6" t="s">
        <v>4280</v>
      </c>
      <c r="D2865" s="14" t="s">
        <v>3391</v>
      </c>
      <c r="E2865" s="19" t="s">
        <v>10</v>
      </c>
      <c r="F2865" s="107"/>
      <c r="G2865" s="22"/>
      <c r="H2865" s="108"/>
      <c r="I2865" s="109"/>
      <c r="J2865" s="108"/>
      <c r="K2865" s="29" t="s">
        <v>5</v>
      </c>
      <c r="L2865" s="39"/>
      <c r="M2865" s="91"/>
      <c r="N2865" s="33">
        <v>45041</v>
      </c>
      <c r="O2865" s="32">
        <v>5177</v>
      </c>
      <c r="P2865" s="14"/>
      <c r="Q2865" s="322"/>
      <c r="U2865" s="14"/>
      <c r="V2865" s="260">
        <v>120</v>
      </c>
    </row>
    <row r="2866" spans="2:24" s="7" customFormat="1" ht="18" customHeight="1">
      <c r="B2866" s="12" t="s">
        <v>302</v>
      </c>
      <c r="C2866" s="6" t="s">
        <v>4280</v>
      </c>
      <c r="D2866" s="14" t="s">
        <v>3391</v>
      </c>
      <c r="E2866" s="22" t="s">
        <v>190</v>
      </c>
      <c r="F2866" s="107">
        <v>160</v>
      </c>
      <c r="G2866" s="396" t="s">
        <v>4281</v>
      </c>
      <c r="H2866" s="108"/>
      <c r="I2866" s="109"/>
      <c r="J2866" s="8">
        <v>1</v>
      </c>
      <c r="K2866" s="39">
        <v>5.28</v>
      </c>
      <c r="L2866" s="39">
        <f>K2866*J2866</f>
        <v>5.28</v>
      </c>
      <c r="M2866" s="117" t="s">
        <v>323</v>
      </c>
      <c r="N2866" s="33">
        <v>45041</v>
      </c>
      <c r="O2866" s="32">
        <v>5177</v>
      </c>
      <c r="P2866" s="391">
        <f>ROUNDUP(S2866/V2866/VLOOKUP(B2866,$C$2:$F$6,3,FALSE),2)</f>
        <v>3.5999999999999996</v>
      </c>
      <c r="Q2866" s="322">
        <v>3.6</v>
      </c>
      <c r="R2866" s="322">
        <f>Q2866*J2866</f>
        <v>3.6</v>
      </c>
      <c r="S2866" s="7">
        <v>380</v>
      </c>
      <c r="T2866" s="7">
        <f>S2866*J2866</f>
        <v>380</v>
      </c>
      <c r="U2866" s="21"/>
      <c r="V2866" s="260">
        <v>120</v>
      </c>
    </row>
    <row r="2867" spans="2:24" ht="18" customHeight="1">
      <c r="C2867" s="6" t="s">
        <v>4280</v>
      </c>
      <c r="D2867" s="14" t="s">
        <v>3391</v>
      </c>
      <c r="E2867" s="19" t="s">
        <v>269</v>
      </c>
      <c r="F2867" s="107"/>
      <c r="G2867" s="22"/>
      <c r="H2867" s="108"/>
      <c r="I2867" s="109"/>
      <c r="J2867" s="108"/>
      <c r="K2867" s="29" t="s">
        <v>5</v>
      </c>
      <c r="L2867" s="33"/>
      <c r="M2867" s="33"/>
      <c r="N2867" s="33">
        <v>45041</v>
      </c>
      <c r="O2867" s="32">
        <v>5177</v>
      </c>
      <c r="P2867" s="14"/>
      <c r="Q2867" s="254"/>
      <c r="R2867" s="7"/>
      <c r="S2867" s="257"/>
      <c r="T2867" s="92"/>
      <c r="U2867" s="268"/>
      <c r="V2867" s="260">
        <v>120</v>
      </c>
    </row>
    <row r="2868" spans="2:24" ht="18" customHeight="1">
      <c r="B2868" s="12" t="s">
        <v>302</v>
      </c>
      <c r="C2868" s="6" t="s">
        <v>4280</v>
      </c>
      <c r="D2868" s="14" t="s">
        <v>3391</v>
      </c>
      <c r="E2868" s="22" t="s">
        <v>4282</v>
      </c>
      <c r="F2868" s="107">
        <v>152</v>
      </c>
      <c r="G2868" s="22" t="s">
        <v>4283</v>
      </c>
      <c r="H2868" s="108"/>
      <c r="I2868" s="109"/>
      <c r="J2868" s="8">
        <v>1</v>
      </c>
      <c r="K2868" s="39">
        <v>5.28</v>
      </c>
      <c r="L2868" s="39">
        <f>K2868*J2868</f>
        <v>5.28</v>
      </c>
      <c r="M2868" s="117" t="s">
        <v>323</v>
      </c>
      <c r="N2868" s="33">
        <v>45041</v>
      </c>
      <c r="O2868" s="32">
        <v>5177</v>
      </c>
      <c r="P2868" s="391">
        <f>ROUNDUP(S2868/V2868/VLOOKUP(B2868,$C$2:$F$6,3,FALSE),2)</f>
        <v>3.5999999999999996</v>
      </c>
      <c r="Q2868" s="322">
        <v>3.6</v>
      </c>
      <c r="R2868" s="322">
        <f>Q2868*J2868</f>
        <v>3.6</v>
      </c>
      <c r="S2868" s="7">
        <v>380</v>
      </c>
      <c r="T2868" s="7">
        <f>S2868*J2868</f>
        <v>380</v>
      </c>
      <c r="U2868" s="21"/>
      <c r="V2868" s="260">
        <v>120</v>
      </c>
    </row>
    <row r="2869" spans="2:24" s="7" customFormat="1" ht="18" customHeight="1">
      <c r="B2869" s="12"/>
      <c r="C2869" s="6" t="s">
        <v>4280</v>
      </c>
      <c r="D2869" s="14" t="s">
        <v>3391</v>
      </c>
      <c r="E2869" s="22"/>
      <c r="F2869" s="102"/>
      <c r="G2869" s="22" t="s">
        <v>236</v>
      </c>
      <c r="H2869" s="8"/>
      <c r="I2869" s="35"/>
      <c r="J2869" s="38">
        <v>2</v>
      </c>
      <c r="K2869" s="39">
        <v>15</v>
      </c>
      <c r="L2869" s="39">
        <f>K2869*J2869</f>
        <v>30</v>
      </c>
      <c r="M2869" s="91"/>
      <c r="N2869" s="33">
        <v>45041</v>
      </c>
      <c r="O2869" s="32">
        <v>5177</v>
      </c>
      <c r="P2869" s="6" t="s">
        <v>3</v>
      </c>
      <c r="Q2869" s="39">
        <v>15</v>
      </c>
      <c r="R2869" s="322">
        <f>Q2869*J2869</f>
        <v>30</v>
      </c>
      <c r="S2869" s="7">
        <v>1000</v>
      </c>
      <c r="T2869" s="7">
        <f>S2869*J2869</f>
        <v>2000</v>
      </c>
      <c r="U2869" s="21"/>
      <c r="V2869" s="260">
        <v>120</v>
      </c>
    </row>
    <row r="2870" spans="2:24" s="7" customFormat="1" ht="18" customHeight="1">
      <c r="B2870" s="12"/>
      <c r="C2870" s="6" t="s">
        <v>4280</v>
      </c>
      <c r="D2870" s="14" t="s">
        <v>3391</v>
      </c>
      <c r="E2870" s="82"/>
      <c r="F2870" s="102"/>
      <c r="G2870" s="22" t="s">
        <v>316</v>
      </c>
      <c r="H2870" s="8"/>
      <c r="I2870" s="35"/>
      <c r="J2870" s="38">
        <v>1</v>
      </c>
      <c r="K2870" s="39">
        <v>12</v>
      </c>
      <c r="L2870" s="39">
        <f>K2870*J2870</f>
        <v>12</v>
      </c>
      <c r="M2870" s="91"/>
      <c r="N2870" s="33">
        <v>45041</v>
      </c>
      <c r="O2870" s="32">
        <v>5177</v>
      </c>
      <c r="P2870" s="6"/>
      <c r="Q2870" s="322">
        <v>12</v>
      </c>
      <c r="R2870" s="322">
        <f>Q2870*J2870</f>
        <v>12</v>
      </c>
      <c r="S2870" s="7">
        <v>1000</v>
      </c>
      <c r="T2870" s="7">
        <f>S2870*J2870</f>
        <v>1000</v>
      </c>
      <c r="U2870" s="21"/>
      <c r="V2870" s="260">
        <v>120</v>
      </c>
    </row>
    <row r="2871" spans="2:24" s="191" customFormat="1" ht="18" customHeight="1">
      <c r="B2871" s="190"/>
      <c r="C2871" s="179" t="s">
        <v>4280</v>
      </c>
      <c r="D2871" s="180" t="s">
        <v>3391</v>
      </c>
      <c r="E2871" s="181"/>
      <c r="F2871" s="182"/>
      <c r="G2871" s="182" t="s">
        <v>250</v>
      </c>
      <c r="H2871" s="184" t="s">
        <v>251</v>
      </c>
      <c r="I2871" s="185"/>
      <c r="J2871" s="183"/>
      <c r="K2871" s="192">
        <v>0</v>
      </c>
      <c r="L2871" s="946"/>
      <c r="M2871" s="947"/>
      <c r="N2871" s="187">
        <v>45041</v>
      </c>
      <c r="O2871" s="186">
        <v>5177</v>
      </c>
      <c r="P2871" s="179"/>
      <c r="Q2871" s="322">
        <v>0</v>
      </c>
      <c r="R2871" s="218"/>
      <c r="S2871" s="197">
        <v>0</v>
      </c>
      <c r="T2871" s="197">
        <v>0</v>
      </c>
      <c r="U2871" s="335"/>
      <c r="V2871" s="260">
        <v>120</v>
      </c>
      <c r="X2871" s="218"/>
    </row>
    <row r="2872" spans="2:24" s="7" customFormat="1" ht="18" customHeight="1">
      <c r="B2872" s="12"/>
      <c r="C2872" s="6" t="s">
        <v>4284</v>
      </c>
      <c r="D2872" s="14" t="s">
        <v>2171</v>
      </c>
      <c r="E2872" s="19" t="s">
        <v>10</v>
      </c>
      <c r="F2872" s="107"/>
      <c r="G2872" s="22"/>
      <c r="H2872" s="108"/>
      <c r="I2872" s="109"/>
      <c r="J2872" s="108"/>
      <c r="K2872" s="29" t="s">
        <v>5</v>
      </c>
      <c r="L2872" s="39"/>
      <c r="M2872" s="91"/>
      <c r="N2872" s="33">
        <v>45054</v>
      </c>
      <c r="O2872" s="32">
        <v>5175</v>
      </c>
      <c r="P2872" s="14"/>
      <c r="Q2872" s="322"/>
      <c r="U2872" s="14"/>
      <c r="V2872" s="384">
        <v>120</v>
      </c>
    </row>
    <row r="2873" spans="2:24" s="7" customFormat="1" ht="18" customHeight="1">
      <c r="B2873" s="12" t="s">
        <v>302</v>
      </c>
      <c r="C2873" s="6" t="s">
        <v>4284</v>
      </c>
      <c r="D2873" s="14" t="s">
        <v>2171</v>
      </c>
      <c r="E2873" s="22" t="s">
        <v>190</v>
      </c>
      <c r="F2873" s="107">
        <v>160</v>
      </c>
      <c r="G2873" s="396" t="s">
        <v>13</v>
      </c>
      <c r="H2873" s="108">
        <v>50</v>
      </c>
      <c r="I2873" s="109">
        <v>2</v>
      </c>
      <c r="J2873" s="8">
        <f>H2873*I2873</f>
        <v>100</v>
      </c>
      <c r="K2873" s="39">
        <v>5.28</v>
      </c>
      <c r="L2873" s="39">
        <f>K2873*J2873</f>
        <v>528</v>
      </c>
      <c r="M2873" s="117" t="s">
        <v>322</v>
      </c>
      <c r="N2873" s="33">
        <v>45054</v>
      </c>
      <c r="O2873" s="32">
        <v>5175</v>
      </c>
      <c r="P2873" s="391">
        <f>ROUNDUP(S2873/V2873/VLOOKUP(B2873,$C$2:$F$6,3,FALSE),2)</f>
        <v>3.5999999999999996</v>
      </c>
      <c r="Q2873" s="322">
        <v>3.6</v>
      </c>
      <c r="R2873" s="322">
        <f>Q2873*J2873</f>
        <v>360</v>
      </c>
      <c r="S2873" s="7">
        <v>380</v>
      </c>
      <c r="T2873" s="7">
        <f>S2873*J2873</f>
        <v>38000</v>
      </c>
      <c r="U2873" s="21"/>
      <c r="V2873" s="260">
        <v>120</v>
      </c>
    </row>
    <row r="2874" spans="2:24" s="7" customFormat="1" ht="18" customHeight="1">
      <c r="B2874" s="12" t="s">
        <v>302</v>
      </c>
      <c r="C2874" s="6" t="s">
        <v>4284</v>
      </c>
      <c r="D2874" s="14" t="s">
        <v>2171</v>
      </c>
      <c r="E2874" s="22" t="s">
        <v>190</v>
      </c>
      <c r="F2874" s="107">
        <v>160</v>
      </c>
      <c r="G2874" s="396" t="s">
        <v>2407</v>
      </c>
      <c r="H2874" s="108">
        <v>50</v>
      </c>
      <c r="I2874" s="109">
        <v>2</v>
      </c>
      <c r="J2874" s="8">
        <f>H2874*I2874</f>
        <v>100</v>
      </c>
      <c r="K2874" s="39">
        <v>5.28</v>
      </c>
      <c r="L2874" s="39">
        <f>K2874*J2874</f>
        <v>528</v>
      </c>
      <c r="M2874" s="117" t="s">
        <v>322</v>
      </c>
      <c r="N2874" s="33">
        <v>45054</v>
      </c>
      <c r="O2874" s="32">
        <v>5175</v>
      </c>
      <c r="P2874" s="391">
        <f>ROUNDUP(S2874/V2874/VLOOKUP(B2874,$C$2:$F$6,3,FALSE),2)</f>
        <v>3.5999999999999996</v>
      </c>
      <c r="Q2874" s="322">
        <v>3.6</v>
      </c>
      <c r="R2874" s="322">
        <f>Q2874*J2874</f>
        <v>360</v>
      </c>
      <c r="S2874" s="7">
        <v>380</v>
      </c>
      <c r="T2874" s="7">
        <f>S2874*J2874</f>
        <v>38000</v>
      </c>
      <c r="U2874" s="21"/>
      <c r="V2874" s="260">
        <v>120</v>
      </c>
    </row>
    <row r="2875" spans="2:24" s="7" customFormat="1" ht="18" customHeight="1">
      <c r="B2875" s="12"/>
      <c r="C2875" s="6" t="s">
        <v>4284</v>
      </c>
      <c r="D2875" s="14" t="s">
        <v>2171</v>
      </c>
      <c r="E2875" s="19" t="s">
        <v>10</v>
      </c>
      <c r="F2875" s="107"/>
      <c r="G2875" s="22"/>
      <c r="H2875" s="108"/>
      <c r="I2875" s="109"/>
      <c r="J2875" s="108"/>
      <c r="K2875" s="29" t="s">
        <v>5</v>
      </c>
      <c r="L2875" s="139"/>
      <c r="M2875" s="33"/>
      <c r="N2875" s="33">
        <v>45054</v>
      </c>
      <c r="O2875" s="32">
        <v>5175</v>
      </c>
      <c r="P2875" s="14"/>
      <c r="Q2875" s="322"/>
      <c r="U2875" s="14"/>
      <c r="V2875" s="260">
        <v>120</v>
      </c>
    </row>
    <row r="2876" spans="2:24" s="7" customFormat="1" ht="18" customHeight="1">
      <c r="B2876" s="12" t="s">
        <v>302</v>
      </c>
      <c r="C2876" s="6" t="s">
        <v>4284</v>
      </c>
      <c r="D2876" s="14" t="s">
        <v>2171</v>
      </c>
      <c r="E2876" s="22" t="s">
        <v>207</v>
      </c>
      <c r="F2876" s="107">
        <v>152</v>
      </c>
      <c r="G2876" s="396" t="s">
        <v>4285</v>
      </c>
      <c r="H2876" s="108">
        <v>50</v>
      </c>
      <c r="I2876" s="109">
        <v>3</v>
      </c>
      <c r="J2876" s="8">
        <f>I2876*H2876</f>
        <v>150</v>
      </c>
      <c r="K2876" s="39">
        <v>4.7300000000000004</v>
      </c>
      <c r="L2876" s="39">
        <f>K2876*J2876</f>
        <v>709.50000000000011</v>
      </c>
      <c r="M2876" s="403" t="s">
        <v>322</v>
      </c>
      <c r="N2876" s="33">
        <v>45054</v>
      </c>
      <c r="O2876" s="32">
        <v>5175</v>
      </c>
      <c r="P2876" s="391">
        <f>ROUNDUP(S2876/V2876/VLOOKUP(B2876,$C$2:$F$6,3,FALSE),2)</f>
        <v>3.2199999999999998</v>
      </c>
      <c r="Q2876" s="322">
        <v>3.22</v>
      </c>
      <c r="R2876" s="322">
        <f>Q2876*J2876</f>
        <v>483.00000000000006</v>
      </c>
      <c r="S2876" s="7">
        <v>340</v>
      </c>
      <c r="T2876" s="7">
        <f>S2876*J2876</f>
        <v>51000</v>
      </c>
      <c r="U2876" s="21"/>
      <c r="V2876" s="260">
        <v>120</v>
      </c>
    </row>
    <row r="2877" spans="2:24" s="7" customFormat="1" ht="18" customHeight="1">
      <c r="B2877" s="12" t="s">
        <v>302</v>
      </c>
      <c r="C2877" s="6" t="s">
        <v>4284</v>
      </c>
      <c r="D2877" s="14" t="s">
        <v>2171</v>
      </c>
      <c r="E2877" s="22" t="s">
        <v>207</v>
      </c>
      <c r="F2877" s="107">
        <v>152</v>
      </c>
      <c r="G2877" s="396" t="s">
        <v>4286</v>
      </c>
      <c r="H2877" s="108">
        <v>50</v>
      </c>
      <c r="I2877" s="109">
        <v>2</v>
      </c>
      <c r="J2877" s="8">
        <f>I2877*H2877</f>
        <v>100</v>
      </c>
      <c r="K2877" s="39">
        <v>4.7300000000000004</v>
      </c>
      <c r="L2877" s="39">
        <f>K2877*J2877</f>
        <v>473.00000000000006</v>
      </c>
      <c r="M2877" s="403" t="s">
        <v>322</v>
      </c>
      <c r="N2877" s="33">
        <v>45054</v>
      </c>
      <c r="O2877" s="32">
        <v>5175</v>
      </c>
      <c r="P2877" s="391">
        <f>ROUNDUP(S2877/V2877/VLOOKUP(B2877,$C$2:$F$6,3,FALSE),2)</f>
        <v>3.2199999999999998</v>
      </c>
      <c r="Q2877" s="322">
        <v>3.22</v>
      </c>
      <c r="R2877" s="322">
        <f>Q2877*J2877</f>
        <v>322</v>
      </c>
      <c r="S2877" s="7">
        <v>340</v>
      </c>
      <c r="T2877" s="7">
        <f>S2877*J2877</f>
        <v>34000</v>
      </c>
      <c r="U2877" s="21"/>
      <c r="V2877" s="260">
        <v>120</v>
      </c>
    </row>
    <row r="2878" spans="2:24" s="7" customFormat="1" ht="18" customHeight="1">
      <c r="B2878" s="12" t="s">
        <v>302</v>
      </c>
      <c r="C2878" s="6" t="s">
        <v>4284</v>
      </c>
      <c r="D2878" s="14" t="s">
        <v>2171</v>
      </c>
      <c r="E2878" s="22" t="s">
        <v>207</v>
      </c>
      <c r="F2878" s="107">
        <v>152</v>
      </c>
      <c r="G2878" s="396" t="s">
        <v>4287</v>
      </c>
      <c r="H2878" s="108">
        <v>56</v>
      </c>
      <c r="I2878" s="109">
        <v>1</v>
      </c>
      <c r="J2878" s="8">
        <f>I2878*H2878</f>
        <v>56</v>
      </c>
      <c r="K2878" s="39">
        <v>4.7300000000000004</v>
      </c>
      <c r="L2878" s="39">
        <f>K2878*J2878</f>
        <v>264.88</v>
      </c>
      <c r="M2878" s="403" t="s">
        <v>322</v>
      </c>
      <c r="N2878" s="33">
        <v>45054</v>
      </c>
      <c r="O2878" s="32">
        <v>5175</v>
      </c>
      <c r="P2878" s="391">
        <f>ROUNDUP(S2878/V2878/VLOOKUP(B2878,$C$2:$F$6,3,FALSE),2)</f>
        <v>3.2199999999999998</v>
      </c>
      <c r="Q2878" s="322">
        <v>3.22</v>
      </c>
      <c r="R2878" s="322">
        <f>Q2878*J2878</f>
        <v>180.32000000000002</v>
      </c>
      <c r="S2878" s="7">
        <v>340</v>
      </c>
      <c r="T2878" s="7">
        <f>S2878*J2878</f>
        <v>19040</v>
      </c>
      <c r="U2878" s="21"/>
      <c r="V2878" s="260">
        <v>120</v>
      </c>
    </row>
    <row r="2879" spans="2:24" s="7" customFormat="1" ht="18" customHeight="1">
      <c r="B2879" s="12" t="s">
        <v>302</v>
      </c>
      <c r="C2879" s="6" t="s">
        <v>4284</v>
      </c>
      <c r="D2879" s="14" t="s">
        <v>2171</v>
      </c>
      <c r="E2879" s="22" t="s">
        <v>207</v>
      </c>
      <c r="F2879" s="107">
        <v>152</v>
      </c>
      <c r="G2879" s="396" t="s">
        <v>4288</v>
      </c>
      <c r="H2879" s="108">
        <v>50</v>
      </c>
      <c r="I2879" s="109">
        <v>1</v>
      </c>
      <c r="J2879" s="8">
        <f>I2879*H2879</f>
        <v>50</v>
      </c>
      <c r="K2879" s="39">
        <v>4.7300000000000004</v>
      </c>
      <c r="L2879" s="39">
        <f>K2879*J2879</f>
        <v>236.50000000000003</v>
      </c>
      <c r="M2879" s="403" t="s">
        <v>322</v>
      </c>
      <c r="N2879" s="33">
        <v>45054</v>
      </c>
      <c r="O2879" s="32">
        <v>5175</v>
      </c>
      <c r="P2879" s="391">
        <f>ROUNDUP(S2879/V2879/VLOOKUP(B2879,$C$2:$F$6,3,FALSE),2)</f>
        <v>3.2199999999999998</v>
      </c>
      <c r="Q2879" s="322">
        <v>3.22</v>
      </c>
      <c r="R2879" s="322">
        <f>Q2879*J2879</f>
        <v>161</v>
      </c>
      <c r="S2879" s="7">
        <v>340</v>
      </c>
      <c r="T2879" s="7">
        <f>S2879*J2879</f>
        <v>17000</v>
      </c>
      <c r="U2879" s="21"/>
      <c r="V2879" s="260">
        <v>120</v>
      </c>
    </row>
    <row r="2880" spans="2:24" s="7" customFormat="1" ht="18" customHeight="1">
      <c r="B2880" s="12"/>
      <c r="C2880" s="6" t="s">
        <v>4284</v>
      </c>
      <c r="D2880" s="14" t="s">
        <v>2171</v>
      </c>
      <c r="E2880" s="22"/>
      <c r="F2880" s="102"/>
      <c r="G2880" s="22" t="s">
        <v>316</v>
      </c>
      <c r="H2880" s="8"/>
      <c r="I2880" s="35"/>
      <c r="J2880" s="38">
        <v>1</v>
      </c>
      <c r="K2880" s="39">
        <v>20</v>
      </c>
      <c r="L2880" s="39">
        <f>K2880*J2880</f>
        <v>20</v>
      </c>
      <c r="M2880" s="91"/>
      <c r="N2880" s="33">
        <v>45054</v>
      </c>
      <c r="O2880" s="32">
        <v>5175</v>
      </c>
      <c r="P2880" s="6" t="s">
        <v>3</v>
      </c>
      <c r="Q2880" s="39">
        <v>20</v>
      </c>
      <c r="R2880" s="322">
        <f>Q2880*J2880</f>
        <v>20</v>
      </c>
      <c r="S2880" s="7">
        <v>1800</v>
      </c>
      <c r="T2880" s="7">
        <f>S2880*J2880</f>
        <v>1800</v>
      </c>
      <c r="U2880" s="21"/>
      <c r="V2880" s="260">
        <v>120</v>
      </c>
    </row>
    <row r="2881" spans="1:24" s="191" customFormat="1" ht="18" customHeight="1">
      <c r="B2881" s="190"/>
      <c r="C2881" s="179" t="s">
        <v>4284</v>
      </c>
      <c r="D2881" s="180" t="s">
        <v>2171</v>
      </c>
      <c r="E2881" s="181"/>
      <c r="F2881" s="182"/>
      <c r="G2881" s="182" t="s">
        <v>250</v>
      </c>
      <c r="H2881" s="184" t="s">
        <v>252</v>
      </c>
      <c r="I2881" s="185"/>
      <c r="J2881" s="183"/>
      <c r="K2881" s="192">
        <v>576</v>
      </c>
      <c r="L2881" s="192">
        <v>576</v>
      </c>
      <c r="M2881" s="947"/>
      <c r="N2881" s="187">
        <v>45054</v>
      </c>
      <c r="O2881" s="186">
        <v>5175</v>
      </c>
      <c r="P2881" s="179"/>
      <c r="Q2881" s="192">
        <v>576</v>
      </c>
      <c r="R2881" s="192">
        <v>576</v>
      </c>
      <c r="S2881" s="1135">
        <v>69090</v>
      </c>
      <c r="T2881" s="1135">
        <v>69090</v>
      </c>
      <c r="U2881" s="335"/>
      <c r="V2881" s="260">
        <v>120</v>
      </c>
      <c r="X2881" s="218"/>
    </row>
    <row r="2882" spans="1:24" s="7" customFormat="1" ht="18" customHeight="1">
      <c r="B2882" s="12"/>
      <c r="C2882" s="965" t="s">
        <v>4289</v>
      </c>
      <c r="D2882" s="14" t="s">
        <v>2162</v>
      </c>
      <c r="E2882" s="19" t="s">
        <v>2949</v>
      </c>
      <c r="F2882" s="37"/>
      <c r="G2882" s="37"/>
      <c r="H2882" s="108"/>
      <c r="I2882" s="108"/>
      <c r="J2882" s="108"/>
      <c r="K2882" s="29" t="s">
        <v>5</v>
      </c>
      <c r="L2882" s="139"/>
      <c r="M2882" s="33"/>
      <c r="N2882" s="33">
        <v>45044</v>
      </c>
      <c r="O2882" s="32">
        <v>5194</v>
      </c>
      <c r="P2882" s="6"/>
      <c r="Q2882" s="339"/>
      <c r="U2882" s="21"/>
      <c r="V2882" s="260">
        <v>120</v>
      </c>
    </row>
    <row r="2883" spans="1:24" s="7" customFormat="1" ht="17.25" customHeight="1">
      <c r="B2883" s="12" t="s">
        <v>300</v>
      </c>
      <c r="C2883" s="965" t="s">
        <v>4289</v>
      </c>
      <c r="D2883" s="14" t="s">
        <v>2162</v>
      </c>
      <c r="E2883" s="22">
        <v>5601</v>
      </c>
      <c r="F2883" s="37"/>
      <c r="G2883" s="839" t="s">
        <v>4290</v>
      </c>
      <c r="H2883" s="108">
        <v>50</v>
      </c>
      <c r="I2883" s="109">
        <v>1</v>
      </c>
      <c r="J2883" s="8">
        <f>H2883*I2883</f>
        <v>50</v>
      </c>
      <c r="K2883" s="39">
        <v>0.15000000000000002</v>
      </c>
      <c r="L2883" s="39">
        <f>K2883*J2883</f>
        <v>7.5000000000000009</v>
      </c>
      <c r="M2883" s="117" t="s">
        <v>323</v>
      </c>
      <c r="N2883" s="33">
        <v>45044</v>
      </c>
      <c r="O2883" s="32">
        <v>5194</v>
      </c>
      <c r="P2883" s="391">
        <f>ROUNDUP(S2883/V2883/VLOOKUP(B2883,$C$2:$F$6,3,FALSE),2)</f>
        <v>9.9999999999999992E-2</v>
      </c>
      <c r="Q2883" s="322">
        <v>0.1</v>
      </c>
      <c r="R2883" s="322">
        <f>Q2883*J2883</f>
        <v>5</v>
      </c>
      <c r="S2883" s="7">
        <v>7.8</v>
      </c>
      <c r="T2883" s="7">
        <f>S2883*J2883</f>
        <v>390</v>
      </c>
      <c r="U2883" s="876"/>
      <c r="V2883" s="260">
        <v>120</v>
      </c>
    </row>
    <row r="2884" spans="1:24" s="7" customFormat="1" ht="17.25" customHeight="1">
      <c r="B2884" s="12" t="s">
        <v>300</v>
      </c>
      <c r="C2884" s="965" t="s">
        <v>4289</v>
      </c>
      <c r="D2884" s="14" t="s">
        <v>2162</v>
      </c>
      <c r="E2884" s="22">
        <v>5601</v>
      </c>
      <c r="F2884" s="37"/>
      <c r="G2884" s="839" t="s">
        <v>4291</v>
      </c>
      <c r="H2884" s="108">
        <v>50</v>
      </c>
      <c r="I2884" s="109">
        <v>1</v>
      </c>
      <c r="J2884" s="8">
        <f>H2884*I2884</f>
        <v>50</v>
      </c>
      <c r="K2884" s="39">
        <v>0.15000000000000002</v>
      </c>
      <c r="L2884" s="39">
        <f>K2884*J2884</f>
        <v>7.5000000000000009</v>
      </c>
      <c r="M2884" s="117" t="s">
        <v>323</v>
      </c>
      <c r="N2884" s="33">
        <v>45044</v>
      </c>
      <c r="O2884" s="32">
        <v>5194</v>
      </c>
      <c r="P2884" s="391">
        <f>ROUNDUP(S2884/V2884/VLOOKUP(B2884,$C$2:$F$6,3,FALSE),2)</f>
        <v>9.9999999999999992E-2</v>
      </c>
      <c r="Q2884" s="322">
        <v>0.1</v>
      </c>
      <c r="R2884" s="322">
        <f>Q2884*J2884</f>
        <v>5</v>
      </c>
      <c r="S2884" s="7">
        <v>7.8</v>
      </c>
      <c r="T2884" s="7">
        <f>S2884*J2884</f>
        <v>390</v>
      </c>
      <c r="U2884" s="876"/>
      <c r="V2884" s="260">
        <v>120</v>
      </c>
    </row>
    <row r="2885" spans="1:24" s="7" customFormat="1" ht="15">
      <c r="B2885" s="12"/>
      <c r="C2885" s="965" t="s">
        <v>4289</v>
      </c>
      <c r="D2885" s="14" t="s">
        <v>2162</v>
      </c>
      <c r="E2885" s="82"/>
      <c r="F2885" s="102"/>
      <c r="G2885" s="22" t="s">
        <v>316</v>
      </c>
      <c r="H2885" s="8"/>
      <c r="I2885" s="35"/>
      <c r="J2885" s="38">
        <v>1</v>
      </c>
      <c r="K2885" s="39">
        <v>12</v>
      </c>
      <c r="L2885" s="39">
        <f>K2885*J2885</f>
        <v>12</v>
      </c>
      <c r="M2885" s="91"/>
      <c r="N2885" s="33">
        <v>45044</v>
      </c>
      <c r="O2885" s="32">
        <v>5194</v>
      </c>
      <c r="P2885" s="6"/>
      <c r="Q2885" s="322">
        <v>12</v>
      </c>
      <c r="R2885" s="322">
        <f>Q2885*J2885</f>
        <v>12</v>
      </c>
      <c r="S2885" s="7">
        <v>1100</v>
      </c>
      <c r="T2885" s="7">
        <f>S2885*J2885</f>
        <v>1100</v>
      </c>
      <c r="U2885" s="21"/>
      <c r="V2885" s="260">
        <v>120</v>
      </c>
    </row>
    <row r="2886" spans="1:24" s="191" customFormat="1" ht="15">
      <c r="B2886" s="190"/>
      <c r="C2886" s="966" t="s">
        <v>4289</v>
      </c>
      <c r="D2886" s="180" t="s">
        <v>2162</v>
      </c>
      <c r="E2886" s="181"/>
      <c r="F2886" s="622"/>
      <c r="G2886" s="182" t="s">
        <v>250</v>
      </c>
      <c r="H2886" s="184" t="s">
        <v>251</v>
      </c>
      <c r="I2886" s="185"/>
      <c r="J2886" s="183"/>
      <c r="K2886" s="192">
        <v>0</v>
      </c>
      <c r="L2886" s="188"/>
      <c r="M2886" s="187"/>
      <c r="N2886" s="187">
        <v>45044</v>
      </c>
      <c r="O2886" s="186">
        <v>5194</v>
      </c>
      <c r="P2886" s="179"/>
      <c r="Q2886" s="725">
        <v>0</v>
      </c>
      <c r="S2886" s="197">
        <v>0</v>
      </c>
      <c r="T2886" s="198">
        <v>0</v>
      </c>
      <c r="U2886" s="335"/>
      <c r="V2886" s="260">
        <v>120</v>
      </c>
    </row>
    <row r="2887" spans="1:24" s="7" customFormat="1" ht="18" customHeight="1">
      <c r="B2887" s="12"/>
      <c r="C2887" s="6" t="s">
        <v>4292</v>
      </c>
      <c r="D2887" s="14" t="s">
        <v>2378</v>
      </c>
      <c r="E2887" s="19" t="s">
        <v>2882</v>
      </c>
      <c r="F2887" s="107"/>
      <c r="G2887" s="22"/>
      <c r="H2887" s="108"/>
      <c r="I2887" s="109"/>
      <c r="J2887" s="108"/>
      <c r="K2887" s="29" t="s">
        <v>5</v>
      </c>
      <c r="L2887" s="139"/>
      <c r="M2887" s="33"/>
      <c r="N2887" s="33">
        <v>45054</v>
      </c>
      <c r="O2887" s="32">
        <v>5201</v>
      </c>
      <c r="P2887" s="14"/>
      <c r="Q2887" s="322"/>
      <c r="U2887" s="14"/>
      <c r="V2887" s="260">
        <v>120</v>
      </c>
    </row>
    <row r="2888" spans="1:24" s="7" customFormat="1" ht="18" customHeight="1">
      <c r="B2888" s="12" t="s">
        <v>300</v>
      </c>
      <c r="C2888" s="6" t="s">
        <v>4292</v>
      </c>
      <c r="D2888" s="14" t="s">
        <v>2378</v>
      </c>
      <c r="E2888" s="22" t="s">
        <v>2468</v>
      </c>
      <c r="F2888" s="107"/>
      <c r="G2888" s="22" t="s">
        <v>100</v>
      </c>
      <c r="H2888" s="108">
        <v>13.7</v>
      </c>
      <c r="I2888" s="109">
        <v>14</v>
      </c>
      <c r="J2888" s="131">
        <f>H2888*I2888</f>
        <v>191.79999999999998</v>
      </c>
      <c r="K2888" s="39">
        <v>1.75</v>
      </c>
      <c r="L2888" s="39">
        <f>K2888*J2888</f>
        <v>335.65</v>
      </c>
      <c r="M2888" s="117" t="s">
        <v>349</v>
      </c>
      <c r="N2888" s="33">
        <v>45054</v>
      </c>
      <c r="O2888" s="32">
        <v>5201</v>
      </c>
      <c r="P2888" s="391">
        <f>ROUNDUP(S2888/V2888/VLOOKUP(B2888,$C$2:$F$6,3,FALSE),2)</f>
        <v>0.9</v>
      </c>
      <c r="Q2888" s="611">
        <v>0.9</v>
      </c>
      <c r="R2888" s="322">
        <f>Q2888*J2888</f>
        <v>172.61999999999998</v>
      </c>
      <c r="S2888" s="7">
        <v>75</v>
      </c>
      <c r="T2888" s="7">
        <f>S2888*J2888</f>
        <v>14384.999999999998</v>
      </c>
      <c r="U2888" s="21"/>
      <c r="V2888" s="260">
        <v>120</v>
      </c>
    </row>
    <row r="2889" spans="1:24" s="7" customFormat="1" ht="18" customHeight="1">
      <c r="B2889" s="12"/>
      <c r="C2889" s="6" t="s">
        <v>4292</v>
      </c>
      <c r="D2889" s="14" t="s">
        <v>2378</v>
      </c>
      <c r="E2889" s="22"/>
      <c r="F2889" s="102"/>
      <c r="G2889" s="22" t="s">
        <v>316</v>
      </c>
      <c r="H2889" s="8"/>
      <c r="I2889" s="35"/>
      <c r="J2889" s="38">
        <v>1</v>
      </c>
      <c r="K2889" s="39">
        <v>12</v>
      </c>
      <c r="L2889" s="39">
        <f>K2889*J2889</f>
        <v>12</v>
      </c>
      <c r="M2889" s="33"/>
      <c r="N2889" s="33">
        <v>45054</v>
      </c>
      <c r="O2889" s="32">
        <v>5201</v>
      </c>
      <c r="P2889" s="391">
        <v>12</v>
      </c>
      <c r="Q2889" s="322">
        <v>12</v>
      </c>
      <c r="R2889" s="322">
        <v>12</v>
      </c>
      <c r="S2889" s="7">
        <v>900</v>
      </c>
      <c r="T2889" s="7">
        <f>S2889*J2889</f>
        <v>900</v>
      </c>
      <c r="U2889" s="21"/>
      <c r="V2889" s="260">
        <v>120</v>
      </c>
    </row>
    <row r="2890" spans="1:24" s="191" customFormat="1" ht="15">
      <c r="A2890" s="7"/>
      <c r="B2890" s="12"/>
      <c r="C2890" s="179" t="s">
        <v>4292</v>
      </c>
      <c r="D2890" s="180" t="s">
        <v>2378</v>
      </c>
      <c r="E2890" s="217"/>
      <c r="F2890" s="182"/>
      <c r="G2890" s="182" t="s">
        <v>250</v>
      </c>
      <c r="H2890" s="184" t="s">
        <v>252</v>
      </c>
      <c r="I2890" s="185"/>
      <c r="J2890" s="183"/>
      <c r="K2890" s="192">
        <v>20</v>
      </c>
      <c r="L2890" s="192">
        <v>20</v>
      </c>
      <c r="M2890" s="947"/>
      <c r="N2890" s="187">
        <v>45054</v>
      </c>
      <c r="O2890" s="186">
        <v>5201</v>
      </c>
      <c r="P2890" s="179"/>
      <c r="Q2890" s="192">
        <v>20</v>
      </c>
      <c r="R2890" s="192">
        <v>20</v>
      </c>
      <c r="S2890" s="7">
        <v>2342</v>
      </c>
      <c r="T2890" s="7">
        <v>2342</v>
      </c>
      <c r="U2890" s="335"/>
      <c r="V2890" s="260">
        <v>120</v>
      </c>
      <c r="X2890" s="218"/>
    </row>
    <row r="2891" spans="1:24" s="7" customFormat="1" ht="18" customHeight="1">
      <c r="B2891" s="12" t="s">
        <v>300</v>
      </c>
      <c r="C2891" s="6" t="s">
        <v>4292</v>
      </c>
      <c r="D2891" s="14" t="s">
        <v>2378</v>
      </c>
      <c r="E2891" s="22" t="s">
        <v>2468</v>
      </c>
      <c r="F2891" s="107"/>
      <c r="G2891" s="22" t="s">
        <v>100</v>
      </c>
      <c r="H2891" s="108">
        <v>13.7</v>
      </c>
      <c r="I2891" s="109">
        <v>20</v>
      </c>
      <c r="J2891" s="131">
        <f>H2891*I2891</f>
        <v>274</v>
      </c>
      <c r="K2891" s="39">
        <v>1.75</v>
      </c>
      <c r="L2891" s="39">
        <f>K2891*J2891</f>
        <v>479.5</v>
      </c>
      <c r="M2891" s="117" t="s">
        <v>349</v>
      </c>
      <c r="N2891" s="33">
        <v>45086</v>
      </c>
      <c r="O2891" s="32">
        <v>4795</v>
      </c>
      <c r="P2891" s="391">
        <f>ROUNDUP(S2891/V2891/VLOOKUP(B2891,$C$2:$F$6,3,FALSE),2)</f>
        <v>0.9</v>
      </c>
      <c r="Q2891" s="611">
        <v>0.9</v>
      </c>
      <c r="R2891" s="322">
        <f>Q2891*J2891</f>
        <v>246.6</v>
      </c>
      <c r="S2891" s="7">
        <v>75</v>
      </c>
      <c r="T2891" s="7">
        <f>S2891*J2891</f>
        <v>20550</v>
      </c>
      <c r="U2891" s="21"/>
      <c r="V2891" s="260">
        <v>120</v>
      </c>
    </row>
    <row r="2892" spans="1:24" s="191" customFormat="1" ht="15">
      <c r="A2892" s="7"/>
      <c r="B2892" s="12"/>
      <c r="C2892" s="179" t="s">
        <v>4292</v>
      </c>
      <c r="D2892" s="180" t="s">
        <v>2378</v>
      </c>
      <c r="E2892" s="217"/>
      <c r="F2892" s="182"/>
      <c r="G2892" s="182" t="s">
        <v>250</v>
      </c>
      <c r="H2892" s="184" t="s">
        <v>252</v>
      </c>
      <c r="I2892" s="185"/>
      <c r="J2892" s="183"/>
      <c r="K2892" s="192">
        <v>25.8</v>
      </c>
      <c r="L2892" s="192">
        <v>25.8</v>
      </c>
      <c r="M2892" s="947"/>
      <c r="N2892" s="187">
        <v>45086</v>
      </c>
      <c r="O2892" s="186">
        <v>4795</v>
      </c>
      <c r="P2892" s="179"/>
      <c r="Q2892" s="192">
        <v>25.8</v>
      </c>
      <c r="R2892" s="192">
        <v>25.8</v>
      </c>
      <c r="S2892" s="7">
        <v>2963</v>
      </c>
      <c r="T2892" s="7">
        <v>2963</v>
      </c>
      <c r="U2892" s="335"/>
      <c r="V2892" s="260">
        <v>120</v>
      </c>
      <c r="X2892" s="218"/>
    </row>
    <row r="2893" spans="1:24" s="7" customFormat="1" ht="18" customHeight="1">
      <c r="B2893" s="12"/>
      <c r="C2893" s="6" t="s">
        <v>4293</v>
      </c>
      <c r="D2893" s="14" t="s">
        <v>1970</v>
      </c>
      <c r="E2893" s="17" t="s">
        <v>2968</v>
      </c>
      <c r="F2893" s="319"/>
      <c r="G2893" s="299"/>
      <c r="H2893" s="300" t="s">
        <v>355</v>
      </c>
      <c r="I2893" s="320"/>
      <c r="J2893" s="321"/>
      <c r="K2893" s="110" t="s">
        <v>101</v>
      </c>
      <c r="L2893" s="139"/>
      <c r="M2893" s="33"/>
      <c r="N2893" s="33">
        <v>45055</v>
      </c>
      <c r="O2893" s="32">
        <v>5202</v>
      </c>
      <c r="P2893" s="6"/>
      <c r="Q2893" s="322"/>
      <c r="U2893" s="39"/>
      <c r="V2893" s="260">
        <v>120</v>
      </c>
    </row>
    <row r="2894" spans="1:24" s="7" customFormat="1" ht="18" customHeight="1">
      <c r="B2894" s="12" t="s">
        <v>300</v>
      </c>
      <c r="C2894" s="6" t="s">
        <v>4293</v>
      </c>
      <c r="D2894" s="14" t="s">
        <v>1970</v>
      </c>
      <c r="E2894" s="22">
        <v>4063</v>
      </c>
      <c r="F2894" s="24">
        <v>15</v>
      </c>
      <c r="G2894" s="22" t="s">
        <v>2969</v>
      </c>
      <c r="H2894" s="108">
        <v>30</v>
      </c>
      <c r="I2894" s="109">
        <v>3</v>
      </c>
      <c r="J2894" s="8">
        <f>H2894*I2894</f>
        <v>90</v>
      </c>
      <c r="K2894" s="39">
        <v>1.1499999999999999</v>
      </c>
      <c r="L2894" s="39">
        <f>K2894*J2894</f>
        <v>103.49999999999999</v>
      </c>
      <c r="M2894" s="117" t="s">
        <v>349</v>
      </c>
      <c r="N2894" s="33">
        <v>45055</v>
      </c>
      <c r="O2894" s="32">
        <v>5202</v>
      </c>
      <c r="P2894" s="391">
        <f>ROUNDUP(S2894/V2894/VLOOKUP(B2894,$C$2:$F$6,3,FALSE),2)</f>
        <v>0.74</v>
      </c>
      <c r="Q2894" s="358">
        <v>0.74</v>
      </c>
      <c r="R2894" s="322">
        <f>Q2894*J2894</f>
        <v>66.599999999999994</v>
      </c>
      <c r="S2894" s="7">
        <v>62</v>
      </c>
      <c r="T2894" s="7">
        <f>S2894*J2894</f>
        <v>5580</v>
      </c>
      <c r="U2894" s="267"/>
      <c r="V2894" s="260">
        <v>120</v>
      </c>
    </row>
    <row r="2895" spans="1:24" s="7" customFormat="1" ht="18" customHeight="1">
      <c r="B2895" s="12"/>
      <c r="C2895" s="6" t="s">
        <v>4293</v>
      </c>
      <c r="D2895" s="14" t="s">
        <v>1970</v>
      </c>
      <c r="E2895" s="82"/>
      <c r="F2895" s="102"/>
      <c r="G2895" s="22" t="s">
        <v>316</v>
      </c>
      <c r="H2895" s="8"/>
      <c r="I2895" s="35"/>
      <c r="J2895" s="38">
        <v>1</v>
      </c>
      <c r="K2895" s="39">
        <v>12</v>
      </c>
      <c r="L2895" s="39">
        <f>K2895*J2895</f>
        <v>12</v>
      </c>
      <c r="M2895" s="91"/>
      <c r="N2895" s="33">
        <v>45055</v>
      </c>
      <c r="O2895" s="32">
        <v>5202</v>
      </c>
      <c r="P2895" s="6"/>
      <c r="Q2895" s="322">
        <v>12</v>
      </c>
      <c r="R2895" s="322">
        <v>12</v>
      </c>
      <c r="S2895" s="7">
        <v>0</v>
      </c>
      <c r="T2895" s="7">
        <f>S2895*J2895</f>
        <v>0</v>
      </c>
      <c r="U2895" s="21"/>
      <c r="V2895" s="260">
        <v>120</v>
      </c>
    </row>
    <row r="2896" spans="1:24" s="191" customFormat="1" ht="18" customHeight="1">
      <c r="B2896" s="190"/>
      <c r="C2896" s="179" t="s">
        <v>4293</v>
      </c>
      <c r="D2896" s="180" t="s">
        <v>1970</v>
      </c>
      <c r="E2896" s="181"/>
      <c r="F2896" s="622"/>
      <c r="G2896" s="182" t="s">
        <v>250</v>
      </c>
      <c r="H2896" s="184" t="s">
        <v>251</v>
      </c>
      <c r="I2896" s="185"/>
      <c r="J2896" s="183"/>
      <c r="K2896" s="192">
        <v>0</v>
      </c>
      <c r="L2896" s="188"/>
      <c r="M2896" s="187"/>
      <c r="N2896" s="187">
        <v>45055</v>
      </c>
      <c r="O2896" s="186">
        <v>5202</v>
      </c>
      <c r="P2896" s="179"/>
      <c r="Q2896" s="725">
        <v>0</v>
      </c>
      <c r="S2896" s="197">
        <v>0</v>
      </c>
      <c r="T2896" s="198">
        <v>0</v>
      </c>
      <c r="U2896" s="335"/>
      <c r="V2896" s="260">
        <v>120</v>
      </c>
    </row>
    <row r="2897" spans="1:51" s="7" customFormat="1" ht="18" customHeight="1">
      <c r="B2897" s="12"/>
      <c r="C2897" s="6" t="s">
        <v>4294</v>
      </c>
      <c r="D2897" s="14" t="s">
        <v>1970</v>
      </c>
      <c r="E2897" s="19" t="s">
        <v>1980</v>
      </c>
      <c r="F2897" s="37"/>
      <c r="G2897" s="37"/>
      <c r="H2897" s="108"/>
      <c r="I2897" s="108"/>
      <c r="J2897" s="108"/>
      <c r="K2897" s="110" t="s">
        <v>101</v>
      </c>
      <c r="L2897" s="139"/>
      <c r="M2897" s="33"/>
      <c r="N2897" s="33">
        <v>45058</v>
      </c>
      <c r="O2897" s="32">
        <v>5218</v>
      </c>
      <c r="P2897" s="6"/>
      <c r="Q2897" s="339"/>
      <c r="U2897" s="21"/>
      <c r="V2897" s="257"/>
    </row>
    <row r="2898" spans="1:51" s="7" customFormat="1" ht="17.25" customHeight="1">
      <c r="B2898" s="12" t="s">
        <v>4295</v>
      </c>
      <c r="C2898" s="6" t="s">
        <v>4294</v>
      </c>
      <c r="D2898" s="14" t="s">
        <v>1970</v>
      </c>
      <c r="E2898" s="22">
        <v>3709</v>
      </c>
      <c r="F2898" s="37">
        <v>38</v>
      </c>
      <c r="G2898" s="37" t="s">
        <v>172</v>
      </c>
      <c r="H2898" s="108">
        <v>30</v>
      </c>
      <c r="I2898" s="109">
        <v>1</v>
      </c>
      <c r="J2898" s="8">
        <f>H2898*I2898</f>
        <v>30</v>
      </c>
      <c r="K2898" s="39">
        <v>1.65</v>
      </c>
      <c r="L2898" s="39">
        <f>K2898*J2898</f>
        <v>49.5</v>
      </c>
      <c r="M2898" s="117" t="s">
        <v>349</v>
      </c>
      <c r="N2898" s="33">
        <v>45058</v>
      </c>
      <c r="O2898" s="32">
        <v>5218</v>
      </c>
      <c r="P2898" s="391">
        <f>ROUNDUP(S2898/V2898/VLOOKUP(B2898,$C$2:$F$6,3,FALSE),2)</f>
        <v>1.06</v>
      </c>
      <c r="Q2898" s="358">
        <v>1.06</v>
      </c>
      <c r="R2898" s="322">
        <f>Q2898*J2898</f>
        <v>31.8</v>
      </c>
      <c r="S2898" s="7">
        <v>88.57</v>
      </c>
      <c r="T2898" s="7">
        <f>S2898*J2898</f>
        <v>2657.1</v>
      </c>
      <c r="U2898" s="267"/>
      <c r="V2898" s="260">
        <v>120</v>
      </c>
    </row>
    <row r="2899" spans="1:51" s="7" customFormat="1" ht="18" customHeight="1">
      <c r="B2899" s="12"/>
      <c r="C2899" s="6" t="s">
        <v>4294</v>
      </c>
      <c r="D2899" s="14" t="s">
        <v>1970</v>
      </c>
      <c r="E2899" s="82"/>
      <c r="F2899" s="102"/>
      <c r="G2899" s="22" t="s">
        <v>316</v>
      </c>
      <c r="H2899" s="8"/>
      <c r="I2899" s="35"/>
      <c r="J2899" s="38">
        <v>1</v>
      </c>
      <c r="K2899" s="39">
        <v>12</v>
      </c>
      <c r="L2899" s="39">
        <f>K2899*J2899</f>
        <v>12</v>
      </c>
      <c r="M2899" s="91"/>
      <c r="N2899" s="33">
        <v>45058</v>
      </c>
      <c r="O2899" s="32">
        <v>5218</v>
      </c>
      <c r="P2899" s="6"/>
      <c r="Q2899" s="322">
        <v>12</v>
      </c>
      <c r="R2899" s="322">
        <v>12</v>
      </c>
      <c r="S2899" s="7">
        <v>0</v>
      </c>
      <c r="T2899" s="7">
        <f>S2899*J2899</f>
        <v>0</v>
      </c>
      <c r="U2899" s="21"/>
      <c r="V2899" s="260">
        <v>120</v>
      </c>
    </row>
    <row r="2900" spans="1:51" s="218" customFormat="1" ht="17.25" customHeight="1">
      <c r="B2900" s="189"/>
      <c r="C2900" s="179" t="s">
        <v>4294</v>
      </c>
      <c r="D2900" s="180" t="s">
        <v>1970</v>
      </c>
      <c r="E2900" s="217"/>
      <c r="F2900" s="182"/>
      <c r="G2900" s="182" t="s">
        <v>250</v>
      </c>
      <c r="H2900" s="184" t="s">
        <v>251</v>
      </c>
      <c r="I2900" s="185"/>
      <c r="J2900" s="183"/>
      <c r="K2900" s="192">
        <v>0</v>
      </c>
      <c r="L2900" s="188"/>
      <c r="M2900" s="187"/>
      <c r="N2900" s="187">
        <v>45058</v>
      </c>
      <c r="O2900" s="186">
        <v>5218</v>
      </c>
      <c r="P2900" s="179"/>
      <c r="Q2900" s="725">
        <v>0</v>
      </c>
      <c r="R2900" s="191"/>
      <c r="S2900" s="197">
        <v>0</v>
      </c>
      <c r="T2900" s="198">
        <v>0</v>
      </c>
      <c r="U2900" s="335"/>
      <c r="V2900" s="260">
        <v>120</v>
      </c>
    </row>
    <row r="2901" spans="1:51" customFormat="1" ht="18" customHeight="1">
      <c r="A2901" s="1"/>
      <c r="B2901" s="26"/>
      <c r="C2901" s="6" t="s">
        <v>4296</v>
      </c>
      <c r="D2901" s="14" t="s">
        <v>3391</v>
      </c>
      <c r="E2901" s="19" t="s">
        <v>59</v>
      </c>
      <c r="F2901" s="107"/>
      <c r="G2901" s="22"/>
      <c r="H2901" s="108"/>
      <c r="I2901" s="109"/>
      <c r="J2901" s="108"/>
      <c r="K2901" s="110" t="s">
        <v>5</v>
      </c>
      <c r="L2901" s="33"/>
      <c r="M2901" s="33"/>
      <c r="N2901" s="33">
        <v>45058</v>
      </c>
      <c r="O2901" s="32">
        <v>5217</v>
      </c>
      <c r="P2901" s="14"/>
      <c r="Q2901" s="254"/>
      <c r="R2901" s="1"/>
      <c r="S2901" s="261"/>
      <c r="T2901" s="92"/>
      <c r="U2901" s="264"/>
      <c r="V2901" s="260">
        <v>120</v>
      </c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1"/>
      <c r="AI2901" s="1"/>
      <c r="AJ2901" s="1"/>
      <c r="AK2901" s="1"/>
      <c r="AL2901" s="1"/>
      <c r="AM2901" s="1"/>
      <c r="AN2901" s="1"/>
      <c r="AO2901" s="1"/>
      <c r="AP2901" s="1"/>
      <c r="AQ2901" s="1"/>
      <c r="AR2901" s="1"/>
      <c r="AS2901" s="1"/>
      <c r="AT2901" s="1"/>
      <c r="AU2901" s="1"/>
      <c r="AV2901" s="1"/>
      <c r="AW2901" s="1"/>
      <c r="AX2901" s="1"/>
      <c r="AY2901" s="1"/>
    </row>
    <row r="2902" spans="1:51" customFormat="1" ht="18" customHeight="1">
      <c r="B2902" s="12" t="s">
        <v>302</v>
      </c>
      <c r="C2902" s="6" t="s">
        <v>4296</v>
      </c>
      <c r="D2902" s="14" t="s">
        <v>3391</v>
      </c>
      <c r="E2902" s="22">
        <v>2440</v>
      </c>
      <c r="F2902" s="107">
        <v>140</v>
      </c>
      <c r="G2902" s="22" t="s">
        <v>4297</v>
      </c>
      <c r="H2902" s="108">
        <v>58</v>
      </c>
      <c r="I2902" s="109">
        <v>2</v>
      </c>
      <c r="J2902" s="8">
        <f>H2902*I2902</f>
        <v>116</v>
      </c>
      <c r="K2902" s="39">
        <v>3.13</v>
      </c>
      <c r="L2902" s="39">
        <f>K2902*J2902</f>
        <v>363.08</v>
      </c>
      <c r="M2902" s="117" t="s">
        <v>323</v>
      </c>
      <c r="N2902" s="33">
        <v>45058</v>
      </c>
      <c r="O2902" s="32">
        <v>5217</v>
      </c>
      <c r="P2902" s="391">
        <f>ROUNDUP(S2902/V2902/VLOOKUP(B2902,$C$2:$F$6,3,FALSE),2)</f>
        <v>2.8499999999999996</v>
      </c>
      <c r="Q2902" s="254">
        <v>2.85</v>
      </c>
      <c r="R2902" s="323">
        <f>Q2902*J2902</f>
        <v>330.6</v>
      </c>
      <c r="S2902" s="257">
        <v>300</v>
      </c>
      <c r="T2902" s="287">
        <f>S2902*J2902</f>
        <v>34800</v>
      </c>
      <c r="U2902" s="264"/>
      <c r="V2902" s="260">
        <v>120</v>
      </c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1"/>
      <c r="AI2902" s="1"/>
      <c r="AJ2902" s="1"/>
      <c r="AK2902" s="1"/>
      <c r="AL2902" s="1"/>
      <c r="AM2902" s="1"/>
      <c r="AN2902" s="1"/>
      <c r="AO2902" s="1"/>
      <c r="AP2902" s="1"/>
      <c r="AQ2902" s="1"/>
      <c r="AR2902" s="1"/>
      <c r="AS2902" s="1"/>
      <c r="AT2902" s="1"/>
      <c r="AU2902" s="1"/>
      <c r="AV2902" s="1"/>
      <c r="AW2902" s="1"/>
      <c r="AX2902" s="1"/>
      <c r="AY2902" s="1"/>
    </row>
    <row r="2903" spans="1:51" customFormat="1" ht="18" customHeight="1">
      <c r="B2903" s="12" t="s">
        <v>302</v>
      </c>
      <c r="C2903" s="6" t="s">
        <v>4296</v>
      </c>
      <c r="D2903" s="14" t="s">
        <v>3391</v>
      </c>
      <c r="E2903" s="22">
        <v>2440</v>
      </c>
      <c r="F2903" s="107">
        <v>140</v>
      </c>
      <c r="G2903" s="22" t="s">
        <v>4298</v>
      </c>
      <c r="H2903" s="108">
        <v>59</v>
      </c>
      <c r="I2903" s="109">
        <v>1</v>
      </c>
      <c r="J2903" s="8">
        <f>H2903*I2903</f>
        <v>59</v>
      </c>
      <c r="K2903" s="39">
        <v>3.13</v>
      </c>
      <c r="L2903" s="39">
        <f>K2903*J2903</f>
        <v>184.67</v>
      </c>
      <c r="M2903" s="117" t="s">
        <v>323</v>
      </c>
      <c r="N2903" s="33">
        <v>45058</v>
      </c>
      <c r="O2903" s="32">
        <v>5217</v>
      </c>
      <c r="P2903" s="391">
        <f>ROUNDUP(S2903/V2903/VLOOKUP(B2903,$C$2:$F$6,3,FALSE),2)</f>
        <v>2.8499999999999996</v>
      </c>
      <c r="Q2903" s="254">
        <v>2.85</v>
      </c>
      <c r="R2903" s="323">
        <f>Q2903*J2903</f>
        <v>168.15</v>
      </c>
      <c r="S2903" s="257">
        <v>300</v>
      </c>
      <c r="T2903" s="287">
        <f>S2903*J2903</f>
        <v>17700</v>
      </c>
      <c r="U2903" s="264"/>
      <c r="V2903" s="260">
        <v>120</v>
      </c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1"/>
      <c r="AI2903" s="1"/>
      <c r="AJ2903" s="1"/>
      <c r="AK2903" s="1"/>
      <c r="AL2903" s="1"/>
      <c r="AM2903" s="1"/>
      <c r="AN2903" s="1"/>
      <c r="AO2903" s="1"/>
      <c r="AP2903" s="1"/>
      <c r="AQ2903" s="1"/>
      <c r="AR2903" s="1"/>
      <c r="AS2903" s="1"/>
      <c r="AT2903" s="1"/>
      <c r="AU2903" s="1"/>
      <c r="AV2903" s="1"/>
      <c r="AW2903" s="1"/>
      <c r="AX2903" s="1"/>
      <c r="AY2903" s="1"/>
    </row>
    <row r="2904" spans="1:51" s="7" customFormat="1" ht="18" customHeight="1">
      <c r="B2904" s="12"/>
      <c r="C2904" s="6" t="s">
        <v>4296</v>
      </c>
      <c r="D2904" s="14" t="s">
        <v>3391</v>
      </c>
      <c r="E2904" s="19" t="s">
        <v>10</v>
      </c>
      <c r="F2904" s="107"/>
      <c r="G2904" s="22"/>
      <c r="H2904" s="108"/>
      <c r="I2904" s="109"/>
      <c r="J2904" s="108"/>
      <c r="K2904" s="29" t="s">
        <v>5</v>
      </c>
      <c r="L2904" s="39"/>
      <c r="M2904" s="91"/>
      <c r="N2904" s="33">
        <v>45058</v>
      </c>
      <c r="O2904" s="32">
        <v>5217</v>
      </c>
      <c r="P2904" s="14"/>
      <c r="Q2904" s="322"/>
      <c r="U2904" s="14"/>
      <c r="V2904" s="384">
        <v>120</v>
      </c>
    </row>
    <row r="2905" spans="1:51" s="7" customFormat="1" ht="18" customHeight="1">
      <c r="B2905" s="12" t="s">
        <v>302</v>
      </c>
      <c r="C2905" s="6" t="s">
        <v>4296</v>
      </c>
      <c r="D2905" s="14" t="s">
        <v>3391</v>
      </c>
      <c r="E2905" s="22" t="s">
        <v>190</v>
      </c>
      <c r="F2905" s="107">
        <v>160</v>
      </c>
      <c r="G2905" s="396" t="s">
        <v>4299</v>
      </c>
      <c r="H2905" s="108"/>
      <c r="I2905" s="109"/>
      <c r="J2905" s="8">
        <v>3</v>
      </c>
      <c r="K2905" s="39">
        <v>5.28</v>
      </c>
      <c r="L2905" s="39">
        <f t="shared" ref="L2905:L2911" si="184">K2905*J2905</f>
        <v>15.84</v>
      </c>
      <c r="M2905" s="117" t="s">
        <v>322</v>
      </c>
      <c r="N2905" s="33">
        <v>45058</v>
      </c>
      <c r="O2905" s="32">
        <v>5217</v>
      </c>
      <c r="P2905" s="391">
        <f>ROUNDUP(S2905/V2905/VLOOKUP(B2905,$C$2:$F$6,3,FALSE),2)</f>
        <v>3.5999999999999996</v>
      </c>
      <c r="Q2905" s="322">
        <v>3.6</v>
      </c>
      <c r="R2905" s="322">
        <f t="shared" ref="R2905:R2911" si="185">Q2905*J2905</f>
        <v>10.8</v>
      </c>
      <c r="S2905" s="7">
        <v>380</v>
      </c>
      <c r="T2905" s="7">
        <f t="shared" ref="T2905:T2911" si="186">S2905*J2905</f>
        <v>1140</v>
      </c>
      <c r="U2905" s="21"/>
      <c r="V2905" s="260">
        <v>120</v>
      </c>
    </row>
    <row r="2906" spans="1:51" s="7" customFormat="1" ht="18" customHeight="1">
      <c r="B2906" s="12" t="s">
        <v>302</v>
      </c>
      <c r="C2906" s="6" t="s">
        <v>4296</v>
      </c>
      <c r="D2906" s="14" t="s">
        <v>3391</v>
      </c>
      <c r="E2906" s="22" t="s">
        <v>190</v>
      </c>
      <c r="F2906" s="107">
        <v>160</v>
      </c>
      <c r="G2906" s="396" t="s">
        <v>4300</v>
      </c>
      <c r="H2906" s="108"/>
      <c r="I2906" s="109"/>
      <c r="J2906" s="8">
        <v>3</v>
      </c>
      <c r="K2906" s="39">
        <v>5.28</v>
      </c>
      <c r="L2906" s="39">
        <f t="shared" si="184"/>
        <v>15.84</v>
      </c>
      <c r="M2906" s="117" t="s">
        <v>322</v>
      </c>
      <c r="N2906" s="33">
        <v>45058</v>
      </c>
      <c r="O2906" s="32">
        <v>5217</v>
      </c>
      <c r="P2906" s="391">
        <f>ROUNDUP(S2906/V2906/VLOOKUP(B2906,$C$2:$F$6,3,FALSE),2)</f>
        <v>3.5999999999999996</v>
      </c>
      <c r="Q2906" s="322">
        <v>3.6</v>
      </c>
      <c r="R2906" s="322">
        <f t="shared" si="185"/>
        <v>10.8</v>
      </c>
      <c r="S2906" s="7">
        <v>380</v>
      </c>
      <c r="T2906" s="7">
        <f t="shared" si="186"/>
        <v>1140</v>
      </c>
      <c r="U2906" s="21"/>
      <c r="V2906" s="260">
        <v>120</v>
      </c>
    </row>
    <row r="2907" spans="1:51" s="7" customFormat="1" ht="18" customHeight="1">
      <c r="B2907" s="12" t="s">
        <v>302</v>
      </c>
      <c r="C2907" s="6" t="s">
        <v>4296</v>
      </c>
      <c r="D2907" s="14" t="s">
        <v>3391</v>
      </c>
      <c r="E2907" s="22" t="s">
        <v>190</v>
      </c>
      <c r="F2907" s="107">
        <v>160</v>
      </c>
      <c r="G2907" s="396" t="s">
        <v>4301</v>
      </c>
      <c r="H2907" s="108">
        <v>50</v>
      </c>
      <c r="I2907" s="109">
        <v>1</v>
      </c>
      <c r="J2907" s="8">
        <f>H2907*I2907</f>
        <v>50</v>
      </c>
      <c r="K2907" s="39">
        <v>3.96</v>
      </c>
      <c r="L2907" s="39">
        <f t="shared" si="184"/>
        <v>198</v>
      </c>
      <c r="M2907" s="117" t="s">
        <v>323</v>
      </c>
      <c r="N2907" s="33">
        <v>45058</v>
      </c>
      <c r="O2907" s="32">
        <v>5217</v>
      </c>
      <c r="P2907" s="391">
        <f>ROUNDUP(S2907/V2907/VLOOKUP(B2907,$C$2:$F$6,3,FALSE),2)</f>
        <v>3.5999999999999996</v>
      </c>
      <c r="Q2907" s="322">
        <v>3.6</v>
      </c>
      <c r="R2907" s="322">
        <f t="shared" si="185"/>
        <v>180</v>
      </c>
      <c r="S2907" s="7">
        <v>380</v>
      </c>
      <c r="T2907" s="7">
        <f t="shared" si="186"/>
        <v>19000</v>
      </c>
      <c r="U2907" s="21"/>
      <c r="V2907" s="260">
        <v>120</v>
      </c>
    </row>
    <row r="2908" spans="1:51" s="7" customFormat="1" ht="18" customHeight="1">
      <c r="B2908" s="12" t="s">
        <v>302</v>
      </c>
      <c r="C2908" s="6" t="s">
        <v>4296</v>
      </c>
      <c r="D2908" s="14" t="s">
        <v>3391</v>
      </c>
      <c r="E2908" s="22" t="s">
        <v>190</v>
      </c>
      <c r="F2908" s="107">
        <v>160</v>
      </c>
      <c r="G2908" s="396" t="s">
        <v>4302</v>
      </c>
      <c r="H2908" s="108">
        <v>50</v>
      </c>
      <c r="I2908" s="109">
        <v>1</v>
      </c>
      <c r="J2908" s="8">
        <f>H2908*I2908</f>
        <v>50</v>
      </c>
      <c r="K2908" s="39">
        <v>3.96</v>
      </c>
      <c r="L2908" s="39">
        <f t="shared" si="184"/>
        <v>198</v>
      </c>
      <c r="M2908" s="117" t="s">
        <v>322</v>
      </c>
      <c r="N2908" s="33">
        <v>45058</v>
      </c>
      <c r="O2908" s="32">
        <v>5217</v>
      </c>
      <c r="P2908" s="391">
        <f>ROUNDUP(S2908/V2908/VLOOKUP(B2908,$C$2:$F$6,3,FALSE),2)</f>
        <v>3.5999999999999996</v>
      </c>
      <c r="Q2908" s="322">
        <v>3.6</v>
      </c>
      <c r="R2908" s="322">
        <f t="shared" si="185"/>
        <v>180</v>
      </c>
      <c r="S2908" s="7">
        <v>380</v>
      </c>
      <c r="T2908" s="7">
        <f t="shared" si="186"/>
        <v>19000</v>
      </c>
      <c r="U2908" s="21"/>
      <c r="V2908" s="260">
        <v>120</v>
      </c>
    </row>
    <row r="2909" spans="1:51" s="7" customFormat="1" ht="18" customHeight="1">
      <c r="B2909" s="12" t="s">
        <v>302</v>
      </c>
      <c r="C2909" s="6" t="s">
        <v>4296</v>
      </c>
      <c r="D2909" s="14" t="s">
        <v>3391</v>
      </c>
      <c r="E2909" s="22" t="s">
        <v>190</v>
      </c>
      <c r="F2909" s="107">
        <v>160</v>
      </c>
      <c r="G2909" s="396" t="s">
        <v>4303</v>
      </c>
      <c r="H2909" s="108">
        <v>50</v>
      </c>
      <c r="I2909" s="109">
        <v>3</v>
      </c>
      <c r="J2909" s="8">
        <f>H2909*I2909</f>
        <v>150</v>
      </c>
      <c r="K2909" s="39">
        <v>3.96</v>
      </c>
      <c r="L2909" s="39">
        <f t="shared" si="184"/>
        <v>594</v>
      </c>
      <c r="M2909" s="117" t="s">
        <v>322</v>
      </c>
      <c r="N2909" s="33">
        <v>45058</v>
      </c>
      <c r="O2909" s="32">
        <v>5217</v>
      </c>
      <c r="P2909" s="391">
        <f>ROUNDUP(S2909/V2909/VLOOKUP(B2909,$C$2:$F$6,3,FALSE),2)</f>
        <v>3.5999999999999996</v>
      </c>
      <c r="Q2909" s="322">
        <v>3.6</v>
      </c>
      <c r="R2909" s="322">
        <f t="shared" si="185"/>
        <v>540</v>
      </c>
      <c r="S2909" s="7">
        <v>380</v>
      </c>
      <c r="T2909" s="7">
        <f t="shared" si="186"/>
        <v>57000</v>
      </c>
      <c r="U2909" s="21"/>
      <c r="V2909" s="260">
        <v>120</v>
      </c>
    </row>
    <row r="2910" spans="1:51" s="7" customFormat="1" ht="18" customHeight="1">
      <c r="B2910" s="12"/>
      <c r="C2910" s="6" t="s">
        <v>4296</v>
      </c>
      <c r="D2910" s="14" t="s">
        <v>3391</v>
      </c>
      <c r="E2910" s="22"/>
      <c r="F2910" s="102"/>
      <c r="G2910" s="22" t="s">
        <v>236</v>
      </c>
      <c r="H2910" s="8"/>
      <c r="I2910" s="35"/>
      <c r="J2910" s="38">
        <v>2</v>
      </c>
      <c r="K2910" s="39">
        <v>15</v>
      </c>
      <c r="L2910" s="39">
        <f t="shared" si="184"/>
        <v>30</v>
      </c>
      <c r="M2910" s="91"/>
      <c r="N2910" s="33">
        <v>45058</v>
      </c>
      <c r="O2910" s="32">
        <v>5217</v>
      </c>
      <c r="P2910" s="6"/>
      <c r="Q2910" s="322">
        <v>15</v>
      </c>
      <c r="R2910" s="322">
        <f t="shared" si="185"/>
        <v>30</v>
      </c>
      <c r="S2910" s="7">
        <v>1000</v>
      </c>
      <c r="T2910" s="7">
        <f t="shared" si="186"/>
        <v>2000</v>
      </c>
      <c r="U2910" s="21"/>
      <c r="V2910" s="260">
        <v>120</v>
      </c>
    </row>
    <row r="2911" spans="1:51" s="7" customFormat="1" ht="18" customHeight="1">
      <c r="B2911" s="12"/>
      <c r="C2911" s="6" t="s">
        <v>4296</v>
      </c>
      <c r="D2911" s="14" t="s">
        <v>3391</v>
      </c>
      <c r="E2911" s="82"/>
      <c r="F2911" s="102"/>
      <c r="G2911" s="22" t="s">
        <v>316</v>
      </c>
      <c r="H2911" s="8"/>
      <c r="I2911" s="35"/>
      <c r="J2911" s="38">
        <v>1</v>
      </c>
      <c r="K2911" s="39">
        <v>20</v>
      </c>
      <c r="L2911" s="39">
        <f t="shared" si="184"/>
        <v>20</v>
      </c>
      <c r="M2911" s="91"/>
      <c r="N2911" s="33">
        <v>45058</v>
      </c>
      <c r="O2911" s="32">
        <v>5217</v>
      </c>
      <c r="P2911" s="6"/>
      <c r="Q2911" s="322">
        <v>20</v>
      </c>
      <c r="R2911" s="322">
        <f t="shared" si="185"/>
        <v>20</v>
      </c>
      <c r="S2911" s="7">
        <v>1800</v>
      </c>
      <c r="T2911" s="7">
        <f t="shared" si="186"/>
        <v>1800</v>
      </c>
      <c r="U2911" s="21"/>
      <c r="V2911" s="260">
        <v>120</v>
      </c>
    </row>
    <row r="2912" spans="1:51" s="218" customFormat="1" ht="17.25" customHeight="1">
      <c r="B2912" s="189"/>
      <c r="C2912" s="179" t="s">
        <v>4296</v>
      </c>
      <c r="D2912" s="180" t="s">
        <v>3391</v>
      </c>
      <c r="E2912" s="217"/>
      <c r="F2912" s="182"/>
      <c r="G2912" s="182" t="s">
        <v>250</v>
      </c>
      <c r="H2912" s="184" t="s">
        <v>251</v>
      </c>
      <c r="I2912" s="185"/>
      <c r="J2912" s="183"/>
      <c r="K2912" s="192">
        <v>0</v>
      </c>
      <c r="L2912" s="188"/>
      <c r="M2912" s="187"/>
      <c r="N2912" s="187">
        <v>45058</v>
      </c>
      <c r="O2912" s="186">
        <v>5217</v>
      </c>
      <c r="P2912" s="179"/>
      <c r="Q2912" s="725">
        <v>0</v>
      </c>
      <c r="R2912" s="191"/>
      <c r="S2912" s="197">
        <v>0</v>
      </c>
      <c r="T2912" s="198">
        <v>0</v>
      </c>
      <c r="U2912" s="335"/>
      <c r="V2912" s="260">
        <v>120</v>
      </c>
    </row>
    <row r="2913" spans="2:22" s="7" customFormat="1" ht="18" customHeight="1">
      <c r="B2913" s="12"/>
      <c r="C2913" s="6" t="s">
        <v>4304</v>
      </c>
      <c r="D2913" s="14" t="s">
        <v>4305</v>
      </c>
      <c r="E2913" s="19" t="s">
        <v>4306</v>
      </c>
      <c r="F2913" s="37"/>
      <c r="G2913" s="37"/>
      <c r="H2913" s="108"/>
      <c r="I2913" s="108"/>
      <c r="J2913" s="108"/>
      <c r="K2913" s="110" t="s">
        <v>101</v>
      </c>
      <c r="L2913" s="139"/>
      <c r="M2913" s="33"/>
      <c r="N2913" s="33">
        <v>45063</v>
      </c>
      <c r="O2913" s="32">
        <v>5220</v>
      </c>
      <c r="P2913" s="6"/>
      <c r="Q2913" s="339"/>
      <c r="U2913" s="21"/>
      <c r="V2913" s="257"/>
    </row>
    <row r="2914" spans="2:22" s="7" customFormat="1" ht="17.25" customHeight="1">
      <c r="B2914" s="12" t="s">
        <v>300</v>
      </c>
      <c r="C2914" s="6" t="s">
        <v>4304</v>
      </c>
      <c r="D2914" s="14" t="s">
        <v>4305</v>
      </c>
      <c r="E2914" s="22">
        <v>1461</v>
      </c>
      <c r="F2914" s="37">
        <v>20</v>
      </c>
      <c r="G2914" s="37" t="s">
        <v>4307</v>
      </c>
      <c r="H2914" s="108">
        <v>30</v>
      </c>
      <c r="I2914" s="109">
        <v>4</v>
      </c>
      <c r="J2914" s="8">
        <f>H2914*I2914</f>
        <v>120</v>
      </c>
      <c r="K2914" s="39">
        <v>0.73</v>
      </c>
      <c r="L2914" s="39">
        <f>K2914*J2914</f>
        <v>87.6</v>
      </c>
      <c r="M2914" s="117" t="s">
        <v>349</v>
      </c>
      <c r="N2914" s="33">
        <v>45063</v>
      </c>
      <c r="O2914" s="32">
        <v>5220</v>
      </c>
      <c r="P2914" s="391">
        <f>ROUNDUP(S2914/V2914/VLOOKUP(B2914,$C$2:$F$6,3,FALSE),2)</f>
        <v>0.62</v>
      </c>
      <c r="Q2914" s="358">
        <v>0.62</v>
      </c>
      <c r="R2914" s="322">
        <f>Q2914*J2914</f>
        <v>74.400000000000006</v>
      </c>
      <c r="S2914" s="7">
        <v>52</v>
      </c>
      <c r="T2914" s="7">
        <f>S2914*J2914</f>
        <v>6240</v>
      </c>
      <c r="U2914" s="267"/>
      <c r="V2914" s="260">
        <v>120</v>
      </c>
    </row>
    <row r="2915" spans="2:22" s="7" customFormat="1" ht="18" customHeight="1">
      <c r="B2915" s="12"/>
      <c r="C2915" s="6" t="s">
        <v>4304</v>
      </c>
      <c r="D2915" s="14" t="s">
        <v>4305</v>
      </c>
      <c r="E2915" s="82"/>
      <c r="F2915" s="102"/>
      <c r="G2915" s="22" t="s">
        <v>316</v>
      </c>
      <c r="H2915" s="8"/>
      <c r="I2915" s="35"/>
      <c r="J2915" s="38">
        <v>1</v>
      </c>
      <c r="K2915" s="39">
        <v>12</v>
      </c>
      <c r="L2915" s="39">
        <f>K2915*J2915</f>
        <v>12</v>
      </c>
      <c r="M2915" s="91"/>
      <c r="N2915" s="33">
        <v>45063</v>
      </c>
      <c r="O2915" s="32">
        <v>5220</v>
      </c>
      <c r="P2915" s="6"/>
      <c r="Q2915" s="322">
        <v>12</v>
      </c>
      <c r="R2915" s="322">
        <v>12</v>
      </c>
      <c r="S2915" s="7">
        <v>0</v>
      </c>
      <c r="T2915" s="7">
        <f>S2915*J2915</f>
        <v>0</v>
      </c>
      <c r="U2915" s="21"/>
      <c r="V2915" s="260">
        <v>120</v>
      </c>
    </row>
    <row r="2916" spans="2:22" s="218" customFormat="1" ht="17.25" customHeight="1">
      <c r="B2916" s="189"/>
      <c r="C2916" s="179" t="s">
        <v>4304</v>
      </c>
      <c r="D2916" s="180" t="s">
        <v>4305</v>
      </c>
      <c r="E2916" s="217"/>
      <c r="F2916" s="182"/>
      <c r="G2916" s="182" t="s">
        <v>250</v>
      </c>
      <c r="H2916" s="184" t="s">
        <v>251</v>
      </c>
      <c r="I2916" s="185"/>
      <c r="J2916" s="183"/>
      <c r="K2916" s="192">
        <v>0</v>
      </c>
      <c r="L2916" s="188"/>
      <c r="M2916" s="187"/>
      <c r="N2916" s="187">
        <v>45063</v>
      </c>
      <c r="O2916" s="186">
        <v>5220</v>
      </c>
      <c r="P2916" s="179"/>
      <c r="Q2916" s="725">
        <v>0</v>
      </c>
      <c r="R2916" s="191"/>
      <c r="S2916" s="197">
        <v>0</v>
      </c>
      <c r="T2916" s="198">
        <v>0</v>
      </c>
      <c r="U2916" s="335"/>
      <c r="V2916" s="260">
        <v>120</v>
      </c>
    </row>
    <row r="2917" spans="2:22" ht="15">
      <c r="C2917" s="965" t="s">
        <v>4308</v>
      </c>
      <c r="D2917" s="14" t="s">
        <v>3238</v>
      </c>
      <c r="E2917" s="19" t="s">
        <v>59</v>
      </c>
      <c r="F2917" s="107"/>
      <c r="G2917" s="22"/>
      <c r="H2917" s="108"/>
      <c r="I2917" s="109"/>
      <c r="J2917" s="108"/>
      <c r="K2917" s="110" t="s">
        <v>5</v>
      </c>
      <c r="L2917" s="33"/>
      <c r="M2917" s="33"/>
      <c r="N2917" s="33">
        <v>45104</v>
      </c>
      <c r="O2917" s="32">
        <v>5239</v>
      </c>
      <c r="P2917" s="14"/>
      <c r="Q2917" s="254"/>
      <c r="S2917" s="261"/>
      <c r="T2917" s="92"/>
      <c r="U2917" s="264"/>
      <c r="V2917" s="260">
        <v>120</v>
      </c>
    </row>
    <row r="2918" spans="2:22" ht="15.75">
      <c r="B2918" s="12" t="s">
        <v>302</v>
      </c>
      <c r="C2918" s="965" t="s">
        <v>4308</v>
      </c>
      <c r="D2918" s="14" t="s">
        <v>3238</v>
      </c>
      <c r="E2918" s="22">
        <v>2440</v>
      </c>
      <c r="F2918" s="107">
        <v>140</v>
      </c>
      <c r="G2918" s="22" t="s">
        <v>4317</v>
      </c>
      <c r="H2918" s="1131">
        <v>58</v>
      </c>
      <c r="I2918" s="1132">
        <v>16</v>
      </c>
      <c r="J2918" s="8">
        <f>H2918*I2918</f>
        <v>928</v>
      </c>
      <c r="K2918" s="39">
        <v>3.13</v>
      </c>
      <c r="L2918" s="39">
        <f t="shared" ref="L2918:L2924" si="187">K2918*J2918</f>
        <v>2904.64</v>
      </c>
      <c r="M2918" s="117" t="s">
        <v>323</v>
      </c>
      <c r="N2918" s="33">
        <v>45104</v>
      </c>
      <c r="O2918" s="32">
        <v>5239</v>
      </c>
      <c r="P2918" s="391">
        <f t="shared" ref="P2918:P2923" si="188">ROUNDUP(S2918/V2918/VLOOKUP(B2918,$C$2:$F$6,3,FALSE),2)</f>
        <v>2.8499999999999996</v>
      </c>
      <c r="Q2918" s="254">
        <v>2.85</v>
      </c>
      <c r="R2918" s="323">
        <f t="shared" ref="R2918:R2923" si="189">Q2918*J2918</f>
        <v>2644.8</v>
      </c>
      <c r="S2918" s="257">
        <v>300</v>
      </c>
      <c r="T2918" s="287">
        <f t="shared" ref="T2918:T2924" si="190">S2918*J2918</f>
        <v>278400</v>
      </c>
      <c r="U2918" s="264"/>
      <c r="V2918" s="260">
        <v>120</v>
      </c>
    </row>
    <row r="2919" spans="2:22" s="7" customFormat="1" ht="18" customHeight="1">
      <c r="B2919" s="12"/>
      <c r="C2919" s="965" t="s">
        <v>4308</v>
      </c>
      <c r="D2919" s="14" t="s">
        <v>3238</v>
      </c>
      <c r="E2919" s="49"/>
      <c r="F2919" s="102"/>
      <c r="G2919" s="22" t="s">
        <v>316</v>
      </c>
      <c r="H2919" s="8"/>
      <c r="I2919" s="35"/>
      <c r="J2919" s="38">
        <v>1</v>
      </c>
      <c r="K2919" s="39">
        <v>20</v>
      </c>
      <c r="L2919" s="39">
        <f>K2919*J2919</f>
        <v>20</v>
      </c>
      <c r="M2919" s="91"/>
      <c r="N2919" s="33">
        <v>45104</v>
      </c>
      <c r="O2919" s="32">
        <v>5239</v>
      </c>
      <c r="P2919" s="6"/>
      <c r="Q2919" s="322">
        <v>20</v>
      </c>
      <c r="R2919" s="322">
        <v>20</v>
      </c>
      <c r="S2919" s="7">
        <v>1800</v>
      </c>
      <c r="T2919" s="7">
        <f>S2919*J2919</f>
        <v>1800</v>
      </c>
      <c r="U2919" s="21"/>
      <c r="V2919" s="260">
        <v>120</v>
      </c>
    </row>
    <row r="2920" spans="2:22" ht="15.75">
      <c r="B2920" s="12" t="s">
        <v>302</v>
      </c>
      <c r="C2920" s="965" t="s">
        <v>4308</v>
      </c>
      <c r="D2920" s="14" t="s">
        <v>3238</v>
      </c>
      <c r="E2920" s="22">
        <v>2440</v>
      </c>
      <c r="F2920" s="107">
        <v>140</v>
      </c>
      <c r="G2920" s="22" t="s">
        <v>4309</v>
      </c>
      <c r="H2920" s="1131">
        <v>58</v>
      </c>
      <c r="I2920" s="1132">
        <v>4</v>
      </c>
      <c r="J2920" s="8">
        <f>H2920*I2920</f>
        <v>232</v>
      </c>
      <c r="K2920" s="39">
        <v>3.13</v>
      </c>
      <c r="L2920" s="39">
        <f t="shared" si="187"/>
        <v>726.16</v>
      </c>
      <c r="M2920" s="117" t="s">
        <v>323</v>
      </c>
      <c r="N2920" s="33">
        <v>45070</v>
      </c>
      <c r="O2920" s="32">
        <v>5240</v>
      </c>
      <c r="P2920" s="391">
        <f t="shared" si="188"/>
        <v>2.8499999999999996</v>
      </c>
      <c r="Q2920" s="254">
        <v>2.85</v>
      </c>
      <c r="R2920" s="323">
        <f t="shared" si="189"/>
        <v>661.2</v>
      </c>
      <c r="S2920" s="257">
        <v>300</v>
      </c>
      <c r="T2920" s="287">
        <f t="shared" si="190"/>
        <v>69600</v>
      </c>
      <c r="U2920" s="264"/>
      <c r="V2920" s="260">
        <v>120</v>
      </c>
    </row>
    <row r="2921" spans="2:22" ht="15.75">
      <c r="B2921" s="12" t="s">
        <v>302</v>
      </c>
      <c r="C2921" s="965" t="s">
        <v>4308</v>
      </c>
      <c r="D2921" s="14" t="s">
        <v>3238</v>
      </c>
      <c r="E2921" s="22">
        <v>2440</v>
      </c>
      <c r="F2921" s="107">
        <v>140</v>
      </c>
      <c r="G2921" s="22" t="s">
        <v>4311</v>
      </c>
      <c r="H2921" s="1131">
        <v>58</v>
      </c>
      <c r="I2921" s="1132">
        <v>11</v>
      </c>
      <c r="J2921" s="8">
        <f>H2921*I2921</f>
        <v>638</v>
      </c>
      <c r="K2921" s="39">
        <v>3.13</v>
      </c>
      <c r="L2921" s="39">
        <f t="shared" si="187"/>
        <v>1996.9399999999998</v>
      </c>
      <c r="M2921" s="117" t="s">
        <v>323</v>
      </c>
      <c r="N2921" s="33">
        <v>45070</v>
      </c>
      <c r="O2921" s="32">
        <v>5240</v>
      </c>
      <c r="P2921" s="391">
        <f t="shared" si="188"/>
        <v>2.8499999999999996</v>
      </c>
      <c r="Q2921" s="254">
        <v>2.85</v>
      </c>
      <c r="R2921" s="323">
        <f t="shared" si="189"/>
        <v>1818.3</v>
      </c>
      <c r="S2921" s="257">
        <v>300</v>
      </c>
      <c r="T2921" s="287">
        <f t="shared" si="190"/>
        <v>191400</v>
      </c>
      <c r="U2921" s="264"/>
      <c r="V2921" s="260">
        <v>120</v>
      </c>
    </row>
    <row r="2922" spans="2:22" ht="15.75">
      <c r="B2922" s="12" t="s">
        <v>302</v>
      </c>
      <c r="C2922" s="965" t="s">
        <v>4308</v>
      </c>
      <c r="D2922" s="14" t="s">
        <v>3238</v>
      </c>
      <c r="E2922" s="22">
        <v>2440</v>
      </c>
      <c r="F2922" s="107">
        <v>140</v>
      </c>
      <c r="G2922" s="22" t="s">
        <v>4311</v>
      </c>
      <c r="H2922" s="1131">
        <v>63</v>
      </c>
      <c r="I2922" s="1132">
        <v>1</v>
      </c>
      <c r="J2922" s="8">
        <f>H2922*I2922</f>
        <v>63</v>
      </c>
      <c r="K2922" s="39">
        <v>3.13</v>
      </c>
      <c r="L2922" s="39">
        <f>K2922*J2922</f>
        <v>197.19</v>
      </c>
      <c r="M2922" s="117" t="s">
        <v>323</v>
      </c>
      <c r="N2922" s="33">
        <v>45070</v>
      </c>
      <c r="O2922" s="32">
        <v>5240</v>
      </c>
      <c r="P2922" s="391">
        <f>ROUNDUP(S2922/V2922/VLOOKUP(B2922,$C$2:$F$6,3,FALSE),2)</f>
        <v>2.8499999999999996</v>
      </c>
      <c r="Q2922" s="254">
        <v>2.85</v>
      </c>
      <c r="R2922" s="323">
        <f>Q2922*J2922</f>
        <v>179.55</v>
      </c>
      <c r="S2922" s="257">
        <v>300</v>
      </c>
      <c r="T2922" s="287">
        <f>S2922*J2922</f>
        <v>18900</v>
      </c>
      <c r="U2922" s="264"/>
      <c r="V2922" s="260">
        <v>120</v>
      </c>
    </row>
    <row r="2923" spans="2:22" ht="15.75">
      <c r="B2923" s="12" t="s">
        <v>302</v>
      </c>
      <c r="C2923" s="965" t="s">
        <v>4308</v>
      </c>
      <c r="D2923" s="14" t="s">
        <v>3238</v>
      </c>
      <c r="E2923" s="22">
        <v>2440</v>
      </c>
      <c r="F2923" s="107">
        <v>140</v>
      </c>
      <c r="G2923" s="22" t="s">
        <v>4310</v>
      </c>
      <c r="H2923" s="1131">
        <v>58</v>
      </c>
      <c r="I2923" s="1132">
        <v>4</v>
      </c>
      <c r="J2923" s="8">
        <f>H2923*I2923</f>
        <v>232</v>
      </c>
      <c r="K2923" s="39">
        <v>3.13</v>
      </c>
      <c r="L2923" s="39">
        <f t="shared" si="187"/>
        <v>726.16</v>
      </c>
      <c r="M2923" s="117" t="s">
        <v>323</v>
      </c>
      <c r="N2923" s="33">
        <v>45070</v>
      </c>
      <c r="O2923" s="32">
        <v>5240</v>
      </c>
      <c r="P2923" s="391">
        <f t="shared" si="188"/>
        <v>2.8499999999999996</v>
      </c>
      <c r="Q2923" s="254">
        <v>2.85</v>
      </c>
      <c r="R2923" s="323">
        <f t="shared" si="189"/>
        <v>661.2</v>
      </c>
      <c r="S2923" s="257">
        <v>300</v>
      </c>
      <c r="T2923" s="287">
        <f t="shared" si="190"/>
        <v>69600</v>
      </c>
      <c r="U2923" s="264"/>
      <c r="V2923" s="260">
        <v>120</v>
      </c>
    </row>
    <row r="2924" spans="2:22" s="7" customFormat="1" ht="18" customHeight="1">
      <c r="B2924" s="12"/>
      <c r="C2924" s="965" t="s">
        <v>4308</v>
      </c>
      <c r="D2924" s="14" t="s">
        <v>3238</v>
      </c>
      <c r="E2924" s="22"/>
      <c r="F2924" s="102"/>
      <c r="G2924" s="22" t="s">
        <v>316</v>
      </c>
      <c r="H2924" s="8"/>
      <c r="I2924" s="35"/>
      <c r="J2924" s="38">
        <v>1</v>
      </c>
      <c r="K2924" s="39">
        <v>20</v>
      </c>
      <c r="L2924" s="39">
        <f t="shared" si="187"/>
        <v>20</v>
      </c>
      <c r="M2924" s="91"/>
      <c r="N2924" s="33">
        <v>45070</v>
      </c>
      <c r="O2924" s="32">
        <v>5240</v>
      </c>
      <c r="P2924" s="6"/>
      <c r="Q2924" s="322">
        <v>20</v>
      </c>
      <c r="R2924" s="322">
        <v>20</v>
      </c>
      <c r="S2924" s="7">
        <v>1800</v>
      </c>
      <c r="T2924" s="7">
        <f t="shared" si="190"/>
        <v>1800</v>
      </c>
      <c r="U2924" s="21"/>
      <c r="V2924" s="260">
        <v>120</v>
      </c>
    </row>
    <row r="2925" spans="2:22" s="191" customFormat="1" ht="15">
      <c r="B2925" s="190"/>
      <c r="C2925" s="966" t="s">
        <v>4308</v>
      </c>
      <c r="D2925" s="180" t="s">
        <v>3238</v>
      </c>
      <c r="E2925" s="181"/>
      <c r="F2925" s="182"/>
      <c r="G2925" s="182" t="s">
        <v>2738</v>
      </c>
      <c r="H2925" s="184" t="s">
        <v>251</v>
      </c>
      <c r="I2925" s="185"/>
      <c r="J2925" s="183"/>
      <c r="K2925" s="192">
        <v>0</v>
      </c>
      <c r="L2925" s="187"/>
      <c r="M2925" s="187"/>
      <c r="N2925" s="187">
        <v>45070</v>
      </c>
      <c r="O2925" s="186">
        <v>5240</v>
      </c>
      <c r="P2925" s="179"/>
      <c r="Q2925" s="255">
        <v>0</v>
      </c>
      <c r="S2925" s="274">
        <v>0</v>
      </c>
      <c r="T2925" s="198">
        <v>0</v>
      </c>
      <c r="U2925" s="271"/>
      <c r="V2925" s="260">
        <v>120</v>
      </c>
    </row>
    <row r="2926" spans="2:22" s="7" customFormat="1" ht="18" customHeight="1">
      <c r="B2926" s="12"/>
      <c r="C2926" s="6" t="s">
        <v>4312</v>
      </c>
      <c r="D2926" s="14" t="s">
        <v>2004</v>
      </c>
      <c r="E2926" s="19" t="s">
        <v>2882</v>
      </c>
      <c r="F2926" s="37"/>
      <c r="G2926" s="37"/>
      <c r="H2926" s="108"/>
      <c r="I2926" s="108"/>
      <c r="J2926" s="108"/>
      <c r="K2926" s="110" t="s">
        <v>101</v>
      </c>
      <c r="L2926" s="139"/>
      <c r="M2926" s="33"/>
      <c r="N2926" s="33">
        <v>45065</v>
      </c>
      <c r="O2926" s="32">
        <v>5244</v>
      </c>
      <c r="P2926" s="6"/>
      <c r="Q2926" s="339"/>
      <c r="U2926" s="21"/>
      <c r="V2926" s="257"/>
    </row>
    <row r="2927" spans="2:22" s="7" customFormat="1" ht="17.25" customHeight="1">
      <c r="B2927" s="12" t="s">
        <v>300</v>
      </c>
      <c r="C2927" s="6" t="s">
        <v>4312</v>
      </c>
      <c r="D2927" s="14" t="s">
        <v>2004</v>
      </c>
      <c r="E2927" s="22" t="s">
        <v>4313</v>
      </c>
      <c r="F2927" s="37"/>
      <c r="G2927" s="37" t="s">
        <v>58</v>
      </c>
      <c r="H2927" s="108">
        <v>14</v>
      </c>
      <c r="I2927" s="109">
        <v>2</v>
      </c>
      <c r="J2927" s="8">
        <f>H2927*I2927</f>
        <v>28</v>
      </c>
      <c r="K2927" s="39">
        <v>1.58</v>
      </c>
      <c r="L2927" s="39">
        <f>K2927*J2927</f>
        <v>44.24</v>
      </c>
      <c r="M2927" s="117" t="s">
        <v>349</v>
      </c>
      <c r="N2927" s="33">
        <v>45065</v>
      </c>
      <c r="O2927" s="32">
        <v>5244</v>
      </c>
      <c r="P2927" s="391">
        <f>ROUNDUP(S2927/V2927/VLOOKUP(B2927,$C$2:$F$6,3,FALSE),2)</f>
        <v>1.02</v>
      </c>
      <c r="Q2927" s="358">
        <v>1.02</v>
      </c>
      <c r="R2927" s="322">
        <f>Q2927*J2927</f>
        <v>28.560000000000002</v>
      </c>
      <c r="S2927" s="7">
        <v>85</v>
      </c>
      <c r="T2927" s="7">
        <f>S2927*J2927</f>
        <v>2380</v>
      </c>
      <c r="U2927" s="267"/>
      <c r="V2927" s="260">
        <v>120</v>
      </c>
    </row>
    <row r="2928" spans="2:22" s="7" customFormat="1" ht="17.25" customHeight="1">
      <c r="B2928" s="12" t="s">
        <v>300</v>
      </c>
      <c r="C2928" s="6" t="s">
        <v>4312</v>
      </c>
      <c r="D2928" s="14" t="s">
        <v>2004</v>
      </c>
      <c r="E2928" s="22" t="s">
        <v>4314</v>
      </c>
      <c r="F2928" s="37"/>
      <c r="G2928" s="37" t="s">
        <v>39</v>
      </c>
      <c r="H2928" s="108">
        <v>14</v>
      </c>
      <c r="I2928" s="109">
        <v>1</v>
      </c>
      <c r="J2928" s="8">
        <f>H2928*I2928</f>
        <v>14</v>
      </c>
      <c r="K2928" s="39">
        <v>2.5</v>
      </c>
      <c r="L2928" s="39">
        <f>K2928*J2928</f>
        <v>35</v>
      </c>
      <c r="M2928" s="117" t="s">
        <v>349</v>
      </c>
      <c r="N2928" s="33">
        <v>45065</v>
      </c>
      <c r="O2928" s="32">
        <v>5244</v>
      </c>
      <c r="P2928" s="391">
        <f>ROUNDUP(S2928/V2928/VLOOKUP(B2928,$C$2:$F$6,3,FALSE),2)</f>
        <v>1.61</v>
      </c>
      <c r="Q2928" s="358">
        <v>1.61</v>
      </c>
      <c r="R2928" s="322">
        <f>Q2928*J2928</f>
        <v>22.540000000000003</v>
      </c>
      <c r="S2928" s="7">
        <v>135</v>
      </c>
      <c r="T2928" s="7">
        <f>S2928*J2928</f>
        <v>1890</v>
      </c>
      <c r="U2928" s="267"/>
      <c r="V2928" s="260">
        <v>120</v>
      </c>
    </row>
    <row r="2929" spans="2:22" s="7" customFormat="1" ht="18" customHeight="1">
      <c r="B2929" s="12"/>
      <c r="C2929" s="6" t="s">
        <v>4312</v>
      </c>
      <c r="D2929" s="14" t="s">
        <v>2004</v>
      </c>
      <c r="E2929" s="82"/>
      <c r="F2929" s="102"/>
      <c r="G2929" s="22" t="s">
        <v>316</v>
      </c>
      <c r="H2929" s="8"/>
      <c r="I2929" s="35"/>
      <c r="J2929" s="38">
        <v>1</v>
      </c>
      <c r="K2929" s="39">
        <v>12</v>
      </c>
      <c r="L2929" s="39">
        <f>K2929*J2929</f>
        <v>12</v>
      </c>
      <c r="M2929" s="91"/>
      <c r="N2929" s="33">
        <v>45065</v>
      </c>
      <c r="O2929" s="32">
        <v>5244</v>
      </c>
      <c r="P2929" s="6"/>
      <c r="Q2929" s="322">
        <v>12</v>
      </c>
      <c r="R2929" s="322">
        <v>12</v>
      </c>
      <c r="S2929" s="7">
        <v>0</v>
      </c>
      <c r="T2929" s="7">
        <f>S2929*J2929</f>
        <v>0</v>
      </c>
      <c r="U2929" s="21"/>
      <c r="V2929" s="260">
        <v>120</v>
      </c>
    </row>
    <row r="2930" spans="2:22" s="191" customFormat="1" ht="15">
      <c r="B2930" s="190"/>
      <c r="C2930" s="179" t="s">
        <v>4312</v>
      </c>
      <c r="D2930" s="180" t="s">
        <v>2004</v>
      </c>
      <c r="E2930" s="181"/>
      <c r="F2930" s="182"/>
      <c r="G2930" s="182" t="s">
        <v>2738</v>
      </c>
      <c r="H2930" s="184" t="s">
        <v>251</v>
      </c>
      <c r="I2930" s="185"/>
      <c r="J2930" s="183"/>
      <c r="K2930" s="192">
        <v>0</v>
      </c>
      <c r="L2930" s="187"/>
      <c r="M2930" s="187"/>
      <c r="N2930" s="187">
        <v>45065</v>
      </c>
      <c r="O2930" s="186">
        <v>5244</v>
      </c>
      <c r="P2930" s="179"/>
      <c r="Q2930" s="255">
        <v>0</v>
      </c>
      <c r="S2930" s="274">
        <v>0</v>
      </c>
      <c r="T2930" s="198">
        <v>0</v>
      </c>
      <c r="U2930" s="271"/>
      <c r="V2930" s="260">
        <v>120</v>
      </c>
    </row>
    <row r="2931" spans="2:22" s="7" customFormat="1" ht="18" customHeight="1">
      <c r="B2931" s="12"/>
      <c r="C2931" s="6" t="s">
        <v>4315</v>
      </c>
      <c r="D2931" s="14" t="s">
        <v>3116</v>
      </c>
      <c r="E2931" s="19" t="s">
        <v>10</v>
      </c>
      <c r="F2931" s="107"/>
      <c r="G2931" s="22"/>
      <c r="H2931" s="108"/>
      <c r="I2931" s="109"/>
      <c r="J2931" s="108"/>
      <c r="K2931" s="29" t="s">
        <v>5</v>
      </c>
      <c r="L2931" s="39"/>
      <c r="M2931" s="91"/>
      <c r="N2931" s="33">
        <v>45069</v>
      </c>
      <c r="O2931" s="32">
        <v>5255</v>
      </c>
      <c r="P2931" s="14"/>
      <c r="Q2931" s="322"/>
      <c r="U2931" s="14"/>
      <c r="V2931" s="260">
        <v>120</v>
      </c>
    </row>
    <row r="2932" spans="2:22" s="7" customFormat="1" ht="18" customHeight="1">
      <c r="B2932" s="12" t="s">
        <v>302</v>
      </c>
      <c r="C2932" s="6" t="s">
        <v>4315</v>
      </c>
      <c r="D2932" s="14" t="s">
        <v>3116</v>
      </c>
      <c r="E2932" s="22" t="s">
        <v>190</v>
      </c>
      <c r="F2932" s="107">
        <v>160</v>
      </c>
      <c r="G2932" s="396" t="s">
        <v>4316</v>
      </c>
      <c r="H2932" s="108">
        <v>50</v>
      </c>
      <c r="I2932" s="109">
        <v>1</v>
      </c>
      <c r="J2932" s="8">
        <f>H2932*I2932</f>
        <v>50</v>
      </c>
      <c r="K2932" s="39">
        <v>5.28</v>
      </c>
      <c r="L2932" s="39">
        <f>K2932*J2932</f>
        <v>264</v>
      </c>
      <c r="M2932" s="117" t="s">
        <v>322</v>
      </c>
      <c r="N2932" s="33">
        <v>45069</v>
      </c>
      <c r="O2932" s="32">
        <v>5255</v>
      </c>
      <c r="P2932" s="391">
        <f>ROUNDUP(S2932/V2932/VLOOKUP(B2932,$C$2:$F$6,3,FALSE),2)</f>
        <v>3.5999999999999996</v>
      </c>
      <c r="Q2932" s="322">
        <v>3.6</v>
      </c>
      <c r="R2932" s="322">
        <f>Q2932*J2932</f>
        <v>180</v>
      </c>
      <c r="S2932" s="7">
        <v>380</v>
      </c>
      <c r="T2932" s="7">
        <f>S2932*J2932</f>
        <v>19000</v>
      </c>
      <c r="U2932" s="21"/>
      <c r="V2932" s="260">
        <v>120</v>
      </c>
    </row>
    <row r="2933" spans="2:22" s="7" customFormat="1" ht="18" customHeight="1">
      <c r="B2933" s="12"/>
      <c r="C2933" s="6" t="s">
        <v>4315</v>
      </c>
      <c r="D2933" s="14" t="s">
        <v>3116</v>
      </c>
      <c r="E2933" s="82"/>
      <c r="F2933" s="102"/>
      <c r="G2933" s="22" t="s">
        <v>316</v>
      </c>
      <c r="H2933" s="8"/>
      <c r="I2933" s="35"/>
      <c r="J2933" s="38">
        <v>1</v>
      </c>
      <c r="K2933" s="39">
        <v>20</v>
      </c>
      <c r="L2933" s="39">
        <f>K2933*J2933</f>
        <v>20</v>
      </c>
      <c r="M2933" s="91"/>
      <c r="N2933" s="33">
        <v>45069</v>
      </c>
      <c r="O2933" s="32">
        <v>5255</v>
      </c>
      <c r="P2933" s="6"/>
      <c r="Q2933" s="322">
        <v>20</v>
      </c>
      <c r="R2933" s="322">
        <f>Q2933*J2933</f>
        <v>20</v>
      </c>
      <c r="S2933" s="7">
        <v>1800</v>
      </c>
      <c r="T2933" s="7">
        <f>S2933*J2933</f>
        <v>1800</v>
      </c>
      <c r="U2933" s="21"/>
      <c r="V2933" s="260">
        <v>120</v>
      </c>
    </row>
    <row r="2934" spans="2:22" s="191" customFormat="1" ht="15">
      <c r="B2934" s="190"/>
      <c r="C2934" s="179" t="s">
        <v>4315</v>
      </c>
      <c r="D2934" s="180" t="s">
        <v>3116</v>
      </c>
      <c r="E2934" s="181"/>
      <c r="F2934" s="182"/>
      <c r="G2934" s="182" t="s">
        <v>2738</v>
      </c>
      <c r="H2934" s="184" t="s">
        <v>251</v>
      </c>
      <c r="I2934" s="185"/>
      <c r="J2934" s="183"/>
      <c r="K2934" s="192">
        <v>0</v>
      </c>
      <c r="L2934" s="187"/>
      <c r="M2934" s="187"/>
      <c r="N2934" s="187">
        <v>45069</v>
      </c>
      <c r="O2934" s="186">
        <v>5255</v>
      </c>
      <c r="P2934" s="179"/>
      <c r="Q2934" s="255">
        <v>0</v>
      </c>
      <c r="S2934" s="274">
        <v>0</v>
      </c>
      <c r="T2934" s="198">
        <v>0</v>
      </c>
      <c r="U2934" s="271"/>
      <c r="V2934" s="260">
        <v>120</v>
      </c>
    </row>
    <row r="2935" spans="2:22" s="7" customFormat="1" ht="15">
      <c r="B2935" s="12"/>
      <c r="C2935" s="6" t="s">
        <v>4318</v>
      </c>
      <c r="D2935" s="14" t="s">
        <v>3150</v>
      </c>
      <c r="E2935" s="19" t="s">
        <v>2244</v>
      </c>
      <c r="F2935" s="24"/>
      <c r="G2935" s="22"/>
      <c r="H2935" s="60"/>
      <c r="I2935" s="61"/>
      <c r="J2935" s="8"/>
      <c r="K2935" s="110" t="s">
        <v>5</v>
      </c>
      <c r="L2935" s="139"/>
      <c r="M2935" s="33"/>
      <c r="N2935" s="33">
        <v>45070</v>
      </c>
      <c r="O2935" s="32">
        <v>5260</v>
      </c>
      <c r="P2935" s="6" t="s">
        <v>8</v>
      </c>
      <c r="Q2935" s="358"/>
      <c r="U2935" s="120"/>
      <c r="V2935" s="260">
        <v>120</v>
      </c>
    </row>
    <row r="2936" spans="2:22" s="7" customFormat="1" ht="18" customHeight="1">
      <c r="B2936" s="12" t="s">
        <v>300</v>
      </c>
      <c r="C2936" s="6" t="s">
        <v>4318</v>
      </c>
      <c r="D2936" s="14" t="s">
        <v>3150</v>
      </c>
      <c r="E2936" s="22">
        <v>11700</v>
      </c>
      <c r="F2936" s="37">
        <v>9</v>
      </c>
      <c r="G2936" s="22" t="s">
        <v>118</v>
      </c>
      <c r="H2936" s="8">
        <v>10</v>
      </c>
      <c r="I2936" s="35">
        <v>4</v>
      </c>
      <c r="J2936" s="108">
        <f>H2936*I2936</f>
        <v>40</v>
      </c>
      <c r="K2936" s="958">
        <v>1.49</v>
      </c>
      <c r="L2936" s="39">
        <f>K2936*J2936</f>
        <v>59.6</v>
      </c>
      <c r="M2936" s="117" t="s">
        <v>349</v>
      </c>
      <c r="N2936" s="33">
        <v>45070</v>
      </c>
      <c r="O2936" s="32">
        <v>5260</v>
      </c>
      <c r="P2936" s="391">
        <f>ROUNDUP(S2936/V2936/VLOOKUP(B2936,$C$2:$F$6,3,FALSE),2)</f>
        <v>0.96</v>
      </c>
      <c r="Q2936" s="322">
        <v>0.96</v>
      </c>
      <c r="R2936" s="322">
        <f>Q2936*J2936</f>
        <v>38.4</v>
      </c>
      <c r="S2936" s="7">
        <v>80.3</v>
      </c>
      <c r="T2936" s="7">
        <f>S2936*J2936</f>
        <v>3212</v>
      </c>
      <c r="U2936" s="39"/>
      <c r="V2936" s="260">
        <v>120</v>
      </c>
    </row>
    <row r="2937" spans="2:22" s="7" customFormat="1" ht="18" customHeight="1">
      <c r="B2937" s="12"/>
      <c r="C2937" s="6" t="s">
        <v>4318</v>
      </c>
      <c r="D2937" s="14" t="s">
        <v>3150</v>
      </c>
      <c r="E2937" s="82"/>
      <c r="F2937" s="102"/>
      <c r="G2937" s="22" t="s">
        <v>316</v>
      </c>
      <c r="H2937" s="8"/>
      <c r="I2937" s="35"/>
      <c r="J2937" s="38">
        <v>1</v>
      </c>
      <c r="K2937" s="39">
        <v>12</v>
      </c>
      <c r="L2937" s="39">
        <f>K2937*J2937</f>
        <v>12</v>
      </c>
      <c r="M2937" s="91"/>
      <c r="N2937" s="33">
        <v>45070</v>
      </c>
      <c r="O2937" s="32">
        <v>5260</v>
      </c>
      <c r="P2937" s="6"/>
      <c r="Q2937" s="322">
        <v>12</v>
      </c>
      <c r="R2937" s="322">
        <v>12</v>
      </c>
      <c r="S2937" s="7">
        <v>0</v>
      </c>
      <c r="T2937" s="7">
        <f>S2937*J2937</f>
        <v>0</v>
      </c>
      <c r="U2937" s="21"/>
      <c r="V2937" s="260">
        <v>120</v>
      </c>
    </row>
    <row r="2938" spans="2:22" s="191" customFormat="1" ht="15">
      <c r="B2938" s="190"/>
      <c r="C2938" s="179" t="s">
        <v>4318</v>
      </c>
      <c r="D2938" s="180" t="s">
        <v>3150</v>
      </c>
      <c r="E2938" s="181"/>
      <c r="F2938" s="182"/>
      <c r="G2938" s="182" t="s">
        <v>2738</v>
      </c>
      <c r="H2938" s="184" t="s">
        <v>251</v>
      </c>
      <c r="I2938" s="185"/>
      <c r="J2938" s="183"/>
      <c r="K2938" s="192">
        <v>0</v>
      </c>
      <c r="L2938" s="187"/>
      <c r="M2938" s="187"/>
      <c r="N2938" s="187">
        <v>45070</v>
      </c>
      <c r="O2938" s="186">
        <v>5260</v>
      </c>
      <c r="P2938" s="179"/>
      <c r="Q2938" s="255">
        <v>0</v>
      </c>
      <c r="S2938" s="274">
        <v>0</v>
      </c>
      <c r="T2938" s="198">
        <v>0</v>
      </c>
      <c r="U2938" s="271"/>
      <c r="V2938" s="260">
        <v>120</v>
      </c>
    </row>
    <row r="2939" spans="2:22" s="7" customFormat="1" ht="18" customHeight="1">
      <c r="B2939" s="12"/>
      <c r="C2939" s="6" t="s">
        <v>4319</v>
      </c>
      <c r="D2939" s="14" t="s">
        <v>2231</v>
      </c>
      <c r="E2939" s="19" t="s">
        <v>2270</v>
      </c>
      <c r="F2939" s="37"/>
      <c r="G2939" s="37"/>
      <c r="H2939" s="108"/>
      <c r="I2939" s="108"/>
      <c r="J2939" s="108"/>
      <c r="K2939" s="29" t="s">
        <v>5</v>
      </c>
      <c r="L2939" s="139"/>
      <c r="M2939" s="33"/>
      <c r="N2939" s="33">
        <v>45085</v>
      </c>
      <c r="O2939" s="32">
        <v>5253</v>
      </c>
      <c r="P2939" s="6"/>
      <c r="Q2939" s="339"/>
      <c r="U2939" s="21"/>
      <c r="V2939" s="260">
        <v>120</v>
      </c>
    </row>
    <row r="2940" spans="2:22" s="7" customFormat="1" ht="18" customHeight="1">
      <c r="B2940" s="12" t="s">
        <v>300</v>
      </c>
      <c r="C2940" s="6" t="s">
        <v>4319</v>
      </c>
      <c r="D2940" s="14" t="s">
        <v>2231</v>
      </c>
      <c r="E2940" s="22">
        <v>5636</v>
      </c>
      <c r="F2940" s="37" t="s">
        <v>230</v>
      </c>
      <c r="G2940" s="839" t="s">
        <v>283</v>
      </c>
      <c r="H2940" s="108">
        <v>50</v>
      </c>
      <c r="I2940" s="109">
        <v>23</v>
      </c>
      <c r="J2940" s="8">
        <f>H2940*I2940</f>
        <v>1150</v>
      </c>
      <c r="K2940" s="39">
        <v>0.28999999999999998</v>
      </c>
      <c r="L2940" s="39">
        <f>K2940*J2940</f>
        <v>333.5</v>
      </c>
      <c r="M2940" s="117" t="s">
        <v>349</v>
      </c>
      <c r="N2940" s="33">
        <v>45085</v>
      </c>
      <c r="O2940" s="32">
        <v>5253</v>
      </c>
      <c r="P2940" s="391">
        <f>ROUNDUP(S2940/V2940/VLOOKUP(B2940,$C$2:$F$6,3,FALSE),2)</f>
        <v>0.14000000000000001</v>
      </c>
      <c r="Q2940" s="322">
        <v>0.14000000000000001</v>
      </c>
      <c r="R2940" s="322">
        <f>Q2940*J2940</f>
        <v>161.00000000000003</v>
      </c>
      <c r="S2940" s="7">
        <v>11.6</v>
      </c>
      <c r="T2940" s="7">
        <f>S2940*J2940</f>
        <v>13340</v>
      </c>
      <c r="U2940" s="778"/>
      <c r="V2940" s="260">
        <v>120</v>
      </c>
    </row>
    <row r="2941" spans="2:22" s="7" customFormat="1" ht="18" customHeight="1">
      <c r="B2941" s="12"/>
      <c r="C2941" s="6" t="s">
        <v>4319</v>
      </c>
      <c r="D2941" s="14" t="s">
        <v>2231</v>
      </c>
      <c r="E2941" s="82"/>
      <c r="F2941" s="102"/>
      <c r="G2941" s="22" t="s">
        <v>316</v>
      </c>
      <c r="H2941" s="8"/>
      <c r="I2941" s="35"/>
      <c r="J2941" s="38">
        <v>1</v>
      </c>
      <c r="K2941" s="39">
        <v>12</v>
      </c>
      <c r="L2941" s="39">
        <f>K2941*J2941</f>
        <v>12</v>
      </c>
      <c r="M2941" s="91"/>
      <c r="N2941" s="33">
        <v>45085</v>
      </c>
      <c r="O2941" s="32">
        <v>5253</v>
      </c>
      <c r="P2941" s="6"/>
      <c r="Q2941" s="322">
        <v>12</v>
      </c>
      <c r="R2941" s="322">
        <v>12</v>
      </c>
      <c r="S2941" s="7">
        <v>1100</v>
      </c>
      <c r="T2941" s="7">
        <f>S2941*J2941</f>
        <v>1100</v>
      </c>
      <c r="U2941" s="21"/>
      <c r="V2941" s="260">
        <v>120</v>
      </c>
    </row>
    <row r="2942" spans="2:22" s="191" customFormat="1" ht="18" customHeight="1">
      <c r="B2942" s="190"/>
      <c r="C2942" s="179" t="s">
        <v>4319</v>
      </c>
      <c r="D2942" s="180" t="s">
        <v>2231</v>
      </c>
      <c r="E2942" s="181"/>
      <c r="F2942" s="622"/>
      <c r="G2942" s="182" t="s">
        <v>250</v>
      </c>
      <c r="H2942" s="184" t="s">
        <v>251</v>
      </c>
      <c r="I2942" s="185"/>
      <c r="J2942" s="183"/>
      <c r="K2942" s="192">
        <v>0</v>
      </c>
      <c r="L2942" s="188"/>
      <c r="M2942" s="187"/>
      <c r="N2942" s="187">
        <v>45085</v>
      </c>
      <c r="O2942" s="186">
        <v>5253</v>
      </c>
      <c r="P2942" s="179"/>
      <c r="Q2942" s="725">
        <v>0</v>
      </c>
      <c r="S2942" s="197">
        <v>0</v>
      </c>
      <c r="T2942" s="198">
        <v>0</v>
      </c>
      <c r="U2942" s="335"/>
      <c r="V2942" s="260">
        <v>120</v>
      </c>
    </row>
    <row r="2943" spans="2:22" s="7" customFormat="1" ht="17.25" customHeight="1">
      <c r="B2943" s="12"/>
      <c r="C2943" s="6" t="s">
        <v>4320</v>
      </c>
      <c r="D2943" s="14" t="s">
        <v>2777</v>
      </c>
      <c r="E2943" s="19" t="s">
        <v>238</v>
      </c>
      <c r="F2943" s="107"/>
      <c r="G2943" s="22"/>
      <c r="H2943" s="108"/>
      <c r="I2943" s="109"/>
      <c r="J2943" s="108"/>
      <c r="K2943" s="29" t="s">
        <v>5</v>
      </c>
      <c r="L2943" s="139"/>
      <c r="M2943" s="33"/>
      <c r="N2943" s="33">
        <v>45077</v>
      </c>
      <c r="O2943" s="32">
        <v>5277</v>
      </c>
      <c r="P2943" s="14"/>
      <c r="Q2943" s="322"/>
      <c r="U2943" s="14"/>
      <c r="V2943" s="260">
        <v>120</v>
      </c>
    </row>
    <row r="2944" spans="2:22" s="7" customFormat="1" ht="18" customHeight="1">
      <c r="B2944" s="12" t="s">
        <v>302</v>
      </c>
      <c r="C2944" s="6" t="s">
        <v>4320</v>
      </c>
      <c r="D2944" s="14" t="s">
        <v>2777</v>
      </c>
      <c r="E2944" s="22" t="s">
        <v>239</v>
      </c>
      <c r="F2944" s="107">
        <v>150</v>
      </c>
      <c r="G2944" s="37" t="s">
        <v>2619</v>
      </c>
      <c r="H2944" s="108"/>
      <c r="I2944" s="109"/>
      <c r="J2944" s="8">
        <v>5</v>
      </c>
      <c r="K2944" s="39">
        <v>7.37</v>
      </c>
      <c r="L2944" s="39">
        <f>K2944*J2944</f>
        <v>36.85</v>
      </c>
      <c r="M2944" s="117" t="s">
        <v>349</v>
      </c>
      <c r="N2944" s="33">
        <v>45077</v>
      </c>
      <c r="O2944" s="32">
        <v>5277</v>
      </c>
      <c r="P2944" s="391">
        <f>ROUNDUP(S2944/V2944/VLOOKUP(B2944,$C$2:$F$6,3,FALSE),2)</f>
        <v>5.0199999999999996</v>
      </c>
      <c r="Q2944" s="322">
        <v>5.0199999999999996</v>
      </c>
      <c r="R2944" s="322">
        <f>Q2944*J2944</f>
        <v>25.099999999999998</v>
      </c>
      <c r="S2944" s="7">
        <v>530</v>
      </c>
      <c r="T2944" s="7">
        <f>S2944*J2944</f>
        <v>2650</v>
      </c>
      <c r="U2944" s="21"/>
      <c r="V2944" s="260">
        <v>120</v>
      </c>
    </row>
    <row r="2945" spans="2:23" s="7" customFormat="1" ht="18" customHeight="1">
      <c r="B2945" s="12" t="s">
        <v>302</v>
      </c>
      <c r="C2945" s="6" t="s">
        <v>4320</v>
      </c>
      <c r="D2945" s="14" t="s">
        <v>2777</v>
      </c>
      <c r="E2945" s="22" t="s">
        <v>239</v>
      </c>
      <c r="F2945" s="107">
        <v>150</v>
      </c>
      <c r="G2945" s="22" t="s">
        <v>4321</v>
      </c>
      <c r="H2945" s="108"/>
      <c r="I2945" s="109"/>
      <c r="J2945" s="8">
        <v>5</v>
      </c>
      <c r="K2945" s="39">
        <v>7.37</v>
      </c>
      <c r="L2945" s="39">
        <f>K2945*J2945</f>
        <v>36.85</v>
      </c>
      <c r="M2945" s="117" t="s">
        <v>349</v>
      </c>
      <c r="N2945" s="33">
        <v>45077</v>
      </c>
      <c r="O2945" s="32">
        <v>5277</v>
      </c>
      <c r="P2945" s="391">
        <f>ROUNDUP(S2945/V2945/VLOOKUP(B2945,$C$2:$F$6,3,FALSE),2)</f>
        <v>5.0199999999999996</v>
      </c>
      <c r="Q2945" s="322">
        <v>5.0199999999999996</v>
      </c>
      <c r="R2945" s="322">
        <f>Q2945*J2945</f>
        <v>25.099999999999998</v>
      </c>
      <c r="S2945" s="7">
        <v>530</v>
      </c>
      <c r="T2945" s="7">
        <f>S2945*J2945</f>
        <v>2650</v>
      </c>
      <c r="U2945" s="21"/>
      <c r="V2945" s="260">
        <v>120</v>
      </c>
    </row>
    <row r="2946" spans="2:23" s="7" customFormat="1" ht="18" customHeight="1">
      <c r="B2946" s="12" t="s">
        <v>302</v>
      </c>
      <c r="C2946" s="6" t="s">
        <v>4320</v>
      </c>
      <c r="D2946" s="14" t="s">
        <v>2777</v>
      </c>
      <c r="E2946" s="22" t="s">
        <v>239</v>
      </c>
      <c r="F2946" s="107">
        <v>150</v>
      </c>
      <c r="G2946" s="37" t="s">
        <v>2536</v>
      </c>
      <c r="H2946" s="108"/>
      <c r="I2946" s="109"/>
      <c r="J2946" s="8">
        <v>5</v>
      </c>
      <c r="K2946" s="39">
        <v>7.37</v>
      </c>
      <c r="L2946" s="39">
        <f>K2946*J2946</f>
        <v>36.85</v>
      </c>
      <c r="M2946" s="117" t="s">
        <v>349</v>
      </c>
      <c r="N2946" s="33">
        <v>45077</v>
      </c>
      <c r="O2946" s="32">
        <v>5277</v>
      </c>
      <c r="P2946" s="391">
        <f>ROUNDUP(S2946/V2946/VLOOKUP(B2946,$C$2:$F$6,3,FALSE),2)</f>
        <v>5.0199999999999996</v>
      </c>
      <c r="Q2946" s="322">
        <v>5.0199999999999996</v>
      </c>
      <c r="R2946" s="322">
        <f>Q2946*J2946</f>
        <v>25.099999999999998</v>
      </c>
      <c r="S2946" s="7">
        <v>530</v>
      </c>
      <c r="T2946" s="7">
        <f>S2946*J2946</f>
        <v>2650</v>
      </c>
      <c r="U2946" s="21"/>
      <c r="V2946" s="260">
        <v>120</v>
      </c>
    </row>
    <row r="2947" spans="2:23" s="7" customFormat="1" ht="15">
      <c r="B2947" s="12"/>
      <c r="C2947" s="6" t="s">
        <v>4320</v>
      </c>
      <c r="D2947" s="14" t="s">
        <v>2777</v>
      </c>
      <c r="E2947" s="22"/>
      <c r="F2947" s="102"/>
      <c r="G2947" s="22" t="s">
        <v>2625</v>
      </c>
      <c r="H2947" s="38"/>
      <c r="I2947" s="35"/>
      <c r="J2947" s="38">
        <v>3</v>
      </c>
      <c r="K2947" s="39">
        <v>15</v>
      </c>
      <c r="L2947" s="39">
        <f>K2947*J2947</f>
        <v>45</v>
      </c>
      <c r="M2947" s="91"/>
      <c r="N2947" s="33">
        <v>45077</v>
      </c>
      <c r="O2947" s="32">
        <v>5277</v>
      </c>
      <c r="P2947" s="391">
        <v>15</v>
      </c>
      <c r="Q2947" s="322">
        <v>15</v>
      </c>
      <c r="R2947" s="322">
        <f>Q2947*J2947</f>
        <v>45</v>
      </c>
      <c r="S2947" s="7">
        <v>1000</v>
      </c>
      <c r="T2947" s="7">
        <f>S2947*J2947</f>
        <v>3000</v>
      </c>
      <c r="U2947" s="21"/>
      <c r="V2947" s="260">
        <v>120</v>
      </c>
    </row>
    <row r="2948" spans="2:23" s="7" customFormat="1" ht="15">
      <c r="B2948" s="12"/>
      <c r="C2948" s="6" t="s">
        <v>4320</v>
      </c>
      <c r="D2948" s="14" t="s">
        <v>2777</v>
      </c>
      <c r="E2948" s="49"/>
      <c r="F2948" s="102"/>
      <c r="G2948" s="22" t="s">
        <v>316</v>
      </c>
      <c r="H2948" s="38"/>
      <c r="I2948" s="35"/>
      <c r="J2948" s="38">
        <v>1</v>
      </c>
      <c r="K2948" s="39">
        <v>20</v>
      </c>
      <c r="L2948" s="39">
        <f>K2948*J2948</f>
        <v>20</v>
      </c>
      <c r="M2948" s="91"/>
      <c r="N2948" s="33">
        <v>45077</v>
      </c>
      <c r="O2948" s="32">
        <v>5277</v>
      </c>
      <c r="P2948" s="722"/>
      <c r="Q2948" s="322">
        <v>20</v>
      </c>
      <c r="R2948" s="322">
        <f>Q2948*J2948</f>
        <v>20</v>
      </c>
      <c r="S2948" s="7">
        <f>1000+1000</f>
        <v>2000</v>
      </c>
      <c r="T2948" s="7">
        <f>S2948*J2948</f>
        <v>2000</v>
      </c>
      <c r="U2948" s="21"/>
      <c r="V2948" s="260">
        <v>120</v>
      </c>
    </row>
    <row r="2949" spans="2:23" s="191" customFormat="1" ht="15">
      <c r="B2949" s="190"/>
      <c r="C2949" s="179" t="s">
        <v>4320</v>
      </c>
      <c r="D2949" s="180" t="s">
        <v>2777</v>
      </c>
      <c r="E2949" s="181"/>
      <c r="F2949" s="182"/>
      <c r="G2949" s="182" t="s">
        <v>250</v>
      </c>
      <c r="H2949" s="184" t="s">
        <v>252</v>
      </c>
      <c r="I2949" s="185"/>
      <c r="J2949" s="183"/>
      <c r="K2949" s="192">
        <v>65</v>
      </c>
      <c r="L2949" s="192">
        <v>65</v>
      </c>
      <c r="M2949" s="187"/>
      <c r="N2949" s="187">
        <v>45077</v>
      </c>
      <c r="O2949" s="186">
        <v>5277</v>
      </c>
      <c r="P2949" s="179"/>
      <c r="Q2949" s="192">
        <v>65</v>
      </c>
      <c r="R2949" s="192">
        <v>65</v>
      </c>
      <c r="S2949" s="197">
        <v>6800</v>
      </c>
      <c r="T2949" s="197">
        <v>6800</v>
      </c>
      <c r="U2949" s="335"/>
      <c r="V2949" s="260">
        <v>120</v>
      </c>
    </row>
    <row r="2950" spans="2:23" customFormat="1" ht="18" customHeight="1">
      <c r="B2950" s="26"/>
      <c r="C2950" s="6" t="s">
        <v>4322</v>
      </c>
      <c r="D2950" s="14" t="s">
        <v>1970</v>
      </c>
      <c r="E2950" s="19" t="s">
        <v>227</v>
      </c>
      <c r="F2950" s="37"/>
      <c r="G2950" s="37"/>
      <c r="H2950" s="108"/>
      <c r="I2950" s="108"/>
      <c r="J2950" s="108"/>
      <c r="K2950" s="29" t="s">
        <v>101</v>
      </c>
      <c r="L2950" s="139"/>
      <c r="M2950" s="33"/>
      <c r="N2950" s="33">
        <v>45078</v>
      </c>
      <c r="O2950" s="32">
        <v>5276</v>
      </c>
      <c r="P2950" s="6"/>
      <c r="Q2950" s="339"/>
      <c r="R2950" s="1"/>
      <c r="S2950" s="7"/>
      <c r="T2950" s="7"/>
      <c r="U2950" s="21"/>
      <c r="V2950" s="260">
        <v>120</v>
      </c>
    </row>
    <row r="2951" spans="2:23" customFormat="1" ht="18" customHeight="1">
      <c r="B2951" s="26" t="s">
        <v>300</v>
      </c>
      <c r="C2951" s="6" t="s">
        <v>4322</v>
      </c>
      <c r="D2951" s="14" t="s">
        <v>1970</v>
      </c>
      <c r="E2951" s="22">
        <v>2250</v>
      </c>
      <c r="F2951" s="37">
        <v>15</v>
      </c>
      <c r="G2951" s="22" t="s">
        <v>2812</v>
      </c>
      <c r="H2951" s="108">
        <v>30</v>
      </c>
      <c r="I2951" s="109">
        <v>1</v>
      </c>
      <c r="J2951" s="8">
        <f>H2951*I2951</f>
        <v>30</v>
      </c>
      <c r="K2951" s="39">
        <v>0.43</v>
      </c>
      <c r="L2951" s="39">
        <f>K2951*J2951</f>
        <v>12.9</v>
      </c>
      <c r="M2951" s="117" t="s">
        <v>349</v>
      </c>
      <c r="N2951" s="33">
        <v>45078</v>
      </c>
      <c r="O2951" s="32">
        <v>5276</v>
      </c>
      <c r="P2951" s="391">
        <f>ROUNDUP(S2951/V2951/VLOOKUP(B2951,$C$2:$F$6,3,FALSE),2)</f>
        <v>0.28000000000000003</v>
      </c>
      <c r="Q2951" s="322">
        <v>0.28000000000000003</v>
      </c>
      <c r="R2951" s="322">
        <f>Q2951*J2951</f>
        <v>8.4</v>
      </c>
      <c r="S2951" s="7">
        <v>23.1</v>
      </c>
      <c r="T2951" s="7">
        <f>S2951*J2951</f>
        <v>693</v>
      </c>
      <c r="U2951" s="39"/>
      <c r="V2951" s="260">
        <v>120</v>
      </c>
    </row>
    <row r="2952" spans="2:23" s="7" customFormat="1" ht="18" customHeight="1">
      <c r="B2952" s="12"/>
      <c r="C2952" s="6" t="s">
        <v>4322</v>
      </c>
      <c r="D2952" s="14" t="s">
        <v>1970</v>
      </c>
      <c r="E2952" s="82"/>
      <c r="F2952" s="102"/>
      <c r="G2952" s="22" t="s">
        <v>316</v>
      </c>
      <c r="H2952" s="8"/>
      <c r="I2952" s="35"/>
      <c r="J2952" s="38">
        <v>1</v>
      </c>
      <c r="K2952" s="39">
        <v>12</v>
      </c>
      <c r="L2952" s="39">
        <f>K2952*J2952</f>
        <v>12</v>
      </c>
      <c r="M2952" s="91"/>
      <c r="N2952" s="33">
        <v>45078</v>
      </c>
      <c r="O2952" s="32">
        <v>5276</v>
      </c>
      <c r="P2952" s="391">
        <v>12</v>
      </c>
      <c r="Q2952" s="322">
        <v>12</v>
      </c>
      <c r="R2952" s="322">
        <f>Q2952*J2952</f>
        <v>12</v>
      </c>
      <c r="S2952" s="7">
        <v>0</v>
      </c>
      <c r="T2952" s="7">
        <v>0</v>
      </c>
      <c r="U2952" s="21"/>
      <c r="V2952" s="260">
        <v>120</v>
      </c>
    </row>
    <row r="2953" spans="2:23" s="191" customFormat="1" ht="18" customHeight="1">
      <c r="B2953" s="190"/>
      <c r="C2953" s="179" t="s">
        <v>4322</v>
      </c>
      <c r="D2953" s="180" t="s">
        <v>1970</v>
      </c>
      <c r="E2953" s="181"/>
      <c r="F2953" s="622"/>
      <c r="G2953" s="182" t="s">
        <v>250</v>
      </c>
      <c r="H2953" s="184" t="s">
        <v>251</v>
      </c>
      <c r="I2953" s="185"/>
      <c r="J2953" s="183"/>
      <c r="K2953" s="192">
        <v>0</v>
      </c>
      <c r="L2953" s="188"/>
      <c r="M2953" s="187"/>
      <c r="N2953" s="187">
        <v>45078</v>
      </c>
      <c r="O2953" s="186">
        <v>5276</v>
      </c>
      <c r="P2953" s="179"/>
      <c r="Q2953" s="725">
        <v>0</v>
      </c>
      <c r="S2953" s="197">
        <v>0</v>
      </c>
      <c r="T2953" s="198">
        <v>0</v>
      </c>
      <c r="U2953" s="335"/>
      <c r="V2953" s="260">
        <v>120</v>
      </c>
    </row>
    <row r="2954" spans="2:23" s="7" customFormat="1" ht="18" customHeight="1">
      <c r="B2954" s="12"/>
      <c r="C2954" s="6" t="s">
        <v>4323</v>
      </c>
      <c r="D2954" s="14" t="s">
        <v>2231</v>
      </c>
      <c r="E2954" s="19" t="s">
        <v>2270</v>
      </c>
      <c r="F2954" s="37"/>
      <c r="G2954" s="37"/>
      <c r="H2954" s="108"/>
      <c r="I2954" s="108"/>
      <c r="J2954" s="108"/>
      <c r="K2954" s="29" t="s">
        <v>5</v>
      </c>
      <c r="L2954" s="139"/>
      <c r="M2954" s="33"/>
      <c r="N2954" s="33">
        <v>45097</v>
      </c>
      <c r="O2954" s="32">
        <v>5286</v>
      </c>
      <c r="P2954" s="6"/>
      <c r="Q2954" s="339"/>
      <c r="U2954" s="21"/>
      <c r="V2954" s="260">
        <v>120</v>
      </c>
    </row>
    <row r="2955" spans="2:23" s="7" customFormat="1" ht="18" customHeight="1">
      <c r="B2955" s="12" t="s">
        <v>300</v>
      </c>
      <c r="C2955" s="6" t="s">
        <v>4323</v>
      </c>
      <c r="D2955" s="14" t="s">
        <v>2231</v>
      </c>
      <c r="E2955" s="22">
        <v>5636</v>
      </c>
      <c r="F2955" s="37" t="s">
        <v>230</v>
      </c>
      <c r="G2955" s="839" t="s">
        <v>283</v>
      </c>
      <c r="H2955" s="108">
        <v>50</v>
      </c>
      <c r="I2955" s="109">
        <v>12</v>
      </c>
      <c r="J2955" s="8">
        <f>H2955*I2955</f>
        <v>600</v>
      </c>
      <c r="K2955" s="39">
        <v>0.28999999999999998</v>
      </c>
      <c r="L2955" s="39">
        <f>K2955*J2955</f>
        <v>174</v>
      </c>
      <c r="M2955" s="117" t="s">
        <v>349</v>
      </c>
      <c r="N2955" s="33">
        <v>45097</v>
      </c>
      <c r="O2955" s="32">
        <v>5286</v>
      </c>
      <c r="P2955" s="391">
        <f>ROUNDUP(S2955/V2955/VLOOKUP(B2955,$C$2:$F$6,3,FALSE),2)</f>
        <v>0.14000000000000001</v>
      </c>
      <c r="Q2955" s="322">
        <v>0.14000000000000001</v>
      </c>
      <c r="R2955" s="322">
        <f>Q2955*J2955</f>
        <v>84.000000000000014</v>
      </c>
      <c r="S2955" s="7">
        <v>11.6</v>
      </c>
      <c r="T2955" s="7">
        <f>S2955*J2955</f>
        <v>6960</v>
      </c>
      <c r="U2955" s="778"/>
      <c r="V2955" s="260">
        <v>120</v>
      </c>
      <c r="W2955" s="1136">
        <f>(((K2955*V2955)-S2955)/(K2955*V2955))</f>
        <v>0.66666666666666663</v>
      </c>
    </row>
    <row r="2956" spans="2:23" s="191" customFormat="1" ht="18" customHeight="1">
      <c r="B2956" s="190"/>
      <c r="C2956" s="179" t="s">
        <v>4323</v>
      </c>
      <c r="D2956" s="180" t="s">
        <v>2231</v>
      </c>
      <c r="E2956" s="217"/>
      <c r="F2956" s="622"/>
      <c r="G2956" s="182" t="s">
        <v>250</v>
      </c>
      <c r="H2956" s="184" t="s">
        <v>251</v>
      </c>
      <c r="I2956" s="185"/>
      <c r="J2956" s="183"/>
      <c r="K2956" s="192">
        <v>0</v>
      </c>
      <c r="L2956" s="188"/>
      <c r="M2956" s="187"/>
      <c r="N2956" s="187">
        <v>45097</v>
      </c>
      <c r="O2956" s="186">
        <v>5286</v>
      </c>
      <c r="P2956" s="179"/>
      <c r="Q2956" s="725">
        <v>0</v>
      </c>
      <c r="S2956" s="197">
        <v>0</v>
      </c>
      <c r="T2956" s="198">
        <v>0</v>
      </c>
      <c r="U2956" s="335"/>
      <c r="V2956" s="260">
        <v>120</v>
      </c>
    </row>
    <row r="2957" spans="2:23" s="7" customFormat="1" ht="18" customHeight="1">
      <c r="B2957" s="12"/>
      <c r="C2957" s="6" t="s">
        <v>4331</v>
      </c>
      <c r="D2957" s="14" t="s">
        <v>2231</v>
      </c>
      <c r="E2957" s="19" t="s">
        <v>2270</v>
      </c>
      <c r="F2957" s="37"/>
      <c r="G2957" s="37"/>
      <c r="H2957" s="108"/>
      <c r="I2957" s="108"/>
      <c r="J2957" s="108"/>
      <c r="K2957" s="29" t="s">
        <v>5</v>
      </c>
      <c r="L2957" s="139"/>
      <c r="M2957" s="33"/>
      <c r="N2957" s="33">
        <v>45097</v>
      </c>
      <c r="O2957" s="32">
        <v>5286</v>
      </c>
      <c r="P2957" s="6"/>
      <c r="Q2957" s="339"/>
      <c r="U2957" s="21"/>
      <c r="V2957" s="260">
        <v>120</v>
      </c>
    </row>
    <row r="2958" spans="2:23" s="7" customFormat="1" ht="18" customHeight="1">
      <c r="B2958" s="12" t="s">
        <v>300</v>
      </c>
      <c r="C2958" s="6" t="s">
        <v>4331</v>
      </c>
      <c r="D2958" s="14" t="s">
        <v>2231</v>
      </c>
      <c r="E2958" s="22">
        <v>5636</v>
      </c>
      <c r="F2958" s="37" t="s">
        <v>230</v>
      </c>
      <c r="G2958" s="839" t="s">
        <v>283</v>
      </c>
      <c r="H2958" s="108">
        <v>50</v>
      </c>
      <c r="I2958" s="109">
        <v>6</v>
      </c>
      <c r="J2958" s="8">
        <f>H2958*I2958</f>
        <v>300</v>
      </c>
      <c r="K2958" s="39">
        <v>0.28999999999999998</v>
      </c>
      <c r="L2958" s="39">
        <f>K2958*J2958</f>
        <v>87</v>
      </c>
      <c r="M2958" s="117" t="s">
        <v>349</v>
      </c>
      <c r="N2958" s="33">
        <v>45097</v>
      </c>
      <c r="O2958" s="32">
        <v>5286</v>
      </c>
      <c r="P2958" s="391">
        <f>ROUNDUP(S2958/V2958/VLOOKUP(B2958,$C$2:$F$6,3,FALSE),2)</f>
        <v>0.14000000000000001</v>
      </c>
      <c r="Q2958" s="322">
        <v>0.14000000000000001</v>
      </c>
      <c r="R2958" s="322">
        <f>Q2958*J2958</f>
        <v>42.000000000000007</v>
      </c>
      <c r="S2958" s="7">
        <v>11.6</v>
      </c>
      <c r="T2958" s="7">
        <f>S2958*J2958</f>
        <v>3480</v>
      </c>
      <c r="U2958" s="778"/>
      <c r="V2958" s="260">
        <v>120</v>
      </c>
      <c r="W2958" s="1136">
        <f>(((K2958*V2958)-S2958)/(K2958*V2958))</f>
        <v>0.66666666666666663</v>
      </c>
    </row>
    <row r="2959" spans="2:23" s="7" customFormat="1" ht="18" customHeight="1">
      <c r="B2959" s="12"/>
      <c r="C2959" s="6" t="s">
        <v>4331</v>
      </c>
      <c r="D2959" s="14" t="s">
        <v>2231</v>
      </c>
      <c r="E2959" s="22"/>
      <c r="F2959" s="102"/>
      <c r="G2959" s="22" t="s">
        <v>316</v>
      </c>
      <c r="H2959" s="8"/>
      <c r="I2959" s="35"/>
      <c r="J2959" s="38">
        <v>1</v>
      </c>
      <c r="K2959" s="39">
        <v>12</v>
      </c>
      <c r="L2959" s="39">
        <f>K2959*J2959</f>
        <v>12</v>
      </c>
      <c r="M2959" s="91"/>
      <c r="N2959" s="33">
        <v>45097</v>
      </c>
      <c r="O2959" s="32">
        <v>5286</v>
      </c>
      <c r="P2959" s="6"/>
      <c r="Q2959" s="322">
        <v>12</v>
      </c>
      <c r="R2959" s="322">
        <v>12</v>
      </c>
      <c r="S2959" s="7">
        <v>1100</v>
      </c>
      <c r="T2959" s="7">
        <f>S2959*J2959</f>
        <v>1100</v>
      </c>
      <c r="U2959" s="21"/>
      <c r="V2959" s="260">
        <v>120</v>
      </c>
    </row>
    <row r="2960" spans="2:23" s="191" customFormat="1" ht="18" customHeight="1">
      <c r="B2960" s="190"/>
      <c r="C2960" s="179" t="s">
        <v>4331</v>
      </c>
      <c r="D2960" s="180" t="s">
        <v>2231</v>
      </c>
      <c r="E2960" s="181"/>
      <c r="F2960" s="622"/>
      <c r="G2960" s="182" t="s">
        <v>250</v>
      </c>
      <c r="H2960" s="184" t="s">
        <v>251</v>
      </c>
      <c r="I2960" s="185"/>
      <c r="J2960" s="183"/>
      <c r="K2960" s="192">
        <v>0</v>
      </c>
      <c r="L2960" s="188"/>
      <c r="M2960" s="187"/>
      <c r="N2960" s="187">
        <v>45097</v>
      </c>
      <c r="O2960" s="186">
        <v>5286</v>
      </c>
      <c r="P2960" s="179"/>
      <c r="Q2960" s="725">
        <v>0</v>
      </c>
      <c r="S2960" s="197">
        <v>0</v>
      </c>
      <c r="T2960" s="198">
        <v>0</v>
      </c>
      <c r="U2960" s="335"/>
      <c r="V2960" s="260">
        <v>120</v>
      </c>
    </row>
    <row r="2961" spans="2:23" s="7" customFormat="1" ht="18" customHeight="1">
      <c r="B2961" s="12"/>
      <c r="C2961" s="6" t="s">
        <v>4324</v>
      </c>
      <c r="D2961" s="14" t="s">
        <v>2059</v>
      </c>
      <c r="E2961" s="19" t="s">
        <v>3092</v>
      </c>
      <c r="F2961" s="37"/>
      <c r="G2961" s="37"/>
      <c r="H2961" s="108"/>
      <c r="I2961" s="108"/>
      <c r="J2961" s="108"/>
      <c r="K2961" s="29" t="s">
        <v>5</v>
      </c>
      <c r="L2961" s="139"/>
      <c r="M2961" s="33"/>
      <c r="N2961" s="33">
        <v>45091</v>
      </c>
      <c r="O2961" s="32">
        <v>5302</v>
      </c>
      <c r="P2961" s="6"/>
      <c r="Q2961" s="339"/>
      <c r="U2961" s="21"/>
      <c r="V2961" s="260">
        <v>120</v>
      </c>
      <c r="W2961" s="1136" t="e">
        <f>(((K2961*V2961)-S2961)/(K2961*V2961))</f>
        <v>#VALUE!</v>
      </c>
    </row>
    <row r="2962" spans="2:23" s="7" customFormat="1" ht="18" customHeight="1">
      <c r="B2962" s="12" t="s">
        <v>300</v>
      </c>
      <c r="C2962" s="6" t="s">
        <v>4324</v>
      </c>
      <c r="D2962" s="14" t="s">
        <v>2059</v>
      </c>
      <c r="E2962" s="22">
        <v>5634</v>
      </c>
      <c r="F2962" s="37" t="s">
        <v>311</v>
      </c>
      <c r="G2962" s="221" t="s">
        <v>4265</v>
      </c>
      <c r="H2962" s="108">
        <v>50</v>
      </c>
      <c r="I2962" s="109">
        <v>5</v>
      </c>
      <c r="J2962" s="8">
        <f>H2962*I2962</f>
        <v>250</v>
      </c>
      <c r="K2962" s="39">
        <v>0.32</v>
      </c>
      <c r="L2962" s="39">
        <f>K2962*J2962</f>
        <v>80</v>
      </c>
      <c r="M2962" s="117" t="s">
        <v>323</v>
      </c>
      <c r="N2962" s="33">
        <v>45091</v>
      </c>
      <c r="O2962" s="32">
        <v>5302</v>
      </c>
      <c r="P2962" s="391">
        <f>ROUNDUP(S2962/V2962/VLOOKUP(B2962,$C$2:$F$6,3,FALSE),2)</f>
        <v>0.21000000000000002</v>
      </c>
      <c r="Q2962" s="322">
        <v>0.21</v>
      </c>
      <c r="R2962" s="322">
        <f>Q2962*J2962</f>
        <v>52.5</v>
      </c>
      <c r="S2962" s="7">
        <v>17.2</v>
      </c>
      <c r="T2962" s="92">
        <f>S2962*J2962</f>
        <v>4300</v>
      </c>
      <c r="U2962" s="962" t="s">
        <v>3398</v>
      </c>
      <c r="V2962" s="260">
        <v>120</v>
      </c>
      <c r="W2962" s="1136">
        <f>(((K2962*V2962)-S2962)/(K2962*V2962))</f>
        <v>0.55208333333333337</v>
      </c>
    </row>
    <row r="2963" spans="2:23" s="7" customFormat="1" ht="18" customHeight="1">
      <c r="B2963" s="12"/>
      <c r="C2963" s="6" t="s">
        <v>4324</v>
      </c>
      <c r="D2963" s="14" t="s">
        <v>2059</v>
      </c>
      <c r="E2963" s="82"/>
      <c r="F2963" s="102"/>
      <c r="G2963" s="22" t="s">
        <v>316</v>
      </c>
      <c r="H2963" s="8"/>
      <c r="I2963" s="35"/>
      <c r="J2963" s="38">
        <v>1</v>
      </c>
      <c r="K2963" s="39">
        <v>12</v>
      </c>
      <c r="L2963" s="39">
        <f>K2963*J2963</f>
        <v>12</v>
      </c>
      <c r="M2963" s="91"/>
      <c r="N2963" s="33">
        <v>45091</v>
      </c>
      <c r="O2963" s="32">
        <v>5302</v>
      </c>
      <c r="P2963" s="6"/>
      <c r="Q2963" s="322">
        <v>12</v>
      </c>
      <c r="R2963" s="322">
        <f>Q2963*J2963</f>
        <v>12</v>
      </c>
      <c r="S2963" s="7">
        <v>1100</v>
      </c>
      <c r="T2963" s="7">
        <f>S2963*J2963</f>
        <v>1100</v>
      </c>
      <c r="U2963" s="21"/>
      <c r="V2963" s="260">
        <v>120</v>
      </c>
    </row>
    <row r="2964" spans="2:23" s="191" customFormat="1" ht="18" customHeight="1">
      <c r="B2964" s="190"/>
      <c r="C2964" s="179" t="s">
        <v>4324</v>
      </c>
      <c r="D2964" s="180" t="s">
        <v>2059</v>
      </c>
      <c r="E2964" s="736"/>
      <c r="F2964" s="737"/>
      <c r="G2964" s="182" t="s">
        <v>250</v>
      </c>
      <c r="H2964" s="184" t="s">
        <v>251</v>
      </c>
      <c r="I2964" s="185"/>
      <c r="J2964" s="183"/>
      <c r="K2964" s="192">
        <v>0</v>
      </c>
      <c r="L2964" s="188"/>
      <c r="M2964" s="187"/>
      <c r="N2964" s="187">
        <v>45091</v>
      </c>
      <c r="O2964" s="186">
        <v>5302</v>
      </c>
      <c r="P2964" s="179"/>
      <c r="Q2964" s="725">
        <v>0</v>
      </c>
      <c r="S2964" s="197">
        <v>0</v>
      </c>
      <c r="T2964" s="198">
        <v>0</v>
      </c>
      <c r="U2964" s="335"/>
      <c r="V2964" s="260">
        <v>120</v>
      </c>
    </row>
    <row r="2965" spans="2:23" s="7" customFormat="1" ht="17.25" customHeight="1">
      <c r="B2965" s="12"/>
      <c r="C2965" s="6" t="s">
        <v>4325</v>
      </c>
      <c r="D2965" s="14" t="s">
        <v>2116</v>
      </c>
      <c r="E2965" s="19" t="s">
        <v>4326</v>
      </c>
      <c r="F2965" s="107"/>
      <c r="G2965" s="22"/>
      <c r="H2965" s="108"/>
      <c r="I2965" s="109"/>
      <c r="J2965" s="108"/>
      <c r="K2965" s="29" t="s">
        <v>5</v>
      </c>
      <c r="L2965" s="139"/>
      <c r="M2965" s="33"/>
      <c r="N2965" s="33">
        <v>45092</v>
      </c>
      <c r="O2965" s="32">
        <v>5303</v>
      </c>
      <c r="P2965" s="14"/>
      <c r="Q2965" s="322"/>
      <c r="U2965" s="14"/>
      <c r="V2965" s="260">
        <v>120</v>
      </c>
    </row>
    <row r="2966" spans="2:23" s="7" customFormat="1" ht="18" customHeight="1">
      <c r="B2966" s="12" t="s">
        <v>302</v>
      </c>
      <c r="C2966" s="6" t="s">
        <v>4325</v>
      </c>
      <c r="D2966" s="14" t="s">
        <v>2116</v>
      </c>
      <c r="E2966" s="22" t="s">
        <v>4327</v>
      </c>
      <c r="F2966" s="107">
        <v>112</v>
      </c>
      <c r="G2966" s="37" t="s">
        <v>4328</v>
      </c>
      <c r="H2966" s="108"/>
      <c r="I2966" s="109"/>
      <c r="J2966" s="8">
        <v>20</v>
      </c>
      <c r="K2966" s="39">
        <v>6.88</v>
      </c>
      <c r="L2966" s="39">
        <f>K2966*J2966</f>
        <v>137.6</v>
      </c>
      <c r="M2966" s="117" t="s">
        <v>349</v>
      </c>
      <c r="N2966" s="33">
        <v>45092</v>
      </c>
      <c r="O2966" s="32">
        <v>5303</v>
      </c>
      <c r="P2966" s="391">
        <f>ROUNDUP(S2966/V2966/VLOOKUP(B2966,$C$2:$F$6,3,FALSE),2)</f>
        <v>6.25</v>
      </c>
      <c r="Q2966" s="322">
        <v>6.25</v>
      </c>
      <c r="R2966" s="322">
        <f>Q2966*J2966</f>
        <v>125</v>
      </c>
      <c r="S2966" s="7">
        <v>660</v>
      </c>
      <c r="T2966" s="7">
        <f>S2966*J2966</f>
        <v>13200</v>
      </c>
      <c r="U2966" s="21"/>
      <c r="V2966" s="260">
        <v>120</v>
      </c>
      <c r="W2966" s="1136">
        <f>(((K2966*V2966)-S2966)/(K2966*V2966))</f>
        <v>0.20058139534883723</v>
      </c>
    </row>
    <row r="2967" spans="2:23" s="7" customFormat="1" ht="18" customHeight="1">
      <c r="B2967" s="12" t="s">
        <v>4330</v>
      </c>
      <c r="C2967" s="6" t="s">
        <v>4325</v>
      </c>
      <c r="D2967" s="14" t="s">
        <v>2116</v>
      </c>
      <c r="E2967" s="82"/>
      <c r="F2967" s="102"/>
      <c r="G2967" s="22" t="s">
        <v>4329</v>
      </c>
      <c r="H2967" s="8"/>
      <c r="I2967" s="35"/>
      <c r="J2967" s="8">
        <v>20</v>
      </c>
      <c r="K2967" s="39">
        <v>3.13</v>
      </c>
      <c r="L2967" s="39">
        <f>K2967*J2967</f>
        <v>62.599999999999994</v>
      </c>
      <c r="M2967" s="91"/>
      <c r="N2967" s="33">
        <v>45092</v>
      </c>
      <c r="O2967" s="32">
        <v>5303</v>
      </c>
      <c r="P2967" s="391">
        <f>ROUNDUP(S2967/V2967/VLOOKUP(B2967,$C$2:$F$6,3,FALSE),2)</f>
        <v>2.8499999999999996</v>
      </c>
      <c r="Q2967" s="322">
        <v>2.85</v>
      </c>
      <c r="R2967" s="322">
        <f>Q2967*J2967</f>
        <v>57</v>
      </c>
      <c r="S2967" s="7">
        <v>300</v>
      </c>
      <c r="T2967" s="7">
        <f>S2967*J2967</f>
        <v>6000</v>
      </c>
      <c r="U2967" s="21"/>
      <c r="V2967" s="260">
        <v>120</v>
      </c>
      <c r="W2967" s="1136">
        <f>(((K2967*V2967)-S2967)/(K2967*V2967))</f>
        <v>0.20127795527156542</v>
      </c>
    </row>
    <row r="2968" spans="2:23" s="7" customFormat="1" ht="18" customHeight="1">
      <c r="B2968" s="12"/>
      <c r="C2968" s="6" t="s">
        <v>4325</v>
      </c>
      <c r="D2968" s="14" t="s">
        <v>2116</v>
      </c>
      <c r="E2968" s="82"/>
      <c r="F2968" s="102"/>
      <c r="G2968" s="22" t="s">
        <v>316</v>
      </c>
      <c r="H2968" s="8"/>
      <c r="I2968" s="35"/>
      <c r="J2968" s="38">
        <v>1</v>
      </c>
      <c r="K2968" s="39">
        <v>20</v>
      </c>
      <c r="L2968" s="39">
        <f>K2968*J2968</f>
        <v>20</v>
      </c>
      <c r="M2968" s="91"/>
      <c r="N2968" s="33">
        <v>45092</v>
      </c>
      <c r="O2968" s="32">
        <v>5303</v>
      </c>
      <c r="P2968" s="6"/>
      <c r="Q2968" s="322">
        <v>20</v>
      </c>
      <c r="R2968" s="322">
        <f>Q2968*J2968</f>
        <v>20</v>
      </c>
      <c r="S2968" s="7">
        <v>0</v>
      </c>
      <c r="T2968" s="7">
        <f>S2968*J2968</f>
        <v>0</v>
      </c>
      <c r="U2968" s="21"/>
      <c r="V2968" s="260">
        <v>120</v>
      </c>
    </row>
    <row r="2969" spans="2:23" s="191" customFormat="1" ht="15">
      <c r="B2969" s="190"/>
      <c r="C2969" s="179" t="s">
        <v>4325</v>
      </c>
      <c r="D2969" s="180" t="s">
        <v>2116</v>
      </c>
      <c r="E2969" s="181"/>
      <c r="F2969" s="182"/>
      <c r="G2969" s="182" t="s">
        <v>250</v>
      </c>
      <c r="H2969" s="184" t="s">
        <v>252</v>
      </c>
      <c r="I2969" s="185"/>
      <c r="J2969" s="183"/>
      <c r="K2969" s="203">
        <v>56</v>
      </c>
      <c r="L2969" s="203">
        <v>56</v>
      </c>
      <c r="M2969" s="187"/>
      <c r="N2969" s="187">
        <v>45092</v>
      </c>
      <c r="O2969" s="186">
        <v>5303</v>
      </c>
      <c r="P2969" s="179"/>
      <c r="Q2969" s="203">
        <v>56</v>
      </c>
      <c r="R2969" s="203">
        <v>56</v>
      </c>
      <c r="S2969" s="7">
        <v>6416</v>
      </c>
      <c r="T2969" s="7">
        <v>6416</v>
      </c>
      <c r="U2969" s="335"/>
      <c r="V2969" s="260">
        <v>120</v>
      </c>
    </row>
    <row r="2970" spans="2:23" s="7" customFormat="1" ht="15">
      <c r="B2970" s="12"/>
      <c r="C2970" s="6" t="s">
        <v>4335</v>
      </c>
      <c r="D2970" s="14" t="s">
        <v>2416</v>
      </c>
      <c r="E2970" s="19" t="s">
        <v>3261</v>
      </c>
      <c r="F2970" s="24"/>
      <c r="G2970" s="22"/>
      <c r="H2970" s="8"/>
      <c r="I2970" s="35"/>
      <c r="J2970" s="8"/>
      <c r="K2970" s="110" t="s">
        <v>5</v>
      </c>
      <c r="L2970" s="139"/>
      <c r="M2970" s="33"/>
      <c r="N2970" s="33">
        <v>45114</v>
      </c>
      <c r="O2970" s="32">
        <v>5319</v>
      </c>
      <c r="P2970" s="6" t="s">
        <v>8</v>
      </c>
      <c r="Q2970" s="358"/>
      <c r="U2970" s="120"/>
      <c r="V2970" s="260">
        <v>120</v>
      </c>
      <c r="W2970" s="1136" t="e">
        <f t="shared" ref="W2970:W2975" si="191">(((K2970*V2970)-S2970)/(K2970*V2970))</f>
        <v>#VALUE!</v>
      </c>
    </row>
    <row r="2971" spans="2:23" s="7" customFormat="1" ht="18" customHeight="1">
      <c r="B2971" s="12" t="s">
        <v>300</v>
      </c>
      <c r="C2971" s="6" t="s">
        <v>4335</v>
      </c>
      <c r="D2971" s="14" t="s">
        <v>2416</v>
      </c>
      <c r="E2971" s="22" t="s">
        <v>3262</v>
      </c>
      <c r="F2971" s="37" t="s">
        <v>359</v>
      </c>
      <c r="G2971" s="396" t="s">
        <v>4208</v>
      </c>
      <c r="H2971" s="8">
        <v>50</v>
      </c>
      <c r="I2971" s="35">
        <v>19</v>
      </c>
      <c r="J2971" s="108">
        <f>H2971*I2971</f>
        <v>950</v>
      </c>
      <c r="K2971" s="958">
        <v>0.23</v>
      </c>
      <c r="L2971" s="39">
        <f t="shared" ref="L2971:L2976" si="192">K2971*J2971</f>
        <v>218.5</v>
      </c>
      <c r="M2971" s="117" t="s">
        <v>349</v>
      </c>
      <c r="N2971" s="33">
        <v>45114</v>
      </c>
      <c r="O2971" s="32">
        <v>5319</v>
      </c>
      <c r="P2971" s="391">
        <f>ROUNDUP(S2971/V2971/VLOOKUP(B2971,$C$2:$F$6,3,FALSE),2)</f>
        <v>0.11</v>
      </c>
      <c r="Q2971" s="322">
        <v>0.11</v>
      </c>
      <c r="R2971" s="322">
        <f>Q2971*J2971</f>
        <v>104.5</v>
      </c>
      <c r="S2971" s="7">
        <v>8.8000000000000007</v>
      </c>
      <c r="T2971" s="7">
        <f>S2971*J2971</f>
        <v>8360</v>
      </c>
      <c r="U2971" s="39"/>
      <c r="V2971" s="260">
        <v>120</v>
      </c>
      <c r="W2971" s="1136">
        <f t="shared" si="191"/>
        <v>0.6811594202898551</v>
      </c>
    </row>
    <row r="2972" spans="2:23" s="7" customFormat="1" ht="18" customHeight="1">
      <c r="B2972" s="12" t="s">
        <v>300</v>
      </c>
      <c r="C2972" s="6" t="s">
        <v>4335</v>
      </c>
      <c r="D2972" s="14" t="s">
        <v>2416</v>
      </c>
      <c r="E2972" s="22" t="s">
        <v>3262</v>
      </c>
      <c r="F2972" s="37" t="s">
        <v>359</v>
      </c>
      <c r="G2972" s="396" t="s">
        <v>4336</v>
      </c>
      <c r="H2972" s="8">
        <v>50</v>
      </c>
      <c r="I2972" s="35">
        <v>1</v>
      </c>
      <c r="J2972" s="108">
        <f>H2972*I2972</f>
        <v>50</v>
      </c>
      <c r="K2972" s="958">
        <v>0.23</v>
      </c>
      <c r="L2972" s="39">
        <f t="shared" si="192"/>
        <v>11.5</v>
      </c>
      <c r="M2972" s="117" t="s">
        <v>349</v>
      </c>
      <c r="N2972" s="33">
        <v>45114</v>
      </c>
      <c r="O2972" s="32">
        <v>5319</v>
      </c>
      <c r="P2972" s="391">
        <f>ROUNDUP(S2972/V2972/VLOOKUP(B2972,$C$2:$F$6,3,FALSE),2)</f>
        <v>0.11</v>
      </c>
      <c r="Q2972" s="322">
        <v>0.11</v>
      </c>
      <c r="R2972" s="322">
        <f>Q2972*J2972</f>
        <v>5.5</v>
      </c>
      <c r="S2972" s="7">
        <v>8.8000000000000007</v>
      </c>
      <c r="T2972" s="7">
        <f>S2972*J2972</f>
        <v>440.00000000000006</v>
      </c>
      <c r="U2972" s="39"/>
      <c r="V2972" s="260">
        <v>120</v>
      </c>
      <c r="W2972" s="1136">
        <f t="shared" si="191"/>
        <v>0.6811594202898551</v>
      </c>
    </row>
    <row r="2973" spans="2:23" s="7" customFormat="1" ht="18" customHeight="1">
      <c r="B2973" s="12" t="s">
        <v>300</v>
      </c>
      <c r="C2973" s="6" t="s">
        <v>4335</v>
      </c>
      <c r="D2973" s="14" t="s">
        <v>2416</v>
      </c>
      <c r="E2973" s="22" t="s">
        <v>3262</v>
      </c>
      <c r="F2973" s="37" t="s">
        <v>359</v>
      </c>
      <c r="G2973" s="396" t="s">
        <v>4212</v>
      </c>
      <c r="H2973" s="8">
        <v>50</v>
      </c>
      <c r="I2973" s="35">
        <v>7</v>
      </c>
      <c r="J2973" s="108">
        <f>H2973*I2973</f>
        <v>350</v>
      </c>
      <c r="K2973" s="958">
        <v>0.33</v>
      </c>
      <c r="L2973" s="39">
        <f t="shared" si="192"/>
        <v>115.5</v>
      </c>
      <c r="M2973" s="117" t="s">
        <v>349</v>
      </c>
      <c r="N2973" s="33">
        <v>45114</v>
      </c>
      <c r="O2973" s="32">
        <v>5319</v>
      </c>
      <c r="P2973" s="391">
        <f>ROUNDUP(S2973/V2973/VLOOKUP(B2973,$C$2:$F$6,3,FALSE),2)</f>
        <v>0.14000000000000001</v>
      </c>
      <c r="Q2973" s="322">
        <v>0.14000000000000001</v>
      </c>
      <c r="R2973" s="322">
        <f>Q2973*J2973</f>
        <v>49.000000000000007</v>
      </c>
      <c r="S2973" s="7">
        <v>11.7</v>
      </c>
      <c r="T2973" s="7">
        <f>S2973*J2973</f>
        <v>4094.9999999999995</v>
      </c>
      <c r="U2973" s="39"/>
      <c r="V2973" s="260">
        <v>120</v>
      </c>
      <c r="W2973" s="1136">
        <f t="shared" si="191"/>
        <v>0.70454545454545459</v>
      </c>
    </row>
    <row r="2974" spans="2:23" s="7" customFormat="1" ht="18" customHeight="1">
      <c r="B2974" s="12" t="s">
        <v>300</v>
      </c>
      <c r="C2974" s="6" t="s">
        <v>4335</v>
      </c>
      <c r="D2974" s="14" t="s">
        <v>2416</v>
      </c>
      <c r="E2974" s="22" t="s">
        <v>3262</v>
      </c>
      <c r="F2974" s="37" t="s">
        <v>359</v>
      </c>
      <c r="G2974" s="396" t="s">
        <v>4218</v>
      </c>
      <c r="H2974" s="8">
        <v>50</v>
      </c>
      <c r="I2974" s="35">
        <v>1</v>
      </c>
      <c r="J2974" s="108">
        <f>H2974*I2974</f>
        <v>50</v>
      </c>
      <c r="K2974" s="958">
        <v>0.33</v>
      </c>
      <c r="L2974" s="39">
        <f t="shared" si="192"/>
        <v>16.5</v>
      </c>
      <c r="M2974" s="117" t="s">
        <v>349</v>
      </c>
      <c r="N2974" s="33">
        <v>45114</v>
      </c>
      <c r="O2974" s="32">
        <v>5319</v>
      </c>
      <c r="P2974" s="391">
        <f>ROUNDUP(S2974/V2974/VLOOKUP(B2974,$C$2:$F$6,3,FALSE),2)</f>
        <v>0.14000000000000001</v>
      </c>
      <c r="Q2974" s="322">
        <v>0.14000000000000001</v>
      </c>
      <c r="R2974" s="322">
        <f>Q2974*J2974</f>
        <v>7.0000000000000009</v>
      </c>
      <c r="S2974" s="7">
        <v>11.7</v>
      </c>
      <c r="T2974" s="7">
        <f>S2974*J2974</f>
        <v>585</v>
      </c>
      <c r="U2974" s="39"/>
      <c r="V2974" s="260">
        <v>120</v>
      </c>
      <c r="W2974" s="1136">
        <f t="shared" si="191"/>
        <v>0.70454545454545459</v>
      </c>
    </row>
    <row r="2975" spans="2:23" s="7" customFormat="1" ht="17.45" customHeight="1">
      <c r="B2975" s="12" t="s">
        <v>306</v>
      </c>
      <c r="C2975" s="6" t="s">
        <v>4335</v>
      </c>
      <c r="D2975" s="14" t="s">
        <v>2416</v>
      </c>
      <c r="E2975" s="22"/>
      <c r="F2975" s="37"/>
      <c r="G2975" s="221" t="s">
        <v>4337</v>
      </c>
      <c r="H2975" s="8"/>
      <c r="I2975" s="35"/>
      <c r="J2975" s="38">
        <v>2</v>
      </c>
      <c r="K2975" s="958">
        <v>153</v>
      </c>
      <c r="L2975" s="39">
        <f t="shared" si="192"/>
        <v>306</v>
      </c>
      <c r="M2975" s="117" t="s">
        <v>349</v>
      </c>
      <c r="N2975" s="33">
        <v>45114</v>
      </c>
      <c r="O2975" s="32">
        <v>5319</v>
      </c>
      <c r="P2975" s="391">
        <f>ROUNDUP(S2975/V2975/VLOOKUP(B2975,$C$2:$F$6,3,FALSE),2)</f>
        <v>104.17</v>
      </c>
      <c r="Q2975" s="322">
        <v>104.17</v>
      </c>
      <c r="R2975" s="322">
        <f>Q2975*J2975</f>
        <v>208.34</v>
      </c>
      <c r="S2975" s="7">
        <f>3000+8000</f>
        <v>11000</v>
      </c>
      <c r="T2975" s="7">
        <f>(3000+8000)*J2975</f>
        <v>22000</v>
      </c>
      <c r="U2975" s="39"/>
      <c r="V2975" s="260">
        <v>120</v>
      </c>
      <c r="W2975" s="1136">
        <f t="shared" si="191"/>
        <v>0.40087145969498911</v>
      </c>
    </row>
    <row r="2976" spans="2:23" s="7" customFormat="1" ht="18" customHeight="1">
      <c r="B2976" s="12"/>
      <c r="C2976" s="6" t="s">
        <v>4335</v>
      </c>
      <c r="D2976" s="14" t="s">
        <v>2416</v>
      </c>
      <c r="E2976" s="853"/>
      <c r="F2976" s="340"/>
      <c r="G2976" s="22" t="s">
        <v>316</v>
      </c>
      <c r="H2976" s="8"/>
      <c r="I2976" s="109" ph="1"/>
      <c r="J2976" s="38">
        <v>1</v>
      </c>
      <c r="K2976" s="39">
        <v>12</v>
      </c>
      <c r="L2976" s="39">
        <f t="shared" si="192"/>
        <v>12</v>
      </c>
      <c r="M2976" s="117"/>
      <c r="N2976" s="33">
        <v>45114</v>
      </c>
      <c r="O2976" s="32">
        <v>5319</v>
      </c>
      <c r="P2976" s="6"/>
      <c r="Q2976" s="322">
        <v>12</v>
      </c>
      <c r="R2976" s="322">
        <v>12</v>
      </c>
      <c r="S2976" s="7">
        <v>1100</v>
      </c>
      <c r="T2976" s="7">
        <f>S2976*J2976</f>
        <v>1100</v>
      </c>
      <c r="U2976" s="21"/>
      <c r="V2976" s="260">
        <v>120</v>
      </c>
      <c r="W2976" s="1136">
        <f>(((K2976*V2976)-S2976)/(K2976*V2976))</f>
        <v>0.2361111111111111</v>
      </c>
    </row>
    <row r="2977" spans="1:23" s="218" customFormat="1" ht="18" customHeight="1">
      <c r="A2977" s="7"/>
      <c r="B2977" s="189"/>
      <c r="C2977" s="179" t="s">
        <v>4335</v>
      </c>
      <c r="D2977" s="180" t="s">
        <v>2416</v>
      </c>
      <c r="E2977" s="217"/>
      <c r="F2977" s="182"/>
      <c r="G2977" s="182" t="s">
        <v>250</v>
      </c>
      <c r="H2977" s="184" t="s">
        <v>251</v>
      </c>
      <c r="I2977" s="185"/>
      <c r="J2977" s="183"/>
      <c r="K2977" s="192">
        <v>0</v>
      </c>
      <c r="L2977" s="946"/>
      <c r="M2977" s="947"/>
      <c r="N2977" s="187">
        <v>45114</v>
      </c>
      <c r="O2977" s="186">
        <v>5319</v>
      </c>
      <c r="P2977" s="179"/>
      <c r="Q2977" s="725">
        <v>0</v>
      </c>
      <c r="S2977" s="197">
        <v>0</v>
      </c>
      <c r="T2977" s="197">
        <v>0</v>
      </c>
      <c r="U2977" s="335"/>
      <c r="V2977" s="260">
        <v>120</v>
      </c>
    </row>
    <row r="2978" spans="1:23" s="7" customFormat="1" ht="15">
      <c r="B2978" s="12"/>
      <c r="C2978" s="6" t="s">
        <v>4333</v>
      </c>
      <c r="D2978" s="14" t="s">
        <v>2416</v>
      </c>
      <c r="E2978" s="19" t="s">
        <v>4214</v>
      </c>
      <c r="F2978" s="24"/>
      <c r="G2978" s="22"/>
      <c r="H2978" s="8"/>
      <c r="I2978" s="35"/>
      <c r="J2978" s="8"/>
      <c r="K2978" s="110" t="s">
        <v>5</v>
      </c>
      <c r="L2978" s="139"/>
      <c r="M2978" s="33"/>
      <c r="N2978" s="33">
        <v>45093</v>
      </c>
      <c r="O2978" s="32">
        <v>5315</v>
      </c>
      <c r="P2978" s="6" t="s">
        <v>8</v>
      </c>
      <c r="Q2978" s="358"/>
      <c r="U2978" s="120"/>
      <c r="V2978" s="260">
        <v>120</v>
      </c>
    </row>
    <row r="2979" spans="1:23" s="7" customFormat="1" ht="18" customHeight="1">
      <c r="B2979" s="12" t="s">
        <v>300</v>
      </c>
      <c r="C2979" s="6" t="s">
        <v>4333</v>
      </c>
      <c r="D2979" s="14" t="s">
        <v>2416</v>
      </c>
      <c r="E2979" s="22" t="s">
        <v>4215</v>
      </c>
      <c r="F2979" s="37" t="s">
        <v>359</v>
      </c>
      <c r="G2979" s="396" t="s">
        <v>4208</v>
      </c>
      <c r="H2979" s="8">
        <v>50</v>
      </c>
      <c r="I2979" s="35">
        <v>24</v>
      </c>
      <c r="J2979" s="108">
        <f t="shared" ref="J2979:J2985" si="193">H2979*I2979</f>
        <v>1200</v>
      </c>
      <c r="K2979" s="958">
        <v>0.35</v>
      </c>
      <c r="L2979" s="39">
        <f t="shared" ref="L2979:L2985" si="194">K2979*J2979</f>
        <v>420</v>
      </c>
      <c r="M2979" s="117" t="s">
        <v>349</v>
      </c>
      <c r="N2979" s="33">
        <v>45093</v>
      </c>
      <c r="O2979" s="32">
        <v>5315</v>
      </c>
      <c r="P2979" s="391">
        <f t="shared" ref="P2979:P2986" si="195">ROUNDUP(S2979/V2979/VLOOKUP(B2979,$C$2:$F$6,3,FALSE),2)</f>
        <v>0.19</v>
      </c>
      <c r="Q2979" s="322">
        <v>0.19</v>
      </c>
      <c r="R2979" s="322">
        <f t="shared" ref="R2979:R2985" si="196">Q2979*J2979</f>
        <v>228</v>
      </c>
      <c r="S2979" s="7">
        <v>15.6</v>
      </c>
      <c r="T2979" s="7">
        <f t="shared" ref="T2979:T2986" si="197">S2979*J2979</f>
        <v>18720</v>
      </c>
      <c r="U2979" s="39"/>
      <c r="V2979" s="260">
        <v>120</v>
      </c>
      <c r="W2979" s="1136">
        <f t="shared" ref="W2979:W2986" si="198">(((K2979*V2979)-S2979)/(K2979*V2979))</f>
        <v>0.62857142857142856</v>
      </c>
    </row>
    <row r="2980" spans="1:23" s="7" customFormat="1" ht="18" customHeight="1">
      <c r="B2980" s="12"/>
      <c r="C2980" s="6" t="s">
        <v>4333</v>
      </c>
      <c r="D2980" s="14" t="s">
        <v>2416</v>
      </c>
      <c r="E2980" s="853"/>
      <c r="F2980" s="340"/>
      <c r="G2980" s="22" t="s">
        <v>316</v>
      </c>
      <c r="H2980" s="8"/>
      <c r="I2980" s="109" ph="1"/>
      <c r="J2980" s="38">
        <v>1</v>
      </c>
      <c r="K2980" s="39">
        <v>12</v>
      </c>
      <c r="L2980" s="39">
        <f>K2980*J2980</f>
        <v>12</v>
      </c>
      <c r="M2980" s="117"/>
      <c r="N2980" s="33">
        <v>45093</v>
      </c>
      <c r="O2980" s="32">
        <v>5315</v>
      </c>
      <c r="P2980" s="6"/>
      <c r="Q2980" s="322">
        <v>12</v>
      </c>
      <c r="R2980" s="322">
        <v>12</v>
      </c>
      <c r="S2980" s="7">
        <v>1100</v>
      </c>
      <c r="T2980" s="7">
        <f>S2980*J2980</f>
        <v>1100</v>
      </c>
      <c r="U2980" s="21"/>
      <c r="V2980" s="260">
        <v>120</v>
      </c>
      <c r="W2980" s="1136">
        <f>(((K2980*V2980)-S2980)/(K2980*V2980))</f>
        <v>0.2361111111111111</v>
      </c>
    </row>
    <row r="2981" spans="1:23" s="218" customFormat="1" ht="18" customHeight="1">
      <c r="A2981" s="7"/>
      <c r="B2981" s="189"/>
      <c r="C2981" s="179" t="s">
        <v>4333</v>
      </c>
      <c r="D2981" s="180" t="s">
        <v>2416</v>
      </c>
      <c r="E2981" s="217"/>
      <c r="F2981" s="182"/>
      <c r="G2981" s="182" t="s">
        <v>250</v>
      </c>
      <c r="H2981" s="184" t="s">
        <v>251</v>
      </c>
      <c r="I2981" s="185"/>
      <c r="J2981" s="183"/>
      <c r="K2981" s="192">
        <v>0</v>
      </c>
      <c r="L2981" s="946"/>
      <c r="M2981" s="947"/>
      <c r="N2981" s="187">
        <v>45093</v>
      </c>
      <c r="O2981" s="186">
        <v>5315</v>
      </c>
      <c r="P2981" s="179"/>
      <c r="Q2981" s="725">
        <v>0</v>
      </c>
      <c r="S2981" s="197">
        <v>0</v>
      </c>
      <c r="T2981" s="197">
        <v>0</v>
      </c>
      <c r="U2981" s="335"/>
      <c r="V2981" s="260">
        <v>120</v>
      </c>
    </row>
    <row r="2982" spans="1:23" s="7" customFormat="1" ht="15">
      <c r="B2982" s="12"/>
      <c r="C2982" s="6" t="s">
        <v>4333</v>
      </c>
      <c r="D2982" s="14" t="s">
        <v>2416</v>
      </c>
      <c r="E2982" s="19" t="s">
        <v>4214</v>
      </c>
      <c r="F2982" s="24"/>
      <c r="G2982" s="22"/>
      <c r="H2982" s="8"/>
      <c r="I2982" s="35"/>
      <c r="J2982" s="8"/>
      <c r="K2982" s="110" t="s">
        <v>5</v>
      </c>
      <c r="L2982" s="139"/>
      <c r="M2982" s="33"/>
      <c r="N2982" s="33">
        <v>45093</v>
      </c>
      <c r="O2982" s="32">
        <v>5315</v>
      </c>
      <c r="P2982" s="6" t="s">
        <v>8</v>
      </c>
      <c r="Q2982" s="358"/>
      <c r="U2982" s="120"/>
      <c r="V2982" s="260">
        <v>120</v>
      </c>
    </row>
    <row r="2983" spans="1:23" s="7" customFormat="1" ht="18" customHeight="1">
      <c r="B2983" s="12" t="s">
        <v>300</v>
      </c>
      <c r="C2983" s="6" t="s">
        <v>4333</v>
      </c>
      <c r="D2983" s="14" t="s">
        <v>2416</v>
      </c>
      <c r="E2983" s="22" t="s">
        <v>4215</v>
      </c>
      <c r="F2983" s="37" t="s">
        <v>359</v>
      </c>
      <c r="G2983" s="396" t="s">
        <v>4208</v>
      </c>
      <c r="H2983" s="8">
        <v>50</v>
      </c>
      <c r="I2983" s="35">
        <v>12</v>
      </c>
      <c r="J2983" s="108">
        <f>H2983*I2983</f>
        <v>600</v>
      </c>
      <c r="K2983" s="958">
        <v>0.35</v>
      </c>
      <c r="L2983" s="39">
        <f>K2983*J2983</f>
        <v>210</v>
      </c>
      <c r="M2983" s="117" t="s">
        <v>349</v>
      </c>
      <c r="N2983" s="1149">
        <v>45114</v>
      </c>
      <c r="O2983" s="32">
        <v>5318</v>
      </c>
      <c r="P2983" s="391">
        <f>ROUNDUP(S2983/V2983/VLOOKUP(B2983,$C$2:$F$6,3,FALSE),2)</f>
        <v>0.19</v>
      </c>
      <c r="Q2983" s="322">
        <v>0.19</v>
      </c>
      <c r="R2983" s="322">
        <f>Q2983*J2983</f>
        <v>114</v>
      </c>
      <c r="S2983" s="7">
        <v>15.6</v>
      </c>
      <c r="T2983" s="7">
        <f>S2983*J2983</f>
        <v>9360</v>
      </c>
      <c r="U2983" s="39"/>
      <c r="V2983" s="260">
        <v>120</v>
      </c>
      <c r="W2983" s="1136">
        <f>(((K2983*V2983)-S2983)/(K2983*V2983))</f>
        <v>0.62857142857142856</v>
      </c>
    </row>
    <row r="2984" spans="1:23" s="7" customFormat="1" ht="18" customHeight="1">
      <c r="B2984" s="12" t="s">
        <v>300</v>
      </c>
      <c r="C2984" s="6" t="s">
        <v>4333</v>
      </c>
      <c r="D2984" s="14" t="s">
        <v>2416</v>
      </c>
      <c r="E2984" s="22" t="s">
        <v>4215</v>
      </c>
      <c r="F2984" s="37" t="s">
        <v>359</v>
      </c>
      <c r="G2984" s="396" t="s">
        <v>4218</v>
      </c>
      <c r="H2984" s="8">
        <v>50</v>
      </c>
      <c r="I2984" s="35">
        <v>22</v>
      </c>
      <c r="J2984" s="108">
        <f t="shared" si="193"/>
        <v>1100</v>
      </c>
      <c r="K2984" s="958">
        <v>0.45</v>
      </c>
      <c r="L2984" s="39">
        <f t="shared" si="194"/>
        <v>495</v>
      </c>
      <c r="M2984" s="117" t="s">
        <v>349</v>
      </c>
      <c r="N2984" s="1149">
        <v>45114</v>
      </c>
      <c r="O2984" s="32">
        <v>5318</v>
      </c>
      <c r="P2984" s="391">
        <f t="shared" si="195"/>
        <v>0.24000000000000002</v>
      </c>
      <c r="Q2984" s="322">
        <v>0.24</v>
      </c>
      <c r="R2984" s="322">
        <f t="shared" si="196"/>
        <v>264</v>
      </c>
      <c r="S2984" s="7">
        <v>20</v>
      </c>
      <c r="T2984" s="7">
        <f t="shared" si="197"/>
        <v>22000</v>
      </c>
      <c r="U2984" s="39"/>
      <c r="V2984" s="260">
        <v>120</v>
      </c>
      <c r="W2984" s="1136">
        <f t="shared" si="198"/>
        <v>0.62962962962962965</v>
      </c>
    </row>
    <row r="2985" spans="1:23" s="7" customFormat="1" ht="18" customHeight="1">
      <c r="B2985" s="12" t="s">
        <v>300</v>
      </c>
      <c r="C2985" s="6" t="s">
        <v>4333</v>
      </c>
      <c r="D2985" s="14" t="s">
        <v>2416</v>
      </c>
      <c r="E2985" s="22" t="s">
        <v>4215</v>
      </c>
      <c r="F2985" s="37" t="s">
        <v>359</v>
      </c>
      <c r="G2985" s="396" t="s">
        <v>4212</v>
      </c>
      <c r="H2985" s="8">
        <v>50</v>
      </c>
      <c r="I2985" s="35">
        <v>22</v>
      </c>
      <c r="J2985" s="108">
        <f t="shared" si="193"/>
        <v>1100</v>
      </c>
      <c r="K2985" s="958">
        <v>0.45</v>
      </c>
      <c r="L2985" s="39">
        <f t="shared" si="194"/>
        <v>495</v>
      </c>
      <c r="M2985" s="117" t="s">
        <v>349</v>
      </c>
      <c r="N2985" s="1149">
        <v>45114</v>
      </c>
      <c r="O2985" s="32">
        <v>5318</v>
      </c>
      <c r="P2985" s="391">
        <f t="shared" si="195"/>
        <v>0.24000000000000002</v>
      </c>
      <c r="Q2985" s="322">
        <v>0.24</v>
      </c>
      <c r="R2985" s="322">
        <f t="shared" si="196"/>
        <v>264</v>
      </c>
      <c r="S2985" s="7">
        <v>20</v>
      </c>
      <c r="T2985" s="7">
        <f t="shared" si="197"/>
        <v>22000</v>
      </c>
      <c r="U2985" s="39"/>
      <c r="V2985" s="260">
        <v>120</v>
      </c>
      <c r="W2985" s="1136">
        <f t="shared" si="198"/>
        <v>0.62962962962962965</v>
      </c>
    </row>
    <row r="2986" spans="1:23" s="7" customFormat="1" ht="17.45" customHeight="1">
      <c r="B2986" s="12" t="s">
        <v>306</v>
      </c>
      <c r="C2986" s="6" t="s">
        <v>4333</v>
      </c>
      <c r="D2986" s="14" t="s">
        <v>2416</v>
      </c>
      <c r="E2986" s="49"/>
      <c r="F2986" s="37"/>
      <c r="G2986" s="221" t="s">
        <v>4334</v>
      </c>
      <c r="H2986" s="8"/>
      <c r="I2986" s="35"/>
      <c r="J2986" s="38">
        <v>2</v>
      </c>
      <c r="K2986" s="958">
        <v>85</v>
      </c>
      <c r="L2986" s="39">
        <f>K2986*J2986</f>
        <v>170</v>
      </c>
      <c r="M2986" s="117" t="s">
        <v>349</v>
      </c>
      <c r="N2986" s="1149">
        <v>45114</v>
      </c>
      <c r="O2986" s="32">
        <v>5318</v>
      </c>
      <c r="P2986" s="391">
        <f t="shared" si="195"/>
        <v>56.82</v>
      </c>
      <c r="Q2986" s="322">
        <v>56.82</v>
      </c>
      <c r="R2986" s="322">
        <f>Q2986*J2986</f>
        <v>113.64</v>
      </c>
      <c r="S2986" s="7">
        <v>6000</v>
      </c>
      <c r="T2986" s="7">
        <f t="shared" si="197"/>
        <v>12000</v>
      </c>
      <c r="U2986" s="39"/>
      <c r="V2986" s="260">
        <v>120</v>
      </c>
      <c r="W2986" s="1136">
        <f t="shared" si="198"/>
        <v>0.41176470588235292</v>
      </c>
    </row>
    <row r="2987" spans="1:23" s="218" customFormat="1" ht="18" customHeight="1">
      <c r="A2987" s="7"/>
      <c r="B2987" s="189"/>
      <c r="C2987" s="179" t="s">
        <v>4333</v>
      </c>
      <c r="D2987" s="180" t="s">
        <v>2416</v>
      </c>
      <c r="E2987" s="217"/>
      <c r="F2987" s="182"/>
      <c r="G2987" s="182" t="s">
        <v>250</v>
      </c>
      <c r="H2987" s="184" t="s">
        <v>251</v>
      </c>
      <c r="I2987" s="185"/>
      <c r="J2987" s="183"/>
      <c r="K2987" s="192">
        <v>0</v>
      </c>
      <c r="L2987" s="946"/>
      <c r="M2987" s="947"/>
      <c r="N2987" s="1150">
        <v>45114</v>
      </c>
      <c r="O2987" s="186">
        <v>5318</v>
      </c>
      <c r="P2987" s="179"/>
      <c r="Q2987" s="725">
        <v>0</v>
      </c>
      <c r="S2987" s="197">
        <v>0</v>
      </c>
      <c r="T2987" s="197">
        <v>0</v>
      </c>
      <c r="U2987" s="335"/>
      <c r="V2987" s="260">
        <v>120</v>
      </c>
    </row>
    <row r="2988" spans="1:23" ht="18" customHeight="1">
      <c r="C2988" s="6" t="s">
        <v>4339</v>
      </c>
      <c r="D2988" s="14" t="s">
        <v>2479</v>
      </c>
      <c r="E2988" s="19" t="s">
        <v>4338</v>
      </c>
      <c r="F2988" s="37"/>
      <c r="G2988" s="37"/>
      <c r="H2988" s="108"/>
      <c r="I2988" s="108"/>
      <c r="J2988" s="108"/>
      <c r="K2988" s="29" t="s">
        <v>101</v>
      </c>
      <c r="L2988" s="33"/>
      <c r="M2988" s="33"/>
      <c r="N2988" s="388" t="s">
        <v>263</v>
      </c>
      <c r="O2988" s="32"/>
      <c r="P2988" s="6"/>
      <c r="Q2988" s="272"/>
      <c r="S2988" s="257"/>
      <c r="T2988" s="92"/>
      <c r="U2988" s="266"/>
      <c r="V2988" s="260">
        <v>120</v>
      </c>
    </row>
    <row r="2989" spans="1:23" ht="18" customHeight="1">
      <c r="B2989" s="26" t="s">
        <v>300</v>
      </c>
      <c r="C2989" s="6" t="s">
        <v>4339</v>
      </c>
      <c r="D2989" s="14" t="s">
        <v>2479</v>
      </c>
      <c r="E2989" s="1139" t="s">
        <v>4341</v>
      </c>
      <c r="F2989" s="37">
        <v>3</v>
      </c>
      <c r="G2989" s="22" t="s">
        <v>4340</v>
      </c>
      <c r="H2989" s="108"/>
      <c r="I2989" s="109"/>
      <c r="J2989" s="60">
        <v>5</v>
      </c>
      <c r="K2989" s="39">
        <v>1.43</v>
      </c>
      <c r="L2989" s="1140" t="s">
        <v>4347</v>
      </c>
      <c r="M2989" s="117" t="s">
        <v>323</v>
      </c>
      <c r="N2989" s="388" t="s">
        <v>263</v>
      </c>
      <c r="O2989" s="32"/>
      <c r="P2989" s="391">
        <f>ROUNDUP(S2989/V2989/VLOOKUP(B2989,$C$2:$F$6,3,FALSE),2)</f>
        <v>0.92</v>
      </c>
      <c r="Q2989" s="253">
        <v>0.92</v>
      </c>
      <c r="R2989" s="1141" t="s">
        <v>4347</v>
      </c>
      <c r="S2989" s="257">
        <v>77</v>
      </c>
      <c r="T2989" s="1142" t="s">
        <v>4346</v>
      </c>
      <c r="U2989" s="1138"/>
      <c r="V2989" s="260">
        <v>120</v>
      </c>
      <c r="W2989" s="1136">
        <f t="shared" ref="W2989:W2995" si="199">(((K2989*V2989)-S2989)/(K2989*V2989))</f>
        <v>0.55128205128205132</v>
      </c>
    </row>
    <row r="2990" spans="1:23" ht="18" customHeight="1">
      <c r="B2990" s="26" t="s">
        <v>300</v>
      </c>
      <c r="C2990" s="6" t="s">
        <v>4339</v>
      </c>
      <c r="D2990" s="14" t="s">
        <v>2479</v>
      </c>
      <c r="E2990" s="1139" t="s">
        <v>4342</v>
      </c>
      <c r="F2990" s="37">
        <v>5</v>
      </c>
      <c r="G2990" s="22" t="s">
        <v>4340</v>
      </c>
      <c r="H2990" s="108"/>
      <c r="I2990" s="109"/>
      <c r="J2990" s="60">
        <v>5</v>
      </c>
      <c r="K2990" s="39">
        <v>2.13</v>
      </c>
      <c r="L2990" s="1140" t="s">
        <v>4347</v>
      </c>
      <c r="M2990" s="117" t="s">
        <v>323</v>
      </c>
      <c r="N2990" s="388" t="s">
        <v>263</v>
      </c>
      <c r="O2990" s="32"/>
      <c r="P2990" s="391">
        <f>ROUNDUP(S2990/V2990/VLOOKUP(B2990,$C$2:$F$6,3,FALSE),2)</f>
        <v>1.37</v>
      </c>
      <c r="Q2990" s="253">
        <v>1.37</v>
      </c>
      <c r="R2990" s="1141" t="s">
        <v>4347</v>
      </c>
      <c r="S2990" s="257">
        <v>115</v>
      </c>
      <c r="T2990" s="1142" t="s">
        <v>4346</v>
      </c>
      <c r="U2990" s="1138"/>
      <c r="V2990" s="260">
        <v>120</v>
      </c>
      <c r="W2990" s="1136">
        <f t="shared" si="199"/>
        <v>0.5500782472613458</v>
      </c>
    </row>
    <row r="2991" spans="1:23" ht="18" customHeight="1">
      <c r="B2991" s="26" t="s">
        <v>300</v>
      </c>
      <c r="C2991" s="6" t="s">
        <v>4339</v>
      </c>
      <c r="D2991" s="14" t="s">
        <v>2479</v>
      </c>
      <c r="E2991" s="1139" t="s">
        <v>4343</v>
      </c>
      <c r="F2991" s="37">
        <v>3</v>
      </c>
      <c r="G2991" s="22" t="s">
        <v>4340</v>
      </c>
      <c r="H2991" s="108"/>
      <c r="I2991" s="109"/>
      <c r="J2991" s="60">
        <v>5</v>
      </c>
      <c r="K2991" s="39">
        <v>1.84</v>
      </c>
      <c r="L2991" s="1140" t="s">
        <v>4347</v>
      </c>
      <c r="M2991" s="117" t="s">
        <v>323</v>
      </c>
      <c r="N2991" s="388" t="s">
        <v>263</v>
      </c>
      <c r="O2991" s="32"/>
      <c r="P2991" s="391">
        <f>ROUNDUP(S2991/V2991/VLOOKUP(B2991,$C$2:$F$6,3,FALSE),2)</f>
        <v>1.18</v>
      </c>
      <c r="Q2991" s="253">
        <v>1.18</v>
      </c>
      <c r="R2991" s="1141" t="s">
        <v>4347</v>
      </c>
      <c r="S2991" s="257">
        <v>99</v>
      </c>
      <c r="T2991" s="1142" t="s">
        <v>4346</v>
      </c>
      <c r="U2991" s="1138"/>
      <c r="V2991" s="260">
        <v>120</v>
      </c>
      <c r="W2991" s="1136">
        <f t="shared" si="199"/>
        <v>0.55163043478260876</v>
      </c>
    </row>
    <row r="2992" spans="1:23" ht="18" customHeight="1">
      <c r="B2992" s="26" t="s">
        <v>300</v>
      </c>
      <c r="C2992" s="6" t="s">
        <v>4339</v>
      </c>
      <c r="D2992" s="14" t="s">
        <v>2479</v>
      </c>
      <c r="E2992" s="1139" t="s">
        <v>4344</v>
      </c>
      <c r="F2992" s="37">
        <v>3</v>
      </c>
      <c r="G2992" s="22" t="s">
        <v>4340</v>
      </c>
      <c r="H2992" s="108"/>
      <c r="I2992" s="109"/>
      <c r="J2992" s="60">
        <v>5</v>
      </c>
      <c r="K2992" s="39">
        <v>1.97</v>
      </c>
      <c r="L2992" s="1140" t="s">
        <v>4347</v>
      </c>
      <c r="M2992" s="117" t="s">
        <v>323</v>
      </c>
      <c r="N2992" s="388" t="s">
        <v>263</v>
      </c>
      <c r="O2992" s="32"/>
      <c r="P2992" s="391">
        <f>ROUNDUP(S2992/V2992/VLOOKUP(B2992,$C$2:$F$6,3,FALSE),2)</f>
        <v>1.27</v>
      </c>
      <c r="Q2992" s="253">
        <v>1.27</v>
      </c>
      <c r="R2992" s="1141" t="s">
        <v>4347</v>
      </c>
      <c r="S2992" s="257">
        <v>106</v>
      </c>
      <c r="T2992" s="1142" t="s">
        <v>4346</v>
      </c>
      <c r="U2992" s="1138"/>
      <c r="V2992" s="260">
        <v>120</v>
      </c>
      <c r="W2992" s="1136">
        <f t="shared" si="199"/>
        <v>0.55160744500846026</v>
      </c>
    </row>
    <row r="2993" spans="1:24" ht="18" customHeight="1">
      <c r="C2993" s="6" t="s">
        <v>4339</v>
      </c>
      <c r="D2993" s="14" t="s">
        <v>2479</v>
      </c>
      <c r="E2993" s="19"/>
      <c r="F2993" s="37"/>
      <c r="G2993" s="37"/>
      <c r="H2993" s="108"/>
      <c r="I2993" s="108"/>
      <c r="J2993" s="108"/>
      <c r="K2993" s="29" t="s">
        <v>101</v>
      </c>
      <c r="L2993" s="33"/>
      <c r="M2993" s="33"/>
      <c r="N2993" s="388" t="s">
        <v>263</v>
      </c>
      <c r="O2993" s="32"/>
      <c r="P2993" s="6"/>
      <c r="Q2993" s="272"/>
      <c r="S2993" s="257"/>
      <c r="T2993" s="92"/>
      <c r="U2993" s="266"/>
      <c r="V2993" s="260">
        <v>120</v>
      </c>
      <c r="W2993" s="1136" t="e">
        <f t="shared" si="199"/>
        <v>#VALUE!</v>
      </c>
    </row>
    <row r="2994" spans="1:24" ht="18" customHeight="1">
      <c r="B2994" s="26" t="s">
        <v>300</v>
      </c>
      <c r="C2994" s="6" t="s">
        <v>4339</v>
      </c>
      <c r="D2994" s="14" t="s">
        <v>2479</v>
      </c>
      <c r="E2994" s="1139">
        <v>4032</v>
      </c>
      <c r="F2994" s="37"/>
      <c r="G2994" s="22" t="s">
        <v>4345</v>
      </c>
      <c r="H2994" s="108"/>
      <c r="I2994" s="109"/>
      <c r="J2994" s="60">
        <v>5</v>
      </c>
      <c r="K2994" s="39"/>
      <c r="L2994" s="1140" t="s">
        <v>4347</v>
      </c>
      <c r="M2994" s="117" t="s">
        <v>323</v>
      </c>
      <c r="N2994" s="388" t="s">
        <v>263</v>
      </c>
      <c r="O2994" s="32"/>
      <c r="P2994" s="391">
        <f>ROUNDUP(S2994/V2994/VLOOKUP(B2994,$C$2:$F$6,3,FALSE),2)</f>
        <v>0</v>
      </c>
      <c r="Q2994" s="253"/>
      <c r="R2994" s="323"/>
      <c r="S2994" s="257"/>
      <c r="T2994" s="92"/>
      <c r="U2994" s="1138"/>
      <c r="V2994" s="260">
        <v>120</v>
      </c>
      <c r="W2994" s="1136" t="e">
        <f t="shared" si="199"/>
        <v>#DIV/0!</v>
      </c>
    </row>
    <row r="2995" spans="1:24" s="7" customFormat="1" ht="18" customHeight="1">
      <c r="B2995" s="12"/>
      <c r="C2995" s="6" t="s">
        <v>4339</v>
      </c>
      <c r="D2995" s="14" t="s">
        <v>2479</v>
      </c>
      <c r="E2995" s="853"/>
      <c r="F2995" s="340"/>
      <c r="G2995" s="22" t="s">
        <v>316</v>
      </c>
      <c r="H2995" s="8"/>
      <c r="I2995" s="109" ph="1"/>
      <c r="J2995" s="38">
        <v>1</v>
      </c>
      <c r="K2995" s="39">
        <v>12</v>
      </c>
      <c r="L2995" s="1140" t="s">
        <v>4347</v>
      </c>
      <c r="M2995" s="117"/>
      <c r="N2995" s="388" t="s">
        <v>263</v>
      </c>
      <c r="O2995" s="32"/>
      <c r="P2995" s="6"/>
      <c r="Q2995" s="322">
        <v>12</v>
      </c>
      <c r="R2995" s="322">
        <v>12</v>
      </c>
      <c r="S2995" s="7">
        <v>1100</v>
      </c>
      <c r="T2995" s="1142" t="s">
        <v>4346</v>
      </c>
      <c r="U2995" s="21"/>
      <c r="V2995" s="260">
        <v>120</v>
      </c>
      <c r="W2995" s="1136">
        <f t="shared" si="199"/>
        <v>0.2361111111111111</v>
      </c>
    </row>
    <row r="2996" spans="1:24" s="218" customFormat="1" ht="18" customHeight="1">
      <c r="A2996" s="7"/>
      <c r="B2996" s="189"/>
      <c r="C2996" s="179" t="s">
        <v>4339</v>
      </c>
      <c r="D2996" s="180" t="s">
        <v>2479</v>
      </c>
      <c r="E2996" s="217"/>
      <c r="F2996" s="182"/>
      <c r="G2996" s="182" t="s">
        <v>250</v>
      </c>
      <c r="H2996" s="184" t="s">
        <v>251</v>
      </c>
      <c r="I2996" s="185"/>
      <c r="J2996" s="183"/>
      <c r="K2996" s="192">
        <v>0</v>
      </c>
      <c r="L2996" s="946"/>
      <c r="M2996" s="947"/>
      <c r="N2996" s="1143" t="s">
        <v>263</v>
      </c>
      <c r="O2996" s="186"/>
      <c r="P2996" s="179"/>
      <c r="Q2996" s="725">
        <v>0</v>
      </c>
      <c r="S2996" s="197">
        <v>0</v>
      </c>
      <c r="T2996" s="197">
        <v>0</v>
      </c>
      <c r="U2996" s="335"/>
      <c r="V2996" s="260">
        <v>120</v>
      </c>
    </row>
    <row r="2997" spans="1:24" s="7" customFormat="1" ht="18" customHeight="1">
      <c r="B2997" s="12"/>
      <c r="C2997" s="6" t="s">
        <v>4348</v>
      </c>
      <c r="D2997" s="14" t="s">
        <v>2171</v>
      </c>
      <c r="E2997" s="19" t="s">
        <v>10</v>
      </c>
      <c r="F2997" s="107"/>
      <c r="G2997" s="22"/>
      <c r="H2997" s="108"/>
      <c r="I2997" s="109"/>
      <c r="J2997" s="108"/>
      <c r="K2997" s="29" t="s">
        <v>5</v>
      </c>
      <c r="L2997" s="39"/>
      <c r="M2997" s="91"/>
      <c r="N2997" s="33">
        <v>45105</v>
      </c>
      <c r="O2997" s="32">
        <v>5329</v>
      </c>
      <c r="P2997" s="14"/>
      <c r="Q2997" s="322"/>
      <c r="U2997" s="14"/>
      <c r="V2997" s="384">
        <v>120</v>
      </c>
    </row>
    <row r="2998" spans="1:24" s="7" customFormat="1" ht="18" customHeight="1">
      <c r="B2998" s="12" t="s">
        <v>302</v>
      </c>
      <c r="C2998" s="6" t="s">
        <v>4348</v>
      </c>
      <c r="D2998" s="14" t="s">
        <v>2171</v>
      </c>
      <c r="E2998" s="22" t="s">
        <v>190</v>
      </c>
      <c r="F2998" s="107">
        <v>160</v>
      </c>
      <c r="G2998" s="396" t="s">
        <v>4349</v>
      </c>
      <c r="H2998" s="108">
        <v>50</v>
      </c>
      <c r="I2998" s="109">
        <v>1</v>
      </c>
      <c r="J2998" s="8">
        <f>H2998*I2998</f>
        <v>50</v>
      </c>
      <c r="K2998" s="39">
        <v>5.28</v>
      </c>
      <c r="L2998" s="39">
        <f>K2998*J2998</f>
        <v>264</v>
      </c>
      <c r="M2998" s="117" t="s">
        <v>322</v>
      </c>
      <c r="N2998" s="33">
        <v>45105</v>
      </c>
      <c r="O2998" s="32">
        <v>5329</v>
      </c>
      <c r="P2998" s="391">
        <f>ROUNDUP(S2998/V2998/VLOOKUP(B2998,$C$2:$F$6,3,FALSE),2)</f>
        <v>3.5999999999999996</v>
      </c>
      <c r="Q2998" s="322">
        <v>3.6</v>
      </c>
      <c r="R2998" s="322">
        <f>Q2998*J2998</f>
        <v>180</v>
      </c>
      <c r="S2998" s="7">
        <v>380</v>
      </c>
      <c r="T2998" s="7">
        <f>S2998*J2998</f>
        <v>19000</v>
      </c>
      <c r="U2998" s="21"/>
      <c r="V2998" s="260">
        <v>120</v>
      </c>
      <c r="W2998" s="1136">
        <f>(((K2998*V2998)-S2998)/(K2998*V2998))</f>
        <v>0.40025252525252525</v>
      </c>
    </row>
    <row r="2999" spans="1:24" s="7" customFormat="1" ht="18" customHeight="1">
      <c r="B2999" s="12" t="s">
        <v>302</v>
      </c>
      <c r="C2999" s="6" t="s">
        <v>4348</v>
      </c>
      <c r="D2999" s="14" t="s">
        <v>2171</v>
      </c>
      <c r="E2999" s="22" t="s">
        <v>190</v>
      </c>
      <c r="F2999" s="107">
        <v>160</v>
      </c>
      <c r="G2999" s="396" t="s">
        <v>2407</v>
      </c>
      <c r="H2999" s="108">
        <v>50</v>
      </c>
      <c r="I2999" s="109">
        <v>1</v>
      </c>
      <c r="J2999" s="8">
        <f>H2999*I2999</f>
        <v>50</v>
      </c>
      <c r="K2999" s="39">
        <v>5.28</v>
      </c>
      <c r="L2999" s="39">
        <f>K2999*J2999</f>
        <v>264</v>
      </c>
      <c r="M2999" s="117" t="s">
        <v>322</v>
      </c>
      <c r="N2999" s="33">
        <v>45105</v>
      </c>
      <c r="O2999" s="32">
        <v>5329</v>
      </c>
      <c r="P2999" s="391">
        <f>ROUNDUP(S2999/V2999/VLOOKUP(B2999,$C$2:$F$6,3,FALSE),2)</f>
        <v>3.5999999999999996</v>
      </c>
      <c r="Q2999" s="322">
        <v>3.6</v>
      </c>
      <c r="R2999" s="322">
        <f>Q2999*J2999</f>
        <v>180</v>
      </c>
      <c r="S2999" s="7">
        <v>380</v>
      </c>
      <c r="T2999" s="7">
        <f>S2999*J2999</f>
        <v>19000</v>
      </c>
      <c r="U2999" s="21"/>
      <c r="V2999" s="260">
        <v>120</v>
      </c>
      <c r="W2999" s="1136">
        <f>(((K2999*V2999)-S2999)/(K2999*V2999))</f>
        <v>0.40025252525252525</v>
      </c>
    </row>
    <row r="3000" spans="1:24" s="7" customFormat="1" ht="18" customHeight="1">
      <c r="B3000" s="12"/>
      <c r="C3000" s="6" t="s">
        <v>4348</v>
      </c>
      <c r="D3000" s="14" t="s">
        <v>2171</v>
      </c>
      <c r="E3000" s="19" t="s">
        <v>10</v>
      </c>
      <c r="F3000" s="107"/>
      <c r="G3000" s="22"/>
      <c r="H3000" s="108"/>
      <c r="I3000" s="109"/>
      <c r="J3000" s="108"/>
      <c r="K3000" s="29" t="s">
        <v>5</v>
      </c>
      <c r="L3000" s="139"/>
      <c r="M3000" s="33"/>
      <c r="N3000" s="33">
        <v>45105</v>
      </c>
      <c r="O3000" s="32">
        <v>5329</v>
      </c>
      <c r="P3000" s="14"/>
      <c r="Q3000" s="322"/>
      <c r="U3000" s="14"/>
      <c r="V3000" s="260">
        <v>120</v>
      </c>
    </row>
    <row r="3001" spans="1:24" s="7" customFormat="1" ht="18" customHeight="1">
      <c r="B3001" s="12" t="s">
        <v>302</v>
      </c>
      <c r="C3001" s="6" t="s">
        <v>4348</v>
      </c>
      <c r="D3001" s="14" t="s">
        <v>2171</v>
      </c>
      <c r="E3001" s="22" t="s">
        <v>207</v>
      </c>
      <c r="F3001" s="107">
        <v>152</v>
      </c>
      <c r="G3001" s="396" t="s">
        <v>3072</v>
      </c>
      <c r="H3001" s="108">
        <v>60</v>
      </c>
      <c r="I3001" s="109">
        <v>1</v>
      </c>
      <c r="J3001" s="8">
        <f>I3001*H3001</f>
        <v>60</v>
      </c>
      <c r="K3001" s="39">
        <v>4.7300000000000004</v>
      </c>
      <c r="L3001" s="39">
        <f>K3001*J3001</f>
        <v>283.8</v>
      </c>
      <c r="M3001" s="403" t="s">
        <v>322</v>
      </c>
      <c r="N3001" s="33">
        <v>45105</v>
      </c>
      <c r="O3001" s="32">
        <v>5329</v>
      </c>
      <c r="P3001" s="391">
        <f>ROUNDUP(S3001/V3001/VLOOKUP(B3001,$C$2:$F$6,3,FALSE),2)</f>
        <v>3.2199999999999998</v>
      </c>
      <c r="Q3001" s="322">
        <v>3.22</v>
      </c>
      <c r="R3001" s="322">
        <f>Q3001*J3001</f>
        <v>193.20000000000002</v>
      </c>
      <c r="S3001" s="7">
        <v>340</v>
      </c>
      <c r="T3001" s="7">
        <f>S3001*J3001</f>
        <v>20400</v>
      </c>
      <c r="U3001" s="21"/>
      <c r="V3001" s="260">
        <v>120</v>
      </c>
      <c r="W3001" s="1136">
        <f>(((K3001*V3001)-S3001)/(K3001*V3001))</f>
        <v>0.4009866102889359</v>
      </c>
    </row>
    <row r="3002" spans="1:24" s="7" customFormat="1" ht="18" customHeight="1">
      <c r="B3002" s="12" t="s">
        <v>302</v>
      </c>
      <c r="C3002" s="6" t="s">
        <v>4348</v>
      </c>
      <c r="D3002" s="14" t="s">
        <v>2171</v>
      </c>
      <c r="E3002" s="22" t="s">
        <v>207</v>
      </c>
      <c r="F3002" s="107">
        <v>152</v>
      </c>
      <c r="G3002" s="396" t="s">
        <v>4350</v>
      </c>
      <c r="H3002" s="108">
        <v>50</v>
      </c>
      <c r="I3002" s="109">
        <v>1</v>
      </c>
      <c r="J3002" s="8">
        <f>I3002*H3002</f>
        <v>50</v>
      </c>
      <c r="K3002" s="39">
        <v>4.7300000000000004</v>
      </c>
      <c r="L3002" s="39">
        <f>K3002*J3002</f>
        <v>236.50000000000003</v>
      </c>
      <c r="M3002" s="403" t="s">
        <v>322</v>
      </c>
      <c r="N3002" s="33">
        <v>45105</v>
      </c>
      <c r="O3002" s="32">
        <v>5329</v>
      </c>
      <c r="P3002" s="391">
        <f>ROUNDUP(S3002/V3002/VLOOKUP(B3002,$C$2:$F$6,3,FALSE),2)</f>
        <v>3.2199999999999998</v>
      </c>
      <c r="Q3002" s="322">
        <v>3.22</v>
      </c>
      <c r="R3002" s="322">
        <f>Q3002*J3002</f>
        <v>161</v>
      </c>
      <c r="S3002" s="7">
        <v>340</v>
      </c>
      <c r="T3002" s="7">
        <f>S3002*J3002</f>
        <v>17000</v>
      </c>
      <c r="U3002" s="21"/>
      <c r="V3002" s="260">
        <v>120</v>
      </c>
      <c r="W3002" s="1136">
        <f>(((K3002*V3002)-S3002)/(K3002*V3002))</f>
        <v>0.4009866102889359</v>
      </c>
    </row>
    <row r="3003" spans="1:24" s="7" customFormat="1" ht="18" customHeight="1">
      <c r="B3003" s="12"/>
      <c r="C3003" s="6" t="s">
        <v>4348</v>
      </c>
      <c r="D3003" s="14" t="s">
        <v>2171</v>
      </c>
      <c r="E3003" s="22"/>
      <c r="F3003" s="102"/>
      <c r="G3003" s="22" t="s">
        <v>316</v>
      </c>
      <c r="H3003" s="8"/>
      <c r="I3003" s="35"/>
      <c r="J3003" s="38">
        <v>1</v>
      </c>
      <c r="K3003" s="39">
        <v>20</v>
      </c>
      <c r="L3003" s="39">
        <f>K3003*J3003</f>
        <v>20</v>
      </c>
      <c r="M3003" s="91"/>
      <c r="N3003" s="33">
        <v>45105</v>
      </c>
      <c r="O3003" s="32">
        <v>5329</v>
      </c>
      <c r="P3003" s="6" t="s">
        <v>3</v>
      </c>
      <c r="Q3003" s="39">
        <v>20</v>
      </c>
      <c r="R3003" s="322">
        <f>Q3003*J3003</f>
        <v>20</v>
      </c>
      <c r="S3003" s="7">
        <v>1800</v>
      </c>
      <c r="T3003" s="7">
        <f>S3003*J3003</f>
        <v>1800</v>
      </c>
      <c r="U3003" s="21"/>
      <c r="V3003" s="260">
        <v>120</v>
      </c>
    </row>
    <row r="3004" spans="1:24" s="191" customFormat="1" ht="18" customHeight="1">
      <c r="B3004" s="190"/>
      <c r="C3004" s="179" t="s">
        <v>4348</v>
      </c>
      <c r="D3004" s="180" t="s">
        <v>2171</v>
      </c>
      <c r="E3004" s="181"/>
      <c r="F3004" s="182"/>
      <c r="G3004" s="182" t="s">
        <v>250</v>
      </c>
      <c r="H3004" s="184" t="s">
        <v>252</v>
      </c>
      <c r="I3004" s="185"/>
      <c r="J3004" s="183"/>
      <c r="K3004" s="192">
        <v>310</v>
      </c>
      <c r="L3004" s="192">
        <v>310</v>
      </c>
      <c r="M3004" s="947"/>
      <c r="N3004" s="187">
        <v>45105</v>
      </c>
      <c r="O3004" s="186">
        <v>5329</v>
      </c>
      <c r="P3004" s="179"/>
      <c r="Q3004" s="192">
        <v>310</v>
      </c>
      <c r="R3004" s="192">
        <v>310</v>
      </c>
      <c r="S3004" s="1144">
        <v>23301</v>
      </c>
      <c r="T3004" s="1144">
        <v>23301</v>
      </c>
      <c r="U3004" s="335"/>
      <c r="V3004" s="260">
        <v>120</v>
      </c>
      <c r="X3004" s="218"/>
    </row>
    <row r="3005" spans="1:24" s="7" customFormat="1" ht="18" customHeight="1">
      <c r="B3005" s="12"/>
      <c r="C3005" s="6" t="s">
        <v>4353</v>
      </c>
      <c r="D3005" s="14" t="s">
        <v>2004</v>
      </c>
      <c r="E3005" s="19" t="s">
        <v>2882</v>
      </c>
      <c r="F3005" s="37"/>
      <c r="G3005" s="37"/>
      <c r="H3005" s="108"/>
      <c r="I3005" s="108"/>
      <c r="J3005" s="108"/>
      <c r="K3005" s="110" t="s">
        <v>101</v>
      </c>
      <c r="L3005" s="139"/>
      <c r="M3005" s="33"/>
      <c r="N3005" s="33">
        <v>45111</v>
      </c>
      <c r="O3005" s="32">
        <v>5349</v>
      </c>
      <c r="P3005" s="6"/>
      <c r="Q3005" s="339"/>
      <c r="U3005" s="21"/>
      <c r="V3005" s="257"/>
    </row>
    <row r="3006" spans="1:24" s="7" customFormat="1" ht="17.25" customHeight="1">
      <c r="B3006" s="12" t="s">
        <v>300</v>
      </c>
      <c r="C3006" s="6" t="s">
        <v>4353</v>
      </c>
      <c r="D3006" s="14" t="s">
        <v>2004</v>
      </c>
      <c r="E3006" s="22" t="s">
        <v>198</v>
      </c>
      <c r="F3006" s="37"/>
      <c r="G3006" s="37" t="s">
        <v>58</v>
      </c>
      <c r="H3006" s="108">
        <v>14</v>
      </c>
      <c r="I3006" s="109">
        <v>1</v>
      </c>
      <c r="J3006" s="8">
        <f>H3006*I3006</f>
        <v>14</v>
      </c>
      <c r="K3006" s="39">
        <v>1.18</v>
      </c>
      <c r="L3006" s="39">
        <f>K3006*J3006</f>
        <v>16.52</v>
      </c>
      <c r="M3006" s="117" t="s">
        <v>349</v>
      </c>
      <c r="N3006" s="33">
        <v>45111</v>
      </c>
      <c r="O3006" s="32">
        <v>5349</v>
      </c>
      <c r="P3006" s="391">
        <f>ROUNDUP(S3006/V3006/VLOOKUP(B3006,$C$2:$F$6,3,FALSE),2)</f>
        <v>1.02</v>
      </c>
      <c r="Q3006" s="358">
        <v>1.02</v>
      </c>
      <c r="R3006" s="322">
        <f>Q3006*J3006</f>
        <v>14.280000000000001</v>
      </c>
      <c r="S3006" s="7">
        <v>85</v>
      </c>
      <c r="T3006" s="7">
        <f>S3006*J3006</f>
        <v>1190</v>
      </c>
      <c r="U3006" s="267"/>
      <c r="V3006" s="260">
        <v>120</v>
      </c>
    </row>
    <row r="3007" spans="1:24" s="7" customFormat="1" ht="18" customHeight="1">
      <c r="B3007" s="12"/>
      <c r="C3007" s="6" t="s">
        <v>4353</v>
      </c>
      <c r="D3007" s="14" t="s">
        <v>2004</v>
      </c>
      <c r="E3007" s="82"/>
      <c r="F3007" s="102"/>
      <c r="G3007" s="22" t="s">
        <v>316</v>
      </c>
      <c r="H3007" s="8"/>
      <c r="I3007" s="35"/>
      <c r="J3007" s="38">
        <v>1</v>
      </c>
      <c r="K3007" s="39">
        <v>12</v>
      </c>
      <c r="L3007" s="39">
        <f>K3007*J3007</f>
        <v>12</v>
      </c>
      <c r="M3007" s="91"/>
      <c r="N3007" s="33">
        <v>45111</v>
      </c>
      <c r="O3007" s="32">
        <v>5349</v>
      </c>
      <c r="P3007" s="6"/>
      <c r="Q3007" s="322">
        <v>12</v>
      </c>
      <c r="R3007" s="322">
        <v>12</v>
      </c>
      <c r="T3007" s="7">
        <f>S3007*J3007</f>
        <v>0</v>
      </c>
      <c r="U3007" s="21"/>
      <c r="V3007" s="260">
        <v>120</v>
      </c>
    </row>
    <row r="3008" spans="1:24" s="7" customFormat="1" ht="18" customHeight="1">
      <c r="B3008" s="12"/>
      <c r="C3008" s="6" t="s">
        <v>4354</v>
      </c>
      <c r="D3008" s="14" t="s">
        <v>2004</v>
      </c>
      <c r="E3008" s="19" t="s">
        <v>2882</v>
      </c>
      <c r="F3008" s="37"/>
      <c r="G3008" s="37"/>
      <c r="H3008" s="108"/>
      <c r="I3008" s="108"/>
      <c r="J3008" s="108"/>
      <c r="K3008" s="110" t="s">
        <v>101</v>
      </c>
      <c r="L3008" s="139"/>
      <c r="M3008" s="33"/>
      <c r="N3008" s="33">
        <v>45134</v>
      </c>
      <c r="O3008" s="32">
        <v>5354</v>
      </c>
      <c r="P3008" s="6"/>
      <c r="Q3008" s="339"/>
      <c r="U3008" s="21"/>
      <c r="V3008" s="257"/>
    </row>
    <row r="3009" spans="2:23" s="7" customFormat="1" ht="17.25" customHeight="1">
      <c r="B3009" s="12" t="s">
        <v>300</v>
      </c>
      <c r="C3009" s="6" t="s">
        <v>4354</v>
      </c>
      <c r="D3009" s="14" t="s">
        <v>2004</v>
      </c>
      <c r="E3009" s="22" t="s">
        <v>198</v>
      </c>
      <c r="F3009" s="37"/>
      <c r="G3009" s="37" t="s">
        <v>58</v>
      </c>
      <c r="H3009" s="108">
        <v>14</v>
      </c>
      <c r="I3009" s="109">
        <v>190</v>
      </c>
      <c r="J3009" s="8">
        <f>H3009*I3009</f>
        <v>2660</v>
      </c>
      <c r="K3009" s="39">
        <v>1.18</v>
      </c>
      <c r="L3009" s="39">
        <f>K3009*J3009</f>
        <v>3138.7999999999997</v>
      </c>
      <c r="M3009" s="117" t="s">
        <v>349</v>
      </c>
      <c r="N3009" s="33">
        <v>45134</v>
      </c>
      <c r="O3009" s="32">
        <v>5354</v>
      </c>
      <c r="P3009" s="391">
        <f>ROUNDUP(S3009/V3009/VLOOKUP(B3009,$C$2:$F$6,3,FALSE),2)</f>
        <v>1.02</v>
      </c>
      <c r="Q3009" s="358">
        <v>1.02</v>
      </c>
      <c r="R3009" s="322">
        <f>Q3009*J3009</f>
        <v>2713.2000000000003</v>
      </c>
      <c r="S3009" s="7">
        <v>85</v>
      </c>
      <c r="T3009" s="7">
        <f>S3009*J3009</f>
        <v>226100</v>
      </c>
      <c r="U3009" s="267"/>
      <c r="V3009" s="260">
        <v>120</v>
      </c>
    </row>
    <row r="3010" spans="2:23" s="7" customFormat="1" ht="17.25" customHeight="1">
      <c r="B3010" s="12" t="s">
        <v>300</v>
      </c>
      <c r="C3010" s="6" t="s">
        <v>4354</v>
      </c>
      <c r="D3010" s="14" t="s">
        <v>2004</v>
      </c>
      <c r="E3010" s="22" t="s">
        <v>3447</v>
      </c>
      <c r="F3010" s="37"/>
      <c r="G3010" s="37" t="s">
        <v>39</v>
      </c>
      <c r="H3010" s="108">
        <v>14</v>
      </c>
      <c r="I3010" s="109">
        <v>89</v>
      </c>
      <c r="J3010" s="8">
        <f>H3010*I3010</f>
        <v>1246</v>
      </c>
      <c r="K3010" s="39">
        <v>1.88</v>
      </c>
      <c r="L3010" s="39">
        <f>K3010*J3010</f>
        <v>2342.48</v>
      </c>
      <c r="M3010" s="117" t="s">
        <v>349</v>
      </c>
      <c r="N3010" s="33">
        <v>45134</v>
      </c>
      <c r="O3010" s="32">
        <v>5354</v>
      </c>
      <c r="P3010" s="391">
        <f>ROUNDUP(S3010/V3010/VLOOKUP(B3010,$C$2:$F$6,3,FALSE),2)</f>
        <v>1.61</v>
      </c>
      <c r="Q3010" s="358">
        <v>1.61</v>
      </c>
      <c r="R3010" s="322">
        <f>Q3010*J3010</f>
        <v>2006.0600000000002</v>
      </c>
      <c r="S3010" s="7">
        <v>135</v>
      </c>
      <c r="T3010" s="7">
        <f>S3010*J3010</f>
        <v>168210</v>
      </c>
      <c r="U3010" s="267"/>
      <c r="V3010" s="260">
        <v>120</v>
      </c>
    </row>
    <row r="3011" spans="2:23" s="191" customFormat="1" ht="15">
      <c r="B3011" s="190"/>
      <c r="C3011" s="179" t="s">
        <v>4354</v>
      </c>
      <c r="D3011" s="180" t="s">
        <v>2004</v>
      </c>
      <c r="E3011" s="181"/>
      <c r="F3011" s="182"/>
      <c r="G3011" s="182" t="s">
        <v>2738</v>
      </c>
      <c r="H3011" s="184" t="s">
        <v>251</v>
      </c>
      <c r="I3011" s="185"/>
      <c r="J3011" s="183"/>
      <c r="K3011" s="192">
        <v>0</v>
      </c>
      <c r="L3011" s="187"/>
      <c r="M3011" s="187"/>
      <c r="N3011" s="187">
        <v>45134</v>
      </c>
      <c r="O3011" s="186">
        <v>5354</v>
      </c>
      <c r="P3011" s="179"/>
      <c r="Q3011" s="255">
        <v>0</v>
      </c>
      <c r="S3011" s="274">
        <v>0</v>
      </c>
      <c r="T3011" s="198">
        <v>0</v>
      </c>
      <c r="U3011" s="271"/>
      <c r="V3011" s="260">
        <v>120</v>
      </c>
    </row>
    <row r="3012" spans="2:23" s="7" customFormat="1" ht="15">
      <c r="B3012" s="12"/>
      <c r="C3012" s="6" t="s">
        <v>4374</v>
      </c>
      <c r="D3012" s="14" t="s">
        <v>1963</v>
      </c>
      <c r="E3012" s="19" t="s">
        <v>4355</v>
      </c>
      <c r="F3012" s="24"/>
      <c r="G3012" s="22"/>
      <c r="H3012" s="60"/>
      <c r="I3012" s="61"/>
      <c r="J3012" s="60"/>
      <c r="K3012" s="16" t="s">
        <v>101</v>
      </c>
      <c r="L3012" s="33"/>
      <c r="M3012" s="33"/>
      <c r="N3012" s="33">
        <v>45121</v>
      </c>
      <c r="O3012" s="32">
        <v>5393</v>
      </c>
      <c r="P3012" s="6" t="s">
        <v>8</v>
      </c>
      <c r="Q3012" s="252"/>
      <c r="S3012" s="257"/>
      <c r="T3012" s="92"/>
      <c r="U3012" s="265"/>
      <c r="V3012" s="260">
        <v>120</v>
      </c>
    </row>
    <row r="3013" spans="2:23" s="7" customFormat="1" ht="15.75">
      <c r="B3013" s="12" t="s">
        <v>306</v>
      </c>
      <c r="C3013" s="6" t="s">
        <v>4374</v>
      </c>
      <c r="D3013" s="14" t="s">
        <v>1963</v>
      </c>
      <c r="E3013" s="22" t="s">
        <v>4373</v>
      </c>
      <c r="F3013" s="24" t="s">
        <v>4356</v>
      </c>
      <c r="G3013" s="22" t="s">
        <v>4370</v>
      </c>
      <c r="H3013" s="108"/>
      <c r="I3013" s="109"/>
      <c r="J3013" s="38">
        <v>1</v>
      </c>
      <c r="K3013" s="23">
        <v>70</v>
      </c>
      <c r="L3013" s="39">
        <f>K3013*J3013</f>
        <v>70</v>
      </c>
      <c r="M3013" s="117" t="s">
        <v>323</v>
      </c>
      <c r="N3013" s="33">
        <v>45121</v>
      </c>
      <c r="O3013" s="32">
        <v>5393</v>
      </c>
      <c r="P3013" s="391">
        <f>ROUNDUP(S3013/V3013/VLOOKUP(B3013,$C$2:$F$6,3,FALSE),2)</f>
        <v>47.35</v>
      </c>
      <c r="Q3013" s="253">
        <v>47.35</v>
      </c>
      <c r="R3013" s="323">
        <f>Q3013*J3013</f>
        <v>47.35</v>
      </c>
      <c r="S3013" s="257">
        <v>5000</v>
      </c>
      <c r="T3013" s="287">
        <f>S3013*J3013</f>
        <v>5000</v>
      </c>
      <c r="U3013" s="265"/>
      <c r="V3013" s="260">
        <v>120</v>
      </c>
    </row>
    <row r="3014" spans="2:23" s="7" customFormat="1" ht="15.75">
      <c r="B3014" s="12" t="s">
        <v>306</v>
      </c>
      <c r="C3014" s="6" t="s">
        <v>4374</v>
      </c>
      <c r="D3014" s="14" t="s">
        <v>1963</v>
      </c>
      <c r="E3014" s="22" t="s">
        <v>4373</v>
      </c>
      <c r="F3014" s="24" t="s">
        <v>4356</v>
      </c>
      <c r="G3014" s="22" t="s">
        <v>4371</v>
      </c>
      <c r="H3014" s="108"/>
      <c r="I3014" s="109"/>
      <c r="J3014" s="38">
        <v>1</v>
      </c>
      <c r="K3014" s="23">
        <v>70</v>
      </c>
      <c r="L3014" s="39">
        <f>K3014*J3014</f>
        <v>70</v>
      </c>
      <c r="M3014" s="117" t="s">
        <v>323</v>
      </c>
      <c r="N3014" s="33">
        <v>45121</v>
      </c>
      <c r="O3014" s="32">
        <v>5393</v>
      </c>
      <c r="P3014" s="391">
        <f>ROUNDUP(S3014/V3014/VLOOKUP(B3014,$C$2:$F$6,3,FALSE),2)</f>
        <v>47.35</v>
      </c>
      <c r="Q3014" s="253">
        <v>47.35</v>
      </c>
      <c r="R3014" s="323">
        <f>Q3014*J3014</f>
        <v>47.35</v>
      </c>
      <c r="S3014" s="257">
        <v>5000</v>
      </c>
      <c r="T3014" s="287">
        <f>S3014*J3014</f>
        <v>5000</v>
      </c>
      <c r="U3014" s="265"/>
      <c r="V3014" s="260">
        <v>120</v>
      </c>
    </row>
    <row r="3015" spans="2:23" s="7" customFormat="1" ht="15.75">
      <c r="B3015" s="12" t="s">
        <v>306</v>
      </c>
      <c r="C3015" s="6" t="s">
        <v>4374</v>
      </c>
      <c r="D3015" s="14" t="s">
        <v>1963</v>
      </c>
      <c r="E3015" s="22" t="s">
        <v>4373</v>
      </c>
      <c r="F3015" s="24" t="s">
        <v>4356</v>
      </c>
      <c r="G3015" s="22" t="s">
        <v>4372</v>
      </c>
      <c r="H3015" s="108"/>
      <c r="I3015" s="109"/>
      <c r="J3015" s="38">
        <v>1</v>
      </c>
      <c r="K3015" s="23">
        <v>70</v>
      </c>
      <c r="L3015" s="39">
        <f>K3015*J3015</f>
        <v>70</v>
      </c>
      <c r="M3015" s="117" t="s">
        <v>323</v>
      </c>
      <c r="N3015" s="33">
        <v>45121</v>
      </c>
      <c r="O3015" s="32">
        <v>5393</v>
      </c>
      <c r="P3015" s="391">
        <f>ROUNDUP(S3015/V3015/VLOOKUP(B3015,$C$2:$F$6,3,FALSE),2)</f>
        <v>47.35</v>
      </c>
      <c r="Q3015" s="253">
        <v>47.35</v>
      </c>
      <c r="R3015" s="323">
        <f>Q3015*J3015</f>
        <v>47.35</v>
      </c>
      <c r="S3015" s="257">
        <v>5000</v>
      </c>
      <c r="T3015" s="287">
        <f>S3015*J3015</f>
        <v>5000</v>
      </c>
      <c r="U3015" s="265"/>
      <c r="V3015" s="260">
        <v>120</v>
      </c>
    </row>
    <row r="3016" spans="2:23" s="191" customFormat="1" ht="15.75">
      <c r="B3016" s="190"/>
      <c r="C3016" s="179" t="s">
        <v>4374</v>
      </c>
      <c r="D3016" s="180" t="s">
        <v>1963</v>
      </c>
      <c r="E3016" s="181"/>
      <c r="F3016" s="182"/>
      <c r="G3016" s="309" t="s">
        <v>324</v>
      </c>
      <c r="H3016" s="184" t="s">
        <v>252</v>
      </c>
      <c r="I3016" s="185"/>
      <c r="J3016" s="183"/>
      <c r="K3016" s="203">
        <v>23</v>
      </c>
      <c r="L3016" s="203">
        <v>23</v>
      </c>
      <c r="M3016" s="187"/>
      <c r="N3016" s="187">
        <v>45121</v>
      </c>
      <c r="O3016" s="186">
        <v>5393</v>
      </c>
      <c r="P3016" s="179"/>
      <c r="Q3016" s="203">
        <v>23</v>
      </c>
      <c r="R3016" s="203">
        <v>23</v>
      </c>
      <c r="S3016" s="1179">
        <v>2573</v>
      </c>
      <c r="T3016" s="1179">
        <v>2573</v>
      </c>
      <c r="U3016" s="271"/>
      <c r="V3016" s="260">
        <v>120</v>
      </c>
    </row>
    <row r="3017" spans="2:23" s="7" customFormat="1" ht="15">
      <c r="B3017" s="12"/>
      <c r="C3017" s="6" t="s">
        <v>4422</v>
      </c>
      <c r="D3017" s="14" t="s">
        <v>2034</v>
      </c>
      <c r="E3017" s="19" t="s">
        <v>4420</v>
      </c>
      <c r="F3017" s="24"/>
      <c r="G3017" s="22"/>
      <c r="H3017" s="60"/>
      <c r="I3017" s="61"/>
      <c r="J3017" s="60"/>
      <c r="K3017" s="16" t="s">
        <v>101</v>
      </c>
      <c r="L3017" s="33"/>
      <c r="M3017" s="33"/>
      <c r="N3017" s="33">
        <v>45121</v>
      </c>
      <c r="O3017" s="32">
        <v>5374</v>
      </c>
      <c r="P3017" s="6"/>
      <c r="Q3017" s="252"/>
      <c r="S3017" s="257"/>
      <c r="T3017" s="92"/>
      <c r="U3017" s="265"/>
      <c r="V3017" s="260"/>
    </row>
    <row r="3018" spans="2:23" s="7" customFormat="1" ht="16.899999999999999" customHeight="1">
      <c r="B3018" s="12" t="s">
        <v>302</v>
      </c>
      <c r="C3018" s="6" t="s">
        <v>4422</v>
      </c>
      <c r="D3018" s="14" t="s">
        <v>2034</v>
      </c>
      <c r="E3018" s="22" t="s">
        <v>4411</v>
      </c>
      <c r="F3018" s="37" t="s">
        <v>4421</v>
      </c>
      <c r="G3018" s="37" t="s">
        <v>4409</v>
      </c>
      <c r="H3018" s="108">
        <v>53</v>
      </c>
      <c r="I3018" s="109">
        <v>3</v>
      </c>
      <c r="J3018" s="8">
        <f>H3018*I3018</f>
        <v>159</v>
      </c>
      <c r="K3018" s="39">
        <v>3.34</v>
      </c>
      <c r="L3018" s="39">
        <f>K3018*J3018</f>
        <v>531.05999999999995</v>
      </c>
      <c r="M3018" s="117" t="s">
        <v>349</v>
      </c>
      <c r="N3018" s="33">
        <v>45121</v>
      </c>
      <c r="O3018" s="32">
        <v>5374</v>
      </c>
      <c r="P3018" s="391">
        <f>ROUNDUP(S3018/V3018/VLOOKUP(B3018,$C$2:$F$6,3,FALSE),2)</f>
        <v>2.2799999999999998</v>
      </c>
      <c r="Q3018" s="358">
        <v>2.2799999999999998</v>
      </c>
      <c r="R3018" s="322">
        <f>Q3018*J3018</f>
        <v>362.52</v>
      </c>
      <c r="S3018" s="7">
        <v>240</v>
      </c>
      <c r="T3018" s="7">
        <f>S3018*J3018</f>
        <v>38160</v>
      </c>
      <c r="U3018" s="267"/>
      <c r="V3018" s="260">
        <v>120</v>
      </c>
      <c r="W3018" s="1136">
        <f>(((K3018*V3018)-S3018)/(K3018*V3018))</f>
        <v>0.4011976047904191</v>
      </c>
    </row>
    <row r="3019" spans="2:23" s="7" customFormat="1" ht="16.899999999999999" customHeight="1">
      <c r="B3019" s="12"/>
      <c r="C3019" s="6" t="s">
        <v>4422</v>
      </c>
      <c r="D3019" s="14" t="s">
        <v>2034</v>
      </c>
      <c r="E3019" s="19" t="s">
        <v>4417</v>
      </c>
      <c r="F3019" s="37"/>
      <c r="G3019" s="37"/>
      <c r="H3019" s="108"/>
      <c r="I3019" s="109"/>
      <c r="J3019" s="131"/>
      <c r="K3019" s="39"/>
      <c r="L3019" s="39"/>
      <c r="M3019" s="1167"/>
      <c r="N3019" s="33">
        <v>45121</v>
      </c>
      <c r="O3019" s="32">
        <v>5374</v>
      </c>
      <c r="P3019" s="391"/>
      <c r="Q3019" s="358"/>
      <c r="R3019" s="322"/>
      <c r="U3019" s="267"/>
      <c r="V3019" s="260"/>
    </row>
    <row r="3020" spans="2:23" s="7" customFormat="1" ht="16.899999999999999" customHeight="1">
      <c r="B3020" s="12" t="s">
        <v>302</v>
      </c>
      <c r="C3020" s="6" t="s">
        <v>4422</v>
      </c>
      <c r="D3020" s="14" t="s">
        <v>2034</v>
      </c>
      <c r="E3020" s="22" t="s">
        <v>4410</v>
      </c>
      <c r="F3020" s="37" t="s">
        <v>4419</v>
      </c>
      <c r="G3020" s="37" t="s">
        <v>4415</v>
      </c>
      <c r="H3020" s="108">
        <v>39</v>
      </c>
      <c r="I3020" s="109">
        <v>1</v>
      </c>
      <c r="J3020" s="8">
        <f>H3020*I3020</f>
        <v>39</v>
      </c>
      <c r="K3020" s="39">
        <v>15.42</v>
      </c>
      <c r="L3020" s="39">
        <f>K3020*J3020</f>
        <v>601.38</v>
      </c>
      <c r="M3020" s="117" t="s">
        <v>349</v>
      </c>
      <c r="N3020" s="33">
        <v>45121</v>
      </c>
      <c r="O3020" s="32">
        <v>5374</v>
      </c>
      <c r="P3020" s="391">
        <f>ROUNDUP(S3020/V3020/VLOOKUP(B3020,$C$2:$F$6,3,FALSE),2)</f>
        <v>10.52</v>
      </c>
      <c r="Q3020" s="358">
        <v>10.52</v>
      </c>
      <c r="R3020" s="322">
        <f>Q3020*J3020</f>
        <v>410.28</v>
      </c>
      <c r="S3020" s="7">
        <v>1110</v>
      </c>
      <c r="T3020" s="7">
        <f>S3020*J3020</f>
        <v>43290</v>
      </c>
      <c r="U3020" s="267"/>
      <c r="V3020" s="260">
        <v>120</v>
      </c>
      <c r="W3020" s="1136">
        <f t="shared" ref="W3020:W3032" si="200">(((K3020*V3020)-S3020)/(K3020*V3020))</f>
        <v>0.40012970168612194</v>
      </c>
    </row>
    <row r="3021" spans="2:23" s="7" customFormat="1" ht="16.899999999999999" customHeight="1">
      <c r="B3021" s="12" t="s">
        <v>302</v>
      </c>
      <c r="C3021" s="6" t="s">
        <v>4422</v>
      </c>
      <c r="D3021" s="14" t="s">
        <v>2034</v>
      </c>
      <c r="E3021" s="22" t="s">
        <v>4412</v>
      </c>
      <c r="F3021" s="37" t="s">
        <v>4418</v>
      </c>
      <c r="G3021" s="37" t="s">
        <v>4416</v>
      </c>
      <c r="H3021" s="108">
        <v>30.5</v>
      </c>
      <c r="I3021" s="109">
        <v>1</v>
      </c>
      <c r="J3021" s="131">
        <f>H3021*I3021</f>
        <v>30.5</v>
      </c>
      <c r="K3021" s="39">
        <v>11</v>
      </c>
      <c r="L3021" s="39">
        <f>K3021*J3021</f>
        <v>335.5</v>
      </c>
      <c r="M3021" s="117" t="s">
        <v>349</v>
      </c>
      <c r="N3021" s="33">
        <v>45121</v>
      </c>
      <c r="O3021" s="32">
        <v>5374</v>
      </c>
      <c r="P3021" s="391">
        <f>ROUNDUP(S3021/V3021/VLOOKUP(B3021,$C$2:$F$6,3,FALSE),2)</f>
        <v>9.379999999999999</v>
      </c>
      <c r="Q3021" s="358">
        <v>9.3800000000000008</v>
      </c>
      <c r="R3021" s="322">
        <f>Q3021*J3021</f>
        <v>286.09000000000003</v>
      </c>
      <c r="S3021" s="7">
        <v>990</v>
      </c>
      <c r="T3021" s="7">
        <f>S3021*J3021</f>
        <v>30195</v>
      </c>
      <c r="U3021" s="267"/>
      <c r="V3021" s="260">
        <v>120</v>
      </c>
      <c r="W3021" s="1136">
        <f t="shared" si="200"/>
        <v>0.25</v>
      </c>
    </row>
    <row r="3022" spans="2:23" s="7" customFormat="1" ht="16.899999999999999" customHeight="1">
      <c r="B3022" s="12" t="s">
        <v>302</v>
      </c>
      <c r="C3022" s="6" t="s">
        <v>4422</v>
      </c>
      <c r="D3022" s="14" t="s">
        <v>2034</v>
      </c>
      <c r="E3022" s="22" t="s">
        <v>4413</v>
      </c>
      <c r="F3022" s="37" t="s">
        <v>4418</v>
      </c>
      <c r="G3022" s="37" t="s">
        <v>4416</v>
      </c>
      <c r="H3022" s="108">
        <v>10</v>
      </c>
      <c r="I3022" s="109">
        <v>1</v>
      </c>
      <c r="J3022" s="8">
        <f>H3022*I3022</f>
        <v>10</v>
      </c>
      <c r="K3022" s="39">
        <v>11</v>
      </c>
      <c r="L3022" s="39">
        <f>K3022*J3022</f>
        <v>110</v>
      </c>
      <c r="M3022" s="117" t="s">
        <v>349</v>
      </c>
      <c r="N3022" s="33">
        <v>45121</v>
      </c>
      <c r="O3022" s="32">
        <v>5374</v>
      </c>
      <c r="P3022" s="391">
        <f>ROUNDUP(S3022/V3022/VLOOKUP(B3022,$C$2:$F$6,3,FALSE),2)</f>
        <v>9.379999999999999</v>
      </c>
      <c r="Q3022" s="358">
        <v>9.3800000000000008</v>
      </c>
      <c r="R3022" s="322">
        <f>Q3022*J3022</f>
        <v>93.800000000000011</v>
      </c>
      <c r="S3022" s="7">
        <v>990</v>
      </c>
      <c r="T3022" s="7">
        <f>S3022*J3022</f>
        <v>9900</v>
      </c>
      <c r="U3022" s="267"/>
      <c r="V3022" s="260">
        <v>120</v>
      </c>
      <c r="W3022" s="1136">
        <f t="shared" si="200"/>
        <v>0.25</v>
      </c>
    </row>
    <row r="3023" spans="2:23" s="7" customFormat="1" ht="16.899999999999999" customHeight="1">
      <c r="B3023" s="12" t="s">
        <v>302</v>
      </c>
      <c r="C3023" s="6" t="s">
        <v>4422</v>
      </c>
      <c r="D3023" s="14" t="s">
        <v>2034</v>
      </c>
      <c r="E3023" s="22" t="s">
        <v>4413</v>
      </c>
      <c r="F3023" s="37" t="s">
        <v>4418</v>
      </c>
      <c r="G3023" s="37" t="s">
        <v>4416</v>
      </c>
      <c r="H3023" s="108">
        <v>20</v>
      </c>
      <c r="I3023" s="109">
        <v>1</v>
      </c>
      <c r="J3023" s="8">
        <f>H3023*I3023</f>
        <v>20</v>
      </c>
      <c r="K3023" s="39">
        <v>11</v>
      </c>
      <c r="L3023" s="39">
        <f>K3023*J3023</f>
        <v>220</v>
      </c>
      <c r="M3023" s="117" t="s">
        <v>349</v>
      </c>
      <c r="N3023" s="33">
        <v>45121</v>
      </c>
      <c r="O3023" s="32">
        <v>5374</v>
      </c>
      <c r="P3023" s="391">
        <f>ROUNDUP(S3023/V3023/VLOOKUP(B3023,$C$2:$F$6,3,FALSE),2)</f>
        <v>9.379999999999999</v>
      </c>
      <c r="Q3023" s="358">
        <v>9.3800000000000008</v>
      </c>
      <c r="R3023" s="322">
        <f>Q3023*J3023</f>
        <v>187.60000000000002</v>
      </c>
      <c r="S3023" s="7">
        <v>990</v>
      </c>
      <c r="T3023" s="7">
        <f>S3023*J3023</f>
        <v>19800</v>
      </c>
      <c r="U3023" s="267"/>
      <c r="V3023" s="260">
        <v>120</v>
      </c>
      <c r="W3023" s="1136">
        <f>(((K3023*V3023)-S3023)/(K3023*V3023))</f>
        <v>0.25</v>
      </c>
    </row>
    <row r="3024" spans="2:23" s="7" customFormat="1" ht="16.899999999999999" customHeight="1">
      <c r="B3024" s="12"/>
      <c r="C3024" s="6" t="s">
        <v>4422</v>
      </c>
      <c r="D3024" s="14" t="s">
        <v>2034</v>
      </c>
      <c r="E3024" s="22"/>
      <c r="F3024" s="37"/>
      <c r="G3024" s="37" t="s">
        <v>4414</v>
      </c>
      <c r="H3024" s="108"/>
      <c r="I3024" s="109"/>
      <c r="J3024" s="8">
        <v>30</v>
      </c>
      <c r="K3024" s="39">
        <v>3.2</v>
      </c>
      <c r="L3024" s="39">
        <f>K3024*J3024</f>
        <v>96</v>
      </c>
      <c r="M3024" s="117"/>
      <c r="N3024" s="33">
        <v>45121</v>
      </c>
      <c r="O3024" s="32">
        <v>5374</v>
      </c>
      <c r="P3024" s="391"/>
      <c r="Q3024" s="39">
        <v>3.2</v>
      </c>
      <c r="R3024" s="322">
        <f>Q3024*J3024</f>
        <v>96</v>
      </c>
      <c r="S3024" s="7">
        <v>300</v>
      </c>
      <c r="T3024" s="7">
        <f>S3024*J3024</f>
        <v>9000</v>
      </c>
      <c r="U3024" s="267"/>
      <c r="V3024" s="260"/>
    </row>
    <row r="3025" spans="2:23" s="7" customFormat="1" ht="15">
      <c r="B3025" s="12"/>
      <c r="C3025" s="6" t="s">
        <v>4422</v>
      </c>
      <c r="D3025" s="14" t="s">
        <v>2034</v>
      </c>
      <c r="E3025" s="19" t="s">
        <v>4406</v>
      </c>
      <c r="F3025" s="24"/>
      <c r="G3025" s="22"/>
      <c r="H3025" s="60"/>
      <c r="I3025" s="61"/>
      <c r="J3025" s="60"/>
      <c r="K3025" s="16" t="s">
        <v>101</v>
      </c>
      <c r="L3025" s="33"/>
      <c r="M3025" s="33"/>
      <c r="N3025" s="33">
        <v>45121</v>
      </c>
      <c r="O3025" s="32">
        <v>5374</v>
      </c>
      <c r="P3025" s="6" t="s">
        <v>8</v>
      </c>
      <c r="Q3025" s="252"/>
      <c r="S3025" s="257"/>
      <c r="T3025" s="92"/>
      <c r="U3025" s="265"/>
      <c r="V3025" s="260">
        <v>120</v>
      </c>
      <c r="W3025" s="1136" t="e">
        <f t="shared" si="200"/>
        <v>#VALUE!</v>
      </c>
    </row>
    <row r="3026" spans="2:23" s="7" customFormat="1" ht="17.25" customHeight="1">
      <c r="B3026" s="12" t="s">
        <v>300</v>
      </c>
      <c r="C3026" s="6" t="s">
        <v>4422</v>
      </c>
      <c r="D3026" s="14" t="s">
        <v>2034</v>
      </c>
      <c r="E3026" s="22" t="s">
        <v>4408</v>
      </c>
      <c r="F3026" s="37"/>
      <c r="G3026" s="37" t="s">
        <v>58</v>
      </c>
      <c r="H3026" s="108">
        <v>13.7</v>
      </c>
      <c r="I3026" s="109">
        <v>2</v>
      </c>
      <c r="J3026" s="131">
        <f>H3026*I3026</f>
        <v>27.4</v>
      </c>
      <c r="K3026" s="39">
        <v>4.5</v>
      </c>
      <c r="L3026" s="39">
        <f>K3026*J3026</f>
        <v>123.3</v>
      </c>
      <c r="M3026" s="117" t="s">
        <v>349</v>
      </c>
      <c r="N3026" s="33">
        <v>45121</v>
      </c>
      <c r="O3026" s="32">
        <v>5374</v>
      </c>
      <c r="P3026" s="391">
        <f>ROUNDUP(S3026/V3026/VLOOKUP(B3026,$C$2:$F$6,3,FALSE),2)</f>
        <v>3.2199999999999998</v>
      </c>
      <c r="Q3026" s="358">
        <v>3.22</v>
      </c>
      <c r="R3026" s="322">
        <f>Q3026*J3026</f>
        <v>88.227999999999994</v>
      </c>
      <c r="S3026" s="7">
        <v>270</v>
      </c>
      <c r="T3026" s="7">
        <f>S3026*J3026</f>
        <v>7398</v>
      </c>
      <c r="U3026" s="267"/>
      <c r="V3026" s="260">
        <v>120</v>
      </c>
      <c r="W3026" s="1136">
        <f t="shared" si="200"/>
        <v>0.5</v>
      </c>
    </row>
    <row r="3027" spans="2:23" s="7" customFormat="1" ht="17.25" customHeight="1">
      <c r="B3027" s="12" t="s">
        <v>300</v>
      </c>
      <c r="C3027" s="6" t="s">
        <v>4422</v>
      </c>
      <c r="D3027" s="14" t="s">
        <v>2034</v>
      </c>
      <c r="E3027" s="22" t="s">
        <v>4407</v>
      </c>
      <c r="F3027" s="37"/>
      <c r="G3027" s="37" t="s">
        <v>58</v>
      </c>
      <c r="H3027" s="108">
        <v>13.7</v>
      </c>
      <c r="I3027" s="109">
        <v>3</v>
      </c>
      <c r="J3027" s="131">
        <f>H3027*I3027</f>
        <v>41.099999999999994</v>
      </c>
      <c r="K3027" s="39">
        <v>9.34</v>
      </c>
      <c r="L3027" s="39">
        <f>K3027*J3027</f>
        <v>383.87399999999997</v>
      </c>
      <c r="M3027" s="117" t="s">
        <v>349</v>
      </c>
      <c r="N3027" s="33">
        <v>45121</v>
      </c>
      <c r="O3027" s="32">
        <v>5374</v>
      </c>
      <c r="P3027" s="391">
        <f>ROUNDUP(S3027/V3027/VLOOKUP(B3027,$C$2:$F$6,3,FALSE),2)</f>
        <v>6.67</v>
      </c>
      <c r="Q3027" s="358">
        <v>6.67</v>
      </c>
      <c r="R3027" s="322">
        <f>Q3027*J3027</f>
        <v>274.13699999999994</v>
      </c>
      <c r="S3027" s="7">
        <v>560</v>
      </c>
      <c r="T3027" s="7">
        <f>S3027*J3027</f>
        <v>23015.999999999996</v>
      </c>
      <c r="U3027" s="267"/>
      <c r="V3027" s="260">
        <v>120</v>
      </c>
      <c r="W3027" s="1136">
        <f t="shared" si="200"/>
        <v>0.50035688793718769</v>
      </c>
    </row>
    <row r="3028" spans="2:23" s="7" customFormat="1" ht="18" customHeight="1">
      <c r="B3028" s="12"/>
      <c r="C3028" s="6" t="s">
        <v>4422</v>
      </c>
      <c r="D3028" s="14" t="s">
        <v>2034</v>
      </c>
      <c r="E3028" s="82"/>
      <c r="F3028" s="102"/>
      <c r="G3028" s="22" t="s">
        <v>316</v>
      </c>
      <c r="H3028" s="8"/>
      <c r="I3028" s="35"/>
      <c r="J3028" s="38">
        <v>4</v>
      </c>
      <c r="K3028" s="39">
        <v>12</v>
      </c>
      <c r="L3028" s="39">
        <f>K3028*J3028</f>
        <v>48</v>
      </c>
      <c r="M3028" s="91"/>
      <c r="N3028" s="33">
        <v>45121</v>
      </c>
      <c r="O3028" s="32">
        <v>5374</v>
      </c>
      <c r="P3028" s="6"/>
      <c r="Q3028" s="322">
        <v>12</v>
      </c>
      <c r="R3028" s="322">
        <f>Q3028*J3028</f>
        <v>48</v>
      </c>
      <c r="S3028" s="7">
        <f>1800</f>
        <v>1800</v>
      </c>
      <c r="T3028" s="7">
        <v>1800</v>
      </c>
      <c r="U3028" s="21"/>
      <c r="V3028" s="260">
        <v>120</v>
      </c>
      <c r="W3028" s="1136">
        <f t="shared" si="200"/>
        <v>-0.25</v>
      </c>
    </row>
    <row r="3029" spans="2:23" s="191" customFormat="1" ht="15.75">
      <c r="B3029" s="190"/>
      <c r="C3029" s="179" t="s">
        <v>4422</v>
      </c>
      <c r="D3029" s="180" t="s">
        <v>2034</v>
      </c>
      <c r="E3029" s="181"/>
      <c r="F3029" s="182"/>
      <c r="G3029" s="309" t="s">
        <v>324</v>
      </c>
      <c r="H3029" s="184" t="s">
        <v>252</v>
      </c>
      <c r="I3029" s="185"/>
      <c r="J3029" s="183"/>
      <c r="K3029" s="203">
        <v>590</v>
      </c>
      <c r="L3029" s="203">
        <v>590</v>
      </c>
      <c r="M3029" s="187"/>
      <c r="N3029" s="187">
        <v>45121</v>
      </c>
      <c r="O3029" s="186">
        <v>5374</v>
      </c>
      <c r="P3029" s="179"/>
      <c r="Q3029" s="203">
        <v>590</v>
      </c>
      <c r="R3029" s="203">
        <v>590</v>
      </c>
      <c r="S3029" s="7">
        <v>67742</v>
      </c>
      <c r="T3029" s="7">
        <v>67742</v>
      </c>
      <c r="U3029" s="271"/>
      <c r="V3029" s="260">
        <v>120</v>
      </c>
      <c r="W3029" s="1136">
        <f t="shared" si="200"/>
        <v>4.3192090395480227E-2</v>
      </c>
    </row>
    <row r="3030" spans="2:23" s="7" customFormat="1" ht="18" customHeight="1">
      <c r="B3030" s="12"/>
      <c r="C3030" s="6" t="s">
        <v>4423</v>
      </c>
      <c r="D3030" s="14" t="s">
        <v>4424</v>
      </c>
      <c r="E3030" s="19" t="s">
        <v>2117</v>
      </c>
      <c r="F3030" s="37"/>
      <c r="G3030" s="37"/>
      <c r="H3030" s="108"/>
      <c r="I3030" s="108"/>
      <c r="J3030" s="108"/>
      <c r="K3030" s="110" t="s">
        <v>101</v>
      </c>
      <c r="L3030" s="139"/>
      <c r="M3030" s="33"/>
      <c r="N3030" s="33">
        <v>45125</v>
      </c>
      <c r="O3030" s="32">
        <v>5377</v>
      </c>
      <c r="P3030" s="6"/>
      <c r="Q3030" s="339"/>
      <c r="U3030" s="21"/>
      <c r="V3030" s="257"/>
    </row>
    <row r="3031" spans="2:23" s="7" customFormat="1" ht="17.25" customHeight="1">
      <c r="B3031" s="12" t="s">
        <v>300</v>
      </c>
      <c r="C3031" s="6" t="s">
        <v>4430</v>
      </c>
      <c r="D3031" s="14" t="s">
        <v>4424</v>
      </c>
      <c r="E3031" s="22" t="s">
        <v>4425</v>
      </c>
      <c r="F3031" s="37"/>
      <c r="G3031" s="37" t="s">
        <v>183</v>
      </c>
      <c r="H3031" s="108"/>
      <c r="I3031" s="109"/>
      <c r="J3031" s="8">
        <v>8</v>
      </c>
      <c r="K3031" s="39">
        <v>8.5</v>
      </c>
      <c r="L3031" s="39">
        <f>K3031*J3031</f>
        <v>68</v>
      </c>
      <c r="M3031" s="117" t="s">
        <v>349</v>
      </c>
      <c r="N3031" s="33">
        <v>45125</v>
      </c>
      <c r="O3031" s="32">
        <v>5377</v>
      </c>
      <c r="P3031" s="391">
        <f>ROUNDUP(S3031/V3031/VLOOKUP(B3031,$C$2:$F$6,3,FALSE),2)</f>
        <v>6.08</v>
      </c>
      <c r="Q3031" s="358">
        <v>6.08</v>
      </c>
      <c r="R3031" s="322">
        <f>Q3031*J3031</f>
        <v>48.64</v>
      </c>
      <c r="S3031" s="7">
        <v>510</v>
      </c>
      <c r="T3031" s="7">
        <f>S3031*J3031</f>
        <v>4080</v>
      </c>
      <c r="U3031" s="267"/>
      <c r="V3031" s="260">
        <v>120</v>
      </c>
      <c r="W3031" s="1136">
        <f t="shared" si="200"/>
        <v>0.5</v>
      </c>
    </row>
    <row r="3032" spans="2:23" s="7" customFormat="1" ht="17.25" customHeight="1">
      <c r="B3032" s="12" t="s">
        <v>300</v>
      </c>
      <c r="C3032" s="6" t="s">
        <v>4431</v>
      </c>
      <c r="D3032" s="14" t="s">
        <v>4424</v>
      </c>
      <c r="E3032" s="22" t="s">
        <v>4426</v>
      </c>
      <c r="F3032" s="37"/>
      <c r="G3032" s="37" t="s">
        <v>183</v>
      </c>
      <c r="H3032" s="108">
        <v>13.7</v>
      </c>
      <c r="I3032" s="109">
        <v>1</v>
      </c>
      <c r="J3032" s="131">
        <f>H3032*I3032</f>
        <v>13.7</v>
      </c>
      <c r="K3032" s="39">
        <v>1.76</v>
      </c>
      <c r="L3032" s="39">
        <f>K3032*J3032</f>
        <v>24.111999999999998</v>
      </c>
      <c r="M3032" s="117" t="s">
        <v>349</v>
      </c>
      <c r="N3032" s="33">
        <v>45125</v>
      </c>
      <c r="O3032" s="32">
        <v>5378</v>
      </c>
      <c r="P3032" s="391">
        <f>ROUNDUP(S3032/V3032/VLOOKUP(B3032,$C$2:$F$6,3,FALSE),2)</f>
        <v>1.1399999999999999</v>
      </c>
      <c r="Q3032" s="358">
        <v>1.1399999999999999</v>
      </c>
      <c r="R3032" s="322">
        <f>Q3032*J3032</f>
        <v>15.617999999999999</v>
      </c>
      <c r="S3032" s="7">
        <v>95</v>
      </c>
      <c r="T3032" s="7">
        <f>S3032*J3032</f>
        <v>1301.5</v>
      </c>
      <c r="U3032" s="267"/>
      <c r="V3032" s="260">
        <v>120</v>
      </c>
      <c r="W3032" s="1136">
        <f t="shared" si="200"/>
        <v>0.55018939393939392</v>
      </c>
    </row>
    <row r="3033" spans="2:23" s="7" customFormat="1" ht="18" customHeight="1">
      <c r="B3033" s="12"/>
      <c r="C3033" s="6" t="s">
        <v>4431</v>
      </c>
      <c r="D3033" s="14" t="s">
        <v>4424</v>
      </c>
      <c r="E3033" s="22"/>
      <c r="F3033" s="102"/>
      <c r="G3033" s="22" t="s">
        <v>316</v>
      </c>
      <c r="H3033" s="8"/>
      <c r="I3033" s="35"/>
      <c r="J3033" s="38">
        <v>1</v>
      </c>
      <c r="K3033" s="39">
        <v>12</v>
      </c>
      <c r="L3033" s="39">
        <f>K3033*J3033</f>
        <v>12</v>
      </c>
      <c r="M3033" s="91"/>
      <c r="N3033" s="33">
        <v>45125</v>
      </c>
      <c r="O3033" s="32">
        <v>5378</v>
      </c>
      <c r="P3033" s="6"/>
      <c r="Q3033" s="322">
        <v>12</v>
      </c>
      <c r="R3033" s="322">
        <f>Q3033*J3033</f>
        <v>12</v>
      </c>
      <c r="S3033" s="7">
        <v>900</v>
      </c>
      <c r="T3033" s="7">
        <f>S3033*J3033</f>
        <v>900</v>
      </c>
      <c r="U3033" s="21"/>
      <c r="V3033" s="260">
        <v>120</v>
      </c>
      <c r="W3033" s="1136">
        <f>(((K3033*V3033)-S3033)/(K3033*V3033))</f>
        <v>0.375</v>
      </c>
    </row>
    <row r="3034" spans="2:23" s="191" customFormat="1" ht="15">
      <c r="B3034" s="190"/>
      <c r="C3034" s="179" t="s">
        <v>4423</v>
      </c>
      <c r="D3034" s="180" t="s">
        <v>4424</v>
      </c>
      <c r="E3034" s="181"/>
      <c r="F3034" s="182"/>
      <c r="G3034" s="182" t="s">
        <v>2738</v>
      </c>
      <c r="H3034" s="184" t="s">
        <v>251</v>
      </c>
      <c r="I3034" s="185"/>
      <c r="J3034" s="183"/>
      <c r="K3034" s="192">
        <v>0</v>
      </c>
      <c r="L3034" s="187"/>
      <c r="M3034" s="187"/>
      <c r="N3034" s="187">
        <v>45125</v>
      </c>
      <c r="O3034" s="186">
        <v>5378</v>
      </c>
      <c r="P3034" s="179"/>
      <c r="Q3034" s="255">
        <v>0</v>
      </c>
      <c r="S3034" s="274">
        <v>0</v>
      </c>
      <c r="T3034" s="198">
        <v>0</v>
      </c>
      <c r="U3034" s="271"/>
      <c r="V3034" s="260">
        <v>120</v>
      </c>
    </row>
    <row r="3035" spans="2:23" s="7" customFormat="1" ht="18" customHeight="1">
      <c r="B3035" s="12"/>
      <c r="C3035" s="6" t="s">
        <v>4437</v>
      </c>
      <c r="D3035" s="14" t="s">
        <v>2059</v>
      </c>
      <c r="E3035" s="19" t="s">
        <v>4427</v>
      </c>
      <c r="F3035" s="37"/>
      <c r="G3035" s="37"/>
      <c r="H3035" s="108"/>
      <c r="I3035" s="108"/>
      <c r="J3035" s="108"/>
      <c r="K3035" s="110" t="s">
        <v>101</v>
      </c>
      <c r="L3035" s="139"/>
      <c r="M3035" s="33"/>
      <c r="N3035" s="33">
        <v>45126</v>
      </c>
      <c r="O3035" s="32">
        <v>5384</v>
      </c>
      <c r="P3035" s="6"/>
      <c r="Q3035" s="339"/>
      <c r="U3035" s="21"/>
      <c r="V3035" s="257"/>
    </row>
    <row r="3036" spans="2:23" s="7" customFormat="1" ht="17.25" customHeight="1">
      <c r="B3036" s="12" t="s">
        <v>302</v>
      </c>
      <c r="C3036" s="6" t="s">
        <v>4437</v>
      </c>
      <c r="D3036" s="14" t="s">
        <v>2059</v>
      </c>
      <c r="E3036" s="22" t="s">
        <v>4429</v>
      </c>
      <c r="F3036" s="112">
        <v>148</v>
      </c>
      <c r="G3036" s="37" t="s">
        <v>4428</v>
      </c>
      <c r="H3036" s="108"/>
      <c r="I3036" s="109"/>
      <c r="J3036" s="8">
        <v>10</v>
      </c>
      <c r="K3036" s="39">
        <v>14.31</v>
      </c>
      <c r="L3036" s="39">
        <f>K3036*J3036</f>
        <v>143.1</v>
      </c>
      <c r="M3036" s="117" t="s">
        <v>349</v>
      </c>
      <c r="N3036" s="33">
        <v>45126</v>
      </c>
      <c r="O3036" s="32">
        <v>5384</v>
      </c>
      <c r="P3036" s="391">
        <f>ROUNDUP(S3036/V3036/VLOOKUP(B3036,$C$2:$F$6,3,FALSE),2)</f>
        <v>9.76</v>
      </c>
      <c r="Q3036" s="358">
        <v>9.76</v>
      </c>
      <c r="R3036" s="322">
        <f>Q3036*J3036</f>
        <v>97.6</v>
      </c>
      <c r="S3036" s="7">
        <v>1030</v>
      </c>
      <c r="T3036" s="7">
        <f>S3036*J3036</f>
        <v>10300</v>
      </c>
      <c r="U3036" s="267"/>
      <c r="V3036" s="260">
        <v>120</v>
      </c>
      <c r="W3036" s="1136">
        <f>(((K3036*V3036)-S3036)/(K3036*V3036))</f>
        <v>0.40018634987188451</v>
      </c>
    </row>
    <row r="3037" spans="2:23" s="7" customFormat="1" ht="17.25" customHeight="1">
      <c r="B3037" s="12" t="s">
        <v>302</v>
      </c>
      <c r="C3037" s="6" t="s">
        <v>4437</v>
      </c>
      <c r="D3037" s="14" t="s">
        <v>2059</v>
      </c>
      <c r="E3037" s="22" t="s">
        <v>4429</v>
      </c>
      <c r="F3037" s="112">
        <v>148</v>
      </c>
      <c r="G3037" s="37" t="s">
        <v>4428</v>
      </c>
      <c r="H3037" s="108"/>
      <c r="I3037" s="109"/>
      <c r="J3037" s="8">
        <v>20</v>
      </c>
      <c r="K3037" s="39">
        <v>14.31</v>
      </c>
      <c r="L3037" s="39">
        <f>K3037*J3037</f>
        <v>286.2</v>
      </c>
      <c r="M3037" s="117" t="s">
        <v>349</v>
      </c>
      <c r="N3037" s="33">
        <v>45126</v>
      </c>
      <c r="O3037" s="32">
        <v>5384</v>
      </c>
      <c r="P3037" s="391">
        <f>ROUNDUP(S3037/V3037/VLOOKUP(B3037,$C$2:$F$6,3,FALSE),2)</f>
        <v>9.76</v>
      </c>
      <c r="Q3037" s="358">
        <v>9.76</v>
      </c>
      <c r="R3037" s="322">
        <f>Q3037*J3037</f>
        <v>195.2</v>
      </c>
      <c r="S3037" s="7">
        <v>1030</v>
      </c>
      <c r="T3037" s="7">
        <f>S3037*J3037</f>
        <v>20600</v>
      </c>
      <c r="U3037" s="267"/>
      <c r="V3037" s="260">
        <v>120</v>
      </c>
      <c r="W3037" s="1136">
        <f>(((K3037*V3037)-S3037)/(K3037*V3037))</f>
        <v>0.40018634987188451</v>
      </c>
    </row>
    <row r="3038" spans="2:23" s="7" customFormat="1" ht="16.899999999999999" customHeight="1">
      <c r="B3038" s="12"/>
      <c r="C3038" s="6" t="s">
        <v>4437</v>
      </c>
      <c r="D3038" s="14" t="s">
        <v>2059</v>
      </c>
      <c r="E3038" s="82"/>
      <c r="F3038" s="37"/>
      <c r="G3038" s="37" t="s">
        <v>4329</v>
      </c>
      <c r="H3038" s="108"/>
      <c r="I3038" s="109"/>
      <c r="J3038" s="8">
        <v>30</v>
      </c>
      <c r="K3038" s="39">
        <v>4.17</v>
      </c>
      <c r="L3038" s="39">
        <f>K3038*J3038</f>
        <v>125.1</v>
      </c>
      <c r="M3038" s="117"/>
      <c r="N3038" s="33">
        <v>45126</v>
      </c>
      <c r="O3038" s="32">
        <v>5384</v>
      </c>
      <c r="P3038" s="391"/>
      <c r="Q3038" s="322">
        <v>4.17</v>
      </c>
      <c r="R3038" s="322">
        <f>Q3038*J3038</f>
        <v>125.1</v>
      </c>
      <c r="S3038" s="7">
        <v>400</v>
      </c>
      <c r="T3038" s="7">
        <f>S3038*J3038</f>
        <v>12000</v>
      </c>
      <c r="U3038" s="267"/>
      <c r="V3038" s="260">
        <v>120</v>
      </c>
    </row>
    <row r="3039" spans="2:23" s="7" customFormat="1" ht="18" customHeight="1">
      <c r="B3039" s="12"/>
      <c r="C3039" s="6" t="s">
        <v>4437</v>
      </c>
      <c r="D3039" s="14" t="s">
        <v>2059</v>
      </c>
      <c r="E3039" s="82"/>
      <c r="F3039" s="102"/>
      <c r="G3039" s="22" t="s">
        <v>316</v>
      </c>
      <c r="H3039" s="8"/>
      <c r="I3039" s="35"/>
      <c r="J3039" s="38">
        <v>1</v>
      </c>
      <c r="K3039" s="39">
        <v>12</v>
      </c>
      <c r="L3039" s="39">
        <f>K3039*J3039</f>
        <v>12</v>
      </c>
      <c r="M3039" s="91"/>
      <c r="N3039" s="33">
        <v>45126</v>
      </c>
      <c r="O3039" s="32">
        <v>5384</v>
      </c>
      <c r="P3039" s="6"/>
      <c r="Q3039" s="322">
        <v>12</v>
      </c>
      <c r="R3039" s="322">
        <f>Q3039*J3039</f>
        <v>12</v>
      </c>
      <c r="S3039" s="7">
        <v>0</v>
      </c>
      <c r="T3039" s="7">
        <f>S3039*J3039</f>
        <v>0</v>
      </c>
      <c r="U3039" s="21"/>
      <c r="V3039" s="260">
        <v>120</v>
      </c>
      <c r="W3039" s="1136">
        <f>(((K3039*V3039)-S3039)/(K3039*V3039))</f>
        <v>1</v>
      </c>
    </row>
    <row r="3040" spans="2:23" s="191" customFormat="1" ht="15">
      <c r="B3040" s="190"/>
      <c r="C3040" s="179" t="s">
        <v>4437</v>
      </c>
      <c r="D3040" s="180" t="s">
        <v>2059</v>
      </c>
      <c r="E3040" s="181"/>
      <c r="F3040" s="182"/>
      <c r="G3040" s="182" t="s">
        <v>2738</v>
      </c>
      <c r="H3040" s="184" t="s">
        <v>251</v>
      </c>
      <c r="I3040" s="185"/>
      <c r="J3040" s="183"/>
      <c r="K3040" s="192">
        <v>0</v>
      </c>
      <c r="L3040" s="187"/>
      <c r="M3040" s="187"/>
      <c r="N3040" s="187">
        <v>45126</v>
      </c>
      <c r="O3040" s="186">
        <v>5384</v>
      </c>
      <c r="P3040" s="179"/>
      <c r="Q3040" s="255">
        <v>0</v>
      </c>
      <c r="S3040" s="274">
        <v>0</v>
      </c>
      <c r="T3040" s="198">
        <v>0</v>
      </c>
      <c r="U3040" s="271"/>
      <c r="V3040" s="260">
        <v>120</v>
      </c>
    </row>
    <row r="3041" spans="2:23" s="1168" customFormat="1" ht="17.25" customHeight="1">
      <c r="B3041" s="1169"/>
      <c r="C3041" s="1170" t="s">
        <v>4434</v>
      </c>
      <c r="D3041" s="890" t="s">
        <v>4435</v>
      </c>
      <c r="E3041" s="19" t="s">
        <v>4432</v>
      </c>
      <c r="F3041" s="1171"/>
      <c r="G3041" s="22"/>
      <c r="H3041" s="108"/>
      <c r="I3041" s="109"/>
      <c r="J3041" s="8"/>
      <c r="K3041" s="110" t="s">
        <v>101</v>
      </c>
      <c r="L3041" s="900"/>
      <c r="M3041" s="403"/>
      <c r="N3041" s="898">
        <v>45167</v>
      </c>
      <c r="O3041" s="1172">
        <v>5380</v>
      </c>
      <c r="P3041" s="1173"/>
      <c r="Q3041" s="899"/>
      <c r="R3041" s="899"/>
      <c r="S3041" s="1174"/>
      <c r="T3041" s="92"/>
      <c r="U3041" s="1174"/>
      <c r="V3041" s="901"/>
    </row>
    <row r="3042" spans="2:23" s="1168" customFormat="1" ht="17.25" customHeight="1">
      <c r="B3042" s="1169" t="s">
        <v>300</v>
      </c>
      <c r="C3042" s="1170" t="s">
        <v>4434</v>
      </c>
      <c r="D3042" s="890" t="s">
        <v>4435</v>
      </c>
      <c r="E3042" s="22">
        <v>1100</v>
      </c>
      <c r="F3042" s="1171">
        <v>25</v>
      </c>
      <c r="G3042" s="22" t="s">
        <v>4436</v>
      </c>
      <c r="H3042" s="108">
        <v>30</v>
      </c>
      <c r="I3042" s="109">
        <v>1</v>
      </c>
      <c r="J3042" s="8">
        <f>H3042*I3042</f>
        <v>30</v>
      </c>
      <c r="K3042" s="39">
        <v>1.36</v>
      </c>
      <c r="L3042" s="39">
        <f>K3042*J3042</f>
        <v>40.800000000000004</v>
      </c>
      <c r="M3042" s="403" t="s">
        <v>4433</v>
      </c>
      <c r="N3042" s="898">
        <v>45167</v>
      </c>
      <c r="O3042" s="1172">
        <v>5380</v>
      </c>
      <c r="P3042" s="1173">
        <f>ROUNDUP(S3042/V3042/VLOOKUP(B3042,$C$2:$F$6,3,FALSE),2)</f>
        <v>0.88</v>
      </c>
      <c r="Q3042" s="899">
        <v>0.88</v>
      </c>
      <c r="R3042" s="322">
        <f>Q3042*J3042</f>
        <v>26.4</v>
      </c>
      <c r="S3042" s="1175">
        <v>73.2</v>
      </c>
      <c r="T3042" s="7">
        <f>S3042*J3042</f>
        <v>2196</v>
      </c>
      <c r="U3042" s="1176"/>
      <c r="V3042" s="901">
        <v>120</v>
      </c>
      <c r="W3042" s="1136">
        <f>(((K3042*V3042)-S3042)/(K3042*V3042))</f>
        <v>0.55147058823529416</v>
      </c>
    </row>
    <row r="3043" spans="2:23" s="1168" customFormat="1" ht="17.25" customHeight="1">
      <c r="B3043" s="1169" t="s">
        <v>300</v>
      </c>
      <c r="C3043" s="1170" t="s">
        <v>4434</v>
      </c>
      <c r="D3043" s="890" t="s">
        <v>4435</v>
      </c>
      <c r="E3043" s="22">
        <v>1100</v>
      </c>
      <c r="F3043" s="1171">
        <v>25</v>
      </c>
      <c r="G3043" s="22" t="s">
        <v>4345</v>
      </c>
      <c r="H3043" s="108">
        <v>30</v>
      </c>
      <c r="I3043" s="109">
        <v>1</v>
      </c>
      <c r="J3043" s="8">
        <f>H3043*I3043</f>
        <v>30</v>
      </c>
      <c r="K3043" s="39">
        <v>1.36</v>
      </c>
      <c r="L3043" s="39">
        <f>K3043*J3043</f>
        <v>40.800000000000004</v>
      </c>
      <c r="M3043" s="403" t="s">
        <v>4433</v>
      </c>
      <c r="N3043" s="898">
        <v>45167</v>
      </c>
      <c r="O3043" s="1172">
        <v>5380</v>
      </c>
      <c r="P3043" s="1173">
        <f>ROUNDUP(S3043/V3043/VLOOKUP(B3043,$C$2:$F$6,3,FALSE),2)</f>
        <v>0.96</v>
      </c>
      <c r="Q3043" s="899">
        <v>0.96</v>
      </c>
      <c r="R3043" s="322">
        <f>Q3043*J3043</f>
        <v>28.799999999999997</v>
      </c>
      <c r="S3043" s="1175">
        <v>80</v>
      </c>
      <c r="T3043" s="7">
        <f>S3043*J3043</f>
        <v>2400</v>
      </c>
      <c r="U3043" s="1176"/>
      <c r="V3043" s="901">
        <v>120</v>
      </c>
      <c r="W3043" s="1136">
        <f>(((K3043*V3043)-S3043)/(K3043*V3043))</f>
        <v>0.50980392156862753</v>
      </c>
    </row>
    <row r="3044" spans="2:23" s="1168" customFormat="1" ht="17.25" customHeight="1">
      <c r="B3044" s="1169"/>
      <c r="C3044" s="1170" t="s">
        <v>4434</v>
      </c>
      <c r="D3044" s="890" t="s">
        <v>4435</v>
      </c>
      <c r="E3044" s="19" t="s">
        <v>4453</v>
      </c>
      <c r="F3044" s="1171"/>
      <c r="G3044" s="22"/>
      <c r="H3044" s="108"/>
      <c r="I3044" s="109"/>
      <c r="J3044" s="8"/>
      <c r="K3044" s="110" t="s">
        <v>101</v>
      </c>
      <c r="L3044" s="900"/>
      <c r="M3044" s="403"/>
      <c r="N3044" s="898">
        <v>45167</v>
      </c>
      <c r="O3044" s="1172">
        <v>5380</v>
      </c>
      <c r="P3044" s="1173"/>
      <c r="Q3044" s="899"/>
      <c r="R3044" s="899"/>
      <c r="S3044" s="1174"/>
      <c r="T3044" s="92"/>
      <c r="U3044" s="1174"/>
      <c r="V3044" s="901"/>
    </row>
    <row r="3045" spans="2:23" s="1168" customFormat="1" ht="17.25" customHeight="1">
      <c r="B3045" s="1169" t="s">
        <v>300</v>
      </c>
      <c r="C3045" s="1170" t="s">
        <v>4434</v>
      </c>
      <c r="D3045" s="890" t="s">
        <v>4435</v>
      </c>
      <c r="E3045" s="22">
        <v>1100</v>
      </c>
      <c r="F3045" s="1171">
        <v>50</v>
      </c>
      <c r="G3045" s="22" t="s">
        <v>4436</v>
      </c>
      <c r="H3045" s="108">
        <v>30</v>
      </c>
      <c r="I3045" s="109">
        <v>1</v>
      </c>
      <c r="J3045" s="8">
        <f>H3045*I3045</f>
        <v>30</v>
      </c>
      <c r="K3045" s="39">
        <v>2.6</v>
      </c>
      <c r="L3045" s="39">
        <f>K3045*J3045</f>
        <v>78</v>
      </c>
      <c r="M3045" s="403" t="s">
        <v>4433</v>
      </c>
      <c r="N3045" s="898">
        <v>45167</v>
      </c>
      <c r="O3045" s="1172">
        <v>5380</v>
      </c>
      <c r="P3045" s="1173">
        <f>ROUNDUP(S3045/V3045/VLOOKUP(B3045,$C$2:$F$6,3,FALSE),2)</f>
        <v>1.67</v>
      </c>
      <c r="Q3045" s="899">
        <v>1.67</v>
      </c>
      <c r="R3045" s="322">
        <f>Q3045*J3045</f>
        <v>50.099999999999994</v>
      </c>
      <c r="S3045" s="1175">
        <v>140</v>
      </c>
      <c r="T3045" s="7">
        <f>S3045*J3045</f>
        <v>4200</v>
      </c>
      <c r="U3045" s="1176"/>
      <c r="V3045" s="901">
        <v>120</v>
      </c>
      <c r="W3045" s="1136">
        <f>(((K3045*V3045)-S3045)/(K3045*V3045))</f>
        <v>0.55128205128205132</v>
      </c>
    </row>
    <row r="3046" spans="2:23" s="1168" customFormat="1" ht="17.25" customHeight="1">
      <c r="B3046" s="1169" t="s">
        <v>300</v>
      </c>
      <c r="C3046" s="1170" t="s">
        <v>4434</v>
      </c>
      <c r="D3046" s="890" t="s">
        <v>4435</v>
      </c>
      <c r="E3046" s="22">
        <v>1100</v>
      </c>
      <c r="F3046" s="1171">
        <v>50</v>
      </c>
      <c r="G3046" s="22" t="s">
        <v>4345</v>
      </c>
      <c r="H3046" s="108">
        <v>30</v>
      </c>
      <c r="I3046" s="109">
        <v>1</v>
      </c>
      <c r="J3046" s="8">
        <f>H3046*I3046</f>
        <v>30</v>
      </c>
      <c r="K3046" s="39">
        <v>2.6</v>
      </c>
      <c r="L3046" s="39">
        <f>K3046*J3046</f>
        <v>78</v>
      </c>
      <c r="M3046" s="403" t="s">
        <v>4433</v>
      </c>
      <c r="N3046" s="898">
        <v>45167</v>
      </c>
      <c r="O3046" s="1172">
        <v>5380</v>
      </c>
      <c r="P3046" s="1173">
        <f>ROUNDUP(S3046/V3046/VLOOKUP(B3046,$C$2:$F$6,3,FALSE),2)</f>
        <v>1.83</v>
      </c>
      <c r="Q3046" s="899">
        <v>1.83</v>
      </c>
      <c r="R3046" s="322">
        <f>Q3046*J3046</f>
        <v>54.900000000000006</v>
      </c>
      <c r="S3046" s="1175">
        <v>153.69999999999999</v>
      </c>
      <c r="T3046" s="7">
        <f>S3046*J3046</f>
        <v>4611</v>
      </c>
      <c r="U3046" s="1176"/>
      <c r="V3046" s="901">
        <v>120</v>
      </c>
      <c r="W3046" s="1136">
        <f t="shared" ref="W3046:W3056" si="201">(((K3046*V3046)-S3046)/(K3046*V3046))</f>
        <v>0.50737179487179496</v>
      </c>
    </row>
    <row r="3047" spans="2:23" s="7" customFormat="1" ht="18" customHeight="1">
      <c r="B3047" s="12"/>
      <c r="C3047" s="1170" t="s">
        <v>4434</v>
      </c>
      <c r="D3047" s="890" t="s">
        <v>4435</v>
      </c>
      <c r="E3047" s="82"/>
      <c r="F3047" s="102"/>
      <c r="G3047" s="22" t="s">
        <v>316</v>
      </c>
      <c r="H3047" s="8"/>
      <c r="I3047" s="35"/>
      <c r="J3047" s="38">
        <v>1</v>
      </c>
      <c r="K3047" s="39">
        <v>12</v>
      </c>
      <c r="L3047" s="39">
        <f>K3047*J3047</f>
        <v>12</v>
      </c>
      <c r="M3047" s="91"/>
      <c r="N3047" s="898">
        <v>45167</v>
      </c>
      <c r="O3047" s="1172">
        <v>5380</v>
      </c>
      <c r="P3047" s="6"/>
      <c r="Q3047" s="322">
        <v>12</v>
      </c>
      <c r="R3047" s="322">
        <f>Q3047*J3047</f>
        <v>12</v>
      </c>
      <c r="S3047" s="7">
        <v>0</v>
      </c>
      <c r="T3047" s="7">
        <f>S3047*J3047</f>
        <v>0</v>
      </c>
      <c r="U3047" s="21"/>
      <c r="V3047" s="260">
        <v>120</v>
      </c>
      <c r="W3047" s="1136">
        <f t="shared" si="201"/>
        <v>1</v>
      </c>
    </row>
    <row r="3048" spans="2:23" s="191" customFormat="1" ht="15.75">
      <c r="B3048" s="190"/>
      <c r="C3048" s="1177" t="s">
        <v>4434</v>
      </c>
      <c r="D3048" s="908" t="s">
        <v>4435</v>
      </c>
      <c r="E3048" s="181"/>
      <c r="F3048" s="182"/>
      <c r="G3048" s="309" t="s">
        <v>324</v>
      </c>
      <c r="H3048" s="184" t="s">
        <v>252</v>
      </c>
      <c r="I3048" s="185"/>
      <c r="J3048" s="183"/>
      <c r="K3048" s="203">
        <v>114</v>
      </c>
      <c r="L3048" s="203">
        <v>114</v>
      </c>
      <c r="M3048" s="187"/>
      <c r="N3048" s="916">
        <v>45167</v>
      </c>
      <c r="O3048" s="1182">
        <v>5380</v>
      </c>
      <c r="P3048" s="179"/>
      <c r="Q3048" s="203">
        <v>114</v>
      </c>
      <c r="R3048" s="203">
        <v>114</v>
      </c>
      <c r="S3048" s="7">
        <v>9919</v>
      </c>
      <c r="T3048" s="7">
        <v>9919</v>
      </c>
      <c r="U3048" s="271"/>
      <c r="V3048" s="260">
        <v>120</v>
      </c>
      <c r="W3048" s="1136">
        <f t="shared" si="201"/>
        <v>0.2749269005847953</v>
      </c>
    </row>
    <row r="3049" spans="2:23" s="7" customFormat="1" ht="15">
      <c r="B3049" s="12"/>
      <c r="C3049" s="6" t="s">
        <v>4444</v>
      </c>
      <c r="D3049" s="14" t="s">
        <v>2416</v>
      </c>
      <c r="E3049" s="19" t="s">
        <v>3261</v>
      </c>
      <c r="F3049" s="24"/>
      <c r="G3049" s="22"/>
      <c r="H3049" s="8"/>
      <c r="I3049" s="35"/>
      <c r="J3049" s="8"/>
      <c r="K3049" s="110" t="s">
        <v>5</v>
      </c>
      <c r="L3049" s="139"/>
      <c r="M3049" s="33"/>
      <c r="N3049" s="33">
        <v>45142</v>
      </c>
      <c r="O3049" s="32">
        <v>5401</v>
      </c>
      <c r="P3049" s="6" t="s">
        <v>8</v>
      </c>
      <c r="Q3049" s="358"/>
      <c r="U3049" s="120"/>
      <c r="V3049" s="260">
        <v>120</v>
      </c>
      <c r="W3049" s="1136" t="e">
        <f t="shared" si="201"/>
        <v>#VALUE!</v>
      </c>
    </row>
    <row r="3050" spans="2:23" s="7" customFormat="1" ht="18" customHeight="1">
      <c r="B3050" s="12" t="s">
        <v>300</v>
      </c>
      <c r="C3050" s="6" t="s">
        <v>4444</v>
      </c>
      <c r="D3050" s="14" t="s">
        <v>2416</v>
      </c>
      <c r="E3050" s="22" t="s">
        <v>3262</v>
      </c>
      <c r="F3050" s="37" t="s">
        <v>359</v>
      </c>
      <c r="G3050" s="396" t="s">
        <v>4438</v>
      </c>
      <c r="H3050" s="8">
        <v>50</v>
      </c>
      <c r="I3050" s="35">
        <v>3</v>
      </c>
      <c r="J3050" s="108">
        <f>H3050*I3050</f>
        <v>150</v>
      </c>
      <c r="K3050" s="958">
        <v>0.23</v>
      </c>
      <c r="L3050" s="39">
        <f t="shared" ref="L3050:L3056" si="202">K3050*J3050</f>
        <v>34.5</v>
      </c>
      <c r="M3050" s="117" t="s">
        <v>349</v>
      </c>
      <c r="N3050" s="33">
        <v>45142</v>
      </c>
      <c r="O3050" s="32">
        <v>5401</v>
      </c>
      <c r="P3050" s="391">
        <f t="shared" ref="P3050:P3055" si="203">ROUNDUP(S3050/V3050/VLOOKUP(B3050,$C$2:$F$6,3,FALSE),2)</f>
        <v>0.11</v>
      </c>
      <c r="Q3050" s="322">
        <v>0.11</v>
      </c>
      <c r="R3050" s="322">
        <f t="shared" ref="R3050:R3055" si="204">Q3050*J3050</f>
        <v>16.5</v>
      </c>
      <c r="S3050" s="7">
        <v>8.8000000000000007</v>
      </c>
      <c r="T3050" s="7">
        <f>S3050*J3050</f>
        <v>1320</v>
      </c>
      <c r="U3050" s="39"/>
      <c r="V3050" s="260">
        <v>120</v>
      </c>
      <c r="W3050" s="1136">
        <f t="shared" si="201"/>
        <v>0.6811594202898551</v>
      </c>
    </row>
    <row r="3051" spans="2:23" s="7" customFormat="1" ht="18" customHeight="1">
      <c r="B3051" s="12" t="s">
        <v>300</v>
      </c>
      <c r="C3051" s="6" t="s">
        <v>4444</v>
      </c>
      <c r="D3051" s="14" t="s">
        <v>2416</v>
      </c>
      <c r="E3051" s="22" t="s">
        <v>3262</v>
      </c>
      <c r="F3051" s="37" t="s">
        <v>359</v>
      </c>
      <c r="G3051" s="396" t="s">
        <v>4439</v>
      </c>
      <c r="H3051" s="8">
        <v>50</v>
      </c>
      <c r="I3051" s="35">
        <v>2</v>
      </c>
      <c r="J3051" s="108">
        <f>H3051*I3051</f>
        <v>100</v>
      </c>
      <c r="K3051" s="958">
        <v>0.23</v>
      </c>
      <c r="L3051" s="39">
        <f t="shared" si="202"/>
        <v>23</v>
      </c>
      <c r="M3051" s="117" t="s">
        <v>349</v>
      </c>
      <c r="N3051" s="33">
        <v>45142</v>
      </c>
      <c r="O3051" s="32">
        <v>5401</v>
      </c>
      <c r="P3051" s="391">
        <f t="shared" si="203"/>
        <v>0.11</v>
      </c>
      <c r="Q3051" s="322">
        <v>0.11</v>
      </c>
      <c r="R3051" s="322">
        <f t="shared" si="204"/>
        <v>11</v>
      </c>
      <c r="S3051" s="7">
        <v>8.8000000000000007</v>
      </c>
      <c r="T3051" s="7">
        <f>S3051*J3051</f>
        <v>880.00000000000011</v>
      </c>
      <c r="U3051" s="39"/>
      <c r="V3051" s="260">
        <v>120</v>
      </c>
      <c r="W3051" s="1136">
        <f t="shared" si="201"/>
        <v>0.6811594202898551</v>
      </c>
    </row>
    <row r="3052" spans="2:23" s="7" customFormat="1" ht="18" customHeight="1">
      <c r="B3052" s="12" t="s">
        <v>300</v>
      </c>
      <c r="C3052" s="6" t="s">
        <v>4444</v>
      </c>
      <c r="D3052" s="14" t="s">
        <v>2416</v>
      </c>
      <c r="E3052" s="22" t="s">
        <v>3262</v>
      </c>
      <c r="F3052" s="37" t="s">
        <v>359</v>
      </c>
      <c r="G3052" s="396" t="s">
        <v>4440</v>
      </c>
      <c r="H3052" s="8">
        <v>50</v>
      </c>
      <c r="I3052" s="35">
        <v>2</v>
      </c>
      <c r="J3052" s="108">
        <f>H3052*I3052</f>
        <v>100</v>
      </c>
      <c r="K3052" s="958">
        <v>0.23</v>
      </c>
      <c r="L3052" s="39">
        <f t="shared" si="202"/>
        <v>23</v>
      </c>
      <c r="M3052" s="117" t="s">
        <v>349</v>
      </c>
      <c r="N3052" s="33">
        <v>45142</v>
      </c>
      <c r="O3052" s="32">
        <v>5401</v>
      </c>
      <c r="P3052" s="391">
        <f>ROUNDUP(S3052/V3052/VLOOKUP(B3052,$C$2:$F$6,3,FALSE),2)</f>
        <v>0.11</v>
      </c>
      <c r="Q3052" s="322">
        <v>0.11</v>
      </c>
      <c r="R3052" s="322">
        <f t="shared" si="204"/>
        <v>11</v>
      </c>
      <c r="S3052" s="7">
        <v>8.8000000000000007</v>
      </c>
      <c r="T3052" s="7">
        <f>S3052*J3052</f>
        <v>880.00000000000011</v>
      </c>
      <c r="U3052" s="39"/>
      <c r="V3052" s="260">
        <v>120</v>
      </c>
      <c r="W3052" s="1136">
        <f>(((K3052*V3052)-S3052)/(K3052*V3052))</f>
        <v>0.6811594202898551</v>
      </c>
    </row>
    <row r="3053" spans="2:23" s="7" customFormat="1" ht="18" customHeight="1">
      <c r="B3053" s="12" t="s">
        <v>300</v>
      </c>
      <c r="C3053" s="6" t="s">
        <v>4444</v>
      </c>
      <c r="D3053" s="14" t="s">
        <v>2416</v>
      </c>
      <c r="E3053" s="22" t="s">
        <v>3262</v>
      </c>
      <c r="F3053" s="37" t="s">
        <v>359</v>
      </c>
      <c r="G3053" s="396" t="s">
        <v>4441</v>
      </c>
      <c r="H3053" s="8">
        <v>50</v>
      </c>
      <c r="I3053" s="35">
        <v>2</v>
      </c>
      <c r="J3053" s="108">
        <f>H3053*I3053</f>
        <v>100</v>
      </c>
      <c r="K3053" s="958">
        <v>0.23</v>
      </c>
      <c r="L3053" s="39">
        <f t="shared" si="202"/>
        <v>23</v>
      </c>
      <c r="M3053" s="117" t="s">
        <v>349</v>
      </c>
      <c r="N3053" s="33">
        <v>45142</v>
      </c>
      <c r="O3053" s="32">
        <v>5401</v>
      </c>
      <c r="P3053" s="391">
        <f>ROUNDUP(S3053/V3053/VLOOKUP(B3053,$C$2:$F$6,3,FALSE),2)</f>
        <v>0.11</v>
      </c>
      <c r="Q3053" s="322">
        <v>0.11</v>
      </c>
      <c r="R3053" s="322">
        <f t="shared" si="204"/>
        <v>11</v>
      </c>
      <c r="S3053" s="7">
        <v>8.8000000000000007</v>
      </c>
      <c r="T3053" s="7">
        <f>S3053*J3053</f>
        <v>880.00000000000011</v>
      </c>
      <c r="U3053" s="39"/>
      <c r="V3053" s="260">
        <v>120</v>
      </c>
      <c r="W3053" s="1136">
        <f>(((K3053*V3053)-S3053)/(K3053*V3053))</f>
        <v>0.6811594202898551</v>
      </c>
    </row>
    <row r="3054" spans="2:23" s="7" customFormat="1" ht="18" customHeight="1">
      <c r="B3054" s="12" t="s">
        <v>300</v>
      </c>
      <c r="C3054" s="6" t="s">
        <v>4444</v>
      </c>
      <c r="D3054" s="14" t="s">
        <v>2416</v>
      </c>
      <c r="E3054" s="22" t="s">
        <v>3262</v>
      </c>
      <c r="F3054" s="37" t="s">
        <v>359</v>
      </c>
      <c r="G3054" s="396" t="s">
        <v>4443</v>
      </c>
      <c r="H3054" s="8">
        <v>50</v>
      </c>
      <c r="I3054" s="35">
        <v>3</v>
      </c>
      <c r="J3054" s="108">
        <f>H3054*I3054</f>
        <v>150</v>
      </c>
      <c r="K3054" s="958">
        <v>0.33</v>
      </c>
      <c r="L3054" s="39">
        <f t="shared" si="202"/>
        <v>49.5</v>
      </c>
      <c r="M3054" s="117" t="s">
        <v>349</v>
      </c>
      <c r="N3054" s="33">
        <v>45142</v>
      </c>
      <c r="O3054" s="32">
        <v>5401</v>
      </c>
      <c r="P3054" s="391">
        <f t="shared" si="203"/>
        <v>0.14000000000000001</v>
      </c>
      <c r="Q3054" s="322">
        <v>0.14000000000000001</v>
      </c>
      <c r="R3054" s="322">
        <f t="shared" si="204"/>
        <v>21.000000000000004</v>
      </c>
      <c r="S3054" s="7">
        <v>11.7</v>
      </c>
      <c r="T3054" s="7">
        <f>S3054*J3054</f>
        <v>1755</v>
      </c>
      <c r="U3054" s="39"/>
      <c r="V3054" s="260">
        <v>120</v>
      </c>
      <c r="W3054" s="1136">
        <f t="shared" si="201"/>
        <v>0.70454545454545459</v>
      </c>
    </row>
    <row r="3055" spans="2:23" s="7" customFormat="1" ht="17.45" customHeight="1">
      <c r="B3055" s="12" t="s">
        <v>306</v>
      </c>
      <c r="C3055" s="6" t="s">
        <v>4444</v>
      </c>
      <c r="D3055" s="14" t="s">
        <v>2416</v>
      </c>
      <c r="E3055" s="22"/>
      <c r="F3055" s="37"/>
      <c r="G3055" s="221" t="s">
        <v>4442</v>
      </c>
      <c r="H3055" s="8"/>
      <c r="I3055" s="35"/>
      <c r="J3055" s="38">
        <v>1</v>
      </c>
      <c r="K3055" s="958">
        <v>153</v>
      </c>
      <c r="L3055" s="39">
        <f t="shared" si="202"/>
        <v>153</v>
      </c>
      <c r="M3055" s="117" t="s">
        <v>349</v>
      </c>
      <c r="N3055" s="33">
        <v>45142</v>
      </c>
      <c r="O3055" s="32">
        <v>5401</v>
      </c>
      <c r="P3055" s="391">
        <f t="shared" si="203"/>
        <v>104.17</v>
      </c>
      <c r="Q3055" s="322">
        <v>104.17</v>
      </c>
      <c r="R3055" s="322">
        <f t="shared" si="204"/>
        <v>104.17</v>
      </c>
      <c r="S3055" s="7">
        <f>3000+8000</f>
        <v>11000</v>
      </c>
      <c r="T3055" s="7">
        <f>(3000+8000)*J3055</f>
        <v>11000</v>
      </c>
      <c r="U3055" s="39"/>
      <c r="V3055" s="260">
        <v>120</v>
      </c>
      <c r="W3055" s="1136">
        <f t="shared" si="201"/>
        <v>0.40087145969498911</v>
      </c>
    </row>
    <row r="3056" spans="2:23" s="7" customFormat="1" ht="18" customHeight="1">
      <c r="B3056" s="12"/>
      <c r="C3056" s="6" t="s">
        <v>4444</v>
      </c>
      <c r="D3056" s="14" t="s">
        <v>2416</v>
      </c>
      <c r="E3056" s="22"/>
      <c r="F3056" s="340"/>
      <c r="G3056" s="22" t="s">
        <v>316</v>
      </c>
      <c r="H3056" s="8"/>
      <c r="I3056" s="109" ph="1"/>
      <c r="J3056" s="38">
        <v>1</v>
      </c>
      <c r="K3056" s="39">
        <v>12</v>
      </c>
      <c r="L3056" s="39">
        <f t="shared" si="202"/>
        <v>12</v>
      </c>
      <c r="M3056" s="117"/>
      <c r="N3056" s="33">
        <v>45142</v>
      </c>
      <c r="O3056" s="32">
        <v>5401</v>
      </c>
      <c r="P3056" s="6"/>
      <c r="Q3056" s="322">
        <v>12</v>
      </c>
      <c r="R3056" s="322">
        <v>12</v>
      </c>
      <c r="S3056" s="7">
        <v>1100</v>
      </c>
      <c r="T3056" s="7">
        <f>S3056*J3056</f>
        <v>1100</v>
      </c>
      <c r="U3056" s="21"/>
      <c r="V3056" s="260">
        <v>120</v>
      </c>
      <c r="W3056" s="1136">
        <f t="shared" si="201"/>
        <v>0.2361111111111111</v>
      </c>
    </row>
    <row r="3057" spans="1:23" s="218" customFormat="1" ht="18" customHeight="1">
      <c r="A3057" s="7"/>
      <c r="B3057" s="189"/>
      <c r="C3057" s="179" t="s">
        <v>4444</v>
      </c>
      <c r="D3057" s="180" t="s">
        <v>2416</v>
      </c>
      <c r="E3057" s="217"/>
      <c r="F3057" s="182"/>
      <c r="G3057" s="182" t="s">
        <v>250</v>
      </c>
      <c r="H3057" s="184" t="s">
        <v>251</v>
      </c>
      <c r="I3057" s="185"/>
      <c r="J3057" s="183"/>
      <c r="K3057" s="192">
        <v>0</v>
      </c>
      <c r="L3057" s="946"/>
      <c r="M3057" s="947"/>
      <c r="N3057" s="187">
        <v>45142</v>
      </c>
      <c r="O3057" s="186">
        <v>5401</v>
      </c>
      <c r="P3057" s="179"/>
      <c r="Q3057" s="725">
        <v>0</v>
      </c>
      <c r="S3057" s="197">
        <v>0</v>
      </c>
      <c r="T3057" s="197">
        <v>0</v>
      </c>
      <c r="U3057" s="335"/>
      <c r="V3057" s="260">
        <v>120</v>
      </c>
    </row>
    <row r="3058" spans="1:23" s="7" customFormat="1" ht="15">
      <c r="B3058" s="12"/>
      <c r="C3058" s="6" t="s">
        <v>4445</v>
      </c>
      <c r="D3058" s="14" t="s">
        <v>2416</v>
      </c>
      <c r="E3058" s="19" t="s">
        <v>3261</v>
      </c>
      <c r="F3058" s="24"/>
      <c r="G3058" s="22"/>
      <c r="H3058" s="8"/>
      <c r="I3058" s="35"/>
      <c r="J3058" s="8"/>
      <c r="K3058" s="110" t="s">
        <v>5</v>
      </c>
      <c r="L3058" s="139"/>
      <c r="M3058" s="33"/>
      <c r="N3058" s="33">
        <v>45159</v>
      </c>
      <c r="O3058" s="32">
        <v>5400</v>
      </c>
      <c r="P3058" s="6" t="s">
        <v>8</v>
      </c>
      <c r="Q3058" s="358"/>
      <c r="U3058" s="120"/>
      <c r="V3058" s="260">
        <v>120</v>
      </c>
      <c r="W3058" s="1136" t="e">
        <f>(((K3058*V3058)-S3058)/(K3058*V3058))</f>
        <v>#VALUE!</v>
      </c>
    </row>
    <row r="3059" spans="1:23" s="7" customFormat="1" ht="18" customHeight="1">
      <c r="B3059" s="12" t="s">
        <v>300</v>
      </c>
      <c r="C3059" s="6" t="s">
        <v>4445</v>
      </c>
      <c r="D3059" s="14" t="s">
        <v>2416</v>
      </c>
      <c r="E3059" s="22" t="s">
        <v>3262</v>
      </c>
      <c r="F3059" s="37" t="s">
        <v>359</v>
      </c>
      <c r="G3059" s="396" t="s">
        <v>3263</v>
      </c>
      <c r="H3059" s="8">
        <v>50</v>
      </c>
      <c r="I3059" s="35">
        <v>6</v>
      </c>
      <c r="J3059" s="108">
        <f>H3059*I3059</f>
        <v>300</v>
      </c>
      <c r="K3059" s="958">
        <v>0.23</v>
      </c>
      <c r="L3059" s="39">
        <f>K3059*J3059</f>
        <v>69</v>
      </c>
      <c r="M3059" s="117" t="s">
        <v>349</v>
      </c>
      <c r="N3059" s="33">
        <v>45159</v>
      </c>
      <c r="O3059" s="32">
        <v>5400</v>
      </c>
      <c r="P3059" s="391">
        <f>ROUNDUP(S3059/V3059/VLOOKUP(B3059,$C$2:$F$6,3,FALSE),2)</f>
        <v>0.11</v>
      </c>
      <c r="Q3059" s="322">
        <v>0.11</v>
      </c>
      <c r="R3059" s="322">
        <f>Q3059*J3059</f>
        <v>33</v>
      </c>
      <c r="S3059" s="7">
        <v>8.8000000000000007</v>
      </c>
      <c r="T3059" s="7">
        <f>S3059*J3059</f>
        <v>2640</v>
      </c>
      <c r="U3059" s="39"/>
      <c r="V3059" s="260">
        <v>120</v>
      </c>
      <c r="W3059" s="1136">
        <f>(((K3059*V3059)-S3059)/(K3059*V3059))</f>
        <v>0.6811594202898551</v>
      </c>
    </row>
    <row r="3060" spans="1:23" s="7" customFormat="1" ht="18" customHeight="1">
      <c r="B3060" s="12" t="s">
        <v>300</v>
      </c>
      <c r="C3060" s="6" t="s">
        <v>4445</v>
      </c>
      <c r="D3060" s="14" t="s">
        <v>2416</v>
      </c>
      <c r="E3060" s="22" t="s">
        <v>3262</v>
      </c>
      <c r="F3060" s="37" t="s">
        <v>359</v>
      </c>
      <c r="G3060" s="396" t="s">
        <v>4446</v>
      </c>
      <c r="H3060" s="8">
        <v>50</v>
      </c>
      <c r="I3060" s="35">
        <v>3</v>
      </c>
      <c r="J3060" s="108">
        <f>H3060*I3060</f>
        <v>150</v>
      </c>
      <c r="K3060" s="958">
        <v>0.23</v>
      </c>
      <c r="L3060" s="39">
        <f>K3060*J3060</f>
        <v>34.5</v>
      </c>
      <c r="M3060" s="117" t="s">
        <v>349</v>
      </c>
      <c r="N3060" s="33">
        <v>45159</v>
      </c>
      <c r="O3060" s="32">
        <v>5400</v>
      </c>
      <c r="P3060" s="391">
        <f>ROUNDUP(S3060/V3060/VLOOKUP(B3060,$C$2:$F$6,3,FALSE),2)</f>
        <v>0.11</v>
      </c>
      <c r="Q3060" s="322">
        <v>0.11</v>
      </c>
      <c r="R3060" s="322">
        <f>Q3060*J3060</f>
        <v>16.5</v>
      </c>
      <c r="S3060" s="7">
        <v>8.8000000000000007</v>
      </c>
      <c r="T3060" s="7">
        <f>S3060*J3060</f>
        <v>1320</v>
      </c>
      <c r="U3060" s="39"/>
      <c r="V3060" s="260">
        <v>120</v>
      </c>
      <c r="W3060" s="1136">
        <f>(((K3060*V3060)-S3060)/(K3060*V3060))</f>
        <v>0.6811594202898551</v>
      </c>
    </row>
    <row r="3061" spans="1:23" s="7" customFormat="1" ht="18" customHeight="1">
      <c r="B3061" s="12" t="s">
        <v>300</v>
      </c>
      <c r="C3061" s="6" t="s">
        <v>4445</v>
      </c>
      <c r="D3061" s="14" t="s">
        <v>2416</v>
      </c>
      <c r="E3061" s="22" t="s">
        <v>3262</v>
      </c>
      <c r="F3061" s="37" t="s">
        <v>359</v>
      </c>
      <c r="G3061" s="396" t="s">
        <v>4447</v>
      </c>
      <c r="H3061" s="8">
        <v>50</v>
      </c>
      <c r="I3061" s="35">
        <v>3</v>
      </c>
      <c r="J3061" s="108">
        <f>H3061*I3061</f>
        <v>150</v>
      </c>
      <c r="K3061" s="958">
        <v>0.33</v>
      </c>
      <c r="L3061" s="39">
        <f>K3061*J3061</f>
        <v>49.5</v>
      </c>
      <c r="M3061" s="117" t="s">
        <v>349</v>
      </c>
      <c r="N3061" s="33">
        <v>45159</v>
      </c>
      <c r="O3061" s="32">
        <v>5400</v>
      </c>
      <c r="P3061" s="391">
        <f>ROUNDUP(S3061/V3061/VLOOKUP(B3061,$C$2:$F$6,3,FALSE),2)</f>
        <v>0.14000000000000001</v>
      </c>
      <c r="Q3061" s="322">
        <v>0.14000000000000001</v>
      </c>
      <c r="R3061" s="322">
        <f>Q3061*J3061</f>
        <v>21.000000000000004</v>
      </c>
      <c r="S3061" s="7">
        <v>11.7</v>
      </c>
      <c r="T3061" s="7">
        <f>S3061*J3061</f>
        <v>1755</v>
      </c>
      <c r="U3061" s="39"/>
      <c r="V3061" s="260">
        <v>120</v>
      </c>
      <c r="W3061" s="1136">
        <f>(((K3061*V3061)-S3061)/(K3061*V3061))</f>
        <v>0.70454545454545459</v>
      </c>
    </row>
    <row r="3062" spans="1:23" s="7" customFormat="1" ht="17.45" customHeight="1">
      <c r="B3062" s="12" t="s">
        <v>306</v>
      </c>
      <c r="C3062" s="6" t="s">
        <v>4445</v>
      </c>
      <c r="D3062" s="14" t="s">
        <v>2416</v>
      </c>
      <c r="E3062" s="22"/>
      <c r="F3062" s="37"/>
      <c r="G3062" s="221" t="s">
        <v>4448</v>
      </c>
      <c r="H3062" s="8"/>
      <c r="I3062" s="35"/>
      <c r="J3062" s="38">
        <v>1</v>
      </c>
      <c r="K3062" s="958">
        <v>153</v>
      </c>
      <c r="L3062" s="39">
        <f>K3062*J3062</f>
        <v>153</v>
      </c>
      <c r="M3062" s="117" t="s">
        <v>349</v>
      </c>
      <c r="N3062" s="33">
        <v>45159</v>
      </c>
      <c r="O3062" s="32">
        <v>5400</v>
      </c>
      <c r="P3062" s="391">
        <f>ROUNDUP(S3062/V3062/VLOOKUP(B3062,$C$2:$F$6,3,FALSE),2)</f>
        <v>104.17</v>
      </c>
      <c r="Q3062" s="322">
        <v>104.17</v>
      </c>
      <c r="R3062" s="322">
        <f>Q3062*J3062</f>
        <v>104.17</v>
      </c>
      <c r="S3062" s="7">
        <f>3000+8000</f>
        <v>11000</v>
      </c>
      <c r="T3062" s="7">
        <f>(3000+8000)*J3062</f>
        <v>11000</v>
      </c>
      <c r="U3062" s="39"/>
      <c r="V3062" s="260">
        <v>120</v>
      </c>
      <c r="W3062" s="1136">
        <f>(((K3062*V3062)-S3062)/(K3062*V3062))</f>
        <v>0.40087145969498911</v>
      </c>
    </row>
    <row r="3063" spans="1:23" s="218" customFormat="1" ht="18" customHeight="1">
      <c r="A3063" s="7"/>
      <c r="B3063" s="189"/>
      <c r="C3063" s="179" t="s">
        <v>4445</v>
      </c>
      <c r="D3063" s="180" t="s">
        <v>2416</v>
      </c>
      <c r="E3063" s="217"/>
      <c r="F3063" s="182"/>
      <c r="G3063" s="182" t="s">
        <v>250</v>
      </c>
      <c r="H3063" s="184" t="s">
        <v>251</v>
      </c>
      <c r="I3063" s="185"/>
      <c r="J3063" s="183"/>
      <c r="K3063" s="192">
        <v>0</v>
      </c>
      <c r="L3063" s="946"/>
      <c r="M3063" s="947"/>
      <c r="N3063" s="187">
        <v>45159</v>
      </c>
      <c r="O3063" s="186">
        <v>5400</v>
      </c>
      <c r="P3063" s="179"/>
      <c r="Q3063" s="725">
        <v>0</v>
      </c>
      <c r="S3063" s="197">
        <v>0</v>
      </c>
      <c r="T3063" s="197">
        <v>0</v>
      </c>
      <c r="U3063" s="335"/>
      <c r="V3063" s="260">
        <v>120</v>
      </c>
    </row>
    <row r="3064" spans="1:23" s="7" customFormat="1" ht="18" customHeight="1">
      <c r="B3064" s="12"/>
      <c r="C3064" s="6" t="s">
        <v>4449</v>
      </c>
      <c r="D3064" s="14" t="s">
        <v>4424</v>
      </c>
      <c r="E3064" s="19" t="s">
        <v>358</v>
      </c>
      <c r="F3064" s="37"/>
      <c r="G3064" s="37"/>
      <c r="H3064" s="108"/>
      <c r="I3064" s="108"/>
      <c r="J3064" s="108"/>
      <c r="K3064" s="110" t="s">
        <v>101</v>
      </c>
      <c r="L3064" s="139"/>
      <c r="M3064" s="33"/>
      <c r="N3064" s="33">
        <v>45127</v>
      </c>
      <c r="O3064" s="32">
        <v>5391</v>
      </c>
      <c r="P3064" s="6"/>
      <c r="Q3064" s="339"/>
      <c r="U3064" s="21"/>
      <c r="V3064" s="257"/>
    </row>
    <row r="3065" spans="1:23" s="7" customFormat="1" ht="17.25" customHeight="1">
      <c r="B3065" s="12" t="s">
        <v>300</v>
      </c>
      <c r="C3065" s="6" t="s">
        <v>4449</v>
      </c>
      <c r="D3065" s="14" t="s">
        <v>4424</v>
      </c>
      <c r="E3065" s="22" t="s">
        <v>4450</v>
      </c>
      <c r="F3065" s="37"/>
      <c r="G3065" s="37" t="s">
        <v>183</v>
      </c>
      <c r="H3065" s="108">
        <v>13.7</v>
      </c>
      <c r="I3065" s="109">
        <v>1</v>
      </c>
      <c r="J3065" s="131">
        <f>H3065*I3065</f>
        <v>13.7</v>
      </c>
      <c r="K3065" s="39">
        <v>2.41</v>
      </c>
      <c r="L3065" s="39">
        <f>K3065*J3065</f>
        <v>33.017000000000003</v>
      </c>
      <c r="M3065" s="117" t="s">
        <v>349</v>
      </c>
      <c r="N3065" s="33">
        <v>45127</v>
      </c>
      <c r="O3065" s="32">
        <v>5391</v>
      </c>
      <c r="P3065" s="391">
        <f>ROUNDUP(S3065/V3065/VLOOKUP(B3065,$C$2:$F$6,3,FALSE),2)</f>
        <v>1.55</v>
      </c>
      <c r="Q3065" s="358">
        <v>1.55</v>
      </c>
      <c r="R3065" s="322">
        <f>Q3065*J3065</f>
        <v>21.234999999999999</v>
      </c>
      <c r="S3065" s="7">
        <v>130</v>
      </c>
      <c r="T3065" s="7">
        <f>S3065*J3065</f>
        <v>1781</v>
      </c>
      <c r="U3065" s="267"/>
      <c r="V3065" s="260">
        <v>120</v>
      </c>
      <c r="W3065" s="1136">
        <f>(((K3065*V3065)-S3065)/(K3065*V3065))</f>
        <v>0.55048409405255883</v>
      </c>
    </row>
    <row r="3066" spans="1:23" s="7" customFormat="1" ht="17.25" customHeight="1">
      <c r="B3066" s="12" t="s">
        <v>300</v>
      </c>
      <c r="C3066" s="6" t="s">
        <v>4449</v>
      </c>
      <c r="D3066" s="14" t="s">
        <v>4424</v>
      </c>
      <c r="E3066" s="22" t="s">
        <v>4451</v>
      </c>
      <c r="F3066" s="37"/>
      <c r="G3066" s="37" t="s">
        <v>183</v>
      </c>
      <c r="H3066" s="108">
        <v>13.7</v>
      </c>
      <c r="I3066" s="109">
        <v>2</v>
      </c>
      <c r="J3066" s="131">
        <f>H3066*I3066</f>
        <v>27.4</v>
      </c>
      <c r="K3066" s="39">
        <v>1.86</v>
      </c>
      <c r="L3066" s="39">
        <f>K3066*J3066</f>
        <v>50.963999999999999</v>
      </c>
      <c r="M3066" s="117" t="s">
        <v>349</v>
      </c>
      <c r="N3066" s="33">
        <v>45127</v>
      </c>
      <c r="O3066" s="32">
        <v>5391</v>
      </c>
      <c r="P3066" s="391">
        <f>ROUNDUP(S3066/V3066/VLOOKUP(B3066,$C$2:$F$6,3,FALSE),2)</f>
        <v>1.2</v>
      </c>
      <c r="Q3066" s="358">
        <v>1.2</v>
      </c>
      <c r="R3066" s="322">
        <f>Q3066*J3066</f>
        <v>32.879999999999995</v>
      </c>
      <c r="S3066" s="7">
        <v>100</v>
      </c>
      <c r="T3066" s="7">
        <f>S3066*J3066</f>
        <v>2740</v>
      </c>
      <c r="U3066" s="267"/>
      <c r="V3066" s="260">
        <v>120</v>
      </c>
      <c r="W3066" s="1136">
        <f>(((K3066*V3066)-S3066)/(K3066*V3066))</f>
        <v>0.55197132616487454</v>
      </c>
    </row>
    <row r="3067" spans="1:23" s="7" customFormat="1" ht="18" customHeight="1">
      <c r="B3067" s="12"/>
      <c r="C3067" s="6" t="s">
        <v>4449</v>
      </c>
      <c r="D3067" s="14" t="s">
        <v>4424</v>
      </c>
      <c r="E3067" s="82"/>
      <c r="F3067" s="102"/>
      <c r="G3067" s="22" t="s">
        <v>316</v>
      </c>
      <c r="H3067" s="8"/>
      <c r="I3067" s="35"/>
      <c r="J3067" s="38">
        <v>1</v>
      </c>
      <c r="K3067" s="39">
        <v>12</v>
      </c>
      <c r="L3067" s="39">
        <f>K3067*J3067</f>
        <v>12</v>
      </c>
      <c r="M3067" s="91"/>
      <c r="N3067" s="33">
        <v>45127</v>
      </c>
      <c r="O3067" s="32">
        <v>5391</v>
      </c>
      <c r="P3067" s="6"/>
      <c r="Q3067" s="322">
        <v>12</v>
      </c>
      <c r="R3067" s="322">
        <f>Q3067*J3067</f>
        <v>12</v>
      </c>
      <c r="S3067" s="7">
        <v>900</v>
      </c>
      <c r="T3067" s="7">
        <f>S3067*J3067</f>
        <v>900</v>
      </c>
      <c r="U3067" s="21"/>
      <c r="V3067" s="260">
        <v>120</v>
      </c>
      <c r="W3067" s="1136">
        <f>(((K3067*V3067)-S3067)/(K3067*V3067))</f>
        <v>0.375</v>
      </c>
    </row>
    <row r="3068" spans="1:23" s="191" customFormat="1" ht="15">
      <c r="B3068" s="190"/>
      <c r="C3068" s="179" t="s">
        <v>4449</v>
      </c>
      <c r="D3068" s="180" t="s">
        <v>4424</v>
      </c>
      <c r="E3068" s="181"/>
      <c r="F3068" s="182"/>
      <c r="G3068" s="182" t="s">
        <v>2738</v>
      </c>
      <c r="H3068" s="184" t="s">
        <v>251</v>
      </c>
      <c r="I3068" s="185"/>
      <c r="J3068" s="183"/>
      <c r="K3068" s="192">
        <v>0</v>
      </c>
      <c r="L3068" s="187"/>
      <c r="M3068" s="187"/>
      <c r="N3068" s="187">
        <v>45127</v>
      </c>
      <c r="O3068" s="186">
        <v>5391</v>
      </c>
      <c r="P3068" s="179"/>
      <c r="Q3068" s="255">
        <v>0</v>
      </c>
      <c r="S3068" s="274">
        <v>0</v>
      </c>
      <c r="T3068" s="198">
        <v>0</v>
      </c>
      <c r="U3068" s="271"/>
      <c r="V3068" s="260">
        <v>120</v>
      </c>
    </row>
    <row r="3069" spans="1:23" s="7" customFormat="1" ht="18" customHeight="1">
      <c r="B3069" s="12"/>
      <c r="C3069" s="6" t="s">
        <v>4454</v>
      </c>
      <c r="D3069" s="14" t="s">
        <v>4424</v>
      </c>
      <c r="E3069" s="19" t="s">
        <v>358</v>
      </c>
      <c r="F3069" s="37"/>
      <c r="G3069" s="37"/>
      <c r="H3069" s="108"/>
      <c r="I3069" s="108"/>
      <c r="J3069" s="108"/>
      <c r="K3069" s="110" t="s">
        <v>101</v>
      </c>
      <c r="L3069" s="139"/>
      <c r="M3069" s="33"/>
      <c r="N3069" s="33">
        <v>45131</v>
      </c>
      <c r="O3069" s="32">
        <v>5394</v>
      </c>
      <c r="P3069" s="6"/>
      <c r="Q3069" s="339"/>
      <c r="U3069" s="21"/>
      <c r="V3069" s="257"/>
    </row>
    <row r="3070" spans="1:23" s="7" customFormat="1" ht="17.25" customHeight="1">
      <c r="B3070" s="12" t="s">
        <v>300</v>
      </c>
      <c r="C3070" s="6" t="s">
        <v>4454</v>
      </c>
      <c r="D3070" s="14" t="s">
        <v>4424</v>
      </c>
      <c r="E3070" s="22" t="s">
        <v>4455</v>
      </c>
      <c r="F3070" s="37"/>
      <c r="G3070" s="37" t="s">
        <v>183</v>
      </c>
      <c r="H3070" s="108">
        <v>13.7</v>
      </c>
      <c r="I3070" s="109">
        <v>1</v>
      </c>
      <c r="J3070" s="131">
        <f>H3070*I3070</f>
        <v>13.7</v>
      </c>
      <c r="K3070" s="39">
        <v>2.69</v>
      </c>
      <c r="L3070" s="39">
        <f>K3070*J3070</f>
        <v>36.852999999999994</v>
      </c>
      <c r="M3070" s="117" t="s">
        <v>349</v>
      </c>
      <c r="N3070" s="33">
        <v>45131</v>
      </c>
      <c r="O3070" s="32">
        <v>5394</v>
      </c>
      <c r="P3070" s="391">
        <f>ROUNDUP(S3070/V3070/VLOOKUP(B3070,$C$2:$F$6,3,FALSE),2)</f>
        <v>1.73</v>
      </c>
      <c r="Q3070" s="358">
        <v>1.73</v>
      </c>
      <c r="R3070" s="322">
        <f>Q3070*J3070</f>
        <v>23.700999999999997</v>
      </c>
      <c r="S3070" s="7">
        <v>145</v>
      </c>
      <c r="T3070" s="7">
        <f>S3070*J3070</f>
        <v>1986.5</v>
      </c>
      <c r="U3070" s="267"/>
      <c r="V3070" s="260">
        <v>120</v>
      </c>
      <c r="W3070" s="1136">
        <f>(((K3070*V3070)-S3070)/(K3070*V3070))</f>
        <v>0.55080545229244116</v>
      </c>
    </row>
    <row r="3071" spans="1:23" s="7" customFormat="1" ht="18" customHeight="1">
      <c r="B3071" s="12"/>
      <c r="C3071" s="6" t="s">
        <v>4454</v>
      </c>
      <c r="D3071" s="14" t="s">
        <v>4424</v>
      </c>
      <c r="E3071" s="82"/>
      <c r="F3071" s="102"/>
      <c r="G3071" s="22" t="s">
        <v>316</v>
      </c>
      <c r="H3071" s="8"/>
      <c r="I3071" s="35"/>
      <c r="J3071" s="38">
        <v>1</v>
      </c>
      <c r="K3071" s="39">
        <v>12</v>
      </c>
      <c r="L3071" s="39">
        <f>K3071*J3071</f>
        <v>12</v>
      </c>
      <c r="M3071" s="91"/>
      <c r="N3071" s="33">
        <v>45131</v>
      </c>
      <c r="O3071" s="32">
        <v>5394</v>
      </c>
      <c r="P3071" s="6"/>
      <c r="Q3071" s="322">
        <v>12</v>
      </c>
      <c r="R3071" s="322">
        <f>Q3071*J3071</f>
        <v>12</v>
      </c>
      <c r="S3071" s="7">
        <v>900</v>
      </c>
      <c r="T3071" s="7">
        <f>S3071*J3071</f>
        <v>900</v>
      </c>
      <c r="U3071" s="21"/>
      <c r="V3071" s="260">
        <v>120</v>
      </c>
      <c r="W3071" s="1136">
        <f>(((K3071*V3071)-S3071)/(K3071*V3071))</f>
        <v>0.375</v>
      </c>
    </row>
    <row r="3072" spans="1:23" s="191" customFormat="1" ht="15">
      <c r="B3072" s="190"/>
      <c r="C3072" s="179" t="s">
        <v>4454</v>
      </c>
      <c r="D3072" s="180" t="s">
        <v>4424</v>
      </c>
      <c r="E3072" s="181"/>
      <c r="F3072" s="182"/>
      <c r="G3072" s="182" t="s">
        <v>2738</v>
      </c>
      <c r="H3072" s="184" t="s">
        <v>251</v>
      </c>
      <c r="I3072" s="185"/>
      <c r="J3072" s="183"/>
      <c r="K3072" s="192">
        <v>0</v>
      </c>
      <c r="L3072" s="187"/>
      <c r="M3072" s="187"/>
      <c r="N3072" s="187">
        <v>45131</v>
      </c>
      <c r="O3072" s="186">
        <v>5394</v>
      </c>
      <c r="P3072" s="179"/>
      <c r="Q3072" s="255">
        <v>0</v>
      </c>
      <c r="S3072" s="274">
        <v>0</v>
      </c>
      <c r="T3072" s="198">
        <v>0</v>
      </c>
      <c r="U3072" s="271"/>
      <c r="V3072" s="260">
        <v>120</v>
      </c>
    </row>
    <row r="3073" spans="2:23" s="7" customFormat="1" ht="18" customHeight="1">
      <c r="B3073" s="12"/>
      <c r="C3073" s="6" t="s">
        <v>4456</v>
      </c>
      <c r="D3073" s="14" t="s">
        <v>4424</v>
      </c>
      <c r="E3073" s="19" t="s">
        <v>4458</v>
      </c>
      <c r="F3073" s="37"/>
      <c r="G3073" s="37"/>
      <c r="H3073" s="108"/>
      <c r="I3073" s="108"/>
      <c r="J3073" s="108"/>
      <c r="K3073" s="110" t="s">
        <v>101</v>
      </c>
      <c r="L3073" s="139"/>
      <c r="M3073" s="33"/>
      <c r="N3073" s="33">
        <v>45141</v>
      </c>
      <c r="O3073" s="32">
        <v>5426</v>
      </c>
      <c r="P3073" s="6"/>
      <c r="Q3073" s="339"/>
      <c r="U3073" s="21"/>
      <c r="V3073" s="257"/>
    </row>
    <row r="3074" spans="2:23" s="7" customFormat="1" ht="17.25" customHeight="1">
      <c r="B3074" s="12" t="s">
        <v>300</v>
      </c>
      <c r="C3074" s="6" t="s">
        <v>4456</v>
      </c>
      <c r="D3074" s="14" t="s">
        <v>4424</v>
      </c>
      <c r="E3074" s="22" t="s">
        <v>4457</v>
      </c>
      <c r="F3074" s="37"/>
      <c r="G3074" s="37" t="s">
        <v>183</v>
      </c>
      <c r="H3074" s="108">
        <v>13.7</v>
      </c>
      <c r="I3074" s="109">
        <v>1</v>
      </c>
      <c r="J3074" s="131">
        <f>H3074*I3074</f>
        <v>13.7</v>
      </c>
      <c r="K3074" s="39">
        <v>8.5</v>
      </c>
      <c r="L3074" s="39">
        <f>K3074*J3074</f>
        <v>116.44999999999999</v>
      </c>
      <c r="M3074" s="117" t="s">
        <v>349</v>
      </c>
      <c r="N3074" s="33">
        <v>45141</v>
      </c>
      <c r="O3074" s="32">
        <v>5426</v>
      </c>
      <c r="P3074" s="391">
        <f>ROUNDUP(S3074/V3074/VLOOKUP(B3074,$C$2:$F$6,3,FALSE),2)</f>
        <v>6.08</v>
      </c>
      <c r="Q3074" s="358">
        <v>6.08</v>
      </c>
      <c r="R3074" s="322">
        <f>Q3074*J3074</f>
        <v>83.295999999999992</v>
      </c>
      <c r="S3074" s="7">
        <v>510</v>
      </c>
      <c r="T3074" s="7">
        <f>S3074*J3074</f>
        <v>6987</v>
      </c>
      <c r="U3074" s="267"/>
      <c r="V3074" s="260">
        <v>120</v>
      </c>
      <c r="W3074" s="1136">
        <f>(((K3074*V3074)-S3074)/(K3074*V3074))</f>
        <v>0.5</v>
      </c>
    </row>
    <row r="3075" spans="2:23" s="7" customFormat="1" ht="17.25" customHeight="1">
      <c r="B3075" s="12" t="s">
        <v>300</v>
      </c>
      <c r="C3075" s="6" t="s">
        <v>4456</v>
      </c>
      <c r="D3075" s="14" t="s">
        <v>4424</v>
      </c>
      <c r="E3075" s="22" t="s">
        <v>4457</v>
      </c>
      <c r="F3075" s="37"/>
      <c r="G3075" s="37" t="s">
        <v>4459</v>
      </c>
      <c r="H3075" s="108">
        <v>13.7</v>
      </c>
      <c r="I3075" s="109">
        <v>1</v>
      </c>
      <c r="J3075" s="131">
        <f>H3075*I3075</f>
        <v>13.7</v>
      </c>
      <c r="K3075" s="39">
        <v>8.5</v>
      </c>
      <c r="L3075" s="39">
        <f>K3075*J3075</f>
        <v>116.44999999999999</v>
      </c>
      <c r="M3075" s="117" t="s">
        <v>349</v>
      </c>
      <c r="N3075" s="33">
        <v>45141</v>
      </c>
      <c r="O3075" s="32">
        <v>5426</v>
      </c>
      <c r="P3075" s="391">
        <f>ROUNDUP(S3075/V3075/VLOOKUP(B3075,$C$2:$F$6,3,FALSE),2)</f>
        <v>6.08</v>
      </c>
      <c r="Q3075" s="358">
        <v>6.08</v>
      </c>
      <c r="R3075" s="322">
        <f>Q3075*J3075</f>
        <v>83.295999999999992</v>
      </c>
      <c r="S3075" s="7">
        <v>510</v>
      </c>
      <c r="T3075" s="7">
        <f>S3075*J3075</f>
        <v>6987</v>
      </c>
      <c r="U3075" s="267"/>
      <c r="V3075" s="260">
        <v>120</v>
      </c>
      <c r="W3075" s="1136">
        <f>(((K3075*V3075)-S3075)/(K3075*V3075))</f>
        <v>0.5</v>
      </c>
    </row>
    <row r="3076" spans="2:23" s="7" customFormat="1" ht="17.25" customHeight="1">
      <c r="B3076" s="12" t="s">
        <v>300</v>
      </c>
      <c r="C3076" s="6" t="s">
        <v>4456</v>
      </c>
      <c r="D3076" s="14" t="s">
        <v>4424</v>
      </c>
      <c r="E3076" s="22" t="s">
        <v>4457</v>
      </c>
      <c r="F3076" s="37"/>
      <c r="G3076" s="37" t="s">
        <v>4460</v>
      </c>
      <c r="H3076" s="108">
        <v>13.7</v>
      </c>
      <c r="I3076" s="109">
        <v>2</v>
      </c>
      <c r="J3076" s="131">
        <f>H3076*I3076</f>
        <v>27.4</v>
      </c>
      <c r="K3076" s="39">
        <v>8.5</v>
      </c>
      <c r="L3076" s="39">
        <f>K3076*J3076</f>
        <v>232.89999999999998</v>
      </c>
      <c r="M3076" s="117" t="s">
        <v>349</v>
      </c>
      <c r="N3076" s="33">
        <v>45141</v>
      </c>
      <c r="O3076" s="32">
        <v>5426</v>
      </c>
      <c r="P3076" s="391">
        <f>ROUNDUP(S3076/V3076/VLOOKUP(B3076,$C$2:$F$6,3,FALSE),2)</f>
        <v>6.08</v>
      </c>
      <c r="Q3076" s="358">
        <v>6.08</v>
      </c>
      <c r="R3076" s="322">
        <f>Q3076*J3076</f>
        <v>166.59199999999998</v>
      </c>
      <c r="S3076" s="7">
        <v>510</v>
      </c>
      <c r="T3076" s="7">
        <f>S3076*J3076</f>
        <v>13974</v>
      </c>
      <c r="U3076" s="267"/>
      <c r="V3076" s="260">
        <v>120</v>
      </c>
      <c r="W3076" s="1136">
        <f>(((K3076*V3076)-S3076)/(K3076*V3076))</f>
        <v>0.5</v>
      </c>
    </row>
    <row r="3077" spans="2:23" s="7" customFormat="1" ht="18" customHeight="1">
      <c r="B3077" s="12" t="s">
        <v>4461</v>
      </c>
      <c r="C3077" s="6" t="s">
        <v>4456</v>
      </c>
      <c r="D3077" s="14" t="s">
        <v>4424</v>
      </c>
      <c r="E3077" s="22"/>
      <c r="F3077" s="102"/>
      <c r="G3077" s="22" t="s">
        <v>167</v>
      </c>
      <c r="H3077" s="8"/>
      <c r="I3077" s="35"/>
      <c r="J3077" s="38">
        <v>2</v>
      </c>
      <c r="K3077" s="39">
        <v>125</v>
      </c>
      <c r="L3077" s="39">
        <f>K3077*J3077</f>
        <v>250</v>
      </c>
      <c r="M3077" s="91"/>
      <c r="N3077" s="33">
        <v>45141</v>
      </c>
      <c r="O3077" s="32">
        <v>5426</v>
      </c>
      <c r="P3077" s="391">
        <f>ROUNDUP(S3077/V3077/VLOOKUP(B3077,$C$2:$F$6,3,FALSE),2)</f>
        <v>113.64</v>
      </c>
      <c r="Q3077" s="322">
        <v>113.64</v>
      </c>
      <c r="R3077" s="322">
        <f>Q3077*J3077</f>
        <v>227.28</v>
      </c>
      <c r="S3077" s="7">
        <v>12000</v>
      </c>
      <c r="T3077" s="7">
        <f>S3077*J3077</f>
        <v>24000</v>
      </c>
      <c r="U3077" s="21"/>
      <c r="V3077" s="260">
        <v>120</v>
      </c>
      <c r="W3077" s="1136">
        <f>(((K3077*V3077)-S3077)/(K3077*V3077))</f>
        <v>0.2</v>
      </c>
    </row>
    <row r="3078" spans="2:23" s="7" customFormat="1" ht="18" customHeight="1">
      <c r="B3078" s="12"/>
      <c r="C3078" s="6" t="s">
        <v>4456</v>
      </c>
      <c r="D3078" s="14" t="s">
        <v>4424</v>
      </c>
      <c r="E3078" s="82"/>
      <c r="F3078" s="102"/>
      <c r="G3078" s="22" t="s">
        <v>316</v>
      </c>
      <c r="H3078" s="8"/>
      <c r="I3078" s="35"/>
      <c r="J3078" s="38">
        <v>1</v>
      </c>
      <c r="K3078" s="39">
        <v>12</v>
      </c>
      <c r="L3078" s="39">
        <f>K3078*J3078</f>
        <v>12</v>
      </c>
      <c r="M3078" s="91"/>
      <c r="N3078" s="33">
        <v>45141</v>
      </c>
      <c r="O3078" s="32">
        <v>5426</v>
      </c>
      <c r="P3078" s="6"/>
      <c r="Q3078" s="322">
        <v>12</v>
      </c>
      <c r="R3078" s="322">
        <f>Q3078*J3078</f>
        <v>12</v>
      </c>
      <c r="S3078" s="7">
        <v>0</v>
      </c>
      <c r="T3078" s="7">
        <f>S3078*J3078</f>
        <v>0</v>
      </c>
      <c r="U3078" s="21"/>
      <c r="V3078" s="260">
        <v>120</v>
      </c>
      <c r="W3078" s="1136">
        <f>(((K3078*V3078)-S3078)/(K3078*V3078))</f>
        <v>1</v>
      </c>
    </row>
    <row r="3079" spans="2:23" s="191" customFormat="1" ht="15">
      <c r="B3079" s="190"/>
      <c r="C3079" s="179" t="s">
        <v>4456</v>
      </c>
      <c r="D3079" s="180" t="s">
        <v>4424</v>
      </c>
      <c r="E3079" s="181"/>
      <c r="F3079" s="182"/>
      <c r="G3079" s="182" t="s">
        <v>2738</v>
      </c>
      <c r="H3079" s="184" t="s">
        <v>251</v>
      </c>
      <c r="I3079" s="185"/>
      <c r="J3079" s="183"/>
      <c r="K3079" s="192">
        <v>0</v>
      </c>
      <c r="L3079" s="187"/>
      <c r="M3079" s="187"/>
      <c r="N3079" s="187">
        <v>45141</v>
      </c>
      <c r="O3079" s="186">
        <v>5426</v>
      </c>
      <c r="P3079" s="179"/>
      <c r="Q3079" s="255">
        <v>0</v>
      </c>
      <c r="S3079" s="274">
        <v>0</v>
      </c>
      <c r="T3079" s="198">
        <v>0</v>
      </c>
      <c r="U3079" s="271"/>
      <c r="V3079" s="260">
        <v>120</v>
      </c>
    </row>
    <row r="3080" spans="2:23" s="7" customFormat="1" ht="17.25" customHeight="1">
      <c r="B3080" s="12"/>
      <c r="C3080" s="6" t="s">
        <v>4462</v>
      </c>
      <c r="D3080" s="14" t="s">
        <v>1963</v>
      </c>
      <c r="E3080" s="19" t="s">
        <v>238</v>
      </c>
      <c r="F3080" s="107"/>
      <c r="G3080" s="22"/>
      <c r="H3080" s="108"/>
      <c r="I3080" s="109"/>
      <c r="J3080" s="108"/>
      <c r="K3080" s="29" t="s">
        <v>5</v>
      </c>
      <c r="L3080" s="139"/>
      <c r="M3080" s="33"/>
      <c r="N3080" s="33">
        <v>45141</v>
      </c>
      <c r="O3080" s="32">
        <v>5409</v>
      </c>
      <c r="P3080" s="14"/>
      <c r="Q3080" s="322"/>
      <c r="U3080" s="14"/>
      <c r="V3080" s="260">
        <v>120</v>
      </c>
    </row>
    <row r="3081" spans="2:23" s="7" customFormat="1" ht="18" customHeight="1">
      <c r="B3081" s="12" t="s">
        <v>302</v>
      </c>
      <c r="C3081" s="6" t="s">
        <v>4462</v>
      </c>
      <c r="D3081" s="14" t="s">
        <v>1963</v>
      </c>
      <c r="E3081" s="22" t="s">
        <v>239</v>
      </c>
      <c r="F3081" s="107">
        <v>150</v>
      </c>
      <c r="G3081" s="37" t="s">
        <v>2293</v>
      </c>
      <c r="H3081" s="8">
        <v>57</v>
      </c>
      <c r="I3081" s="35">
        <v>1</v>
      </c>
      <c r="J3081" s="108">
        <f>H3081*I3081</f>
        <v>57</v>
      </c>
      <c r="K3081" s="39">
        <v>7.37</v>
      </c>
      <c r="L3081" s="39">
        <f>K3081*J3081</f>
        <v>420.09000000000003</v>
      </c>
      <c r="M3081" s="117" t="s">
        <v>349</v>
      </c>
      <c r="N3081" s="33">
        <v>45141</v>
      </c>
      <c r="O3081" s="32">
        <v>5409</v>
      </c>
      <c r="P3081" s="391">
        <f>ROUNDUP(S3081/V3081/VLOOKUP(B3081,$C$2:$F$6,3,FALSE),2)</f>
        <v>5.0199999999999996</v>
      </c>
      <c r="Q3081" s="322">
        <v>5.0199999999999996</v>
      </c>
      <c r="R3081" s="322">
        <f>Q3081*J3081</f>
        <v>286.14</v>
      </c>
      <c r="S3081" s="7">
        <v>530</v>
      </c>
      <c r="T3081" s="7">
        <f>S3081*J3081</f>
        <v>30210</v>
      </c>
      <c r="U3081" s="21"/>
      <c r="V3081" s="260">
        <v>120</v>
      </c>
      <c r="W3081" s="1136">
        <f>(((K3081*V3081)-S3081)/(K3081*V3081))</f>
        <v>0.40072365445499775</v>
      </c>
    </row>
    <row r="3082" spans="2:23" s="7" customFormat="1" ht="18" customHeight="1">
      <c r="B3082" s="12" t="s">
        <v>302</v>
      </c>
      <c r="C3082" s="6" t="s">
        <v>4462</v>
      </c>
      <c r="D3082" s="14" t="s">
        <v>1963</v>
      </c>
      <c r="E3082" s="22" t="s">
        <v>239</v>
      </c>
      <c r="F3082" s="107">
        <v>150</v>
      </c>
      <c r="G3082" s="37" t="s">
        <v>2293</v>
      </c>
      <c r="H3082" s="8">
        <v>29</v>
      </c>
      <c r="I3082" s="35">
        <v>1</v>
      </c>
      <c r="J3082" s="108">
        <f>H3082*I3082</f>
        <v>29</v>
      </c>
      <c r="K3082" s="39">
        <v>7.37</v>
      </c>
      <c r="L3082" s="39">
        <f>K3082*J3082</f>
        <v>213.73</v>
      </c>
      <c r="M3082" s="117" t="s">
        <v>349</v>
      </c>
      <c r="N3082" s="33">
        <v>45141</v>
      </c>
      <c r="O3082" s="32">
        <v>5409</v>
      </c>
      <c r="P3082" s="391">
        <f>ROUNDUP(S3082/V3082/VLOOKUP(B3082,$C$2:$F$6,3,FALSE),2)</f>
        <v>5.0199999999999996</v>
      </c>
      <c r="Q3082" s="322">
        <v>5.0199999999999996</v>
      </c>
      <c r="R3082" s="322">
        <f>Q3082*J3082</f>
        <v>145.57999999999998</v>
      </c>
      <c r="S3082" s="7">
        <v>530</v>
      </c>
      <c r="T3082" s="7">
        <f>S3082*J3082</f>
        <v>15370</v>
      </c>
      <c r="U3082" s="21"/>
      <c r="V3082" s="260">
        <v>120</v>
      </c>
      <c r="W3082" s="1136">
        <f>(((K3082*V3082)-S3082)/(K3082*V3082))</f>
        <v>0.40072365445499775</v>
      </c>
    </row>
    <row r="3083" spans="2:23" s="7" customFormat="1" ht="15">
      <c r="B3083" s="12"/>
      <c r="C3083" s="6" t="s">
        <v>4462</v>
      </c>
      <c r="D3083" s="14" t="s">
        <v>1963</v>
      </c>
      <c r="E3083" s="22"/>
      <c r="F3083" s="102"/>
      <c r="G3083" s="22" t="s">
        <v>4463</v>
      </c>
      <c r="H3083" s="38"/>
      <c r="I3083" s="35"/>
      <c r="J3083" s="38">
        <v>1</v>
      </c>
      <c r="K3083" s="39">
        <v>0</v>
      </c>
      <c r="L3083" s="39">
        <f>K3083*J3083</f>
        <v>0</v>
      </c>
      <c r="M3083" s="91"/>
      <c r="N3083" s="33">
        <v>45141</v>
      </c>
      <c r="O3083" s="32">
        <v>5409</v>
      </c>
      <c r="P3083" s="391">
        <v>15</v>
      </c>
      <c r="Q3083" s="322">
        <v>15</v>
      </c>
      <c r="R3083" s="322">
        <f>Q3083*J3083</f>
        <v>15</v>
      </c>
      <c r="S3083" s="7">
        <v>1000</v>
      </c>
      <c r="T3083" s="7">
        <f>S3083*J3083</f>
        <v>1000</v>
      </c>
      <c r="U3083" s="21"/>
      <c r="V3083" s="260">
        <v>120</v>
      </c>
      <c r="W3083" s="1136"/>
    </row>
    <row r="3084" spans="2:23" s="7" customFormat="1" ht="15">
      <c r="B3084" s="12"/>
      <c r="C3084" s="6" t="s">
        <v>4462</v>
      </c>
      <c r="D3084" s="14" t="s">
        <v>1963</v>
      </c>
      <c r="E3084" s="49"/>
      <c r="F3084" s="102"/>
      <c r="G3084" s="22" t="s">
        <v>316</v>
      </c>
      <c r="H3084" s="38"/>
      <c r="I3084" s="35"/>
      <c r="J3084" s="38">
        <v>1</v>
      </c>
      <c r="K3084" s="39">
        <v>35</v>
      </c>
      <c r="L3084" s="39">
        <f>K3084*J3084</f>
        <v>35</v>
      </c>
      <c r="M3084" s="91"/>
      <c r="N3084" s="33">
        <v>45141</v>
      </c>
      <c r="O3084" s="32">
        <v>5409</v>
      </c>
      <c r="P3084" s="722"/>
      <c r="Q3084" s="322">
        <v>20</v>
      </c>
      <c r="R3084" s="322">
        <f>Q3084*J3084</f>
        <v>20</v>
      </c>
      <c r="S3084" s="7">
        <v>1800</v>
      </c>
      <c r="T3084" s="7">
        <f>S3084*J3084</f>
        <v>1800</v>
      </c>
      <c r="U3084" s="21"/>
      <c r="V3084" s="260">
        <v>120</v>
      </c>
    </row>
    <row r="3085" spans="2:23" s="191" customFormat="1" ht="15">
      <c r="B3085" s="190"/>
      <c r="C3085" s="179" t="s">
        <v>4462</v>
      </c>
      <c r="D3085" s="180" t="s">
        <v>1963</v>
      </c>
      <c r="E3085" s="181"/>
      <c r="F3085" s="182"/>
      <c r="G3085" s="182" t="s">
        <v>250</v>
      </c>
      <c r="H3085" s="184" t="s">
        <v>252</v>
      </c>
      <c r="I3085" s="185"/>
      <c r="J3085" s="183"/>
      <c r="K3085" s="203">
        <v>83</v>
      </c>
      <c r="L3085" s="203">
        <v>83</v>
      </c>
      <c r="M3085" s="187"/>
      <c r="N3085" s="187">
        <v>45141</v>
      </c>
      <c r="O3085" s="186">
        <v>5409</v>
      </c>
      <c r="P3085" s="179"/>
      <c r="Q3085" s="203">
        <v>83</v>
      </c>
      <c r="R3085" s="203">
        <v>83</v>
      </c>
      <c r="S3085" s="7">
        <v>9544</v>
      </c>
      <c r="T3085" s="7">
        <v>9544</v>
      </c>
      <c r="U3085" s="335"/>
      <c r="V3085" s="260">
        <v>120</v>
      </c>
    </row>
    <row r="3086" spans="2:23" s="7" customFormat="1" ht="15">
      <c r="B3086" s="12"/>
      <c r="C3086" s="6" t="s">
        <v>4464</v>
      </c>
      <c r="D3086" s="14" t="s">
        <v>2416</v>
      </c>
      <c r="E3086" s="19" t="s">
        <v>4214</v>
      </c>
      <c r="F3086" s="24"/>
      <c r="G3086" s="22"/>
      <c r="H3086" s="8"/>
      <c r="I3086" s="35"/>
      <c r="J3086" s="8"/>
      <c r="K3086" s="110" t="s">
        <v>5</v>
      </c>
      <c r="L3086" s="139"/>
      <c r="M3086" s="33"/>
      <c r="N3086" s="33">
        <v>45141</v>
      </c>
      <c r="O3086" s="32">
        <v>5405</v>
      </c>
      <c r="P3086" s="6" t="s">
        <v>8</v>
      </c>
      <c r="Q3086" s="358"/>
      <c r="U3086" s="120"/>
      <c r="V3086" s="260">
        <v>120</v>
      </c>
    </row>
    <row r="3087" spans="2:23" s="7" customFormat="1" ht="18" customHeight="1">
      <c r="B3087" s="12" t="s">
        <v>300</v>
      </c>
      <c r="C3087" s="6" t="s">
        <v>4464</v>
      </c>
      <c r="D3087" s="14" t="s">
        <v>2416</v>
      </c>
      <c r="E3087" s="22" t="s">
        <v>4215</v>
      </c>
      <c r="F3087" s="37" t="s">
        <v>359</v>
      </c>
      <c r="G3087" s="396" t="s">
        <v>4208</v>
      </c>
      <c r="H3087" s="8">
        <v>50</v>
      </c>
      <c r="I3087" s="35">
        <v>10</v>
      </c>
      <c r="J3087" s="108">
        <f>H3087*I3087</f>
        <v>500</v>
      </c>
      <c r="K3087" s="958">
        <v>0.35</v>
      </c>
      <c r="L3087" s="39">
        <f>K3087*J3087</f>
        <v>175</v>
      </c>
      <c r="M3087" s="117" t="s">
        <v>349</v>
      </c>
      <c r="N3087" s="33">
        <v>45141</v>
      </c>
      <c r="O3087" s="32">
        <v>5405</v>
      </c>
      <c r="P3087" s="391">
        <f>ROUNDUP(S3087/V3087/VLOOKUP(B3087,$C$2:$F$6,3,FALSE),2)</f>
        <v>0.19</v>
      </c>
      <c r="Q3087" s="322">
        <v>0.19</v>
      </c>
      <c r="R3087" s="322">
        <f>Q3087*J3087</f>
        <v>95</v>
      </c>
      <c r="S3087" s="7">
        <v>15.6</v>
      </c>
      <c r="T3087" s="7">
        <f>S3087*J3087</f>
        <v>7800</v>
      </c>
      <c r="U3087" s="39"/>
      <c r="V3087" s="260">
        <v>120</v>
      </c>
      <c r="W3087" s="1136">
        <f>(((K3087*V3087)-S3087)/(K3087*V3087))</f>
        <v>0.62857142857142856</v>
      </c>
    </row>
    <row r="3088" spans="2:23" s="7" customFormat="1" ht="15">
      <c r="B3088" s="12"/>
      <c r="C3088" s="6" t="s">
        <v>4464</v>
      </c>
      <c r="D3088" s="14" t="s">
        <v>2416</v>
      </c>
      <c r="E3088" s="49"/>
      <c r="F3088" s="102"/>
      <c r="G3088" s="22" t="s">
        <v>316</v>
      </c>
      <c r="H3088" s="38"/>
      <c r="I3088" s="35"/>
      <c r="J3088" s="38">
        <v>1</v>
      </c>
      <c r="K3088" s="39">
        <v>12</v>
      </c>
      <c r="L3088" s="39">
        <f>K3088*J3088</f>
        <v>12</v>
      </c>
      <c r="M3088" s="91"/>
      <c r="N3088" s="33">
        <v>45141</v>
      </c>
      <c r="O3088" s="32">
        <v>5405</v>
      </c>
      <c r="P3088" s="722"/>
      <c r="Q3088" s="322">
        <v>12</v>
      </c>
      <c r="R3088" s="322">
        <f>Q3088*J3088</f>
        <v>12</v>
      </c>
      <c r="S3088" s="7">
        <v>1100</v>
      </c>
      <c r="T3088" s="7">
        <f>S3088*J3088</f>
        <v>1100</v>
      </c>
      <c r="U3088" s="21"/>
      <c r="V3088" s="260">
        <v>120</v>
      </c>
    </row>
    <row r="3089" spans="1:51" s="191" customFormat="1" ht="15">
      <c r="B3089" s="190"/>
      <c r="C3089" s="179" t="s">
        <v>4464</v>
      </c>
      <c r="D3089" s="180" t="s">
        <v>2416</v>
      </c>
      <c r="E3089" s="181"/>
      <c r="F3089" s="182"/>
      <c r="G3089" s="182" t="s">
        <v>2738</v>
      </c>
      <c r="H3089" s="184" t="s">
        <v>251</v>
      </c>
      <c r="I3089" s="185"/>
      <c r="J3089" s="183"/>
      <c r="K3089" s="192">
        <v>0</v>
      </c>
      <c r="L3089" s="187"/>
      <c r="M3089" s="187"/>
      <c r="N3089" s="187">
        <v>45141</v>
      </c>
      <c r="O3089" s="186">
        <v>5405</v>
      </c>
      <c r="P3089" s="179"/>
      <c r="Q3089" s="255">
        <v>0</v>
      </c>
      <c r="S3089" s="274">
        <v>0</v>
      </c>
      <c r="T3089" s="198">
        <v>0</v>
      </c>
      <c r="U3089" s="271"/>
      <c r="V3089" s="260">
        <v>120</v>
      </c>
    </row>
    <row r="3090" spans="1:51" s="7" customFormat="1" ht="18" customHeight="1">
      <c r="B3090" s="12"/>
      <c r="C3090" s="6" t="s">
        <v>4465</v>
      </c>
      <c r="D3090" s="14" t="s">
        <v>4466</v>
      </c>
      <c r="E3090" s="19" t="s">
        <v>10</v>
      </c>
      <c r="F3090" s="107"/>
      <c r="G3090" s="22"/>
      <c r="H3090" s="108"/>
      <c r="I3090" s="109"/>
      <c r="J3090" s="108"/>
      <c r="K3090" s="29" t="s">
        <v>5</v>
      </c>
      <c r="L3090" s="39"/>
      <c r="M3090" s="91"/>
      <c r="N3090" s="33">
        <v>45142</v>
      </c>
      <c r="O3090" s="32">
        <v>5412</v>
      </c>
      <c r="P3090" s="14"/>
      <c r="Q3090" s="322"/>
      <c r="U3090" s="14"/>
      <c r="V3090" s="384">
        <v>120</v>
      </c>
    </row>
    <row r="3091" spans="1:51" s="7" customFormat="1" ht="18" customHeight="1">
      <c r="B3091" s="12" t="s">
        <v>302</v>
      </c>
      <c r="C3091" s="6" t="s">
        <v>4465</v>
      </c>
      <c r="D3091" s="14" t="s">
        <v>4466</v>
      </c>
      <c r="E3091" s="22" t="s">
        <v>190</v>
      </c>
      <c r="F3091" s="107">
        <v>160</v>
      </c>
      <c r="G3091" s="396" t="s">
        <v>4467</v>
      </c>
      <c r="H3091" s="108">
        <v>50</v>
      </c>
      <c r="I3091" s="109">
        <v>1</v>
      </c>
      <c r="J3091" s="8">
        <f>H3091*I3091</f>
        <v>50</v>
      </c>
      <c r="K3091" s="39">
        <v>5.28</v>
      </c>
      <c r="L3091" s="39">
        <f>K3091*J3091</f>
        <v>264</v>
      </c>
      <c r="M3091" s="117" t="s">
        <v>322</v>
      </c>
      <c r="N3091" s="33">
        <v>45142</v>
      </c>
      <c r="O3091" s="32">
        <v>5412</v>
      </c>
      <c r="P3091" s="391">
        <f>ROUNDUP(S3091/V3091/VLOOKUP(B3091,$C$2:$F$6,3,FALSE),2)</f>
        <v>3.5999999999999996</v>
      </c>
      <c r="Q3091" s="322">
        <v>3.6</v>
      </c>
      <c r="R3091" s="322">
        <f>Q3091*J3091</f>
        <v>180</v>
      </c>
      <c r="S3091" s="7">
        <v>380</v>
      </c>
      <c r="T3091" s="7">
        <f>S3091*J3091</f>
        <v>19000</v>
      </c>
      <c r="U3091" s="21"/>
      <c r="V3091" s="260">
        <v>120</v>
      </c>
      <c r="W3091" s="1136">
        <f>(((K3091*V3091)-S3091)/(K3091*V3091))</f>
        <v>0.40025252525252525</v>
      </c>
    </row>
    <row r="3092" spans="1:51" customFormat="1" ht="18" customHeight="1">
      <c r="A3092" s="1"/>
      <c r="B3092" s="26"/>
      <c r="C3092" s="6" t="s">
        <v>4465</v>
      </c>
      <c r="D3092" s="14" t="s">
        <v>4466</v>
      </c>
      <c r="E3092" s="19" t="s">
        <v>59</v>
      </c>
      <c r="F3092" s="107"/>
      <c r="G3092" s="22"/>
      <c r="H3092" s="108"/>
      <c r="I3092" s="109"/>
      <c r="J3092" s="108"/>
      <c r="K3092" s="110" t="s">
        <v>5</v>
      </c>
      <c r="L3092" s="33"/>
      <c r="M3092" s="33"/>
      <c r="N3092" s="33">
        <v>45142</v>
      </c>
      <c r="O3092" s="32">
        <v>5412</v>
      </c>
      <c r="P3092" s="14"/>
      <c r="Q3092" s="254"/>
      <c r="R3092" s="1"/>
      <c r="S3092" s="261"/>
      <c r="T3092" s="92"/>
      <c r="U3092" s="264"/>
      <c r="V3092" s="260">
        <v>120</v>
      </c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1"/>
      <c r="AI3092" s="1"/>
      <c r="AJ3092" s="1"/>
      <c r="AK3092" s="1"/>
      <c r="AL3092" s="1"/>
      <c r="AM3092" s="1"/>
      <c r="AN3092" s="1"/>
      <c r="AO3092" s="1"/>
      <c r="AP3092" s="1"/>
      <c r="AQ3092" s="1"/>
      <c r="AR3092" s="1"/>
      <c r="AS3092" s="1"/>
      <c r="AT3092" s="1"/>
      <c r="AU3092" s="1"/>
      <c r="AV3092" s="1"/>
      <c r="AW3092" s="1"/>
      <c r="AX3092" s="1"/>
      <c r="AY3092" s="1"/>
    </row>
    <row r="3093" spans="1:51" customFormat="1" ht="18" customHeight="1">
      <c r="B3093" s="12" t="s">
        <v>302</v>
      </c>
      <c r="C3093" s="6" t="s">
        <v>4465</v>
      </c>
      <c r="D3093" s="14" t="s">
        <v>4466</v>
      </c>
      <c r="E3093" s="22">
        <v>2440</v>
      </c>
      <c r="F3093" s="107">
        <v>140</v>
      </c>
      <c r="G3093" s="22" t="s">
        <v>4297</v>
      </c>
      <c r="H3093" s="108">
        <v>58</v>
      </c>
      <c r="I3093" s="109">
        <v>1</v>
      </c>
      <c r="J3093" s="8">
        <f>H3093*I3093</f>
        <v>58</v>
      </c>
      <c r="K3093" s="39">
        <v>4.17</v>
      </c>
      <c r="L3093" s="39">
        <f>K3093*J3093</f>
        <v>241.85999999999999</v>
      </c>
      <c r="M3093" s="117" t="s">
        <v>323</v>
      </c>
      <c r="N3093" s="33">
        <v>45142</v>
      </c>
      <c r="O3093" s="32">
        <v>5412</v>
      </c>
      <c r="P3093" s="391">
        <f>ROUNDUP(S3093/V3093/VLOOKUP(B3093,$C$2:$F$6,3,FALSE),2)</f>
        <v>2.8499999999999996</v>
      </c>
      <c r="Q3093" s="254">
        <v>2.85</v>
      </c>
      <c r="R3093" s="323">
        <f>Q3093*J3093</f>
        <v>165.3</v>
      </c>
      <c r="S3093" s="257">
        <v>300</v>
      </c>
      <c r="T3093" s="287">
        <f>S3093*J3093</f>
        <v>17400</v>
      </c>
      <c r="U3093" s="264"/>
      <c r="V3093" s="260">
        <v>120</v>
      </c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1"/>
      <c r="AI3093" s="1"/>
      <c r="AJ3093" s="1"/>
      <c r="AK3093" s="1"/>
      <c r="AL3093" s="1"/>
      <c r="AM3093" s="1"/>
      <c r="AN3093" s="1"/>
      <c r="AO3093" s="1"/>
      <c r="AP3093" s="1"/>
      <c r="AQ3093" s="1"/>
      <c r="AR3093" s="1"/>
      <c r="AS3093" s="1"/>
      <c r="AT3093" s="1"/>
      <c r="AU3093" s="1"/>
      <c r="AV3093" s="1"/>
      <c r="AW3093" s="1"/>
      <c r="AX3093" s="1"/>
      <c r="AY3093" s="1"/>
    </row>
    <row r="3094" spans="1:51" s="7" customFormat="1" ht="15">
      <c r="B3094" s="12"/>
      <c r="C3094" s="6" t="s">
        <v>4465</v>
      </c>
      <c r="D3094" s="14" t="s">
        <v>4466</v>
      </c>
      <c r="E3094" s="49"/>
      <c r="F3094" s="102"/>
      <c r="G3094" s="22" t="s">
        <v>316</v>
      </c>
      <c r="H3094" s="38"/>
      <c r="I3094" s="35"/>
      <c r="J3094" s="38">
        <v>1</v>
      </c>
      <c r="K3094" s="39">
        <v>20</v>
      </c>
      <c r="L3094" s="39">
        <f>K3094*J3094</f>
        <v>20</v>
      </c>
      <c r="M3094" s="91"/>
      <c r="N3094" s="33">
        <v>45142</v>
      </c>
      <c r="O3094" s="32">
        <v>5412</v>
      </c>
      <c r="P3094" s="722"/>
      <c r="Q3094" s="322">
        <v>20</v>
      </c>
      <c r="R3094" s="322">
        <f>Q3094*J3094</f>
        <v>20</v>
      </c>
      <c r="S3094" s="7">
        <v>1800</v>
      </c>
      <c r="T3094" s="7">
        <f>S3094*J3094</f>
        <v>1800</v>
      </c>
      <c r="U3094" s="21"/>
      <c r="V3094" s="260">
        <v>120</v>
      </c>
    </row>
    <row r="3095" spans="1:51" s="191" customFormat="1" ht="15">
      <c r="B3095" s="190"/>
      <c r="C3095" s="179" t="s">
        <v>4465</v>
      </c>
      <c r="D3095" s="180" t="s">
        <v>4466</v>
      </c>
      <c r="E3095" s="181"/>
      <c r="F3095" s="182"/>
      <c r="G3095" s="182" t="s">
        <v>2738</v>
      </c>
      <c r="H3095" s="184" t="s">
        <v>251</v>
      </c>
      <c r="I3095" s="185"/>
      <c r="J3095" s="183"/>
      <c r="K3095" s="192">
        <v>0</v>
      </c>
      <c r="L3095" s="187"/>
      <c r="M3095" s="187"/>
      <c r="N3095" s="187">
        <v>45142</v>
      </c>
      <c r="O3095" s="186">
        <v>5412</v>
      </c>
      <c r="P3095" s="179"/>
      <c r="Q3095" s="255">
        <v>0</v>
      </c>
      <c r="S3095" s="274">
        <v>0</v>
      </c>
      <c r="T3095" s="198">
        <v>0</v>
      </c>
      <c r="U3095" s="271"/>
      <c r="V3095" s="260">
        <v>120</v>
      </c>
    </row>
    <row r="3096" spans="1:51" s="7" customFormat="1" ht="18" customHeight="1">
      <c r="B3096" s="12"/>
      <c r="C3096" s="6" t="s">
        <v>4468</v>
      </c>
      <c r="D3096" s="14" t="s">
        <v>2171</v>
      </c>
      <c r="E3096" s="19" t="s">
        <v>10</v>
      </c>
      <c r="F3096" s="107"/>
      <c r="G3096" s="22"/>
      <c r="H3096" s="108"/>
      <c r="I3096" s="109"/>
      <c r="J3096" s="108"/>
      <c r="K3096" s="29" t="s">
        <v>5</v>
      </c>
      <c r="L3096" s="139"/>
      <c r="M3096" s="33"/>
      <c r="N3096" s="33">
        <v>45142</v>
      </c>
      <c r="O3096" s="32">
        <v>5418</v>
      </c>
      <c r="P3096" s="14"/>
      <c r="Q3096" s="322"/>
      <c r="U3096" s="14"/>
      <c r="V3096" s="260">
        <v>120</v>
      </c>
    </row>
    <row r="3097" spans="1:51" s="7" customFormat="1" ht="18" customHeight="1">
      <c r="B3097" s="12" t="s">
        <v>302</v>
      </c>
      <c r="C3097" s="6" t="s">
        <v>4468</v>
      </c>
      <c r="D3097" s="14" t="s">
        <v>2171</v>
      </c>
      <c r="E3097" s="22" t="s">
        <v>207</v>
      </c>
      <c r="F3097" s="107">
        <v>152</v>
      </c>
      <c r="G3097" s="396" t="s">
        <v>2173</v>
      </c>
      <c r="H3097" s="108">
        <v>50</v>
      </c>
      <c r="I3097" s="109">
        <v>1</v>
      </c>
      <c r="J3097" s="8">
        <f>I3097*H3097</f>
        <v>50</v>
      </c>
      <c r="K3097" s="39">
        <v>4.7300000000000004</v>
      </c>
      <c r="L3097" s="39">
        <f>K3097*J3097</f>
        <v>236.50000000000003</v>
      </c>
      <c r="M3097" s="403" t="s">
        <v>322</v>
      </c>
      <c r="N3097" s="33">
        <v>45142</v>
      </c>
      <c r="O3097" s="32">
        <v>5418</v>
      </c>
      <c r="P3097" s="391">
        <f>ROUNDUP(S3097/V3097/VLOOKUP(B3097,$C$2:$F$6,3,FALSE),2)</f>
        <v>3.2199999999999998</v>
      </c>
      <c r="Q3097" s="322">
        <v>3.22</v>
      </c>
      <c r="R3097" s="322">
        <f>Q3097*J3097</f>
        <v>161</v>
      </c>
      <c r="S3097" s="7">
        <v>340</v>
      </c>
      <c r="T3097" s="7">
        <f>S3097*J3097</f>
        <v>17000</v>
      </c>
      <c r="U3097" s="21"/>
      <c r="V3097" s="260">
        <v>120</v>
      </c>
      <c r="W3097" s="1136">
        <f>(((K3097*V3097)-S3097)/(K3097*V3097))</f>
        <v>0.4009866102889359</v>
      </c>
    </row>
    <row r="3098" spans="1:51" s="7" customFormat="1" ht="18" customHeight="1">
      <c r="B3098" s="12" t="s">
        <v>302</v>
      </c>
      <c r="C3098" s="6" t="s">
        <v>4468</v>
      </c>
      <c r="D3098" s="14" t="s">
        <v>2171</v>
      </c>
      <c r="E3098" s="22" t="s">
        <v>207</v>
      </c>
      <c r="F3098" s="107">
        <v>152</v>
      </c>
      <c r="G3098" s="396" t="s">
        <v>3591</v>
      </c>
      <c r="H3098" s="108">
        <v>53</v>
      </c>
      <c r="I3098" s="109">
        <v>1</v>
      </c>
      <c r="J3098" s="8">
        <f>I3098*H3098</f>
        <v>53</v>
      </c>
      <c r="K3098" s="39">
        <v>4.7300000000000004</v>
      </c>
      <c r="L3098" s="39">
        <f>K3098*J3098</f>
        <v>250.69000000000003</v>
      </c>
      <c r="M3098" s="403" t="s">
        <v>322</v>
      </c>
      <c r="N3098" s="33">
        <v>45142</v>
      </c>
      <c r="O3098" s="32">
        <v>5418</v>
      </c>
      <c r="P3098" s="391">
        <f>ROUNDUP(S3098/V3098/VLOOKUP(B3098,$C$2:$F$6,3,FALSE),2)</f>
        <v>3.2199999999999998</v>
      </c>
      <c r="Q3098" s="322">
        <v>3.22</v>
      </c>
      <c r="R3098" s="322">
        <f>Q3098*J3098</f>
        <v>170.66</v>
      </c>
      <c r="S3098" s="7">
        <v>340</v>
      </c>
      <c r="T3098" s="7">
        <f>S3098*J3098</f>
        <v>18020</v>
      </c>
      <c r="U3098" s="21"/>
      <c r="V3098" s="260">
        <v>120</v>
      </c>
      <c r="W3098" s="1136">
        <f>(((K3098*V3098)-S3098)/(K3098*V3098))</f>
        <v>0.4009866102889359</v>
      </c>
    </row>
    <row r="3099" spans="1:51" s="7" customFormat="1" ht="18" customHeight="1">
      <c r="B3099" s="12" t="s">
        <v>302</v>
      </c>
      <c r="C3099" s="6" t="s">
        <v>4468</v>
      </c>
      <c r="D3099" s="14" t="s">
        <v>2171</v>
      </c>
      <c r="E3099" s="22" t="s">
        <v>207</v>
      </c>
      <c r="F3099" s="107">
        <v>152</v>
      </c>
      <c r="G3099" s="396" t="s">
        <v>4349</v>
      </c>
      <c r="H3099" s="108">
        <v>50</v>
      </c>
      <c r="I3099" s="109">
        <v>1</v>
      </c>
      <c r="J3099" s="8">
        <f>I3099*H3099</f>
        <v>50</v>
      </c>
      <c r="K3099" s="39">
        <v>4.7300000000000004</v>
      </c>
      <c r="L3099" s="39">
        <f>K3099*J3099</f>
        <v>236.50000000000003</v>
      </c>
      <c r="M3099" s="403" t="s">
        <v>322</v>
      </c>
      <c r="N3099" s="33">
        <v>45142</v>
      </c>
      <c r="O3099" s="32">
        <v>5418</v>
      </c>
      <c r="P3099" s="391">
        <f>ROUNDUP(S3099/V3099/VLOOKUP(B3099,$C$2:$F$6,3,FALSE),2)</f>
        <v>3.2199999999999998</v>
      </c>
      <c r="Q3099" s="322">
        <v>3.22</v>
      </c>
      <c r="R3099" s="322">
        <f>Q3099*J3099</f>
        <v>161</v>
      </c>
      <c r="S3099" s="7">
        <v>340</v>
      </c>
      <c r="T3099" s="7">
        <f>S3099*J3099</f>
        <v>17000</v>
      </c>
      <c r="U3099" s="21"/>
      <c r="V3099" s="260">
        <v>120</v>
      </c>
      <c r="W3099" s="1136">
        <f>(((K3099*V3099)-S3099)/(K3099*V3099))</f>
        <v>0.4009866102889359</v>
      </c>
    </row>
    <row r="3100" spans="1:51" s="7" customFormat="1" ht="18" customHeight="1">
      <c r="B3100" s="12"/>
      <c r="C3100" s="6" t="s">
        <v>4468</v>
      </c>
      <c r="D3100" s="14" t="s">
        <v>2171</v>
      </c>
      <c r="E3100" s="22"/>
      <c r="F3100" s="102"/>
      <c r="G3100" s="22" t="s">
        <v>316</v>
      </c>
      <c r="H3100" s="8"/>
      <c r="I3100" s="35"/>
      <c r="J3100" s="38">
        <v>1</v>
      </c>
      <c r="K3100" s="39">
        <v>20</v>
      </c>
      <c r="L3100" s="39">
        <f>K3100*J3100</f>
        <v>20</v>
      </c>
      <c r="M3100" s="91"/>
      <c r="N3100" s="33">
        <v>45142</v>
      </c>
      <c r="O3100" s="32">
        <v>5418</v>
      </c>
      <c r="P3100" s="6" t="s">
        <v>3</v>
      </c>
      <c r="Q3100" s="39">
        <v>20</v>
      </c>
      <c r="R3100" s="322">
        <f>Q3100*J3100</f>
        <v>20</v>
      </c>
      <c r="S3100" s="7">
        <v>1800</v>
      </c>
      <c r="T3100" s="7">
        <f>S3100*J3100</f>
        <v>1800</v>
      </c>
      <c r="U3100" s="21"/>
      <c r="V3100" s="260">
        <v>120</v>
      </c>
    </row>
    <row r="3101" spans="1:51" s="191" customFormat="1" ht="18" customHeight="1">
      <c r="B3101" s="190"/>
      <c r="C3101" s="179" t="s">
        <v>4468</v>
      </c>
      <c r="D3101" s="180" t="s">
        <v>2171</v>
      </c>
      <c r="E3101" s="181"/>
      <c r="F3101" s="182"/>
      <c r="G3101" s="182" t="s">
        <v>250</v>
      </c>
      <c r="H3101" s="184" t="s">
        <v>252</v>
      </c>
      <c r="I3101" s="185"/>
      <c r="J3101" s="183"/>
      <c r="K3101" s="203">
        <v>262</v>
      </c>
      <c r="L3101" s="203">
        <v>262</v>
      </c>
      <c r="M3101" s="947"/>
      <c r="N3101" s="187">
        <v>45142</v>
      </c>
      <c r="O3101" s="186">
        <v>5418</v>
      </c>
      <c r="P3101" s="179"/>
      <c r="Q3101" s="203">
        <v>262</v>
      </c>
      <c r="R3101" s="203">
        <v>262</v>
      </c>
      <c r="S3101" s="1144">
        <v>24553</v>
      </c>
      <c r="T3101" s="1144">
        <v>24553</v>
      </c>
      <c r="U3101" s="335"/>
      <c r="V3101" s="260">
        <v>120</v>
      </c>
      <c r="X3101" s="218"/>
    </row>
    <row r="3102" spans="1:51" s="7" customFormat="1" ht="18" customHeight="1">
      <c r="B3102" s="12"/>
      <c r="C3102" s="6" t="s">
        <v>4469</v>
      </c>
      <c r="D3102" s="14" t="s">
        <v>1970</v>
      </c>
      <c r="E3102" s="17" t="s">
        <v>2968</v>
      </c>
      <c r="F3102" s="319"/>
      <c r="G3102" s="299"/>
      <c r="H3102" s="300" t="s">
        <v>355</v>
      </c>
      <c r="I3102" s="320"/>
      <c r="J3102" s="321"/>
      <c r="K3102" s="110" t="s">
        <v>101</v>
      </c>
      <c r="L3102" s="139"/>
      <c r="M3102" s="33"/>
      <c r="N3102" s="33">
        <v>45145</v>
      </c>
      <c r="O3102" s="32">
        <v>5432</v>
      </c>
      <c r="P3102" s="6"/>
      <c r="Q3102" s="322"/>
      <c r="U3102" s="39"/>
      <c r="V3102" s="260">
        <v>120</v>
      </c>
    </row>
    <row r="3103" spans="1:51" s="7" customFormat="1" ht="18" customHeight="1">
      <c r="B3103" s="12" t="s">
        <v>300</v>
      </c>
      <c r="C3103" s="6" t="s">
        <v>4469</v>
      </c>
      <c r="D3103" s="14" t="s">
        <v>1970</v>
      </c>
      <c r="E3103" s="22">
        <v>4063</v>
      </c>
      <c r="F3103" s="24">
        <v>15</v>
      </c>
      <c r="G3103" s="22" t="s">
        <v>2969</v>
      </c>
      <c r="H3103" s="108">
        <v>30</v>
      </c>
      <c r="I3103" s="109">
        <v>1</v>
      </c>
      <c r="J3103" s="8">
        <f>H3103*I3103</f>
        <v>30</v>
      </c>
      <c r="K3103" s="39">
        <v>1.1499999999999999</v>
      </c>
      <c r="L3103" s="39">
        <f>K3103*J3103</f>
        <v>34.5</v>
      </c>
      <c r="M3103" s="117" t="s">
        <v>349</v>
      </c>
      <c r="N3103" s="33">
        <v>45145</v>
      </c>
      <c r="O3103" s="32">
        <v>5432</v>
      </c>
      <c r="P3103" s="391">
        <f>ROUNDUP(S3103/V3103/VLOOKUP(B3103,$C$2:$F$6,3,FALSE),2)</f>
        <v>0.74</v>
      </c>
      <c r="Q3103" s="358">
        <v>0.74</v>
      </c>
      <c r="R3103" s="322">
        <f>Q3103*J3103</f>
        <v>22.2</v>
      </c>
      <c r="S3103" s="7">
        <v>62</v>
      </c>
      <c r="T3103" s="7">
        <f>S3103*J3103</f>
        <v>1860</v>
      </c>
      <c r="U3103" s="267"/>
      <c r="V3103" s="260">
        <v>120</v>
      </c>
    </row>
    <row r="3104" spans="1:51" s="7" customFormat="1" ht="18" customHeight="1">
      <c r="B3104" s="12"/>
      <c r="C3104" s="6" t="s">
        <v>4469</v>
      </c>
      <c r="D3104" s="14" t="s">
        <v>1970</v>
      </c>
      <c r="E3104" s="82"/>
      <c r="F3104" s="102"/>
      <c r="G3104" s="22" t="s">
        <v>316</v>
      </c>
      <c r="H3104" s="8"/>
      <c r="I3104" s="35"/>
      <c r="J3104" s="38">
        <v>1</v>
      </c>
      <c r="K3104" s="39">
        <v>12</v>
      </c>
      <c r="L3104" s="39">
        <f>K3104*J3104</f>
        <v>12</v>
      </c>
      <c r="M3104" s="91"/>
      <c r="N3104" s="33">
        <v>45145</v>
      </c>
      <c r="O3104" s="32">
        <v>5432</v>
      </c>
      <c r="P3104" s="6"/>
      <c r="Q3104" s="322">
        <v>12</v>
      </c>
      <c r="R3104" s="322">
        <v>12</v>
      </c>
      <c r="S3104" s="7">
        <v>1100</v>
      </c>
      <c r="T3104" s="7">
        <f>S3104*J3104</f>
        <v>1100</v>
      </c>
      <c r="U3104" s="21"/>
      <c r="V3104" s="260">
        <v>120</v>
      </c>
    </row>
    <row r="3105" spans="2:22" s="191" customFormat="1" ht="18" customHeight="1">
      <c r="B3105" s="190"/>
      <c r="C3105" s="179" t="s">
        <v>4469</v>
      </c>
      <c r="D3105" s="180" t="s">
        <v>1970</v>
      </c>
      <c r="E3105" s="181"/>
      <c r="F3105" s="622"/>
      <c r="G3105" s="182" t="s">
        <v>250</v>
      </c>
      <c r="H3105" s="184" t="s">
        <v>251</v>
      </c>
      <c r="I3105" s="185"/>
      <c r="J3105" s="183"/>
      <c r="K3105" s="192">
        <v>0</v>
      </c>
      <c r="L3105" s="188"/>
      <c r="M3105" s="187"/>
      <c r="N3105" s="187">
        <v>45145</v>
      </c>
      <c r="O3105" s="186">
        <v>5432</v>
      </c>
      <c r="P3105" s="179"/>
      <c r="Q3105" s="725">
        <v>0</v>
      </c>
      <c r="S3105" s="197">
        <v>0</v>
      </c>
      <c r="T3105" s="198">
        <v>0</v>
      </c>
      <c r="U3105" s="335"/>
      <c r="V3105" s="260">
        <v>120</v>
      </c>
    </row>
    <row r="3106" spans="2:22" s="7" customFormat="1" ht="18" customHeight="1">
      <c r="B3106" s="12"/>
      <c r="C3106" s="6" t="s">
        <v>4470</v>
      </c>
      <c r="D3106" s="14" t="s">
        <v>2162</v>
      </c>
      <c r="E3106" s="19" t="s">
        <v>2163</v>
      </c>
      <c r="F3106" s="37"/>
      <c r="G3106" s="37"/>
      <c r="H3106" s="108"/>
      <c r="I3106" s="108"/>
      <c r="J3106" s="108"/>
      <c r="K3106" s="110" t="s">
        <v>5</v>
      </c>
      <c r="L3106" s="139"/>
      <c r="M3106" s="33"/>
      <c r="N3106" s="33">
        <v>45145</v>
      </c>
      <c r="O3106" s="32">
        <v>5434</v>
      </c>
      <c r="P3106" s="6"/>
      <c r="Q3106" s="339"/>
      <c r="U3106" s="21"/>
      <c r="V3106" s="260">
        <v>120</v>
      </c>
    </row>
    <row r="3107" spans="2:22" s="7" customFormat="1" ht="18" customHeight="1">
      <c r="B3107" s="12" t="s">
        <v>300</v>
      </c>
      <c r="C3107" s="6" t="s">
        <v>4470</v>
      </c>
      <c r="D3107" s="14" t="s">
        <v>2162</v>
      </c>
      <c r="E3107" s="22">
        <v>5603</v>
      </c>
      <c r="F3107" s="37"/>
      <c r="G3107" s="22" t="s">
        <v>4471</v>
      </c>
      <c r="H3107" s="108">
        <v>50</v>
      </c>
      <c r="I3107" s="950">
        <v>1</v>
      </c>
      <c r="J3107" s="8">
        <f t="shared" ref="J3107:J3114" si="205">I3107*H3107</f>
        <v>50</v>
      </c>
      <c r="K3107" s="39">
        <v>0.34</v>
      </c>
      <c r="L3107" s="39">
        <f t="shared" ref="L3107:L3115" si="206">K3107*J3107</f>
        <v>17</v>
      </c>
      <c r="M3107" s="117" t="s">
        <v>349</v>
      </c>
      <c r="N3107" s="33">
        <v>45145</v>
      </c>
      <c r="O3107" s="32">
        <v>5434</v>
      </c>
      <c r="P3107" s="391">
        <f t="shared" ref="P3107:P3114" si="207">ROUNDUP(S3107/V3107/VLOOKUP(B3107,$C$2:$F$6,3,FALSE),2)</f>
        <v>0.22</v>
      </c>
      <c r="Q3107" s="322">
        <v>0.22</v>
      </c>
      <c r="R3107" s="322">
        <f t="shared" ref="R3107:R3114" si="208">Q3107*J3107</f>
        <v>11</v>
      </c>
      <c r="S3107" s="7">
        <v>18.3</v>
      </c>
      <c r="T3107" s="7">
        <f t="shared" ref="T3107:T3115" si="209">S3107*J3107</f>
        <v>915</v>
      </c>
      <c r="U3107" s="21"/>
      <c r="V3107" s="260">
        <v>120</v>
      </c>
    </row>
    <row r="3108" spans="2:22" s="7" customFormat="1" ht="18" customHeight="1">
      <c r="B3108" s="12" t="s">
        <v>300</v>
      </c>
      <c r="C3108" s="6" t="s">
        <v>4470</v>
      </c>
      <c r="D3108" s="14" t="s">
        <v>2162</v>
      </c>
      <c r="E3108" s="22">
        <v>5603</v>
      </c>
      <c r="F3108" s="37"/>
      <c r="G3108" s="22" t="s">
        <v>4472</v>
      </c>
      <c r="H3108" s="108">
        <v>50</v>
      </c>
      <c r="I3108" s="950">
        <v>1</v>
      </c>
      <c r="J3108" s="8">
        <f t="shared" si="205"/>
        <v>50</v>
      </c>
      <c r="K3108" s="39">
        <v>0.34</v>
      </c>
      <c r="L3108" s="39">
        <f t="shared" si="206"/>
        <v>17</v>
      </c>
      <c r="M3108" s="117" t="s">
        <v>349</v>
      </c>
      <c r="N3108" s="33">
        <v>45145</v>
      </c>
      <c r="O3108" s="32">
        <v>5434</v>
      </c>
      <c r="P3108" s="391">
        <f t="shared" si="207"/>
        <v>0.22</v>
      </c>
      <c r="Q3108" s="322">
        <v>0.22</v>
      </c>
      <c r="R3108" s="322">
        <f t="shared" si="208"/>
        <v>11</v>
      </c>
      <c r="S3108" s="7">
        <v>18.3</v>
      </c>
      <c r="T3108" s="7">
        <f t="shared" si="209"/>
        <v>915</v>
      </c>
      <c r="U3108" s="21"/>
      <c r="V3108" s="260">
        <v>120</v>
      </c>
    </row>
    <row r="3109" spans="2:22" s="7" customFormat="1" ht="18" customHeight="1">
      <c r="B3109" s="12" t="s">
        <v>300</v>
      </c>
      <c r="C3109" s="6" t="s">
        <v>4470</v>
      </c>
      <c r="D3109" s="14" t="s">
        <v>2162</v>
      </c>
      <c r="E3109" s="22">
        <v>5603</v>
      </c>
      <c r="F3109" s="37"/>
      <c r="G3109" s="22" t="s">
        <v>4475</v>
      </c>
      <c r="H3109" s="108">
        <v>50</v>
      </c>
      <c r="I3109" s="950">
        <v>1</v>
      </c>
      <c r="J3109" s="8">
        <f t="shared" si="205"/>
        <v>50</v>
      </c>
      <c r="K3109" s="39">
        <v>0.34</v>
      </c>
      <c r="L3109" s="39">
        <f t="shared" si="206"/>
        <v>17</v>
      </c>
      <c r="M3109" s="117" t="s">
        <v>349</v>
      </c>
      <c r="N3109" s="33">
        <v>45145</v>
      </c>
      <c r="O3109" s="32">
        <v>5434</v>
      </c>
      <c r="P3109" s="391">
        <f t="shared" si="207"/>
        <v>0.22</v>
      </c>
      <c r="Q3109" s="322">
        <v>0.22</v>
      </c>
      <c r="R3109" s="322">
        <f t="shared" si="208"/>
        <v>11</v>
      </c>
      <c r="S3109" s="7">
        <v>18.3</v>
      </c>
      <c r="T3109" s="7">
        <f t="shared" si="209"/>
        <v>915</v>
      </c>
      <c r="U3109" s="21"/>
      <c r="V3109" s="260">
        <v>120</v>
      </c>
    </row>
    <row r="3110" spans="2:22" s="7" customFormat="1" ht="18" customHeight="1">
      <c r="B3110" s="12" t="s">
        <v>300</v>
      </c>
      <c r="C3110" s="6" t="s">
        <v>4470</v>
      </c>
      <c r="D3110" s="14" t="s">
        <v>2162</v>
      </c>
      <c r="E3110" s="22">
        <v>5603</v>
      </c>
      <c r="F3110" s="37"/>
      <c r="G3110" s="22" t="s">
        <v>4474</v>
      </c>
      <c r="H3110" s="108">
        <v>50</v>
      </c>
      <c r="I3110" s="950">
        <v>1</v>
      </c>
      <c r="J3110" s="8">
        <f t="shared" si="205"/>
        <v>50</v>
      </c>
      <c r="K3110" s="39">
        <v>0.34</v>
      </c>
      <c r="L3110" s="39">
        <f t="shared" si="206"/>
        <v>17</v>
      </c>
      <c r="M3110" s="117" t="s">
        <v>349</v>
      </c>
      <c r="N3110" s="33">
        <v>45145</v>
      </c>
      <c r="O3110" s="32">
        <v>5434</v>
      </c>
      <c r="P3110" s="391">
        <f t="shared" si="207"/>
        <v>0.22</v>
      </c>
      <c r="Q3110" s="322">
        <v>0.22</v>
      </c>
      <c r="R3110" s="322">
        <f t="shared" si="208"/>
        <v>11</v>
      </c>
      <c r="S3110" s="7">
        <v>18.3</v>
      </c>
      <c r="T3110" s="7">
        <f t="shared" si="209"/>
        <v>915</v>
      </c>
      <c r="U3110" s="21"/>
      <c r="V3110" s="260">
        <v>120</v>
      </c>
    </row>
    <row r="3111" spans="2:22" s="7" customFormat="1" ht="18" customHeight="1">
      <c r="B3111" s="12" t="s">
        <v>300</v>
      </c>
      <c r="C3111" s="6" t="s">
        <v>4470</v>
      </c>
      <c r="D3111" s="14" t="s">
        <v>2162</v>
      </c>
      <c r="E3111" s="22">
        <v>5603</v>
      </c>
      <c r="F3111" s="37"/>
      <c r="G3111" s="22" t="s">
        <v>4473</v>
      </c>
      <c r="H3111" s="108">
        <v>50</v>
      </c>
      <c r="I3111" s="950">
        <v>1</v>
      </c>
      <c r="J3111" s="8">
        <f t="shared" si="205"/>
        <v>50</v>
      </c>
      <c r="K3111" s="39">
        <v>0.34</v>
      </c>
      <c r="L3111" s="39">
        <f t="shared" si="206"/>
        <v>17</v>
      </c>
      <c r="M3111" s="117" t="s">
        <v>349</v>
      </c>
      <c r="N3111" s="33">
        <v>45145</v>
      </c>
      <c r="O3111" s="32">
        <v>5434</v>
      </c>
      <c r="P3111" s="391">
        <f t="shared" si="207"/>
        <v>0.22</v>
      </c>
      <c r="Q3111" s="322">
        <v>0.22</v>
      </c>
      <c r="R3111" s="322">
        <f t="shared" si="208"/>
        <v>11</v>
      </c>
      <c r="S3111" s="7">
        <v>18.3</v>
      </c>
      <c r="T3111" s="7">
        <f t="shared" si="209"/>
        <v>915</v>
      </c>
      <c r="U3111" s="21"/>
      <c r="V3111" s="260">
        <v>120</v>
      </c>
    </row>
    <row r="3112" spans="2:22" s="7" customFormat="1" ht="18" customHeight="1">
      <c r="B3112" s="12" t="s">
        <v>300</v>
      </c>
      <c r="C3112" s="6" t="s">
        <v>4470</v>
      </c>
      <c r="D3112" s="14" t="s">
        <v>2162</v>
      </c>
      <c r="E3112" s="22">
        <v>5607</v>
      </c>
      <c r="F3112" s="37"/>
      <c r="G3112" s="22" t="s">
        <v>4473</v>
      </c>
      <c r="H3112" s="108">
        <v>50</v>
      </c>
      <c r="I3112" s="950">
        <v>1</v>
      </c>
      <c r="J3112" s="8">
        <f t="shared" si="205"/>
        <v>50</v>
      </c>
      <c r="K3112" s="39">
        <v>0.27</v>
      </c>
      <c r="L3112" s="39">
        <f t="shared" si="206"/>
        <v>13.5</v>
      </c>
      <c r="M3112" s="117" t="s">
        <v>349</v>
      </c>
      <c r="N3112" s="33">
        <v>45145</v>
      </c>
      <c r="O3112" s="32">
        <v>5434</v>
      </c>
      <c r="P3112" s="391">
        <f t="shared" si="207"/>
        <v>0.17</v>
      </c>
      <c r="Q3112" s="322">
        <v>0.17</v>
      </c>
      <c r="R3112" s="322">
        <f t="shared" si="208"/>
        <v>8.5</v>
      </c>
      <c r="S3112" s="7">
        <v>14.2</v>
      </c>
      <c r="T3112" s="7">
        <f t="shared" si="209"/>
        <v>710</v>
      </c>
      <c r="U3112" s="21"/>
      <c r="V3112" s="260">
        <v>120</v>
      </c>
    </row>
    <row r="3113" spans="2:22" s="7" customFormat="1" ht="18" customHeight="1">
      <c r="B3113" s="12" t="s">
        <v>300</v>
      </c>
      <c r="C3113" s="6" t="s">
        <v>4470</v>
      </c>
      <c r="D3113" s="14" t="s">
        <v>2162</v>
      </c>
      <c r="E3113" s="22">
        <v>5607</v>
      </c>
      <c r="F3113" s="37"/>
      <c r="G3113" s="22" t="s">
        <v>4471</v>
      </c>
      <c r="H3113" s="108">
        <v>50</v>
      </c>
      <c r="I3113" s="950">
        <v>1</v>
      </c>
      <c r="J3113" s="8">
        <f t="shared" si="205"/>
        <v>50</v>
      </c>
      <c r="K3113" s="39">
        <v>0.27</v>
      </c>
      <c r="L3113" s="39">
        <f t="shared" si="206"/>
        <v>13.5</v>
      </c>
      <c r="M3113" s="117" t="s">
        <v>349</v>
      </c>
      <c r="N3113" s="33">
        <v>45145</v>
      </c>
      <c r="O3113" s="32">
        <v>5434</v>
      </c>
      <c r="P3113" s="391">
        <f t="shared" si="207"/>
        <v>0.17</v>
      </c>
      <c r="Q3113" s="322">
        <v>0.17</v>
      </c>
      <c r="R3113" s="322">
        <f t="shared" si="208"/>
        <v>8.5</v>
      </c>
      <c r="S3113" s="7">
        <v>14.2</v>
      </c>
      <c r="T3113" s="7">
        <f t="shared" si="209"/>
        <v>710</v>
      </c>
      <c r="U3113" s="21"/>
      <c r="V3113" s="260">
        <v>120</v>
      </c>
    </row>
    <row r="3114" spans="2:22" s="7" customFormat="1" ht="18" customHeight="1">
      <c r="B3114" s="12" t="s">
        <v>300</v>
      </c>
      <c r="C3114" s="6" t="s">
        <v>4470</v>
      </c>
      <c r="D3114" s="14" t="s">
        <v>2162</v>
      </c>
      <c r="E3114" s="22">
        <v>5607</v>
      </c>
      <c r="F3114" s="37"/>
      <c r="G3114" s="22" t="s">
        <v>4476</v>
      </c>
      <c r="H3114" s="108">
        <v>50</v>
      </c>
      <c r="I3114" s="950">
        <v>1</v>
      </c>
      <c r="J3114" s="8">
        <f t="shared" si="205"/>
        <v>50</v>
      </c>
      <c r="K3114" s="39">
        <v>0.27</v>
      </c>
      <c r="L3114" s="39">
        <f t="shared" si="206"/>
        <v>13.5</v>
      </c>
      <c r="M3114" s="117" t="s">
        <v>349</v>
      </c>
      <c r="N3114" s="33">
        <v>45145</v>
      </c>
      <c r="O3114" s="32">
        <v>5434</v>
      </c>
      <c r="P3114" s="391">
        <f t="shared" si="207"/>
        <v>0.17</v>
      </c>
      <c r="Q3114" s="322">
        <v>0.17</v>
      </c>
      <c r="R3114" s="322">
        <f t="shared" si="208"/>
        <v>8.5</v>
      </c>
      <c r="S3114" s="7">
        <v>14.2</v>
      </c>
      <c r="T3114" s="7">
        <f t="shared" si="209"/>
        <v>710</v>
      </c>
      <c r="U3114" s="21"/>
      <c r="V3114" s="260">
        <v>120</v>
      </c>
    </row>
    <row r="3115" spans="2:22" s="7" customFormat="1" ht="18" customHeight="1">
      <c r="B3115" s="12"/>
      <c r="C3115" s="6" t="s">
        <v>4470</v>
      </c>
      <c r="D3115" s="14" t="s">
        <v>2162</v>
      </c>
      <c r="E3115" s="22"/>
      <c r="F3115" s="102"/>
      <c r="G3115" s="22" t="s">
        <v>316</v>
      </c>
      <c r="H3115" s="8"/>
      <c r="I3115" s="35"/>
      <c r="J3115" s="38">
        <v>1</v>
      </c>
      <c r="K3115" s="39">
        <v>12</v>
      </c>
      <c r="L3115" s="39">
        <f t="shared" si="206"/>
        <v>12</v>
      </c>
      <c r="M3115" s="91"/>
      <c r="N3115" s="33">
        <v>45145</v>
      </c>
      <c r="O3115" s="32">
        <v>5434</v>
      </c>
      <c r="P3115" s="6" t="s">
        <v>3</v>
      </c>
      <c r="Q3115" s="322">
        <v>12</v>
      </c>
      <c r="R3115" s="322">
        <v>12</v>
      </c>
      <c r="S3115" s="7">
        <v>1100</v>
      </c>
      <c r="T3115" s="7">
        <f t="shared" si="209"/>
        <v>1100</v>
      </c>
      <c r="U3115" s="21"/>
      <c r="V3115" s="260">
        <v>120</v>
      </c>
    </row>
    <row r="3116" spans="2:22" s="191" customFormat="1" ht="18" customHeight="1">
      <c r="B3116" s="190"/>
      <c r="C3116" s="179" t="s">
        <v>4470</v>
      </c>
      <c r="D3116" s="180" t="s">
        <v>2162</v>
      </c>
      <c r="E3116" s="217"/>
      <c r="F3116" s="182"/>
      <c r="G3116" s="182" t="s">
        <v>250</v>
      </c>
      <c r="H3116" s="184" t="s">
        <v>251</v>
      </c>
      <c r="I3116" s="185"/>
      <c r="J3116" s="183"/>
      <c r="K3116" s="192">
        <v>0</v>
      </c>
      <c r="L3116" s="187"/>
      <c r="M3116" s="187"/>
      <c r="N3116" s="187">
        <v>45145</v>
      </c>
      <c r="O3116" s="186">
        <v>5434</v>
      </c>
      <c r="P3116" s="179"/>
      <c r="Q3116" s="255">
        <v>0</v>
      </c>
      <c r="R3116" s="322">
        <v>0</v>
      </c>
      <c r="S3116" s="275">
        <v>0</v>
      </c>
      <c r="T3116" s="198">
        <v>0</v>
      </c>
      <c r="U3116" s="271"/>
      <c r="V3116" s="260">
        <v>120</v>
      </c>
    </row>
    <row r="3117" spans="2:22" s="7" customFormat="1" ht="18" customHeight="1">
      <c r="B3117" s="12"/>
      <c r="C3117" s="6" t="s">
        <v>4477</v>
      </c>
      <c r="D3117" s="14" t="s">
        <v>4478</v>
      </c>
      <c r="E3117" s="19" t="s">
        <v>4479</v>
      </c>
      <c r="F3117" s="37"/>
      <c r="G3117" s="37"/>
      <c r="H3117" s="108"/>
      <c r="I3117" s="108"/>
      <c r="J3117" s="108"/>
      <c r="K3117" s="110" t="s">
        <v>5</v>
      </c>
      <c r="L3117" s="139"/>
      <c r="M3117" s="33"/>
      <c r="N3117" s="33">
        <v>45174</v>
      </c>
      <c r="O3117" s="32">
        <v>5504</v>
      </c>
      <c r="P3117" s="6"/>
      <c r="Q3117" s="339"/>
      <c r="U3117" s="21"/>
      <c r="V3117" s="260">
        <v>120</v>
      </c>
    </row>
    <row r="3118" spans="2:22" s="7" customFormat="1" ht="18" customHeight="1">
      <c r="B3118" s="12" t="s">
        <v>300</v>
      </c>
      <c r="C3118" s="6" t="s">
        <v>4477</v>
      </c>
      <c r="D3118" s="14" t="s">
        <v>4478</v>
      </c>
      <c r="E3118" s="22">
        <v>4120</v>
      </c>
      <c r="F3118" s="37">
        <v>6</v>
      </c>
      <c r="G3118" s="22" t="s">
        <v>4480</v>
      </c>
      <c r="H3118" s="108">
        <v>30</v>
      </c>
      <c r="I3118" s="950">
        <v>1</v>
      </c>
      <c r="J3118" s="8">
        <f t="shared" ref="J3118:J3123" si="210">I3118*H3118</f>
        <v>30</v>
      </c>
      <c r="K3118" s="39">
        <v>0.33</v>
      </c>
      <c r="L3118" s="39">
        <f t="shared" ref="L3118:L3123" si="211">K3118*J3118</f>
        <v>9.9</v>
      </c>
      <c r="M3118" s="117" t="s">
        <v>349</v>
      </c>
      <c r="N3118" s="33">
        <v>45174</v>
      </c>
      <c r="O3118" s="32">
        <v>5504</v>
      </c>
      <c r="P3118" s="391">
        <f t="shared" ref="P3118:P3123" si="212">ROUNDUP(S3118/V3118/VLOOKUP(B3118,$C$2:$F$6,3,FALSE),2)</f>
        <v>0.22</v>
      </c>
      <c r="Q3118" s="322">
        <v>0.22</v>
      </c>
      <c r="R3118" s="322">
        <f t="shared" ref="R3118:R3123" si="213">Q3118*J3118</f>
        <v>6.6</v>
      </c>
      <c r="S3118" s="7">
        <v>18</v>
      </c>
      <c r="T3118" s="7">
        <f t="shared" ref="T3118:T3123" si="214">S3118*J3118</f>
        <v>540</v>
      </c>
      <c r="U3118" s="21"/>
      <c r="V3118" s="260">
        <v>120</v>
      </c>
    </row>
    <row r="3119" spans="2:22" s="7" customFormat="1" ht="18" customHeight="1">
      <c r="B3119" s="12" t="s">
        <v>300</v>
      </c>
      <c r="C3119" s="6" t="s">
        <v>4477</v>
      </c>
      <c r="D3119" s="14" t="s">
        <v>4478</v>
      </c>
      <c r="E3119" s="22">
        <v>4120</v>
      </c>
      <c r="F3119" s="37">
        <v>25</v>
      </c>
      <c r="G3119" s="22" t="s">
        <v>4481</v>
      </c>
      <c r="H3119" s="108">
        <v>30</v>
      </c>
      <c r="I3119" s="950">
        <v>1</v>
      </c>
      <c r="J3119" s="8">
        <f t="shared" si="210"/>
        <v>30</v>
      </c>
      <c r="K3119" s="39">
        <v>0.48</v>
      </c>
      <c r="L3119" s="39">
        <f t="shared" si="211"/>
        <v>14.399999999999999</v>
      </c>
      <c r="M3119" s="117" t="s">
        <v>349</v>
      </c>
      <c r="N3119" s="33">
        <v>45174</v>
      </c>
      <c r="O3119" s="32">
        <v>5504</v>
      </c>
      <c r="P3119" s="391">
        <f t="shared" si="212"/>
        <v>0.31</v>
      </c>
      <c r="Q3119" s="322">
        <v>0.31</v>
      </c>
      <c r="R3119" s="322">
        <f t="shared" si="213"/>
        <v>9.3000000000000007</v>
      </c>
      <c r="S3119" s="7">
        <v>26</v>
      </c>
      <c r="T3119" s="7">
        <f t="shared" si="214"/>
        <v>780</v>
      </c>
      <c r="U3119" s="21"/>
      <c r="V3119" s="260">
        <v>120</v>
      </c>
    </row>
    <row r="3120" spans="2:22" s="7" customFormat="1" ht="18" customHeight="1">
      <c r="B3120" s="12" t="s">
        <v>300</v>
      </c>
      <c r="C3120" s="6" t="s">
        <v>4477</v>
      </c>
      <c r="D3120" s="14" t="s">
        <v>4478</v>
      </c>
      <c r="E3120" s="22">
        <v>4120</v>
      </c>
      <c r="F3120" s="37">
        <v>36</v>
      </c>
      <c r="G3120" s="22" t="s">
        <v>4482</v>
      </c>
      <c r="H3120" s="108">
        <v>30</v>
      </c>
      <c r="I3120" s="950">
        <v>1</v>
      </c>
      <c r="J3120" s="8">
        <f t="shared" si="210"/>
        <v>30</v>
      </c>
      <c r="K3120" s="39">
        <v>0.76</v>
      </c>
      <c r="L3120" s="39">
        <f t="shared" si="211"/>
        <v>22.8</v>
      </c>
      <c r="M3120" s="117" t="s">
        <v>349</v>
      </c>
      <c r="N3120" s="33">
        <v>45174</v>
      </c>
      <c r="O3120" s="32">
        <v>5504</v>
      </c>
      <c r="P3120" s="391">
        <f t="shared" si="212"/>
        <v>0.49</v>
      </c>
      <c r="Q3120" s="322">
        <v>0.49</v>
      </c>
      <c r="R3120" s="322">
        <f t="shared" si="213"/>
        <v>14.7</v>
      </c>
      <c r="S3120" s="7">
        <v>41</v>
      </c>
      <c r="T3120" s="7">
        <f t="shared" si="214"/>
        <v>1230</v>
      </c>
      <c r="U3120" s="21"/>
      <c r="V3120" s="260">
        <v>120</v>
      </c>
    </row>
    <row r="3121" spans="1:51" s="7" customFormat="1" ht="18" customHeight="1">
      <c r="B3121" s="12" t="s">
        <v>300</v>
      </c>
      <c r="C3121" s="6" t="s">
        <v>4477</v>
      </c>
      <c r="D3121" s="14" t="s">
        <v>4478</v>
      </c>
      <c r="E3121" s="22">
        <v>4120</v>
      </c>
      <c r="F3121" s="37">
        <v>36</v>
      </c>
      <c r="G3121" s="22" t="s">
        <v>4483</v>
      </c>
      <c r="H3121" s="108">
        <v>30</v>
      </c>
      <c r="I3121" s="950">
        <v>1</v>
      </c>
      <c r="J3121" s="8">
        <f t="shared" si="210"/>
        <v>30</v>
      </c>
      <c r="K3121" s="39">
        <v>0.76</v>
      </c>
      <c r="L3121" s="39">
        <f t="shared" si="211"/>
        <v>22.8</v>
      </c>
      <c r="M3121" s="117" t="s">
        <v>349</v>
      </c>
      <c r="N3121" s="33">
        <v>45174</v>
      </c>
      <c r="O3121" s="32">
        <v>5504</v>
      </c>
      <c r="P3121" s="391">
        <f t="shared" si="212"/>
        <v>0.49</v>
      </c>
      <c r="Q3121" s="322">
        <v>0.49</v>
      </c>
      <c r="R3121" s="322">
        <f t="shared" si="213"/>
        <v>14.7</v>
      </c>
      <c r="S3121" s="7">
        <v>41</v>
      </c>
      <c r="T3121" s="7">
        <f t="shared" si="214"/>
        <v>1230</v>
      </c>
      <c r="U3121" s="21"/>
      <c r="V3121" s="260">
        <v>120</v>
      </c>
    </row>
    <row r="3122" spans="1:51" s="7" customFormat="1" ht="18" customHeight="1">
      <c r="B3122" s="12" t="s">
        <v>300</v>
      </c>
      <c r="C3122" s="6" t="s">
        <v>4477</v>
      </c>
      <c r="D3122" s="14" t="s">
        <v>4478</v>
      </c>
      <c r="E3122" s="22">
        <v>4120</v>
      </c>
      <c r="F3122" s="37">
        <v>72</v>
      </c>
      <c r="G3122" s="22" t="s">
        <v>4483</v>
      </c>
      <c r="H3122" s="108">
        <v>30</v>
      </c>
      <c r="I3122" s="950">
        <v>1</v>
      </c>
      <c r="J3122" s="8">
        <f t="shared" si="210"/>
        <v>30</v>
      </c>
      <c r="K3122" s="39">
        <v>1.69</v>
      </c>
      <c r="L3122" s="39">
        <f t="shared" si="211"/>
        <v>50.699999999999996</v>
      </c>
      <c r="M3122" s="117" t="s">
        <v>349</v>
      </c>
      <c r="N3122" s="33">
        <v>45174</v>
      </c>
      <c r="O3122" s="32">
        <v>5504</v>
      </c>
      <c r="P3122" s="391">
        <f t="shared" si="212"/>
        <v>1.0900000000000001</v>
      </c>
      <c r="Q3122" s="322">
        <v>1.0900000000000001</v>
      </c>
      <c r="R3122" s="322">
        <f t="shared" si="213"/>
        <v>32.700000000000003</v>
      </c>
      <c r="S3122" s="7">
        <v>91</v>
      </c>
      <c r="T3122" s="7">
        <f t="shared" si="214"/>
        <v>2730</v>
      </c>
      <c r="U3122" s="21"/>
      <c r="V3122" s="260">
        <v>120</v>
      </c>
    </row>
    <row r="3123" spans="1:51" s="7" customFormat="1" ht="18" customHeight="1">
      <c r="B3123" s="12" t="s">
        <v>300</v>
      </c>
      <c r="C3123" s="6" t="s">
        <v>4477</v>
      </c>
      <c r="D3123" s="14" t="s">
        <v>4478</v>
      </c>
      <c r="E3123" s="22">
        <v>4120</v>
      </c>
      <c r="F3123" s="37">
        <v>72</v>
      </c>
      <c r="G3123" s="22" t="s">
        <v>4484</v>
      </c>
      <c r="H3123" s="108">
        <v>30</v>
      </c>
      <c r="I3123" s="950">
        <v>1</v>
      </c>
      <c r="J3123" s="8">
        <f t="shared" si="210"/>
        <v>30</v>
      </c>
      <c r="K3123" s="39">
        <v>1.69</v>
      </c>
      <c r="L3123" s="39">
        <f t="shared" si="211"/>
        <v>50.699999999999996</v>
      </c>
      <c r="M3123" s="117" t="s">
        <v>349</v>
      </c>
      <c r="N3123" s="33">
        <v>45174</v>
      </c>
      <c r="O3123" s="32">
        <v>5504</v>
      </c>
      <c r="P3123" s="391">
        <f t="shared" si="212"/>
        <v>1.0900000000000001</v>
      </c>
      <c r="Q3123" s="322">
        <v>1.0900000000000001</v>
      </c>
      <c r="R3123" s="322">
        <f t="shared" si="213"/>
        <v>32.700000000000003</v>
      </c>
      <c r="S3123" s="7">
        <v>91</v>
      </c>
      <c r="T3123" s="7">
        <f t="shared" si="214"/>
        <v>2730</v>
      </c>
      <c r="U3123" s="21"/>
      <c r="V3123" s="260">
        <v>120</v>
      </c>
    </row>
    <row r="3124" spans="1:51" s="1168" customFormat="1" ht="17.25" customHeight="1">
      <c r="B3124" s="1169"/>
      <c r="C3124" s="6" t="s">
        <v>4477</v>
      </c>
      <c r="D3124" s="14" t="s">
        <v>4478</v>
      </c>
      <c r="E3124" s="19" t="s">
        <v>4485</v>
      </c>
      <c r="F3124" s="1171"/>
      <c r="G3124" s="22"/>
      <c r="H3124" s="108"/>
      <c r="I3124" s="109"/>
      <c r="J3124" s="8"/>
      <c r="K3124" s="110" t="s">
        <v>5</v>
      </c>
      <c r="L3124" s="900"/>
      <c r="M3124" s="403"/>
      <c r="N3124" s="33">
        <v>45174</v>
      </c>
      <c r="O3124" s="32">
        <v>5504</v>
      </c>
      <c r="P3124" s="1173"/>
      <c r="Q3124" s="899"/>
      <c r="R3124" s="899"/>
      <c r="S3124" s="1174" t="s">
        <v>330</v>
      </c>
      <c r="T3124" s="92"/>
      <c r="U3124" s="1174" t="s">
        <v>4494</v>
      </c>
      <c r="V3124" s="901"/>
    </row>
    <row r="3125" spans="1:51" s="1168" customFormat="1" ht="17.25" customHeight="1">
      <c r="B3125" s="1169" t="s">
        <v>300</v>
      </c>
      <c r="C3125" s="6" t="s">
        <v>4477</v>
      </c>
      <c r="D3125" s="14" t="s">
        <v>4478</v>
      </c>
      <c r="E3125" s="22">
        <v>2200</v>
      </c>
      <c r="F3125" s="1171">
        <v>24</v>
      </c>
      <c r="G3125" s="22" t="s">
        <v>4486</v>
      </c>
      <c r="H3125" s="108">
        <v>15</v>
      </c>
      <c r="I3125" s="109">
        <v>1</v>
      </c>
      <c r="J3125" s="8">
        <f>H3125*I3125</f>
        <v>15</v>
      </c>
      <c r="K3125" s="39">
        <v>1.92</v>
      </c>
      <c r="L3125" s="39">
        <f>K3125*J3125</f>
        <v>28.799999999999997</v>
      </c>
      <c r="M3125" s="403" t="s">
        <v>323</v>
      </c>
      <c r="N3125" s="33">
        <v>45174</v>
      </c>
      <c r="O3125" s="32">
        <v>5504</v>
      </c>
      <c r="P3125" s="391">
        <f>ROUNDUP(S3125/V3125/VLOOKUP(B3125,$C$2:$F$6,3,FALSE),2)</f>
        <v>1.1200000000000001</v>
      </c>
      <c r="Q3125" s="899">
        <v>1.1200000000000001</v>
      </c>
      <c r="R3125" s="322">
        <f>Q3125*J3125</f>
        <v>16.8</v>
      </c>
      <c r="S3125" s="7">
        <v>94</v>
      </c>
      <c r="T3125" s="7">
        <f>S3125*J3125</f>
        <v>1410</v>
      </c>
      <c r="U3125" s="7">
        <v>103.53</v>
      </c>
      <c r="V3125" s="901">
        <v>120</v>
      </c>
      <c r="W3125" s="1136">
        <f>(((K3125*V3125)-S3125)/(K3125*V3125))</f>
        <v>0.59201388888888884</v>
      </c>
    </row>
    <row r="3126" spans="1:51" s="1168" customFormat="1" ht="17.25" customHeight="1">
      <c r="B3126" s="1169" t="s">
        <v>300</v>
      </c>
      <c r="C3126" s="6" t="s">
        <v>4477</v>
      </c>
      <c r="D3126" s="14" t="s">
        <v>4478</v>
      </c>
      <c r="E3126" s="22">
        <v>2200</v>
      </c>
      <c r="F3126" s="1171">
        <v>50</v>
      </c>
      <c r="G3126" s="22" t="s">
        <v>151</v>
      </c>
      <c r="H3126" s="108">
        <v>15</v>
      </c>
      <c r="I3126" s="109">
        <v>1</v>
      </c>
      <c r="J3126" s="8">
        <f>H3126*I3126</f>
        <v>15</v>
      </c>
      <c r="K3126" s="39">
        <v>4.1900000000000004</v>
      </c>
      <c r="L3126" s="39">
        <f>K3126*J3126</f>
        <v>62.850000000000009</v>
      </c>
      <c r="M3126" s="403" t="s">
        <v>323</v>
      </c>
      <c r="N3126" s="33">
        <v>45174</v>
      </c>
      <c r="O3126" s="32">
        <v>5504</v>
      </c>
      <c r="P3126" s="391">
        <f>ROUNDUP(S3126/V3126/VLOOKUP(B3126,$C$2:$F$6,3,FALSE),2)</f>
        <v>2.4499999999999997</v>
      </c>
      <c r="Q3126" s="899">
        <v>2.4500000000000002</v>
      </c>
      <c r="R3126" s="322">
        <f>Q3126*J3126</f>
        <v>36.75</v>
      </c>
      <c r="S3126" s="7">
        <v>205.3</v>
      </c>
      <c r="T3126" s="7">
        <f>S3126*J3126</f>
        <v>3079.5</v>
      </c>
      <c r="U3126" s="7">
        <v>226</v>
      </c>
      <c r="V3126" s="901">
        <v>120</v>
      </c>
      <c r="W3126" s="1136">
        <f>(((K3126*V3126)-S3126)/(K3126*V3126))</f>
        <v>0.59168655529037395</v>
      </c>
    </row>
    <row r="3127" spans="1:51" s="7" customFormat="1" ht="18" customHeight="1">
      <c r="B3127" s="12"/>
      <c r="C3127" s="6" t="s">
        <v>4477</v>
      </c>
      <c r="D3127" s="14" t="s">
        <v>4478</v>
      </c>
      <c r="E3127" s="22"/>
      <c r="F3127" s="102"/>
      <c r="G3127" s="22" t="s">
        <v>316</v>
      </c>
      <c r="H3127" s="8"/>
      <c r="I3127" s="35"/>
      <c r="J3127" s="38">
        <v>2</v>
      </c>
      <c r="K3127" s="39">
        <v>12</v>
      </c>
      <c r="L3127" s="39">
        <f>K3127*J3127</f>
        <v>24</v>
      </c>
      <c r="M3127" s="91"/>
      <c r="N3127" s="33">
        <v>45174</v>
      </c>
      <c r="O3127" s="32">
        <v>5504</v>
      </c>
      <c r="P3127" s="6" t="s">
        <v>3</v>
      </c>
      <c r="Q3127" s="322">
        <v>12</v>
      </c>
      <c r="R3127" s="322">
        <f>Q3127*J3127</f>
        <v>24</v>
      </c>
      <c r="S3127" s="7">
        <v>0</v>
      </c>
      <c r="T3127" s="7">
        <v>0</v>
      </c>
      <c r="U3127" s="21"/>
      <c r="V3127" s="260">
        <v>120</v>
      </c>
    </row>
    <row r="3128" spans="1:51" s="191" customFormat="1" ht="18" customHeight="1">
      <c r="B3128" s="190"/>
      <c r="C3128" s="179" t="s">
        <v>4477</v>
      </c>
      <c r="D3128" s="180" t="s">
        <v>4478</v>
      </c>
      <c r="E3128" s="217"/>
      <c r="F3128" s="182"/>
      <c r="G3128" s="182" t="s">
        <v>250</v>
      </c>
      <c r="H3128" s="184" t="s">
        <v>251</v>
      </c>
      <c r="I3128" s="185"/>
      <c r="J3128" s="183"/>
      <c r="K3128" s="192">
        <v>0</v>
      </c>
      <c r="L3128" s="187"/>
      <c r="M3128" s="187"/>
      <c r="N3128" s="187">
        <v>45174</v>
      </c>
      <c r="O3128" s="186">
        <v>5504</v>
      </c>
      <c r="P3128" s="179"/>
      <c r="Q3128" s="255">
        <v>0</v>
      </c>
      <c r="R3128" s="322">
        <v>0</v>
      </c>
      <c r="S3128" s="275">
        <v>0</v>
      </c>
      <c r="T3128" s="198">
        <v>0</v>
      </c>
      <c r="U3128" s="271"/>
      <c r="V3128" s="260">
        <v>120</v>
      </c>
    </row>
    <row r="3129" spans="1:51" customFormat="1" ht="18" customHeight="1">
      <c r="A3129" s="1"/>
      <c r="B3129" s="26"/>
      <c r="C3129" s="6" t="s">
        <v>4487</v>
      </c>
      <c r="D3129" s="14" t="s">
        <v>3086</v>
      </c>
      <c r="E3129" s="19" t="s">
        <v>59</v>
      </c>
      <c r="F3129" s="107"/>
      <c r="G3129" s="22"/>
      <c r="H3129" s="108"/>
      <c r="I3129" s="109"/>
      <c r="J3129" s="108"/>
      <c r="K3129" s="110" t="s">
        <v>5</v>
      </c>
      <c r="L3129" s="33"/>
      <c r="M3129" s="33"/>
      <c r="N3129" s="33">
        <v>45147</v>
      </c>
      <c r="O3129" s="32">
        <v>5438</v>
      </c>
      <c r="P3129" s="14"/>
      <c r="Q3129" s="254"/>
      <c r="R3129" s="1"/>
      <c r="S3129" s="261"/>
      <c r="T3129" s="92"/>
      <c r="U3129" s="264"/>
      <c r="V3129" s="260">
        <v>120</v>
      </c>
      <c r="X3129" s="1"/>
      <c r="Y3129" s="1"/>
      <c r="Z3129" s="1"/>
      <c r="AA3129" s="1"/>
      <c r="AB3129" s="1"/>
      <c r="AC3129" s="1"/>
      <c r="AD3129" s="1"/>
      <c r="AE3129" s="1"/>
      <c r="AF3129" s="1"/>
      <c r="AG3129" s="1"/>
      <c r="AH3129" s="1"/>
      <c r="AI3129" s="1"/>
      <c r="AJ3129" s="1"/>
      <c r="AK3129" s="1"/>
      <c r="AL3129" s="1"/>
      <c r="AM3129" s="1"/>
      <c r="AN3129" s="1"/>
      <c r="AO3129" s="1"/>
      <c r="AP3129" s="1"/>
      <c r="AQ3129" s="1"/>
      <c r="AR3129" s="1"/>
      <c r="AS3129" s="1"/>
      <c r="AT3129" s="1"/>
      <c r="AU3129" s="1"/>
      <c r="AV3129" s="1"/>
      <c r="AW3129" s="1"/>
      <c r="AX3129" s="1"/>
      <c r="AY3129" s="1"/>
    </row>
    <row r="3130" spans="1:51" customFormat="1" ht="18" customHeight="1">
      <c r="B3130" s="12" t="s">
        <v>302</v>
      </c>
      <c r="C3130" s="6" t="s">
        <v>4487</v>
      </c>
      <c r="D3130" s="14" t="s">
        <v>3086</v>
      </c>
      <c r="E3130" s="22">
        <v>2440</v>
      </c>
      <c r="F3130" s="107">
        <v>140</v>
      </c>
      <c r="G3130" s="22" t="s">
        <v>4488</v>
      </c>
      <c r="H3130" s="108">
        <v>58</v>
      </c>
      <c r="I3130" s="109">
        <v>1</v>
      </c>
      <c r="J3130" s="8">
        <f>H3130*I3130</f>
        <v>58</v>
      </c>
      <c r="K3130" s="39">
        <v>4.17</v>
      </c>
      <c r="L3130" s="39">
        <f>K3130*J3130</f>
        <v>241.85999999999999</v>
      </c>
      <c r="M3130" s="117" t="s">
        <v>323</v>
      </c>
      <c r="N3130" s="33">
        <v>45147</v>
      </c>
      <c r="O3130" s="32">
        <v>5438</v>
      </c>
      <c r="P3130" s="391">
        <f>ROUNDUP(S3130/V3130/VLOOKUP(B3130,$C$2:$F$6,3,FALSE),2)</f>
        <v>2.8499999999999996</v>
      </c>
      <c r="Q3130" s="254">
        <v>2.85</v>
      </c>
      <c r="R3130" s="323">
        <f>Q3130*J3130</f>
        <v>165.3</v>
      </c>
      <c r="S3130" s="257">
        <v>300</v>
      </c>
      <c r="T3130" s="287">
        <f>S3130*J3130</f>
        <v>17400</v>
      </c>
      <c r="U3130" s="264"/>
      <c r="V3130" s="260">
        <v>120</v>
      </c>
      <c r="X3130" s="1"/>
      <c r="Y3130" s="1"/>
      <c r="Z3130" s="1"/>
      <c r="AA3130" s="1"/>
      <c r="AB3130" s="1"/>
      <c r="AC3130" s="1"/>
      <c r="AD3130" s="1"/>
      <c r="AE3130" s="1"/>
      <c r="AF3130" s="1"/>
      <c r="AG3130" s="1"/>
      <c r="AH3130" s="1"/>
      <c r="AI3130" s="1"/>
      <c r="AJ3130" s="1"/>
      <c r="AK3130" s="1"/>
      <c r="AL3130" s="1"/>
      <c r="AM3130" s="1"/>
      <c r="AN3130" s="1"/>
      <c r="AO3130" s="1"/>
      <c r="AP3130" s="1"/>
      <c r="AQ3130" s="1"/>
      <c r="AR3130" s="1"/>
      <c r="AS3130" s="1"/>
      <c r="AT3130" s="1"/>
      <c r="AU3130" s="1"/>
      <c r="AV3130" s="1"/>
      <c r="AW3130" s="1"/>
      <c r="AX3130" s="1"/>
      <c r="AY3130" s="1"/>
    </row>
    <row r="3131" spans="1:51" customFormat="1" ht="18" customHeight="1">
      <c r="B3131" s="12" t="s">
        <v>302</v>
      </c>
      <c r="C3131" s="6" t="s">
        <v>4487</v>
      </c>
      <c r="D3131" s="14" t="s">
        <v>3086</v>
      </c>
      <c r="E3131" s="22">
        <v>2440</v>
      </c>
      <c r="F3131" s="107">
        <v>140</v>
      </c>
      <c r="G3131" s="22" t="s">
        <v>4489</v>
      </c>
      <c r="H3131" s="108">
        <v>58</v>
      </c>
      <c r="I3131" s="109">
        <v>1</v>
      </c>
      <c r="J3131" s="8">
        <f>H3131*I3131</f>
        <v>58</v>
      </c>
      <c r="K3131" s="39">
        <v>4.17</v>
      </c>
      <c r="L3131" s="39">
        <f>K3131*J3131</f>
        <v>241.85999999999999</v>
      </c>
      <c r="M3131" s="117" t="s">
        <v>323</v>
      </c>
      <c r="N3131" s="33">
        <v>45147</v>
      </c>
      <c r="O3131" s="32">
        <v>5438</v>
      </c>
      <c r="P3131" s="391">
        <f>ROUNDUP(S3131/V3131/VLOOKUP(B3131,$C$2:$F$6,3,FALSE),2)</f>
        <v>2.8499999999999996</v>
      </c>
      <c r="Q3131" s="254">
        <v>2.85</v>
      </c>
      <c r="R3131" s="323">
        <f>Q3131*J3131</f>
        <v>165.3</v>
      </c>
      <c r="S3131" s="257">
        <v>300</v>
      </c>
      <c r="T3131" s="287">
        <f>S3131*J3131</f>
        <v>17400</v>
      </c>
      <c r="U3131" s="264"/>
      <c r="V3131" s="260">
        <v>120</v>
      </c>
      <c r="X3131" s="1"/>
      <c r="Y3131" s="1"/>
      <c r="Z3131" s="1"/>
      <c r="AA3131" s="1"/>
      <c r="AB3131" s="1"/>
      <c r="AC3131" s="1"/>
      <c r="AD3131" s="1"/>
      <c r="AE3131" s="1"/>
      <c r="AF3131" s="1"/>
      <c r="AG3131" s="1"/>
      <c r="AH3131" s="1"/>
      <c r="AI3131" s="1"/>
      <c r="AJ3131" s="1"/>
      <c r="AK3131" s="1"/>
      <c r="AL3131" s="1"/>
      <c r="AM3131" s="1"/>
      <c r="AN3131" s="1"/>
      <c r="AO3131" s="1"/>
      <c r="AP3131" s="1"/>
      <c r="AQ3131" s="1"/>
      <c r="AR3131" s="1"/>
      <c r="AS3131" s="1"/>
      <c r="AT3131" s="1"/>
      <c r="AU3131" s="1"/>
      <c r="AV3131" s="1"/>
      <c r="AW3131" s="1"/>
      <c r="AX3131" s="1"/>
      <c r="AY3131" s="1"/>
    </row>
    <row r="3132" spans="1:51" s="7" customFormat="1" ht="15">
      <c r="B3132" s="12"/>
      <c r="C3132" s="6" t="s">
        <v>4487</v>
      </c>
      <c r="D3132" s="14" t="s">
        <v>3086</v>
      </c>
      <c r="E3132" s="49"/>
      <c r="F3132" s="102"/>
      <c r="G3132" s="22" t="s">
        <v>316</v>
      </c>
      <c r="H3132" s="38"/>
      <c r="I3132" s="35"/>
      <c r="J3132" s="38">
        <v>1</v>
      </c>
      <c r="K3132" s="39">
        <v>20</v>
      </c>
      <c r="L3132" s="39">
        <f>K3132*J3132</f>
        <v>20</v>
      </c>
      <c r="M3132" s="91"/>
      <c r="N3132" s="33">
        <v>45147</v>
      </c>
      <c r="O3132" s="32">
        <v>5438</v>
      </c>
      <c r="P3132" s="722"/>
      <c r="Q3132" s="322">
        <v>20</v>
      </c>
      <c r="R3132" s="322">
        <f>Q3132*J3132</f>
        <v>20</v>
      </c>
      <c r="S3132" s="7">
        <v>1800</v>
      </c>
      <c r="T3132" s="7">
        <f>S3132*J3132</f>
        <v>1800</v>
      </c>
      <c r="U3132" s="21"/>
      <c r="V3132" s="260">
        <v>120</v>
      </c>
    </row>
    <row r="3133" spans="1:51" s="191" customFormat="1" ht="15">
      <c r="B3133" s="190"/>
      <c r="C3133" s="179" t="s">
        <v>4487</v>
      </c>
      <c r="D3133" s="180" t="s">
        <v>3086</v>
      </c>
      <c r="E3133" s="181"/>
      <c r="F3133" s="182"/>
      <c r="G3133" s="182" t="s">
        <v>2738</v>
      </c>
      <c r="H3133" s="184" t="s">
        <v>252</v>
      </c>
      <c r="I3133" s="185"/>
      <c r="J3133" s="183"/>
      <c r="K3133" s="192">
        <v>250</v>
      </c>
      <c r="L3133" s="192">
        <v>250</v>
      </c>
      <c r="M3133" s="187"/>
      <c r="N3133" s="187">
        <v>45147</v>
      </c>
      <c r="O3133" s="186">
        <v>5438</v>
      </c>
      <c r="P3133" s="179"/>
      <c r="Q3133" s="1180">
        <v>250</v>
      </c>
      <c r="R3133" s="1180">
        <v>250</v>
      </c>
      <c r="S3133" s="7">
        <v>8817</v>
      </c>
      <c r="T3133" s="7">
        <v>8817</v>
      </c>
      <c r="U3133" s="271"/>
      <c r="V3133" s="260">
        <v>120</v>
      </c>
    </row>
    <row r="3134" spans="1:51" s="7" customFormat="1" ht="18" customHeight="1">
      <c r="B3134" s="12"/>
      <c r="C3134" s="6" t="s">
        <v>4490</v>
      </c>
      <c r="D3134" s="14" t="s">
        <v>2416</v>
      </c>
      <c r="E3134" s="19" t="s">
        <v>2117</v>
      </c>
      <c r="F3134" s="37"/>
      <c r="G3134" s="37"/>
      <c r="H3134" s="108"/>
      <c r="I3134" s="108"/>
      <c r="J3134" s="108"/>
      <c r="K3134" s="110" t="s">
        <v>101</v>
      </c>
      <c r="L3134" s="139"/>
      <c r="M3134" s="33"/>
      <c r="N3134" s="33">
        <v>45147</v>
      </c>
      <c r="O3134" s="32">
        <v>5437</v>
      </c>
      <c r="P3134" s="6"/>
      <c r="Q3134" s="339"/>
      <c r="U3134" s="21"/>
      <c r="V3134" s="257"/>
    </row>
    <row r="3135" spans="1:51" s="7" customFormat="1" ht="17.25" customHeight="1">
      <c r="B3135" s="12" t="s">
        <v>300</v>
      </c>
      <c r="C3135" s="6" t="s">
        <v>4490</v>
      </c>
      <c r="D3135" s="14" t="s">
        <v>2416</v>
      </c>
      <c r="E3135" s="22" t="s">
        <v>4491</v>
      </c>
      <c r="F3135" s="37"/>
      <c r="G3135" s="37" t="s">
        <v>183</v>
      </c>
      <c r="H3135" s="108"/>
      <c r="I3135" s="109"/>
      <c r="J3135" s="8">
        <v>20</v>
      </c>
      <c r="K3135" s="39">
        <v>1.76</v>
      </c>
      <c r="L3135" s="39">
        <f>K3135*J3135</f>
        <v>35.200000000000003</v>
      </c>
      <c r="M3135" s="117" t="s">
        <v>349</v>
      </c>
      <c r="N3135" s="33">
        <v>45147</v>
      </c>
      <c r="O3135" s="32">
        <v>5437</v>
      </c>
      <c r="P3135" s="391">
        <f>ROUNDUP(S3135/V3135/VLOOKUP(B3135,$C$2:$F$6,3,FALSE),2)</f>
        <v>1.1399999999999999</v>
      </c>
      <c r="Q3135" s="358">
        <v>1.1399999999999999</v>
      </c>
      <c r="R3135" s="322">
        <f>Q3135*J3135</f>
        <v>22.799999999999997</v>
      </c>
      <c r="S3135" s="7">
        <v>95</v>
      </c>
      <c r="T3135" s="7">
        <f>S3135*J3135</f>
        <v>1900</v>
      </c>
      <c r="U3135" s="267"/>
      <c r="V3135" s="260">
        <v>120</v>
      </c>
      <c r="W3135" s="1136">
        <f>(((K3135*V3135)-S3135)/(K3135*V3135))</f>
        <v>0.55018939393939392</v>
      </c>
    </row>
    <row r="3136" spans="1:51" s="7" customFormat="1" ht="17.25" customHeight="1">
      <c r="B3136" s="12" t="s">
        <v>300</v>
      </c>
      <c r="C3136" s="6" t="s">
        <v>4490</v>
      </c>
      <c r="D3136" s="14" t="s">
        <v>2416</v>
      </c>
      <c r="E3136" s="22" t="s">
        <v>4492</v>
      </c>
      <c r="F3136" s="37"/>
      <c r="G3136" s="37" t="s">
        <v>183</v>
      </c>
      <c r="H3136" s="108"/>
      <c r="I3136" s="109"/>
      <c r="J3136" s="8">
        <v>20</v>
      </c>
      <c r="K3136" s="39">
        <v>3.26</v>
      </c>
      <c r="L3136" s="39">
        <f>K3136*J3136</f>
        <v>65.199999999999989</v>
      </c>
      <c r="M3136" s="117" t="s">
        <v>349</v>
      </c>
      <c r="N3136" s="33">
        <v>45147</v>
      </c>
      <c r="O3136" s="32">
        <v>5437</v>
      </c>
      <c r="P3136" s="391">
        <f>ROUNDUP(S3136/V3136/VLOOKUP(B3136,$C$2:$F$6,3,FALSE),2)</f>
        <v>2.0999999999999996</v>
      </c>
      <c r="Q3136" s="358">
        <v>2.1</v>
      </c>
      <c r="R3136" s="322">
        <f>Q3136*J3136</f>
        <v>42</v>
      </c>
      <c r="S3136" s="7">
        <v>176</v>
      </c>
      <c r="T3136" s="7">
        <f>S3136*J3136</f>
        <v>3520</v>
      </c>
      <c r="U3136" s="267"/>
      <c r="V3136" s="260">
        <v>120</v>
      </c>
      <c r="W3136" s="1136">
        <f>(((K3136*V3136)-S3136)/(K3136*V3136))</f>
        <v>0.55010224948875253</v>
      </c>
    </row>
    <row r="3137" spans="1:24" s="7" customFormat="1" ht="17.25" customHeight="1">
      <c r="B3137" s="12" t="s">
        <v>300</v>
      </c>
      <c r="C3137" s="6" t="s">
        <v>4490</v>
      </c>
      <c r="D3137" s="14" t="s">
        <v>2416</v>
      </c>
      <c r="E3137" s="22" t="s">
        <v>4493</v>
      </c>
      <c r="F3137" s="37"/>
      <c r="G3137" s="37" t="s">
        <v>183</v>
      </c>
      <c r="H3137" s="108"/>
      <c r="I3137" s="109"/>
      <c r="J3137" s="8">
        <v>20</v>
      </c>
      <c r="K3137" s="39">
        <v>1.28</v>
      </c>
      <c r="L3137" s="39">
        <f>K3137*J3137</f>
        <v>25.6</v>
      </c>
      <c r="M3137" s="117" t="s">
        <v>349</v>
      </c>
      <c r="N3137" s="33">
        <v>45147</v>
      </c>
      <c r="O3137" s="32">
        <v>5437</v>
      </c>
      <c r="P3137" s="391">
        <f>ROUNDUP(S3137/V3137/VLOOKUP(B3137,$C$2:$F$6,3,FALSE),2)</f>
        <v>0.83</v>
      </c>
      <c r="Q3137" s="358">
        <v>0.83</v>
      </c>
      <c r="R3137" s="322">
        <f>Q3137*J3137</f>
        <v>16.599999999999998</v>
      </c>
      <c r="S3137" s="7">
        <v>69</v>
      </c>
      <c r="T3137" s="7">
        <f>S3137*J3137</f>
        <v>1380</v>
      </c>
      <c r="U3137" s="267"/>
      <c r="V3137" s="260">
        <v>120</v>
      </c>
      <c r="W3137" s="1136">
        <f>(((K3137*V3137)-S3137)/(K3137*V3137))</f>
        <v>0.55078125</v>
      </c>
    </row>
    <row r="3138" spans="1:24" s="7" customFormat="1" ht="15">
      <c r="B3138" s="12"/>
      <c r="C3138" s="6" t="s">
        <v>4490</v>
      </c>
      <c r="D3138" s="14" t="s">
        <v>2416</v>
      </c>
      <c r="E3138" s="49"/>
      <c r="F3138" s="102"/>
      <c r="G3138" s="22" t="s">
        <v>316</v>
      </c>
      <c r="H3138" s="38"/>
      <c r="I3138" s="35"/>
      <c r="J3138" s="38">
        <v>1</v>
      </c>
      <c r="K3138" s="39">
        <v>12</v>
      </c>
      <c r="L3138" s="39">
        <f>K3138*J3138</f>
        <v>12</v>
      </c>
      <c r="M3138" s="91"/>
      <c r="N3138" s="33">
        <v>45147</v>
      </c>
      <c r="O3138" s="32">
        <v>5437</v>
      </c>
      <c r="P3138" s="722"/>
      <c r="Q3138" s="322">
        <v>12</v>
      </c>
      <c r="R3138" s="322">
        <f>Q3138*J3138</f>
        <v>12</v>
      </c>
      <c r="S3138" s="7">
        <v>0</v>
      </c>
      <c r="T3138" s="7">
        <f>S3138*J3138</f>
        <v>0</v>
      </c>
      <c r="U3138" s="21"/>
      <c r="V3138" s="260">
        <v>120</v>
      </c>
    </row>
    <row r="3139" spans="1:24" s="191" customFormat="1" ht="18" customHeight="1">
      <c r="B3139" s="190"/>
      <c r="C3139" s="179" t="s">
        <v>4490</v>
      </c>
      <c r="D3139" s="180" t="s">
        <v>2416</v>
      </c>
      <c r="E3139" s="217"/>
      <c r="F3139" s="182"/>
      <c r="G3139" s="182" t="s">
        <v>250</v>
      </c>
      <c r="H3139" s="184" t="s">
        <v>251</v>
      </c>
      <c r="I3139" s="185"/>
      <c r="J3139" s="183"/>
      <c r="K3139" s="192">
        <v>0</v>
      </c>
      <c r="L3139" s="187"/>
      <c r="M3139" s="187"/>
      <c r="N3139" s="187">
        <v>45147</v>
      </c>
      <c r="O3139" s="186">
        <v>5437</v>
      </c>
      <c r="P3139" s="179"/>
      <c r="Q3139" s="255">
        <v>0</v>
      </c>
      <c r="R3139" s="322">
        <v>0</v>
      </c>
      <c r="S3139" s="275">
        <v>0</v>
      </c>
      <c r="T3139" s="198">
        <v>0</v>
      </c>
      <c r="U3139" s="271"/>
      <c r="V3139" s="260">
        <v>120</v>
      </c>
    </row>
    <row r="3140" spans="1:24" s="7" customFormat="1" ht="18" customHeight="1">
      <c r="B3140" s="12"/>
      <c r="C3140" s="6" t="s">
        <v>4495</v>
      </c>
      <c r="D3140" s="14" t="s">
        <v>4424</v>
      </c>
      <c r="E3140" s="19" t="s">
        <v>4458</v>
      </c>
      <c r="F3140" s="37"/>
      <c r="G3140" s="37"/>
      <c r="H3140" s="108"/>
      <c r="I3140" s="108"/>
      <c r="J3140" s="108"/>
      <c r="K3140" s="110" t="s">
        <v>101</v>
      </c>
      <c r="L3140" s="139"/>
      <c r="M3140" s="33"/>
      <c r="N3140" s="33">
        <v>45156</v>
      </c>
      <c r="O3140" s="32">
        <v>5455</v>
      </c>
      <c r="P3140" s="6"/>
      <c r="Q3140" s="339"/>
      <c r="U3140" s="21"/>
      <c r="V3140" s="257"/>
    </row>
    <row r="3141" spans="1:24" s="7" customFormat="1" ht="17.25" customHeight="1">
      <c r="B3141" s="12" t="s">
        <v>300</v>
      </c>
      <c r="C3141" s="6" t="s">
        <v>4495</v>
      </c>
      <c r="D3141" s="14" t="s">
        <v>4424</v>
      </c>
      <c r="E3141" s="22" t="s">
        <v>4497</v>
      </c>
      <c r="F3141" s="37"/>
      <c r="G3141" s="37" t="s">
        <v>4496</v>
      </c>
      <c r="H3141" s="108">
        <v>13.7</v>
      </c>
      <c r="I3141" s="109">
        <v>1</v>
      </c>
      <c r="J3141" s="131">
        <f>H3141*I3141</f>
        <v>13.7</v>
      </c>
      <c r="K3141" s="39">
        <v>2.78</v>
      </c>
      <c r="L3141" s="39">
        <f>K3141*J3141</f>
        <v>38.085999999999999</v>
      </c>
      <c r="M3141" s="117" t="s">
        <v>349</v>
      </c>
      <c r="N3141" s="33">
        <v>45156</v>
      </c>
      <c r="O3141" s="32">
        <v>5455</v>
      </c>
      <c r="P3141" s="391">
        <f>ROUNDUP(S3141/V3141/VLOOKUP(B3141,$C$2:$F$6,3,FALSE),2)</f>
        <v>1.79</v>
      </c>
      <c r="Q3141" s="358">
        <v>1.79</v>
      </c>
      <c r="R3141" s="322">
        <f>Q3141*J3141</f>
        <v>24.523</v>
      </c>
      <c r="S3141" s="7">
        <v>150</v>
      </c>
      <c r="T3141" s="7">
        <f>S3141*J3141</f>
        <v>2055</v>
      </c>
      <c r="U3141" s="267"/>
      <c r="V3141" s="260">
        <v>120</v>
      </c>
      <c r="W3141" s="1136">
        <f>(((K3141*V3141)-S3141)/(K3141*V3141))</f>
        <v>0.55035971223021574</v>
      </c>
    </row>
    <row r="3142" spans="1:24" s="7" customFormat="1" ht="18" customHeight="1">
      <c r="B3142" s="12"/>
      <c r="C3142" s="6" t="s">
        <v>4495</v>
      </c>
      <c r="D3142" s="14" t="s">
        <v>4424</v>
      </c>
      <c r="E3142" s="82"/>
      <c r="F3142" s="102"/>
      <c r="G3142" s="22" t="s">
        <v>316</v>
      </c>
      <c r="H3142" s="8"/>
      <c r="I3142" s="35"/>
      <c r="J3142" s="38">
        <v>1</v>
      </c>
      <c r="K3142" s="39">
        <v>12</v>
      </c>
      <c r="L3142" s="39">
        <f>K3142*J3142</f>
        <v>12</v>
      </c>
      <c r="M3142" s="91"/>
      <c r="N3142" s="33">
        <v>45156</v>
      </c>
      <c r="O3142" s="32">
        <v>5455</v>
      </c>
      <c r="P3142" s="6"/>
      <c r="Q3142" s="322">
        <v>12</v>
      </c>
      <c r="R3142" s="322">
        <f>Q3142*J3142</f>
        <v>12</v>
      </c>
      <c r="S3142" s="7">
        <v>900</v>
      </c>
      <c r="T3142" s="7">
        <f>S3142*J3142</f>
        <v>900</v>
      </c>
      <c r="U3142" s="21"/>
      <c r="V3142" s="260">
        <v>120</v>
      </c>
      <c r="W3142" s="1136">
        <f>(((K3142*V3142)-S3142)/(K3142*V3142))</f>
        <v>0.375</v>
      </c>
    </row>
    <row r="3143" spans="1:24" s="191" customFormat="1" ht="15">
      <c r="B3143" s="190"/>
      <c r="C3143" s="179" t="s">
        <v>4495</v>
      </c>
      <c r="D3143" s="180" t="s">
        <v>4424</v>
      </c>
      <c r="E3143" s="181"/>
      <c r="F3143" s="182"/>
      <c r="G3143" s="182" t="s">
        <v>2738</v>
      </c>
      <c r="H3143" s="184" t="s">
        <v>251</v>
      </c>
      <c r="I3143" s="185"/>
      <c r="J3143" s="183"/>
      <c r="K3143" s="192">
        <v>0</v>
      </c>
      <c r="L3143" s="187"/>
      <c r="M3143" s="187"/>
      <c r="N3143" s="187">
        <v>45156</v>
      </c>
      <c r="O3143" s="186">
        <v>5455</v>
      </c>
      <c r="P3143" s="179"/>
      <c r="Q3143" s="255">
        <v>0</v>
      </c>
      <c r="S3143" s="274">
        <v>0</v>
      </c>
      <c r="T3143" s="198">
        <v>0</v>
      </c>
      <c r="U3143" s="271"/>
      <c r="V3143" s="260">
        <v>120</v>
      </c>
    </row>
    <row r="3144" spans="1:24" s="7" customFormat="1" ht="18" customHeight="1">
      <c r="B3144" s="12"/>
      <c r="C3144" s="6" t="s">
        <v>4499</v>
      </c>
      <c r="D3144" s="14" t="s">
        <v>2034</v>
      </c>
      <c r="E3144" s="19" t="s">
        <v>10</v>
      </c>
      <c r="F3144" s="107"/>
      <c r="G3144" s="22"/>
      <c r="H3144" s="108"/>
      <c r="I3144" s="109"/>
      <c r="J3144" s="108"/>
      <c r="K3144" s="29" t="s">
        <v>5</v>
      </c>
      <c r="L3144" s="39"/>
      <c r="M3144" s="91"/>
      <c r="N3144" s="33">
        <v>45159</v>
      </c>
      <c r="O3144" s="32">
        <v>5452</v>
      </c>
      <c r="P3144" s="14"/>
      <c r="Q3144" s="322"/>
      <c r="U3144" s="14"/>
      <c r="V3144" s="260">
        <v>120</v>
      </c>
    </row>
    <row r="3145" spans="1:24" s="7" customFormat="1" ht="18" customHeight="1">
      <c r="B3145" s="12" t="s">
        <v>302</v>
      </c>
      <c r="C3145" s="6" t="s">
        <v>4499</v>
      </c>
      <c r="D3145" s="14" t="s">
        <v>2034</v>
      </c>
      <c r="E3145" s="22" t="s">
        <v>190</v>
      </c>
      <c r="F3145" s="107">
        <v>160</v>
      </c>
      <c r="G3145" s="396" t="s">
        <v>4498</v>
      </c>
      <c r="H3145" s="108">
        <v>50</v>
      </c>
      <c r="I3145" s="109">
        <v>2</v>
      </c>
      <c r="J3145" s="8">
        <f>I3145*H3145</f>
        <v>100</v>
      </c>
      <c r="K3145" s="39">
        <v>5.28</v>
      </c>
      <c r="L3145" s="39">
        <f>K3145*J3145</f>
        <v>528</v>
      </c>
      <c r="M3145" s="117" t="s">
        <v>322</v>
      </c>
      <c r="N3145" s="33">
        <v>45159</v>
      </c>
      <c r="O3145" s="32">
        <v>5452</v>
      </c>
      <c r="P3145" s="391">
        <f>ROUNDUP(S3145/V3145/VLOOKUP(B3145,$C$2:$F$6,3,FALSE),2)</f>
        <v>3.5999999999999996</v>
      </c>
      <c r="Q3145" s="322">
        <v>3.6</v>
      </c>
      <c r="R3145" s="322">
        <f>Q3145*J3145</f>
        <v>360</v>
      </c>
      <c r="S3145" s="7">
        <v>380</v>
      </c>
      <c r="T3145" s="7">
        <f>S3145*J3145</f>
        <v>38000</v>
      </c>
      <c r="U3145" s="21"/>
      <c r="V3145" s="260">
        <v>120</v>
      </c>
      <c r="W3145" s="1136">
        <f>(((K3145*V3145)-S3145)/(K3145*V3145))</f>
        <v>0.40025252525252525</v>
      </c>
    </row>
    <row r="3146" spans="1:24" s="7" customFormat="1" ht="18" customHeight="1">
      <c r="B3146" s="12"/>
      <c r="C3146" s="6" t="s">
        <v>4499</v>
      </c>
      <c r="D3146" s="14" t="s">
        <v>2034</v>
      </c>
      <c r="E3146" s="22"/>
      <c r="F3146" s="102"/>
      <c r="G3146" s="22" t="s">
        <v>316</v>
      </c>
      <c r="H3146" s="8"/>
      <c r="I3146" s="35"/>
      <c r="J3146" s="38">
        <v>1</v>
      </c>
      <c r="K3146" s="39">
        <v>20</v>
      </c>
      <c r="L3146" s="39">
        <f>K3146*J3146</f>
        <v>20</v>
      </c>
      <c r="M3146" s="91"/>
      <c r="N3146" s="33">
        <v>45159</v>
      </c>
      <c r="O3146" s="32">
        <v>5452</v>
      </c>
      <c r="P3146" s="6"/>
      <c r="Q3146" s="322">
        <v>20</v>
      </c>
      <c r="R3146" s="322">
        <v>20</v>
      </c>
      <c r="S3146" s="7">
        <v>1800</v>
      </c>
      <c r="T3146" s="7">
        <f>S3146*J3146</f>
        <v>1800</v>
      </c>
      <c r="U3146" s="21"/>
      <c r="V3146" s="260">
        <v>120</v>
      </c>
    </row>
    <row r="3147" spans="1:24" s="191" customFormat="1" ht="18" customHeight="1">
      <c r="B3147" s="190"/>
      <c r="C3147" s="179" t="s">
        <v>4499</v>
      </c>
      <c r="D3147" s="180" t="s">
        <v>2034</v>
      </c>
      <c r="E3147" s="181"/>
      <c r="F3147" s="182"/>
      <c r="G3147" s="182" t="s">
        <v>250</v>
      </c>
      <c r="H3147" s="184" t="s">
        <v>252</v>
      </c>
      <c r="I3147" s="185"/>
      <c r="J3147" s="183"/>
      <c r="K3147" s="203">
        <v>109</v>
      </c>
      <c r="L3147" s="203">
        <v>109</v>
      </c>
      <c r="M3147" s="947"/>
      <c r="N3147" s="187">
        <v>45159</v>
      </c>
      <c r="O3147" s="186">
        <v>5452</v>
      </c>
      <c r="P3147" s="179"/>
      <c r="Q3147" s="203">
        <v>109</v>
      </c>
      <c r="R3147" s="203">
        <v>109</v>
      </c>
      <c r="S3147" s="7">
        <v>12524</v>
      </c>
      <c r="T3147" s="7">
        <v>12524</v>
      </c>
      <c r="U3147" s="335"/>
      <c r="V3147" s="260">
        <v>120</v>
      </c>
      <c r="X3147" s="218"/>
    </row>
    <row r="3148" spans="1:24" s="7" customFormat="1" ht="15" customHeight="1">
      <c r="A3148" s="1"/>
      <c r="B3148" s="12"/>
      <c r="C3148" s="6" t="s">
        <v>4501</v>
      </c>
      <c r="D3148" s="14" t="s">
        <v>1970</v>
      </c>
      <c r="E3148" s="19" t="s">
        <v>4500</v>
      </c>
      <c r="F3148" s="24"/>
      <c r="G3148" s="22"/>
      <c r="H3148" s="38"/>
      <c r="I3148" s="61"/>
      <c r="J3148" s="60"/>
      <c r="K3148" s="16" t="s">
        <v>5</v>
      </c>
      <c r="L3148" s="33"/>
      <c r="M3148" s="33"/>
      <c r="N3148" s="33">
        <v>45159</v>
      </c>
      <c r="O3148" s="32">
        <v>5461</v>
      </c>
      <c r="P3148" s="6"/>
      <c r="Q3148" s="253"/>
      <c r="S3148" s="325" t="s">
        <v>4502</v>
      </c>
      <c r="T3148" s="92"/>
      <c r="U3148" s="1181" t="s">
        <v>4503</v>
      </c>
      <c r="V3148" s="260">
        <v>120</v>
      </c>
    </row>
    <row r="3149" spans="1:24" s="7" customFormat="1" ht="15.75">
      <c r="A3149" s="1"/>
      <c r="B3149" s="12" t="s">
        <v>300</v>
      </c>
      <c r="C3149" s="6" t="s">
        <v>4501</v>
      </c>
      <c r="D3149" s="14" t="s">
        <v>1970</v>
      </c>
      <c r="E3149" s="22">
        <v>3705</v>
      </c>
      <c r="F3149" s="24">
        <v>6</v>
      </c>
      <c r="G3149" s="22" t="s">
        <v>79</v>
      </c>
      <c r="H3149" s="108">
        <v>30</v>
      </c>
      <c r="I3149" s="109">
        <v>2</v>
      </c>
      <c r="J3149" s="60">
        <f>H3149*I3149</f>
        <v>60</v>
      </c>
      <c r="K3149" s="39">
        <v>0.31</v>
      </c>
      <c r="L3149" s="39">
        <f>K3149*J3149</f>
        <v>18.600000000000001</v>
      </c>
      <c r="M3149" s="117" t="s">
        <v>323</v>
      </c>
      <c r="N3149" s="33">
        <v>45159</v>
      </c>
      <c r="O3149" s="32">
        <v>5461</v>
      </c>
      <c r="P3149" s="391">
        <f>ROUNDUP(S3149/V3149/VLOOKUP(B3149,$C$2:$F$6,3,FALSE),2)</f>
        <v>0.18000000000000002</v>
      </c>
      <c r="Q3149" s="253">
        <v>0.18</v>
      </c>
      <c r="R3149" s="323">
        <f>Q3149*J3149</f>
        <v>10.799999999999999</v>
      </c>
      <c r="S3149" s="257">
        <v>14.3</v>
      </c>
      <c r="T3149" s="287">
        <f>S3149*J3149</f>
        <v>858</v>
      </c>
      <c r="U3149" s="257">
        <v>16.63</v>
      </c>
      <c r="V3149" s="260">
        <v>120</v>
      </c>
      <c r="W3149" s="1136">
        <f>(((K3149*V3149)-S3149)/(K3149*V3149))</f>
        <v>0.61559139784946237</v>
      </c>
    </row>
    <row r="3150" spans="1:24" s="7" customFormat="1" ht="15.75">
      <c r="A3150" s="1"/>
      <c r="B3150" s="12" t="s">
        <v>300</v>
      </c>
      <c r="C3150" s="6" t="s">
        <v>4501</v>
      </c>
      <c r="D3150" s="14" t="s">
        <v>1970</v>
      </c>
      <c r="E3150" s="22">
        <v>3705</v>
      </c>
      <c r="F3150" s="24">
        <v>6</v>
      </c>
      <c r="G3150" s="22" t="s">
        <v>4504</v>
      </c>
      <c r="H3150" s="108">
        <v>30</v>
      </c>
      <c r="I3150" s="109">
        <v>2</v>
      </c>
      <c r="J3150" s="60">
        <f>H3150*I3150</f>
        <v>60</v>
      </c>
      <c r="K3150" s="39">
        <v>0.31</v>
      </c>
      <c r="L3150" s="39">
        <f>K3150*J3150</f>
        <v>18.600000000000001</v>
      </c>
      <c r="M3150" s="117" t="s">
        <v>323</v>
      </c>
      <c r="N3150" s="33">
        <v>45159</v>
      </c>
      <c r="O3150" s="32">
        <v>5461</v>
      </c>
      <c r="P3150" s="391">
        <f>ROUNDUP(S3150/V3150/VLOOKUP(B3150,$C$2:$F$6,3,FALSE),2)</f>
        <v>0.18000000000000002</v>
      </c>
      <c r="Q3150" s="253">
        <v>0.18</v>
      </c>
      <c r="R3150" s="323">
        <f>Q3150*J3150</f>
        <v>10.799999999999999</v>
      </c>
      <c r="S3150" s="257">
        <v>14.3</v>
      </c>
      <c r="T3150" s="287">
        <f>S3150*J3150</f>
        <v>858</v>
      </c>
      <c r="U3150" s="257">
        <v>16.63</v>
      </c>
      <c r="V3150" s="260">
        <v>120</v>
      </c>
      <c r="W3150" s="1136">
        <f>(((K3150*V3150)-S3150)/(K3150*V3150))</f>
        <v>0.61559139784946237</v>
      </c>
    </row>
    <row r="3151" spans="1:24" ht="15.95" customHeight="1">
      <c r="B3151" s="26" t="s">
        <v>306</v>
      </c>
      <c r="C3151" s="6" t="s">
        <v>4501</v>
      </c>
      <c r="D3151" s="14" t="s">
        <v>1970</v>
      </c>
      <c r="E3151" s="22"/>
      <c r="F3151" s="102"/>
      <c r="G3151" s="37" t="s">
        <v>316</v>
      </c>
      <c r="H3151" s="8"/>
      <c r="I3151" s="35"/>
      <c r="J3151" s="38">
        <v>1</v>
      </c>
      <c r="K3151" s="39">
        <v>12</v>
      </c>
      <c r="L3151" s="39">
        <f>K3151*J3151</f>
        <v>12</v>
      </c>
      <c r="M3151" s="91"/>
      <c r="N3151" s="33">
        <v>45159</v>
      </c>
      <c r="O3151" s="32">
        <v>5461</v>
      </c>
      <c r="P3151" s="39"/>
      <c r="Q3151" s="124">
        <v>12</v>
      </c>
      <c r="R3151" s="323">
        <f>Q3151*J3151</f>
        <v>12</v>
      </c>
      <c r="S3151" s="263">
        <v>0</v>
      </c>
      <c r="T3151" s="287">
        <f>S3151*J3151</f>
        <v>0</v>
      </c>
      <c r="U3151" s="270"/>
      <c r="V3151" s="260">
        <v>120</v>
      </c>
      <c r="W3151" s="1"/>
    </row>
    <row r="3152" spans="1:24" s="191" customFormat="1" ht="15" customHeight="1">
      <c r="A3152" s="1"/>
      <c r="B3152" s="190"/>
      <c r="C3152" s="179" t="s">
        <v>4501</v>
      </c>
      <c r="D3152" s="180" t="s">
        <v>1970</v>
      </c>
      <c r="E3152" s="181"/>
      <c r="F3152" s="182"/>
      <c r="G3152" s="182" t="s">
        <v>250</v>
      </c>
      <c r="H3152" s="184" t="s">
        <v>251</v>
      </c>
      <c r="I3152" s="185"/>
      <c r="J3152" s="183"/>
      <c r="K3152" s="192">
        <v>0</v>
      </c>
      <c r="L3152" s="187"/>
      <c r="M3152" s="187"/>
      <c r="N3152" s="187">
        <v>45159</v>
      </c>
      <c r="O3152" s="186">
        <v>5461</v>
      </c>
      <c r="P3152" s="179"/>
      <c r="Q3152" s="255">
        <v>0</v>
      </c>
      <c r="S3152" s="274">
        <v>0</v>
      </c>
      <c r="T3152" s="198">
        <v>0</v>
      </c>
      <c r="U3152" s="271"/>
      <c r="V3152" s="260">
        <v>120</v>
      </c>
    </row>
    <row r="3153" spans="1:23" customFormat="1" ht="18" customHeight="1">
      <c r="A3153" s="1"/>
      <c r="B3153" s="26"/>
      <c r="C3153" s="6" t="s">
        <v>4508</v>
      </c>
      <c r="D3153" s="14" t="s">
        <v>3202</v>
      </c>
      <c r="E3153" s="19" t="s">
        <v>59</v>
      </c>
      <c r="F3153" s="107"/>
      <c r="G3153" s="22"/>
      <c r="H3153" s="108"/>
      <c r="I3153" s="109"/>
      <c r="J3153" s="108"/>
      <c r="K3153" s="110" t="s">
        <v>5</v>
      </c>
      <c r="L3153" s="33"/>
      <c r="M3153" s="33"/>
      <c r="N3153" s="33">
        <v>45180</v>
      </c>
      <c r="O3153" s="32">
        <v>5502</v>
      </c>
      <c r="P3153" s="14"/>
      <c r="Q3153" s="254"/>
      <c r="R3153" s="1"/>
      <c r="S3153" s="261"/>
      <c r="T3153" s="92"/>
      <c r="U3153" s="264"/>
      <c r="V3153" s="260">
        <v>120</v>
      </c>
    </row>
    <row r="3154" spans="1:23" customFormat="1" ht="18" customHeight="1">
      <c r="A3154" s="1"/>
      <c r="B3154" s="12" t="s">
        <v>302</v>
      </c>
      <c r="C3154" s="6" t="s">
        <v>4508</v>
      </c>
      <c r="D3154" s="14" t="s">
        <v>3202</v>
      </c>
      <c r="E3154" s="22">
        <v>5521</v>
      </c>
      <c r="F3154" s="107">
        <v>148</v>
      </c>
      <c r="G3154" s="22" t="s">
        <v>212</v>
      </c>
      <c r="H3154" s="60">
        <v>51</v>
      </c>
      <c r="I3154" s="61">
        <v>1</v>
      </c>
      <c r="J3154" s="60">
        <f t="shared" ref="J3154:J3160" si="215">H3154*I3154</f>
        <v>51</v>
      </c>
      <c r="K3154" s="39">
        <v>6.15</v>
      </c>
      <c r="L3154" s="39">
        <f t="shared" ref="L3154:L3161" si="216">K3154*J3154</f>
        <v>313.65000000000003</v>
      </c>
      <c r="M3154" s="117" t="s">
        <v>323</v>
      </c>
      <c r="N3154" s="33">
        <v>45180</v>
      </c>
      <c r="O3154" s="32">
        <v>5502</v>
      </c>
      <c r="P3154" s="391">
        <f t="shared" ref="P3154:P3160" si="217">ROUNDUP(S3154/V3154/VLOOKUP(B3154,$C$2:$F$6,3,FALSE),2)</f>
        <v>5.59</v>
      </c>
      <c r="Q3154" s="254">
        <v>5.59</v>
      </c>
      <c r="R3154" s="323">
        <f t="shared" ref="R3154:R3161" si="218">Q3154*J3154</f>
        <v>285.08999999999997</v>
      </c>
      <c r="S3154" s="273">
        <v>590</v>
      </c>
      <c r="T3154" s="287">
        <f t="shared" ref="T3154:T3160" si="219">S3154*J3154</f>
        <v>30090</v>
      </c>
      <c r="U3154" s="264"/>
      <c r="V3154" s="260">
        <v>120</v>
      </c>
      <c r="W3154" s="1136">
        <f t="shared" ref="W3154:W3160" si="220">(((K3154*V3154)-S3154)/(K3154*V3154))</f>
        <v>0.20054200542005421</v>
      </c>
    </row>
    <row r="3155" spans="1:23" customFormat="1" ht="18" customHeight="1">
      <c r="A3155" s="1"/>
      <c r="B3155" s="12" t="s">
        <v>302</v>
      </c>
      <c r="C3155" s="6" t="s">
        <v>4508</v>
      </c>
      <c r="D3155" s="14" t="s">
        <v>3202</v>
      </c>
      <c r="E3155" s="22">
        <v>5521</v>
      </c>
      <c r="F3155" s="107">
        <v>148</v>
      </c>
      <c r="G3155" s="22" t="s">
        <v>212</v>
      </c>
      <c r="H3155" s="60">
        <v>57</v>
      </c>
      <c r="I3155" s="61">
        <v>1</v>
      </c>
      <c r="J3155" s="60">
        <f t="shared" si="215"/>
        <v>57</v>
      </c>
      <c r="K3155" s="39">
        <v>6.15</v>
      </c>
      <c r="L3155" s="39">
        <f t="shared" si="216"/>
        <v>350.55</v>
      </c>
      <c r="M3155" s="117" t="s">
        <v>323</v>
      </c>
      <c r="N3155" s="33">
        <v>45180</v>
      </c>
      <c r="O3155" s="32">
        <v>5502</v>
      </c>
      <c r="P3155" s="391">
        <f t="shared" si="217"/>
        <v>5.59</v>
      </c>
      <c r="Q3155" s="254">
        <v>5.59</v>
      </c>
      <c r="R3155" s="323">
        <f t="shared" si="218"/>
        <v>318.63</v>
      </c>
      <c r="S3155" s="273">
        <v>590</v>
      </c>
      <c r="T3155" s="287">
        <f t="shared" si="219"/>
        <v>33630</v>
      </c>
      <c r="U3155" s="264"/>
      <c r="V3155" s="260">
        <v>120</v>
      </c>
      <c r="W3155" s="1136">
        <f t="shared" si="220"/>
        <v>0.20054200542005421</v>
      </c>
    </row>
    <row r="3156" spans="1:23" customFormat="1" ht="18" customHeight="1">
      <c r="A3156" s="1"/>
      <c r="B3156" s="12" t="s">
        <v>302</v>
      </c>
      <c r="C3156" s="6" t="s">
        <v>4508</v>
      </c>
      <c r="D3156" s="14" t="s">
        <v>3202</v>
      </c>
      <c r="E3156" s="22">
        <v>5521</v>
      </c>
      <c r="F3156" s="107">
        <v>148</v>
      </c>
      <c r="G3156" s="22" t="s">
        <v>212</v>
      </c>
      <c r="H3156" s="60">
        <v>58</v>
      </c>
      <c r="I3156" s="61">
        <v>3</v>
      </c>
      <c r="J3156" s="60">
        <f t="shared" si="215"/>
        <v>174</v>
      </c>
      <c r="K3156" s="39">
        <v>6.15</v>
      </c>
      <c r="L3156" s="39">
        <f t="shared" si="216"/>
        <v>1070.1000000000001</v>
      </c>
      <c r="M3156" s="117" t="s">
        <v>323</v>
      </c>
      <c r="N3156" s="33">
        <v>45180</v>
      </c>
      <c r="O3156" s="32">
        <v>5502</v>
      </c>
      <c r="P3156" s="391">
        <f t="shared" si="217"/>
        <v>5.59</v>
      </c>
      <c r="Q3156" s="254">
        <v>5.59</v>
      </c>
      <c r="R3156" s="323">
        <f t="shared" si="218"/>
        <v>972.66</v>
      </c>
      <c r="S3156" s="273">
        <v>590</v>
      </c>
      <c r="T3156" s="287">
        <f t="shared" si="219"/>
        <v>102660</v>
      </c>
      <c r="U3156" s="264"/>
      <c r="V3156" s="260">
        <v>120</v>
      </c>
      <c r="W3156" s="1136">
        <f t="shared" si="220"/>
        <v>0.20054200542005421</v>
      </c>
    </row>
    <row r="3157" spans="1:23" customFormat="1" ht="18" customHeight="1">
      <c r="A3157" s="1"/>
      <c r="B3157" s="12" t="s">
        <v>302</v>
      </c>
      <c r="C3157" s="6" t="s">
        <v>4508</v>
      </c>
      <c r="D3157" s="14" t="s">
        <v>3202</v>
      </c>
      <c r="E3157" s="22">
        <v>5521</v>
      </c>
      <c r="F3157" s="107">
        <v>148</v>
      </c>
      <c r="G3157" s="22" t="s">
        <v>212</v>
      </c>
      <c r="H3157" s="60">
        <v>59</v>
      </c>
      <c r="I3157" s="61">
        <v>1</v>
      </c>
      <c r="J3157" s="60">
        <f t="shared" si="215"/>
        <v>59</v>
      </c>
      <c r="K3157" s="39">
        <v>6.15</v>
      </c>
      <c r="L3157" s="39">
        <f t="shared" si="216"/>
        <v>362.85</v>
      </c>
      <c r="M3157" s="117" t="s">
        <v>323</v>
      </c>
      <c r="N3157" s="33">
        <v>45180</v>
      </c>
      <c r="O3157" s="32">
        <v>5502</v>
      </c>
      <c r="P3157" s="391">
        <f t="shared" si="217"/>
        <v>5.59</v>
      </c>
      <c r="Q3157" s="254">
        <v>5.59</v>
      </c>
      <c r="R3157" s="323">
        <f t="shared" si="218"/>
        <v>329.81</v>
      </c>
      <c r="S3157" s="273">
        <v>590</v>
      </c>
      <c r="T3157" s="287">
        <f t="shared" si="219"/>
        <v>34810</v>
      </c>
      <c r="U3157" s="264"/>
      <c r="V3157" s="260">
        <v>120</v>
      </c>
      <c r="W3157" s="1136">
        <f t="shared" si="220"/>
        <v>0.20054200542005421</v>
      </c>
    </row>
    <row r="3158" spans="1:23" customFormat="1" ht="18" customHeight="1">
      <c r="A3158" s="1"/>
      <c r="B3158" s="12" t="s">
        <v>302</v>
      </c>
      <c r="C3158" s="6" t="s">
        <v>4508</v>
      </c>
      <c r="D3158" s="14" t="s">
        <v>3202</v>
      </c>
      <c r="E3158" s="22">
        <v>5521</v>
      </c>
      <c r="F3158" s="107">
        <v>148</v>
      </c>
      <c r="G3158" s="22" t="s">
        <v>212</v>
      </c>
      <c r="H3158" s="60">
        <v>62</v>
      </c>
      <c r="I3158" s="61">
        <v>1</v>
      </c>
      <c r="J3158" s="60">
        <f t="shared" si="215"/>
        <v>62</v>
      </c>
      <c r="K3158" s="39">
        <v>6.15</v>
      </c>
      <c r="L3158" s="39">
        <f t="shared" si="216"/>
        <v>381.3</v>
      </c>
      <c r="M3158" s="117" t="s">
        <v>323</v>
      </c>
      <c r="N3158" s="33">
        <v>45180</v>
      </c>
      <c r="O3158" s="32">
        <v>5502</v>
      </c>
      <c r="P3158" s="391">
        <f t="shared" si="217"/>
        <v>5.59</v>
      </c>
      <c r="Q3158" s="254">
        <v>5.59</v>
      </c>
      <c r="R3158" s="323">
        <f t="shared" si="218"/>
        <v>346.58</v>
      </c>
      <c r="S3158" s="273">
        <v>590</v>
      </c>
      <c r="T3158" s="287">
        <f t="shared" si="219"/>
        <v>36580</v>
      </c>
      <c r="U3158" s="264"/>
      <c r="V3158" s="260">
        <v>120</v>
      </c>
      <c r="W3158" s="1136">
        <f t="shared" si="220"/>
        <v>0.20054200542005421</v>
      </c>
    </row>
    <row r="3159" spans="1:23" s="7" customFormat="1" ht="18" customHeight="1">
      <c r="B3159" s="12"/>
      <c r="C3159" s="6" t="s">
        <v>4508</v>
      </c>
      <c r="D3159" s="14" t="s">
        <v>3202</v>
      </c>
      <c r="E3159" s="159"/>
      <c r="F3159" s="37"/>
      <c r="G3159" s="22" t="s">
        <v>363</v>
      </c>
      <c r="H3159" s="8"/>
      <c r="I3159" s="109" ph="1"/>
      <c r="J3159" s="38">
        <v>1</v>
      </c>
      <c r="K3159" s="39">
        <v>20</v>
      </c>
      <c r="L3159" s="39">
        <f>K3159*J3159</f>
        <v>20</v>
      </c>
      <c r="M3159" s="91"/>
      <c r="N3159" s="33">
        <v>45180</v>
      </c>
      <c r="O3159" s="32">
        <v>5502</v>
      </c>
      <c r="P3159" s="6"/>
      <c r="Q3159" s="322">
        <v>20</v>
      </c>
      <c r="R3159" s="322">
        <f>Q3159*J3159</f>
        <v>20</v>
      </c>
      <c r="S3159" s="7">
        <v>1800</v>
      </c>
      <c r="T3159" s="7">
        <v>1800</v>
      </c>
      <c r="U3159" s="21"/>
      <c r="V3159" s="260">
        <v>120</v>
      </c>
    </row>
    <row r="3160" spans="1:23" customFormat="1" ht="18" customHeight="1">
      <c r="A3160" s="1"/>
      <c r="B3160" s="12" t="s">
        <v>302</v>
      </c>
      <c r="C3160" s="6" t="s">
        <v>4508</v>
      </c>
      <c r="D3160" s="14" t="s">
        <v>3202</v>
      </c>
      <c r="E3160" s="22">
        <v>5521</v>
      </c>
      <c r="F3160" s="107">
        <v>148</v>
      </c>
      <c r="G3160" s="22" t="s">
        <v>212</v>
      </c>
      <c r="H3160" s="60">
        <v>58</v>
      </c>
      <c r="I3160" s="61">
        <v>2</v>
      </c>
      <c r="J3160" s="60">
        <f t="shared" si="215"/>
        <v>116</v>
      </c>
      <c r="K3160" s="39">
        <v>6.15</v>
      </c>
      <c r="L3160" s="39">
        <f t="shared" si="216"/>
        <v>713.40000000000009</v>
      </c>
      <c r="M3160" s="117" t="s">
        <v>323</v>
      </c>
      <c r="N3160" s="33">
        <v>45180</v>
      </c>
      <c r="O3160" s="32">
        <v>5502</v>
      </c>
      <c r="P3160" s="391">
        <f t="shared" si="217"/>
        <v>5.59</v>
      </c>
      <c r="Q3160" s="254">
        <v>5.59</v>
      </c>
      <c r="R3160" s="323">
        <f t="shared" si="218"/>
        <v>648.43999999999994</v>
      </c>
      <c r="S3160" s="273">
        <v>590</v>
      </c>
      <c r="T3160" s="287">
        <f t="shared" si="219"/>
        <v>68440</v>
      </c>
      <c r="U3160" s="264"/>
      <c r="V3160" s="260">
        <v>120</v>
      </c>
      <c r="W3160" s="1136">
        <f t="shared" si="220"/>
        <v>0.20054200542005421</v>
      </c>
    </row>
    <row r="3161" spans="1:23" s="7" customFormat="1" ht="18" customHeight="1">
      <c r="B3161" s="12"/>
      <c r="C3161" s="6" t="s">
        <v>4508</v>
      </c>
      <c r="D3161" s="14" t="s">
        <v>3202</v>
      </c>
      <c r="E3161" s="159"/>
      <c r="F3161" s="37"/>
      <c r="G3161" s="22" t="s">
        <v>363</v>
      </c>
      <c r="H3161" s="8"/>
      <c r="I3161" s="109" ph="1"/>
      <c r="J3161" s="38">
        <v>1</v>
      </c>
      <c r="K3161" s="39">
        <v>20</v>
      </c>
      <c r="L3161" s="39">
        <f t="shared" si="216"/>
        <v>20</v>
      </c>
      <c r="M3161" s="91"/>
      <c r="N3161" s="33">
        <v>45180</v>
      </c>
      <c r="O3161" s="32">
        <v>5502</v>
      </c>
      <c r="P3161" s="6"/>
      <c r="Q3161" s="322">
        <v>20</v>
      </c>
      <c r="R3161" s="322">
        <f t="shared" si="218"/>
        <v>20</v>
      </c>
      <c r="S3161" s="7">
        <v>1800</v>
      </c>
      <c r="T3161" s="7">
        <v>1800</v>
      </c>
      <c r="U3161" s="21"/>
      <c r="V3161" s="260">
        <v>120</v>
      </c>
    </row>
    <row r="3162" spans="1:23" s="191" customFormat="1" ht="18" customHeight="1">
      <c r="B3162" s="190"/>
      <c r="C3162" s="179" t="s">
        <v>4508</v>
      </c>
      <c r="D3162" s="180" t="s">
        <v>2194</v>
      </c>
      <c r="E3162" s="217"/>
      <c r="F3162" s="182"/>
      <c r="G3162" s="182" t="s">
        <v>250</v>
      </c>
      <c r="H3162" s="184" t="s">
        <v>251</v>
      </c>
      <c r="I3162" s="185"/>
      <c r="J3162" s="183"/>
      <c r="K3162" s="192">
        <v>424</v>
      </c>
      <c r="L3162" s="192">
        <v>424</v>
      </c>
      <c r="M3162" s="187"/>
      <c r="N3162" s="187">
        <v>45180</v>
      </c>
      <c r="O3162" s="186">
        <v>5502</v>
      </c>
      <c r="P3162" s="179"/>
      <c r="Q3162" s="192">
        <v>424</v>
      </c>
      <c r="R3162" s="192">
        <v>424</v>
      </c>
      <c r="S3162" s="7">
        <v>48720</v>
      </c>
      <c r="T3162" s="7">
        <v>48720</v>
      </c>
      <c r="U3162" s="335"/>
      <c r="V3162" s="260">
        <v>120</v>
      </c>
    </row>
    <row r="3163" spans="1:23" s="7" customFormat="1" ht="18" customHeight="1">
      <c r="B3163" s="12"/>
      <c r="C3163" s="6" t="s">
        <v>4509</v>
      </c>
      <c r="D3163" s="14" t="s">
        <v>2194</v>
      </c>
      <c r="E3163" s="19" t="s">
        <v>10</v>
      </c>
      <c r="F3163" s="107"/>
      <c r="G3163" s="22"/>
      <c r="H3163" s="108"/>
      <c r="I3163" s="109"/>
      <c r="J3163" s="108"/>
      <c r="K3163" s="110" t="s">
        <v>5</v>
      </c>
      <c r="L3163" s="139"/>
      <c r="M3163" s="33"/>
      <c r="N3163" s="33">
        <v>45167</v>
      </c>
      <c r="O3163" s="32">
        <v>5467</v>
      </c>
      <c r="P3163" s="14"/>
      <c r="Q3163" s="322"/>
      <c r="U3163" s="14"/>
      <c r="V3163" s="260">
        <v>120</v>
      </c>
    </row>
    <row r="3164" spans="1:23" s="7" customFormat="1" ht="18" customHeight="1">
      <c r="B3164" s="12" t="s">
        <v>302</v>
      </c>
      <c r="C3164" s="6" t="s">
        <v>4509</v>
      </c>
      <c r="D3164" s="14" t="s">
        <v>2194</v>
      </c>
      <c r="E3164" s="22" t="s">
        <v>206</v>
      </c>
      <c r="F3164" s="107">
        <v>162</v>
      </c>
      <c r="G3164" s="22" t="s">
        <v>2195</v>
      </c>
      <c r="H3164" s="108">
        <v>50</v>
      </c>
      <c r="I3164" s="109">
        <v>20</v>
      </c>
      <c r="J3164" s="8">
        <f>H3164*I3164</f>
        <v>1000</v>
      </c>
      <c r="K3164" s="39">
        <v>3.65</v>
      </c>
      <c r="L3164" s="39">
        <f>K3164*J3164</f>
        <v>3650</v>
      </c>
      <c r="M3164" s="117" t="s">
        <v>322</v>
      </c>
      <c r="N3164" s="33">
        <v>45167</v>
      </c>
      <c r="O3164" s="32">
        <v>5467</v>
      </c>
      <c r="P3164" s="391">
        <f>ROUNDUP(S3164/V3164/VLOOKUP(B3164,$C$2:$F$6,3,FALSE),2)</f>
        <v>3.32</v>
      </c>
      <c r="Q3164" s="322">
        <v>3.32</v>
      </c>
      <c r="R3164" s="322">
        <f>Q3164*J3164</f>
        <v>3320</v>
      </c>
      <c r="S3164" s="7">
        <v>350</v>
      </c>
      <c r="T3164" s="7">
        <f>S3164*J3164</f>
        <v>350000</v>
      </c>
      <c r="U3164" s="21"/>
      <c r="V3164" s="260">
        <v>120</v>
      </c>
      <c r="W3164" s="1136">
        <f>(((K3164*V3164)-S3164)/(K3164*V3164))</f>
        <v>0.20091324200913241</v>
      </c>
    </row>
    <row r="3165" spans="1:23" s="7" customFormat="1" ht="18" customHeight="1">
      <c r="B3165" s="12"/>
      <c r="C3165" s="6" t="s">
        <v>4509</v>
      </c>
      <c r="D3165" s="14" t="s">
        <v>2194</v>
      </c>
      <c r="E3165" s="159"/>
      <c r="F3165" s="37"/>
      <c r="G3165" s="22" t="s">
        <v>363</v>
      </c>
      <c r="H3165" s="8"/>
      <c r="I3165" s="109" ph="1"/>
      <c r="J3165" s="38">
        <v>1</v>
      </c>
      <c r="K3165" s="39">
        <v>20</v>
      </c>
      <c r="L3165" s="39">
        <f>K3165*J3165</f>
        <v>20</v>
      </c>
      <c r="M3165" s="91"/>
      <c r="N3165" s="33">
        <v>45167</v>
      </c>
      <c r="O3165" s="32">
        <v>5467</v>
      </c>
      <c r="P3165" s="6"/>
      <c r="Q3165" s="322">
        <v>20</v>
      </c>
      <c r="R3165" s="322">
        <f>Q3165*J3165</f>
        <v>20</v>
      </c>
      <c r="S3165" s="7">
        <v>1800</v>
      </c>
      <c r="T3165" s="7">
        <v>1800</v>
      </c>
      <c r="U3165" s="21"/>
      <c r="V3165" s="260">
        <v>120</v>
      </c>
    </row>
    <row r="3166" spans="1:23" s="191" customFormat="1" ht="18" customHeight="1">
      <c r="B3166" s="190"/>
      <c r="C3166" s="179" t="s">
        <v>4509</v>
      </c>
      <c r="D3166" s="180" t="s">
        <v>2194</v>
      </c>
      <c r="E3166" s="217"/>
      <c r="F3166" s="182"/>
      <c r="G3166" s="182" t="s">
        <v>250</v>
      </c>
      <c r="H3166" s="184" t="s">
        <v>251</v>
      </c>
      <c r="I3166" s="185"/>
      <c r="J3166" s="183"/>
      <c r="K3166" s="192">
        <v>0</v>
      </c>
      <c r="L3166" s="192">
        <v>0</v>
      </c>
      <c r="M3166" s="187"/>
      <c r="N3166" s="187">
        <v>45167</v>
      </c>
      <c r="O3166" s="186">
        <v>5467</v>
      </c>
      <c r="P3166" s="179"/>
      <c r="Q3166" s="334">
        <v>0</v>
      </c>
      <c r="R3166" s="334">
        <v>0</v>
      </c>
      <c r="S3166" s="197">
        <v>0</v>
      </c>
      <c r="T3166" s="197">
        <v>0</v>
      </c>
      <c r="U3166" s="335"/>
      <c r="V3166" s="260">
        <v>120</v>
      </c>
    </row>
    <row r="3167" spans="1:23" s="7" customFormat="1" ht="15">
      <c r="B3167" s="12"/>
      <c r="C3167" s="6" t="s">
        <v>4507</v>
      </c>
      <c r="D3167" s="14" t="s">
        <v>2416</v>
      </c>
      <c r="E3167" s="19" t="s">
        <v>4214</v>
      </c>
      <c r="F3167" s="24"/>
      <c r="G3167" s="22"/>
      <c r="H3167" s="8"/>
      <c r="I3167" s="35"/>
      <c r="J3167" s="8"/>
      <c r="K3167" s="110" t="s">
        <v>5</v>
      </c>
      <c r="L3167" s="139"/>
      <c r="M3167" s="33"/>
      <c r="N3167" s="33">
        <v>45169</v>
      </c>
      <c r="O3167" s="32">
        <v>5466</v>
      </c>
      <c r="P3167" s="6" t="s">
        <v>8</v>
      </c>
      <c r="Q3167" s="358"/>
      <c r="U3167" s="120"/>
      <c r="V3167" s="260">
        <v>120</v>
      </c>
    </row>
    <row r="3168" spans="1:23" s="7" customFormat="1" ht="18" customHeight="1">
      <c r="B3168" s="12" t="s">
        <v>300</v>
      </c>
      <c r="C3168" s="6" t="s">
        <v>4507</v>
      </c>
      <c r="D3168" s="14" t="s">
        <v>2416</v>
      </c>
      <c r="E3168" s="22" t="s">
        <v>4215</v>
      </c>
      <c r="F3168" s="37" t="s">
        <v>359</v>
      </c>
      <c r="G3168" s="396" t="s">
        <v>4208</v>
      </c>
      <c r="H3168" s="8">
        <v>50</v>
      </c>
      <c r="I3168" s="35">
        <v>43</v>
      </c>
      <c r="J3168" s="108">
        <f>H3168*I3168</f>
        <v>2150</v>
      </c>
      <c r="K3168" s="958">
        <v>0.35</v>
      </c>
      <c r="L3168" s="39">
        <f>K3168*J3168</f>
        <v>752.5</v>
      </c>
      <c r="M3168" s="117" t="s">
        <v>349</v>
      </c>
      <c r="N3168" s="33">
        <v>45169</v>
      </c>
      <c r="O3168" s="32">
        <v>5466</v>
      </c>
      <c r="P3168" s="391">
        <f t="shared" ref="P3168:P3173" si="221">ROUNDUP(S3168/V3168/VLOOKUP(B3168,$C$2:$F$6,3,FALSE),2)</f>
        <v>0.19</v>
      </c>
      <c r="Q3168" s="322">
        <v>0.19</v>
      </c>
      <c r="R3168" s="322">
        <f>Q3168*J3168</f>
        <v>408.5</v>
      </c>
      <c r="S3168" s="7">
        <v>15.6</v>
      </c>
      <c r="T3168" s="7">
        <f t="shared" ref="T3168:T3173" si="222">S3168*J3168</f>
        <v>33540</v>
      </c>
      <c r="U3168" s="39"/>
      <c r="V3168" s="260">
        <v>120</v>
      </c>
      <c r="W3168" s="1136">
        <f t="shared" ref="W3168:W3173" si="223">(((K3168*V3168)-S3168)/(K3168*V3168))</f>
        <v>0.62857142857142856</v>
      </c>
    </row>
    <row r="3169" spans="1:23" s="7" customFormat="1" ht="18" customHeight="1">
      <c r="B3169" s="12"/>
      <c r="C3169" s="6" t="s">
        <v>4507</v>
      </c>
      <c r="D3169" s="14" t="s">
        <v>2416</v>
      </c>
      <c r="E3169" s="159"/>
      <c r="F3169" s="37"/>
      <c r="G3169" s="22" t="s">
        <v>363</v>
      </c>
      <c r="H3169" s="8"/>
      <c r="I3169" s="109" ph="1"/>
      <c r="J3169" s="38">
        <v>1</v>
      </c>
      <c r="K3169" s="39">
        <v>12</v>
      </c>
      <c r="L3169" s="39">
        <f>K3169*J3169</f>
        <v>12</v>
      </c>
      <c r="M3169" s="91"/>
      <c r="N3169" s="33">
        <v>45169</v>
      </c>
      <c r="O3169" s="32">
        <v>5466</v>
      </c>
      <c r="P3169" s="6"/>
      <c r="Q3169" s="322">
        <v>12</v>
      </c>
      <c r="R3169" s="322">
        <f>Q3169*J3169</f>
        <v>12</v>
      </c>
      <c r="S3169" s="7">
        <v>1100</v>
      </c>
      <c r="T3169" s="7">
        <f t="shared" si="222"/>
        <v>1100</v>
      </c>
      <c r="U3169" s="21"/>
      <c r="V3169" s="260">
        <v>120</v>
      </c>
    </row>
    <row r="3170" spans="1:23" s="218" customFormat="1" ht="18" customHeight="1">
      <c r="A3170" s="7"/>
      <c r="B3170" s="189"/>
      <c r="C3170" s="179" t="s">
        <v>4507</v>
      </c>
      <c r="D3170" s="180" t="s">
        <v>2416</v>
      </c>
      <c r="E3170" s="217"/>
      <c r="F3170" s="182"/>
      <c r="G3170" s="182" t="s">
        <v>250</v>
      </c>
      <c r="H3170" s="184" t="s">
        <v>251</v>
      </c>
      <c r="I3170" s="185"/>
      <c r="J3170" s="183"/>
      <c r="K3170" s="192">
        <v>0</v>
      </c>
      <c r="L3170" s="946"/>
      <c r="M3170" s="947"/>
      <c r="N3170" s="187">
        <v>45169</v>
      </c>
      <c r="O3170" s="186">
        <v>5466</v>
      </c>
      <c r="P3170" s="179"/>
      <c r="Q3170" s="725">
        <v>0</v>
      </c>
      <c r="S3170" s="197">
        <v>0</v>
      </c>
      <c r="T3170" s="197">
        <v>0</v>
      </c>
      <c r="U3170" s="335"/>
      <c r="V3170" s="260">
        <v>120</v>
      </c>
    </row>
    <row r="3171" spans="1:23" s="7" customFormat="1" ht="18" customHeight="1">
      <c r="B3171" s="12" t="s">
        <v>300</v>
      </c>
      <c r="C3171" s="6" t="s">
        <v>4507</v>
      </c>
      <c r="D3171" s="14" t="s">
        <v>2416</v>
      </c>
      <c r="E3171" s="22" t="s">
        <v>4215</v>
      </c>
      <c r="F3171" s="37" t="s">
        <v>359</v>
      </c>
      <c r="G3171" s="396" t="s">
        <v>4218</v>
      </c>
      <c r="H3171" s="8">
        <v>50</v>
      </c>
      <c r="I3171" s="35">
        <v>30</v>
      </c>
      <c r="J3171" s="108">
        <f>H3171*I3171</f>
        <v>1500</v>
      </c>
      <c r="K3171" s="958">
        <v>0.45</v>
      </c>
      <c r="L3171" s="39">
        <f>K3171*J3171</f>
        <v>675</v>
      </c>
      <c r="M3171" s="117" t="s">
        <v>349</v>
      </c>
      <c r="N3171" s="1149">
        <v>45176</v>
      </c>
      <c r="O3171" s="32">
        <v>5475</v>
      </c>
      <c r="P3171" s="391">
        <f t="shared" si="221"/>
        <v>0.24000000000000002</v>
      </c>
      <c r="Q3171" s="322">
        <v>0.24</v>
      </c>
      <c r="R3171" s="322">
        <f>Q3171*J3171</f>
        <v>360</v>
      </c>
      <c r="S3171" s="7">
        <v>20</v>
      </c>
      <c r="T3171" s="7">
        <f t="shared" si="222"/>
        <v>30000</v>
      </c>
      <c r="U3171" s="39"/>
      <c r="V3171" s="260">
        <v>120</v>
      </c>
      <c r="W3171" s="1136">
        <f t="shared" si="223"/>
        <v>0.62962962962962965</v>
      </c>
    </row>
    <row r="3172" spans="1:23" s="7" customFormat="1" ht="18" customHeight="1">
      <c r="B3172" s="12" t="s">
        <v>300</v>
      </c>
      <c r="C3172" s="6" t="s">
        <v>4507</v>
      </c>
      <c r="D3172" s="14" t="s">
        <v>2416</v>
      </c>
      <c r="E3172" s="22" t="s">
        <v>4215</v>
      </c>
      <c r="F3172" s="37" t="s">
        <v>359</v>
      </c>
      <c r="G3172" s="396" t="s">
        <v>4212</v>
      </c>
      <c r="H3172" s="8">
        <v>50</v>
      </c>
      <c r="I3172" s="35">
        <v>20</v>
      </c>
      <c r="J3172" s="108">
        <f>H3172*I3172</f>
        <v>1000</v>
      </c>
      <c r="K3172" s="958">
        <v>0.45</v>
      </c>
      <c r="L3172" s="39">
        <f>K3172*J3172</f>
        <v>450</v>
      </c>
      <c r="M3172" s="117" t="s">
        <v>349</v>
      </c>
      <c r="N3172" s="1149">
        <v>45176</v>
      </c>
      <c r="O3172" s="32">
        <v>5475</v>
      </c>
      <c r="P3172" s="391">
        <f t="shared" si="221"/>
        <v>0.24000000000000002</v>
      </c>
      <c r="Q3172" s="322">
        <v>0.24</v>
      </c>
      <c r="R3172" s="322">
        <f>Q3172*J3172</f>
        <v>240</v>
      </c>
      <c r="S3172" s="7">
        <v>20</v>
      </c>
      <c r="T3172" s="7">
        <f t="shared" si="222"/>
        <v>20000</v>
      </c>
      <c r="U3172" s="39"/>
      <c r="V3172" s="260">
        <v>120</v>
      </c>
      <c r="W3172" s="1136">
        <f t="shared" si="223"/>
        <v>0.62962962962962965</v>
      </c>
    </row>
    <row r="3173" spans="1:23" s="7" customFormat="1" ht="17.45" customHeight="1">
      <c r="B3173" s="12" t="s">
        <v>306</v>
      </c>
      <c r="C3173" s="6" t="s">
        <v>4507</v>
      </c>
      <c r="D3173" s="14" t="s">
        <v>2416</v>
      </c>
      <c r="E3173" s="49"/>
      <c r="F3173" s="37"/>
      <c r="G3173" s="221" t="s">
        <v>4505</v>
      </c>
      <c r="H3173" s="8"/>
      <c r="I3173" s="35"/>
      <c r="J3173" s="38">
        <v>1</v>
      </c>
      <c r="K3173" s="958">
        <v>85</v>
      </c>
      <c r="L3173" s="39">
        <f>K3173*J3173</f>
        <v>85</v>
      </c>
      <c r="M3173" s="117" t="s">
        <v>349</v>
      </c>
      <c r="N3173" s="1149">
        <v>45176</v>
      </c>
      <c r="O3173" s="32">
        <v>5475</v>
      </c>
      <c r="P3173" s="391">
        <f t="shared" si="221"/>
        <v>75.760000000000005</v>
      </c>
      <c r="Q3173" s="322">
        <v>75.760000000000005</v>
      </c>
      <c r="R3173" s="322">
        <f>Q3173*J3173</f>
        <v>75.760000000000005</v>
      </c>
      <c r="S3173" s="7">
        <v>8000</v>
      </c>
      <c r="T3173" s="7">
        <f t="shared" si="222"/>
        <v>8000</v>
      </c>
      <c r="U3173" s="39"/>
      <c r="V3173" s="260">
        <v>120</v>
      </c>
      <c r="W3173" s="1136">
        <f t="shared" si="223"/>
        <v>0.21568627450980393</v>
      </c>
    </row>
    <row r="3174" spans="1:23" s="7" customFormat="1" ht="17.45" customHeight="1">
      <c r="B3174" s="12" t="s">
        <v>306</v>
      </c>
      <c r="C3174" s="6" t="s">
        <v>4507</v>
      </c>
      <c r="D3174" s="14" t="s">
        <v>2416</v>
      </c>
      <c r="E3174" s="49"/>
      <c r="F3174" s="37"/>
      <c r="G3174" s="221" t="s">
        <v>4506</v>
      </c>
      <c r="H3174" s="8"/>
      <c r="I3174" s="35"/>
      <c r="J3174" s="38">
        <v>1</v>
      </c>
      <c r="K3174" s="958">
        <v>146</v>
      </c>
      <c r="L3174" s="39">
        <f>K3174*J3174</f>
        <v>146</v>
      </c>
      <c r="M3174" s="117" t="s">
        <v>349</v>
      </c>
      <c r="N3174" s="1149">
        <v>45176</v>
      </c>
      <c r="O3174" s="32">
        <v>5475</v>
      </c>
      <c r="P3174" s="391">
        <f>ROUNDUP(S3174/V3174/VLOOKUP(B3174,$C$2:$F$6,3,FALSE),2)</f>
        <v>132.57999999999998</v>
      </c>
      <c r="Q3174" s="322">
        <v>132.58000000000001</v>
      </c>
      <c r="R3174" s="322">
        <f>Q3174*J3174</f>
        <v>132.58000000000001</v>
      </c>
      <c r="S3174" s="7">
        <f>6000+8000</f>
        <v>14000</v>
      </c>
      <c r="T3174" s="7">
        <f>S3174*J3174</f>
        <v>14000</v>
      </c>
      <c r="U3174" s="39"/>
      <c r="V3174" s="260">
        <v>120</v>
      </c>
      <c r="W3174" s="1136">
        <f>(((K3174*V3174)-S3174)/(K3174*V3174))</f>
        <v>0.20091324200913241</v>
      </c>
    </row>
    <row r="3175" spans="1:23" s="7" customFormat="1" ht="18" customHeight="1">
      <c r="B3175" s="12"/>
      <c r="C3175" s="6" t="s">
        <v>4507</v>
      </c>
      <c r="D3175" s="14" t="s">
        <v>2416</v>
      </c>
      <c r="E3175" s="159"/>
      <c r="F3175" s="37"/>
      <c r="G3175" s="22" t="s">
        <v>363</v>
      </c>
      <c r="H3175" s="8"/>
      <c r="I3175" s="109" ph="1"/>
      <c r="J3175" s="38">
        <v>1</v>
      </c>
      <c r="K3175" s="39">
        <v>12</v>
      </c>
      <c r="L3175" s="39">
        <f>K3175*J3175</f>
        <v>12</v>
      </c>
      <c r="M3175" s="91"/>
      <c r="N3175" s="1149">
        <v>45176</v>
      </c>
      <c r="O3175" s="32">
        <v>5475</v>
      </c>
      <c r="P3175" s="6"/>
      <c r="Q3175" s="322">
        <v>12</v>
      </c>
      <c r="R3175" s="322">
        <f>Q3175*J3175</f>
        <v>12</v>
      </c>
      <c r="S3175" s="7">
        <v>1100</v>
      </c>
      <c r="T3175" s="7">
        <f>S3175*J3175</f>
        <v>1100</v>
      </c>
      <c r="U3175" s="21"/>
      <c r="V3175" s="260">
        <v>120</v>
      </c>
    </row>
    <row r="3176" spans="1:23" s="218" customFormat="1" ht="18" customHeight="1">
      <c r="A3176" s="7"/>
      <c r="B3176" s="189"/>
      <c r="C3176" s="179" t="s">
        <v>4507</v>
      </c>
      <c r="D3176" s="180" t="s">
        <v>2416</v>
      </c>
      <c r="E3176" s="217"/>
      <c r="F3176" s="182"/>
      <c r="G3176" s="182" t="s">
        <v>250</v>
      </c>
      <c r="H3176" s="184" t="s">
        <v>251</v>
      </c>
      <c r="I3176" s="185"/>
      <c r="J3176" s="183"/>
      <c r="K3176" s="192">
        <v>0</v>
      </c>
      <c r="L3176" s="946"/>
      <c r="M3176" s="947"/>
      <c r="N3176" s="1150">
        <v>45176</v>
      </c>
      <c r="O3176" s="186">
        <v>5475</v>
      </c>
      <c r="P3176" s="179"/>
      <c r="Q3176" s="725">
        <v>0</v>
      </c>
      <c r="S3176" s="197">
        <v>0</v>
      </c>
      <c r="T3176" s="197">
        <v>0</v>
      </c>
      <c r="U3176" s="335"/>
      <c r="V3176" s="260">
        <v>120</v>
      </c>
    </row>
    <row r="3177" spans="1:23" s="7" customFormat="1" ht="18" customHeight="1">
      <c r="B3177" s="12"/>
      <c r="C3177" s="6" t="s">
        <v>4513</v>
      </c>
      <c r="D3177" s="14" t="s">
        <v>2416</v>
      </c>
      <c r="E3177" s="19" t="s">
        <v>4510</v>
      </c>
      <c r="F3177" s="37"/>
      <c r="G3177" s="37"/>
      <c r="H3177" s="108"/>
      <c r="I3177" s="108"/>
      <c r="J3177" s="108"/>
      <c r="K3177" s="110" t="s">
        <v>101</v>
      </c>
      <c r="L3177" s="139"/>
      <c r="M3177" s="33"/>
      <c r="N3177" s="33">
        <v>45167</v>
      </c>
      <c r="O3177" s="32">
        <v>5468</v>
      </c>
      <c r="P3177" s="6"/>
      <c r="Q3177" s="339"/>
      <c r="U3177" s="21"/>
      <c r="V3177" s="257"/>
    </row>
    <row r="3178" spans="1:23" s="7" customFormat="1" ht="17.25" customHeight="1">
      <c r="B3178" s="12" t="s">
        <v>300</v>
      </c>
      <c r="C3178" s="6" t="s">
        <v>4513</v>
      </c>
      <c r="D3178" s="14" t="s">
        <v>2416</v>
      </c>
      <c r="E3178" s="22" t="s">
        <v>4516</v>
      </c>
      <c r="F3178" s="37"/>
      <c r="G3178" s="37" t="s">
        <v>4511</v>
      </c>
      <c r="H3178" s="108"/>
      <c r="I3178" s="109"/>
      <c r="J3178" s="8">
        <v>10</v>
      </c>
      <c r="K3178" s="39">
        <v>1.28</v>
      </c>
      <c r="L3178" s="39">
        <f>K3178*J3178</f>
        <v>12.8</v>
      </c>
      <c r="M3178" s="117" t="s">
        <v>349</v>
      </c>
      <c r="N3178" s="33">
        <v>45167</v>
      </c>
      <c r="O3178" s="32">
        <v>5468</v>
      </c>
      <c r="P3178" s="391">
        <f>ROUNDUP(S3178/V3178/VLOOKUP(B3178,$C$2:$F$6,3,FALSE),2)</f>
        <v>0.83</v>
      </c>
      <c r="Q3178" s="358">
        <v>0.83</v>
      </c>
      <c r="R3178" s="322">
        <f>Q3178*J3178</f>
        <v>8.2999999999999989</v>
      </c>
      <c r="S3178" s="7">
        <v>69</v>
      </c>
      <c r="T3178" s="7">
        <f>S3178*J3178</f>
        <v>690</v>
      </c>
      <c r="U3178" s="267"/>
      <c r="V3178" s="260">
        <v>120</v>
      </c>
      <c r="W3178" s="1136">
        <f>(((K3178*V3178)-S3178)/(K3178*V3178))</f>
        <v>0.55078125</v>
      </c>
    </row>
    <row r="3179" spans="1:23" s="7" customFormat="1" ht="17.25" customHeight="1">
      <c r="B3179" s="12" t="s">
        <v>300</v>
      </c>
      <c r="C3179" s="6" t="s">
        <v>4513</v>
      </c>
      <c r="D3179" s="14" t="s">
        <v>2416</v>
      </c>
      <c r="E3179" s="22" t="s">
        <v>4516</v>
      </c>
      <c r="F3179" s="37"/>
      <c r="G3179" s="37" t="s">
        <v>4512</v>
      </c>
      <c r="H3179" s="108"/>
      <c r="I3179" s="109"/>
      <c r="J3179" s="8">
        <v>10</v>
      </c>
      <c r="K3179" s="39">
        <v>1.28</v>
      </c>
      <c r="L3179" s="39">
        <f>K3179*J3179</f>
        <v>12.8</v>
      </c>
      <c r="M3179" s="117" t="s">
        <v>349</v>
      </c>
      <c r="N3179" s="33">
        <v>45167</v>
      </c>
      <c r="O3179" s="32">
        <v>5468</v>
      </c>
      <c r="P3179" s="391">
        <f>ROUNDUP(S3179/V3179/VLOOKUP(B3179,$C$2:$F$6,3,FALSE),2)</f>
        <v>0.83</v>
      </c>
      <c r="Q3179" s="358">
        <v>0.83</v>
      </c>
      <c r="R3179" s="322">
        <f>Q3179*J3179</f>
        <v>8.2999999999999989</v>
      </c>
      <c r="S3179" s="7">
        <v>69</v>
      </c>
      <c r="T3179" s="7">
        <f>S3179*J3179</f>
        <v>690</v>
      </c>
      <c r="U3179" s="267"/>
      <c r="V3179" s="260">
        <v>120</v>
      </c>
      <c r="W3179" s="1136">
        <f>(((K3179*V3179)-S3179)/(K3179*V3179))</f>
        <v>0.55078125</v>
      </c>
    </row>
    <row r="3180" spans="1:23" s="7" customFormat="1" ht="15">
      <c r="B3180" s="12" t="s">
        <v>4515</v>
      </c>
      <c r="C3180" s="6" t="s">
        <v>4513</v>
      </c>
      <c r="D3180" s="14" t="s">
        <v>2416</v>
      </c>
      <c r="E3180" s="49"/>
      <c r="F3180" s="102"/>
      <c r="G3180" s="22" t="s">
        <v>4514</v>
      </c>
      <c r="H3180" s="38"/>
      <c r="I3180" s="35"/>
      <c r="J3180" s="38">
        <v>2</v>
      </c>
      <c r="K3180" s="39">
        <v>100</v>
      </c>
      <c r="L3180" s="39">
        <f>K3180*J3180</f>
        <v>200</v>
      </c>
      <c r="M3180" s="91"/>
      <c r="N3180" s="33">
        <v>45167</v>
      </c>
      <c r="O3180" s="32">
        <v>5468</v>
      </c>
      <c r="P3180" s="391">
        <f>ROUNDUP(S3180/V3180/VLOOKUP(B3180,$C$2:$F$6,3,FALSE),2)</f>
        <v>66.290000000000006</v>
      </c>
      <c r="Q3180" s="322">
        <v>66.290000000000006</v>
      </c>
      <c r="R3180" s="322">
        <f>Q3180*J3180</f>
        <v>132.58000000000001</v>
      </c>
      <c r="S3180" s="7">
        <v>7000</v>
      </c>
      <c r="T3180" s="7">
        <f>S3180*J3180</f>
        <v>14000</v>
      </c>
      <c r="U3180" s="21"/>
      <c r="V3180" s="260">
        <v>120</v>
      </c>
    </row>
    <row r="3181" spans="1:23" s="7" customFormat="1" ht="15">
      <c r="B3181" s="12"/>
      <c r="C3181" s="6" t="s">
        <v>4513</v>
      </c>
      <c r="D3181" s="14" t="s">
        <v>2416</v>
      </c>
      <c r="E3181" s="49"/>
      <c r="F3181" s="102"/>
      <c r="G3181" s="22" t="s">
        <v>316</v>
      </c>
      <c r="H3181" s="38"/>
      <c r="I3181" s="35"/>
      <c r="J3181" s="38">
        <v>1</v>
      </c>
      <c r="K3181" s="39">
        <v>12</v>
      </c>
      <c r="L3181" s="39">
        <f>K3181*J3181</f>
        <v>12</v>
      </c>
      <c r="M3181" s="91"/>
      <c r="N3181" s="33">
        <v>45167</v>
      </c>
      <c r="O3181" s="32">
        <v>5468</v>
      </c>
      <c r="P3181" s="722"/>
      <c r="Q3181" s="322">
        <v>12</v>
      </c>
      <c r="R3181" s="322">
        <f>Q3181*J3181</f>
        <v>12</v>
      </c>
      <c r="S3181" s="7">
        <v>0</v>
      </c>
      <c r="T3181" s="7">
        <f>S3181*J3181</f>
        <v>0</v>
      </c>
      <c r="U3181" s="21"/>
      <c r="V3181" s="260">
        <v>120</v>
      </c>
    </row>
    <row r="3182" spans="1:23" s="191" customFormat="1" ht="18" customHeight="1">
      <c r="B3182" s="190"/>
      <c r="C3182" s="179" t="s">
        <v>4513</v>
      </c>
      <c r="D3182" s="180" t="s">
        <v>2416</v>
      </c>
      <c r="E3182" s="217"/>
      <c r="F3182" s="182"/>
      <c r="G3182" s="182" t="s">
        <v>250</v>
      </c>
      <c r="H3182" s="184" t="s">
        <v>251</v>
      </c>
      <c r="I3182" s="185"/>
      <c r="J3182" s="183"/>
      <c r="K3182" s="192">
        <v>0</v>
      </c>
      <c r="L3182" s="187"/>
      <c r="M3182" s="187"/>
      <c r="N3182" s="187">
        <v>45167</v>
      </c>
      <c r="O3182" s="186">
        <v>5468</v>
      </c>
      <c r="P3182" s="179"/>
      <c r="Q3182" s="255">
        <v>0</v>
      </c>
      <c r="R3182" s="322">
        <v>0</v>
      </c>
      <c r="S3182" s="275">
        <v>0</v>
      </c>
      <c r="T3182" s="198">
        <v>0</v>
      </c>
      <c r="U3182" s="271"/>
      <c r="V3182" s="260">
        <v>120</v>
      </c>
    </row>
    <row r="3183" spans="1:23" s="7" customFormat="1" ht="15" customHeight="1">
      <c r="A3183" s="1"/>
      <c r="B3183" s="12"/>
      <c r="C3183" s="6" t="s">
        <v>4517</v>
      </c>
      <c r="D3183" s="14" t="s">
        <v>1970</v>
      </c>
      <c r="E3183" s="19" t="s">
        <v>4518</v>
      </c>
      <c r="F3183" s="24"/>
      <c r="G3183" s="22"/>
      <c r="H3183" s="38"/>
      <c r="I3183" s="61"/>
      <c r="J3183" s="60"/>
      <c r="K3183" s="16" t="s">
        <v>5</v>
      </c>
      <c r="L3183" s="33"/>
      <c r="M3183" s="33"/>
      <c r="N3183" s="33">
        <v>45168</v>
      </c>
      <c r="O3183" s="32">
        <v>5476</v>
      </c>
      <c r="P3183" s="6"/>
      <c r="Q3183" s="253"/>
      <c r="S3183" s="325"/>
      <c r="T3183" s="92"/>
      <c r="U3183" s="1181"/>
      <c r="V3183" s="260">
        <v>120</v>
      </c>
    </row>
    <row r="3184" spans="1:23" s="7" customFormat="1" ht="15.75">
      <c r="A3184" s="1"/>
      <c r="B3184" s="12" t="s">
        <v>300</v>
      </c>
      <c r="C3184" s="6" t="s">
        <v>4517</v>
      </c>
      <c r="D3184" s="14" t="s">
        <v>1970</v>
      </c>
      <c r="E3184" s="22">
        <v>4069</v>
      </c>
      <c r="F3184" s="24"/>
      <c r="G3184" s="22" t="s">
        <v>4519</v>
      </c>
      <c r="H3184" s="108">
        <v>30</v>
      </c>
      <c r="I3184" s="109">
        <v>1</v>
      </c>
      <c r="J3184" s="60">
        <f>H3184*I3184</f>
        <v>30</v>
      </c>
      <c r="K3184" s="39">
        <v>1.99</v>
      </c>
      <c r="L3184" s="39">
        <f>K3184*J3184</f>
        <v>59.7</v>
      </c>
      <c r="M3184" s="117" t="s">
        <v>323</v>
      </c>
      <c r="N3184" s="33">
        <v>45168</v>
      </c>
      <c r="O3184" s="32">
        <v>5476</v>
      </c>
      <c r="P3184" s="391">
        <f>ROUNDUP(S3184/V3184/VLOOKUP(B3184,$C$2:$F$6,3,FALSE),2)</f>
        <v>1.28</v>
      </c>
      <c r="Q3184" s="253">
        <v>1.28</v>
      </c>
      <c r="R3184" s="323">
        <f>Q3184*J3184</f>
        <v>38.4</v>
      </c>
      <c r="S3184" s="257">
        <v>107</v>
      </c>
      <c r="T3184" s="287">
        <f>S3184*J3184</f>
        <v>3210</v>
      </c>
      <c r="U3184" s="257"/>
      <c r="V3184" s="260">
        <v>120</v>
      </c>
      <c r="W3184" s="1136">
        <f t="shared" ref="W3184:W3213" si="224">(((K3184*V3184)-S3184)/(K3184*V3184))</f>
        <v>0.55192629815745398</v>
      </c>
    </row>
    <row r="3185" spans="1:23" ht="15.95" customHeight="1">
      <c r="B3185" s="26" t="s">
        <v>306</v>
      </c>
      <c r="C3185" s="6" t="s">
        <v>4517</v>
      </c>
      <c r="D3185" s="14" t="s">
        <v>1970</v>
      </c>
      <c r="E3185" s="22"/>
      <c r="F3185" s="102"/>
      <c r="G3185" s="37" t="s">
        <v>316</v>
      </c>
      <c r="H3185" s="8"/>
      <c r="I3185" s="35"/>
      <c r="J3185" s="38">
        <v>1</v>
      </c>
      <c r="K3185" s="39">
        <v>12</v>
      </c>
      <c r="L3185" s="39">
        <f>K3185*J3185</f>
        <v>12</v>
      </c>
      <c r="M3185" s="91"/>
      <c r="N3185" s="33">
        <v>45168</v>
      </c>
      <c r="O3185" s="32">
        <v>5476</v>
      </c>
      <c r="P3185" s="39"/>
      <c r="Q3185" s="124">
        <v>12</v>
      </c>
      <c r="R3185" s="323">
        <f>Q3185*J3185</f>
        <v>12</v>
      </c>
      <c r="S3185" s="263">
        <v>0</v>
      </c>
      <c r="T3185" s="287">
        <f>S3185*J3185</f>
        <v>0</v>
      </c>
      <c r="U3185" s="270"/>
      <c r="V3185" s="260">
        <v>120</v>
      </c>
      <c r="W3185" s="1"/>
    </row>
    <row r="3186" spans="1:23" s="191" customFormat="1" ht="15" customHeight="1">
      <c r="A3186" s="1"/>
      <c r="B3186" s="190"/>
      <c r="C3186" s="179" t="s">
        <v>4517</v>
      </c>
      <c r="D3186" s="180" t="s">
        <v>1970</v>
      </c>
      <c r="E3186" s="181"/>
      <c r="F3186" s="182"/>
      <c r="G3186" s="182" t="s">
        <v>250</v>
      </c>
      <c r="H3186" s="184" t="s">
        <v>251</v>
      </c>
      <c r="I3186" s="185"/>
      <c r="J3186" s="183"/>
      <c r="K3186" s="192">
        <v>0</v>
      </c>
      <c r="L3186" s="187"/>
      <c r="M3186" s="187"/>
      <c r="N3186" s="187">
        <v>45168</v>
      </c>
      <c r="O3186" s="186">
        <v>5476</v>
      </c>
      <c r="P3186" s="179"/>
      <c r="Q3186" s="255">
        <v>0</v>
      </c>
      <c r="S3186" s="274">
        <v>0</v>
      </c>
      <c r="T3186" s="198">
        <v>0</v>
      </c>
      <c r="U3186" s="271"/>
      <c r="V3186" s="260">
        <v>120</v>
      </c>
      <c r="W3186" s="1136" t="e">
        <f t="shared" si="224"/>
        <v>#DIV/0!</v>
      </c>
    </row>
    <row r="3187" spans="1:23" s="7" customFormat="1" ht="18" customHeight="1">
      <c r="B3187" s="12"/>
      <c r="C3187" s="6" t="s">
        <v>4520</v>
      </c>
      <c r="D3187" s="14" t="s">
        <v>2162</v>
      </c>
      <c r="E3187" s="19" t="s">
        <v>2163</v>
      </c>
      <c r="F3187" s="37"/>
      <c r="G3187" s="37"/>
      <c r="H3187" s="108"/>
      <c r="I3187" s="108"/>
      <c r="J3187" s="108"/>
      <c r="K3187" s="110" t="s">
        <v>5</v>
      </c>
      <c r="L3187" s="139"/>
      <c r="M3187" s="33"/>
      <c r="N3187" s="33">
        <v>45177</v>
      </c>
      <c r="O3187" s="32">
        <v>5506</v>
      </c>
      <c r="P3187" s="6"/>
      <c r="Q3187" s="339"/>
      <c r="U3187" s="21"/>
      <c r="V3187" s="260">
        <v>120</v>
      </c>
      <c r="W3187" s="1136" t="e">
        <f t="shared" si="224"/>
        <v>#VALUE!</v>
      </c>
    </row>
    <row r="3188" spans="1:23" s="7" customFormat="1" ht="18" customHeight="1">
      <c r="B3188" s="12" t="s">
        <v>300</v>
      </c>
      <c r="C3188" s="6" t="s">
        <v>4520</v>
      </c>
      <c r="D3188" s="14" t="s">
        <v>2162</v>
      </c>
      <c r="E3188" s="22">
        <v>5603</v>
      </c>
      <c r="F3188" s="37"/>
      <c r="G3188" s="22" t="s">
        <v>4522</v>
      </c>
      <c r="H3188" s="108">
        <v>50</v>
      </c>
      <c r="I3188" s="950">
        <v>5</v>
      </c>
      <c r="J3188" s="8">
        <f>I3188*H3188</f>
        <v>250</v>
      </c>
      <c r="K3188" s="39">
        <v>0.34</v>
      </c>
      <c r="L3188" s="39">
        <f>K3188*J3188</f>
        <v>85</v>
      </c>
      <c r="M3188" s="117" t="s">
        <v>349</v>
      </c>
      <c r="N3188" s="33">
        <v>45177</v>
      </c>
      <c r="O3188" s="32">
        <v>5506</v>
      </c>
      <c r="P3188" s="391">
        <f>ROUNDUP(S3188/V3188/VLOOKUP(B3188,$C$2:$F$6,3,FALSE),2)</f>
        <v>0.22</v>
      </c>
      <c r="Q3188" s="322">
        <v>0.22</v>
      </c>
      <c r="R3188" s="322">
        <f>Q3188*J3188</f>
        <v>55</v>
      </c>
      <c r="S3188" s="7">
        <v>18.3</v>
      </c>
      <c r="T3188" s="7">
        <f>S3188*J3188</f>
        <v>4575</v>
      </c>
      <c r="U3188" s="21"/>
      <c r="V3188" s="260">
        <v>120</v>
      </c>
      <c r="W3188" s="1136">
        <f t="shared" si="224"/>
        <v>0.55147058823529416</v>
      </c>
    </row>
    <row r="3189" spans="1:23" s="7" customFormat="1" ht="18" customHeight="1">
      <c r="B3189" s="12" t="s">
        <v>300</v>
      </c>
      <c r="C3189" s="6" t="s">
        <v>4520</v>
      </c>
      <c r="D3189" s="14" t="s">
        <v>2162</v>
      </c>
      <c r="E3189" s="22">
        <v>5603</v>
      </c>
      <c r="F3189" s="37"/>
      <c r="G3189" s="22" t="s">
        <v>4521</v>
      </c>
      <c r="H3189" s="108">
        <v>50</v>
      </c>
      <c r="I3189" s="950">
        <v>2</v>
      </c>
      <c r="J3189" s="8">
        <f>I3189*H3189</f>
        <v>100</v>
      </c>
      <c r="K3189" s="39">
        <v>0.34</v>
      </c>
      <c r="L3189" s="39">
        <f>K3189*J3189</f>
        <v>34</v>
      </c>
      <c r="M3189" s="117" t="s">
        <v>349</v>
      </c>
      <c r="N3189" s="33">
        <v>45177</v>
      </c>
      <c r="O3189" s="32">
        <v>5506</v>
      </c>
      <c r="P3189" s="391">
        <f>ROUNDUP(S3189/V3189/VLOOKUP(B3189,$C$2:$F$6,3,FALSE),2)</f>
        <v>0.22</v>
      </c>
      <c r="Q3189" s="322">
        <v>0.22</v>
      </c>
      <c r="R3189" s="322">
        <f>Q3189*J3189</f>
        <v>22</v>
      </c>
      <c r="S3189" s="7">
        <v>18.3</v>
      </c>
      <c r="T3189" s="7">
        <f>S3189*J3189</f>
        <v>1830</v>
      </c>
      <c r="U3189" s="21"/>
      <c r="V3189" s="260">
        <v>120</v>
      </c>
      <c r="W3189" s="1136">
        <f t="shared" si="224"/>
        <v>0.55147058823529416</v>
      </c>
    </row>
    <row r="3190" spans="1:23" s="7" customFormat="1" ht="18" customHeight="1">
      <c r="B3190" s="12" t="s">
        <v>300</v>
      </c>
      <c r="C3190" s="6" t="s">
        <v>4520</v>
      </c>
      <c r="D3190" s="14" t="s">
        <v>2162</v>
      </c>
      <c r="E3190" s="22">
        <v>5603</v>
      </c>
      <c r="F3190" s="37"/>
      <c r="G3190" s="22" t="s">
        <v>4523</v>
      </c>
      <c r="H3190" s="108">
        <v>50</v>
      </c>
      <c r="I3190" s="950">
        <v>3</v>
      </c>
      <c r="J3190" s="8">
        <f>I3190*H3190</f>
        <v>150</v>
      </c>
      <c r="K3190" s="39">
        <v>0.34</v>
      </c>
      <c r="L3190" s="39">
        <f>K3190*J3190</f>
        <v>51.000000000000007</v>
      </c>
      <c r="M3190" s="117" t="s">
        <v>349</v>
      </c>
      <c r="N3190" s="33">
        <v>45177</v>
      </c>
      <c r="O3190" s="32">
        <v>5506</v>
      </c>
      <c r="P3190" s="391">
        <f>ROUNDUP(S3190/V3190/VLOOKUP(B3190,$C$2:$F$6,3,FALSE),2)</f>
        <v>0.22</v>
      </c>
      <c r="Q3190" s="322">
        <v>0.22</v>
      </c>
      <c r="R3190" s="322">
        <f>Q3190*J3190</f>
        <v>33</v>
      </c>
      <c r="S3190" s="7">
        <v>18.3</v>
      </c>
      <c r="T3190" s="7">
        <f>S3190*J3190</f>
        <v>2745</v>
      </c>
      <c r="U3190" s="21"/>
      <c r="V3190" s="260">
        <v>120</v>
      </c>
      <c r="W3190" s="1136">
        <f t="shared" si="224"/>
        <v>0.55147058823529416</v>
      </c>
    </row>
    <row r="3191" spans="1:23" s="7" customFormat="1" ht="18" customHeight="1">
      <c r="B3191" s="12"/>
      <c r="C3191" s="6" t="s">
        <v>4520</v>
      </c>
      <c r="D3191" s="14" t="s">
        <v>2162</v>
      </c>
      <c r="E3191" s="22"/>
      <c r="F3191" s="102"/>
      <c r="G3191" s="22" t="s">
        <v>316</v>
      </c>
      <c r="H3191" s="8"/>
      <c r="I3191" s="35"/>
      <c r="J3191" s="38">
        <v>1</v>
      </c>
      <c r="K3191" s="39">
        <v>12</v>
      </c>
      <c r="L3191" s="39">
        <f>K3191*J3191</f>
        <v>12</v>
      </c>
      <c r="M3191" s="91"/>
      <c r="N3191" s="33">
        <v>45177</v>
      </c>
      <c r="O3191" s="32">
        <v>5506</v>
      </c>
      <c r="P3191" s="6" t="s">
        <v>3</v>
      </c>
      <c r="Q3191" s="322">
        <v>12</v>
      </c>
      <c r="R3191" s="322">
        <v>12</v>
      </c>
      <c r="S3191" s="7">
        <v>1100</v>
      </c>
      <c r="T3191" s="7">
        <f>S3191*J3191</f>
        <v>1100</v>
      </c>
      <c r="U3191" s="21"/>
      <c r="V3191" s="260">
        <v>120</v>
      </c>
      <c r="W3191" s="1136">
        <f t="shared" si="224"/>
        <v>0.2361111111111111</v>
      </c>
    </row>
    <row r="3192" spans="1:23" s="191" customFormat="1" ht="18" customHeight="1">
      <c r="B3192" s="190"/>
      <c r="C3192" s="179" t="s">
        <v>4520</v>
      </c>
      <c r="D3192" s="180" t="s">
        <v>2162</v>
      </c>
      <c r="E3192" s="217"/>
      <c r="F3192" s="182"/>
      <c r="G3192" s="182" t="s">
        <v>250</v>
      </c>
      <c r="H3192" s="184" t="s">
        <v>251</v>
      </c>
      <c r="I3192" s="185"/>
      <c r="J3192" s="183"/>
      <c r="K3192" s="192">
        <v>0</v>
      </c>
      <c r="L3192" s="187"/>
      <c r="M3192" s="187"/>
      <c r="N3192" s="187">
        <v>45177</v>
      </c>
      <c r="O3192" s="186">
        <v>5506</v>
      </c>
      <c r="P3192" s="179"/>
      <c r="Q3192" s="255">
        <v>0</v>
      </c>
      <c r="R3192" s="322">
        <v>0</v>
      </c>
      <c r="S3192" s="275">
        <v>0</v>
      </c>
      <c r="T3192" s="198">
        <v>0</v>
      </c>
      <c r="U3192" s="271"/>
      <c r="V3192" s="260">
        <v>120</v>
      </c>
      <c r="W3192" s="1136" t="e">
        <f t="shared" si="224"/>
        <v>#DIV/0!</v>
      </c>
    </row>
    <row r="3193" spans="1:23" s="7" customFormat="1" ht="18" customHeight="1">
      <c r="B3193" s="12"/>
      <c r="C3193" s="6" t="s">
        <v>4524</v>
      </c>
      <c r="D3193" s="14" t="s">
        <v>2231</v>
      </c>
      <c r="E3193" s="19" t="s">
        <v>2270</v>
      </c>
      <c r="F3193" s="37"/>
      <c r="G3193" s="37"/>
      <c r="H3193" s="108"/>
      <c r="I3193" s="108"/>
      <c r="J3193" s="108"/>
      <c r="K3193" s="29" t="s">
        <v>5</v>
      </c>
      <c r="L3193" s="139"/>
      <c r="M3193" s="33"/>
      <c r="N3193" s="33">
        <v>45216</v>
      </c>
      <c r="O3193" s="32">
        <v>5510</v>
      </c>
      <c r="P3193" s="6"/>
      <c r="Q3193" s="339"/>
      <c r="U3193" s="21"/>
      <c r="V3193" s="260">
        <v>120</v>
      </c>
      <c r="W3193" s="1136" t="e">
        <f t="shared" si="224"/>
        <v>#VALUE!</v>
      </c>
    </row>
    <row r="3194" spans="1:23" s="7" customFormat="1" ht="18" customHeight="1">
      <c r="B3194" s="12" t="s">
        <v>300</v>
      </c>
      <c r="C3194" s="6" t="s">
        <v>4524</v>
      </c>
      <c r="D3194" s="14" t="s">
        <v>2231</v>
      </c>
      <c r="E3194" s="22">
        <v>5636</v>
      </c>
      <c r="F3194" s="37" t="s">
        <v>230</v>
      </c>
      <c r="G3194" s="839" t="s">
        <v>283</v>
      </c>
      <c r="H3194" s="108">
        <v>50</v>
      </c>
      <c r="I3194" s="109">
        <v>14</v>
      </c>
      <c r="J3194" s="8">
        <f>H3194*I3194</f>
        <v>700</v>
      </c>
      <c r="K3194" s="39">
        <v>0.28999999999999998</v>
      </c>
      <c r="L3194" s="39">
        <f>K3194*J3194</f>
        <v>203</v>
      </c>
      <c r="M3194" s="117" t="s">
        <v>349</v>
      </c>
      <c r="N3194" s="33">
        <v>45216</v>
      </c>
      <c r="O3194" s="32">
        <v>5510</v>
      </c>
      <c r="P3194" s="391">
        <f>ROUNDUP(S3194/V3194/VLOOKUP(B3194,$C$2:$F$6,3,FALSE),2)</f>
        <v>0.14000000000000001</v>
      </c>
      <c r="Q3194" s="322">
        <v>0.14000000000000001</v>
      </c>
      <c r="R3194" s="322">
        <f>Q3194*J3194</f>
        <v>98.000000000000014</v>
      </c>
      <c r="S3194" s="7">
        <v>11.6</v>
      </c>
      <c r="T3194" s="7">
        <f>S3194*J3194</f>
        <v>8120</v>
      </c>
      <c r="U3194" s="778"/>
      <c r="V3194" s="260">
        <v>120</v>
      </c>
      <c r="W3194" s="1136">
        <f t="shared" si="224"/>
        <v>0.66666666666666663</v>
      </c>
    </row>
    <row r="3195" spans="1:23" s="7" customFormat="1" ht="18" customHeight="1">
      <c r="B3195" s="12" t="s">
        <v>300</v>
      </c>
      <c r="C3195" s="6" t="s">
        <v>4524</v>
      </c>
      <c r="D3195" s="14" t="s">
        <v>2231</v>
      </c>
      <c r="E3195" s="22">
        <v>5636</v>
      </c>
      <c r="F3195" s="37" t="s">
        <v>230</v>
      </c>
      <c r="G3195" s="839" t="s">
        <v>4203</v>
      </c>
      <c r="H3195" s="108">
        <v>50</v>
      </c>
      <c r="I3195" s="109">
        <v>7</v>
      </c>
      <c r="J3195" s="8">
        <f>H3195*I3195</f>
        <v>350</v>
      </c>
      <c r="K3195" s="39">
        <v>0.28999999999999998</v>
      </c>
      <c r="L3195" s="39">
        <f>K3195*J3195</f>
        <v>101.5</v>
      </c>
      <c r="M3195" s="117" t="s">
        <v>349</v>
      </c>
      <c r="N3195" s="33">
        <v>45216</v>
      </c>
      <c r="O3195" s="32">
        <v>5510</v>
      </c>
      <c r="P3195" s="391">
        <f>ROUNDUP(S3195/V3195/VLOOKUP(B3195,$C$2:$F$6,3,FALSE),2)</f>
        <v>0.19</v>
      </c>
      <c r="Q3195" s="322">
        <v>0.19</v>
      </c>
      <c r="R3195" s="322">
        <f>Q3195*J3195</f>
        <v>66.5</v>
      </c>
      <c r="S3195" s="7">
        <v>15.7</v>
      </c>
      <c r="T3195" s="7">
        <f>S3195*J3195</f>
        <v>5495</v>
      </c>
      <c r="U3195" s="778"/>
      <c r="V3195" s="260">
        <v>120</v>
      </c>
      <c r="W3195" s="1136">
        <f t="shared" si="224"/>
        <v>0.54885057471264365</v>
      </c>
    </row>
    <row r="3196" spans="1:23" s="7" customFormat="1" ht="18" customHeight="1">
      <c r="B3196" s="12"/>
      <c r="C3196" s="6" t="s">
        <v>4524</v>
      </c>
      <c r="D3196" s="14" t="s">
        <v>2231</v>
      </c>
      <c r="E3196" s="82"/>
      <c r="F3196" s="102"/>
      <c r="G3196" s="22" t="s">
        <v>316</v>
      </c>
      <c r="H3196" s="8"/>
      <c r="I3196" s="35"/>
      <c r="J3196" s="38">
        <v>1</v>
      </c>
      <c r="K3196" s="39">
        <v>12</v>
      </c>
      <c r="L3196" s="39">
        <f>K3196*J3196</f>
        <v>12</v>
      </c>
      <c r="M3196" s="91"/>
      <c r="N3196" s="33">
        <v>45216</v>
      </c>
      <c r="O3196" s="32">
        <v>5510</v>
      </c>
      <c r="P3196" s="6"/>
      <c r="Q3196" s="322">
        <v>12</v>
      </c>
      <c r="R3196" s="322">
        <v>12</v>
      </c>
      <c r="S3196" s="7">
        <v>1100</v>
      </c>
      <c r="T3196" s="7">
        <f>S3196*J3196</f>
        <v>1100</v>
      </c>
      <c r="U3196" s="21"/>
      <c r="V3196" s="260">
        <v>120</v>
      </c>
      <c r="W3196" s="1136">
        <f t="shared" si="224"/>
        <v>0.2361111111111111</v>
      </c>
    </row>
    <row r="3197" spans="1:23" s="191" customFormat="1" ht="18" customHeight="1">
      <c r="B3197" s="190"/>
      <c r="C3197" s="179" t="s">
        <v>4524</v>
      </c>
      <c r="D3197" s="180" t="s">
        <v>2231</v>
      </c>
      <c r="E3197" s="181"/>
      <c r="F3197" s="622"/>
      <c r="G3197" s="182" t="s">
        <v>250</v>
      </c>
      <c r="H3197" s="184" t="s">
        <v>251</v>
      </c>
      <c r="I3197" s="185"/>
      <c r="J3197" s="183"/>
      <c r="K3197" s="192">
        <v>0</v>
      </c>
      <c r="L3197" s="188"/>
      <c r="M3197" s="187"/>
      <c r="N3197" s="187">
        <v>45216</v>
      </c>
      <c r="O3197" s="186">
        <v>5510</v>
      </c>
      <c r="P3197" s="179"/>
      <c r="Q3197" s="725">
        <v>0</v>
      </c>
      <c r="S3197" s="197">
        <v>0</v>
      </c>
      <c r="T3197" s="198">
        <v>0</v>
      </c>
      <c r="U3197" s="335"/>
      <c r="V3197" s="260">
        <v>120</v>
      </c>
      <c r="W3197" s="1136" t="e">
        <f t="shared" si="224"/>
        <v>#DIV/0!</v>
      </c>
    </row>
    <row r="3198" spans="1:23" s="7" customFormat="1" ht="18" customHeight="1">
      <c r="B3198" s="12"/>
      <c r="C3198" s="6" t="s">
        <v>4525</v>
      </c>
      <c r="D3198" s="14" t="s">
        <v>2171</v>
      </c>
      <c r="E3198" s="19" t="s">
        <v>10</v>
      </c>
      <c r="F3198" s="107"/>
      <c r="G3198" s="22"/>
      <c r="H3198" s="108"/>
      <c r="I3198" s="109"/>
      <c r="J3198" s="108"/>
      <c r="K3198" s="29" t="s">
        <v>5</v>
      </c>
      <c r="L3198" s="139"/>
      <c r="M3198" s="33"/>
      <c r="N3198" s="33">
        <v>45182</v>
      </c>
      <c r="O3198" s="32">
        <v>5515</v>
      </c>
      <c r="P3198" s="14"/>
      <c r="Q3198" s="322"/>
      <c r="U3198" s="14"/>
      <c r="V3198" s="260">
        <v>120</v>
      </c>
      <c r="W3198" s="1136" t="e">
        <f t="shared" si="224"/>
        <v>#VALUE!</v>
      </c>
    </row>
    <row r="3199" spans="1:23" s="7" customFormat="1" ht="18" customHeight="1">
      <c r="B3199" s="12" t="s">
        <v>302</v>
      </c>
      <c r="C3199" s="6" t="s">
        <v>4525</v>
      </c>
      <c r="D3199" s="14" t="s">
        <v>2171</v>
      </c>
      <c r="E3199" s="22" t="s">
        <v>207</v>
      </c>
      <c r="F3199" s="107">
        <v>152</v>
      </c>
      <c r="G3199" s="396" t="s">
        <v>2173</v>
      </c>
      <c r="H3199" s="108">
        <v>50</v>
      </c>
      <c r="I3199" s="109">
        <v>2</v>
      </c>
      <c r="J3199" s="8">
        <f>I3199*H3199</f>
        <v>100</v>
      </c>
      <c r="K3199" s="39">
        <v>4.7300000000000004</v>
      </c>
      <c r="L3199" s="39">
        <f t="shared" ref="L3199:L3205" si="225">K3199*J3199</f>
        <v>473.00000000000006</v>
      </c>
      <c r="M3199" s="403" t="s">
        <v>322</v>
      </c>
      <c r="N3199" s="33">
        <v>45182</v>
      </c>
      <c r="O3199" s="32">
        <v>5515</v>
      </c>
      <c r="P3199" s="391">
        <f t="shared" ref="P3199:P3204" si="226">ROUNDUP(S3199/V3199/VLOOKUP(B3199,$C$2:$F$6,3,FALSE),2)</f>
        <v>3.2199999999999998</v>
      </c>
      <c r="Q3199" s="322">
        <v>3.22</v>
      </c>
      <c r="R3199" s="322">
        <f t="shared" ref="R3199:R3205" si="227">Q3199*J3199</f>
        <v>322</v>
      </c>
      <c r="S3199" s="7">
        <v>340</v>
      </c>
      <c r="T3199" s="7">
        <f t="shared" ref="T3199:T3205" si="228">S3199*J3199</f>
        <v>34000</v>
      </c>
      <c r="U3199" s="21"/>
      <c r="V3199" s="260">
        <v>120</v>
      </c>
      <c r="W3199" s="1136">
        <f t="shared" si="224"/>
        <v>0.4009866102889359</v>
      </c>
    </row>
    <row r="3200" spans="1:23" s="7" customFormat="1" ht="18" customHeight="1">
      <c r="B3200" s="12" t="s">
        <v>302</v>
      </c>
      <c r="C3200" s="6" t="s">
        <v>4525</v>
      </c>
      <c r="D3200" s="14" t="s">
        <v>2171</v>
      </c>
      <c r="E3200" s="22" t="s">
        <v>207</v>
      </c>
      <c r="F3200" s="107">
        <v>152</v>
      </c>
      <c r="G3200" s="396" t="s">
        <v>4526</v>
      </c>
      <c r="H3200" s="108">
        <v>50</v>
      </c>
      <c r="I3200" s="109">
        <v>3</v>
      </c>
      <c r="J3200" s="8">
        <f>I3200*H3200</f>
        <v>150</v>
      </c>
      <c r="K3200" s="39">
        <v>4.7300000000000004</v>
      </c>
      <c r="L3200" s="39">
        <f t="shared" si="225"/>
        <v>709.50000000000011</v>
      </c>
      <c r="M3200" s="403" t="s">
        <v>322</v>
      </c>
      <c r="N3200" s="33">
        <v>45182</v>
      </c>
      <c r="O3200" s="32">
        <v>5515</v>
      </c>
      <c r="P3200" s="391">
        <f t="shared" si="226"/>
        <v>3.2199999999999998</v>
      </c>
      <c r="Q3200" s="322">
        <v>3.22</v>
      </c>
      <c r="R3200" s="322">
        <f t="shared" si="227"/>
        <v>483.00000000000006</v>
      </c>
      <c r="S3200" s="7">
        <v>340</v>
      </c>
      <c r="T3200" s="7">
        <f t="shared" si="228"/>
        <v>51000</v>
      </c>
      <c r="U3200" s="21"/>
      <c r="V3200" s="260">
        <v>120</v>
      </c>
      <c r="W3200" s="1136">
        <f t="shared" si="224"/>
        <v>0.4009866102889359</v>
      </c>
    </row>
    <row r="3201" spans="2:24" s="7" customFormat="1" ht="18" customHeight="1">
      <c r="B3201" s="12" t="s">
        <v>302</v>
      </c>
      <c r="C3201" s="6" t="s">
        <v>4525</v>
      </c>
      <c r="D3201" s="14" t="s">
        <v>2171</v>
      </c>
      <c r="E3201" s="22" t="s">
        <v>207</v>
      </c>
      <c r="F3201" s="107">
        <v>152</v>
      </c>
      <c r="G3201" s="396" t="s">
        <v>4527</v>
      </c>
      <c r="H3201" s="108">
        <v>63</v>
      </c>
      <c r="I3201" s="109">
        <v>1</v>
      </c>
      <c r="J3201" s="8">
        <f>I3201*H3201</f>
        <v>63</v>
      </c>
      <c r="K3201" s="39">
        <v>4.7300000000000004</v>
      </c>
      <c r="L3201" s="39">
        <f t="shared" si="225"/>
        <v>297.99</v>
      </c>
      <c r="M3201" s="403" t="s">
        <v>322</v>
      </c>
      <c r="N3201" s="33">
        <v>45182</v>
      </c>
      <c r="O3201" s="32">
        <v>5515</v>
      </c>
      <c r="P3201" s="391">
        <f t="shared" si="226"/>
        <v>3.2199999999999998</v>
      </c>
      <c r="Q3201" s="322">
        <v>3.22</v>
      </c>
      <c r="R3201" s="322">
        <f t="shared" si="227"/>
        <v>202.86</v>
      </c>
      <c r="S3201" s="7">
        <v>340</v>
      </c>
      <c r="T3201" s="7">
        <f t="shared" si="228"/>
        <v>21420</v>
      </c>
      <c r="U3201" s="21"/>
      <c r="V3201" s="260">
        <v>120</v>
      </c>
      <c r="W3201" s="1136">
        <f t="shared" si="224"/>
        <v>0.4009866102889359</v>
      </c>
    </row>
    <row r="3202" spans="2:24" s="7" customFormat="1" ht="18" customHeight="1">
      <c r="B3202" s="12" t="s">
        <v>302</v>
      </c>
      <c r="C3202" s="6" t="s">
        <v>4525</v>
      </c>
      <c r="D3202" s="14" t="s">
        <v>2171</v>
      </c>
      <c r="E3202" s="22" t="s">
        <v>207</v>
      </c>
      <c r="F3202" s="107">
        <v>152</v>
      </c>
      <c r="G3202" s="396" t="s">
        <v>4528</v>
      </c>
      <c r="H3202" s="108">
        <v>50</v>
      </c>
      <c r="I3202" s="109">
        <v>1</v>
      </c>
      <c r="J3202" s="8">
        <f>I3202*H3202</f>
        <v>50</v>
      </c>
      <c r="K3202" s="39">
        <v>4.7300000000000004</v>
      </c>
      <c r="L3202" s="39">
        <f t="shared" si="225"/>
        <v>236.50000000000003</v>
      </c>
      <c r="M3202" s="403" t="s">
        <v>322</v>
      </c>
      <c r="N3202" s="33">
        <v>45182</v>
      </c>
      <c r="O3202" s="32">
        <v>5515</v>
      </c>
      <c r="P3202" s="391">
        <f t="shared" si="226"/>
        <v>3.2199999999999998</v>
      </c>
      <c r="Q3202" s="322">
        <v>3.22</v>
      </c>
      <c r="R3202" s="322">
        <f>Q3202*J3202</f>
        <v>161</v>
      </c>
      <c r="S3202" s="7">
        <v>340</v>
      </c>
      <c r="T3202" s="7">
        <f t="shared" si="228"/>
        <v>17000</v>
      </c>
      <c r="U3202" s="21"/>
      <c r="V3202" s="260">
        <v>120</v>
      </c>
      <c r="W3202" s="1136">
        <f t="shared" si="224"/>
        <v>0.4009866102889359</v>
      </c>
    </row>
    <row r="3203" spans="2:24" s="7" customFormat="1" ht="18" customHeight="1">
      <c r="B3203" s="12" t="s">
        <v>302</v>
      </c>
      <c r="C3203" s="6" t="s">
        <v>4525</v>
      </c>
      <c r="D3203" s="14" t="s">
        <v>2171</v>
      </c>
      <c r="E3203" s="22" t="s">
        <v>207</v>
      </c>
      <c r="F3203" s="107">
        <v>152</v>
      </c>
      <c r="G3203" s="396" t="s">
        <v>4529</v>
      </c>
      <c r="H3203" s="108">
        <v>59</v>
      </c>
      <c r="I3203" s="109">
        <v>1</v>
      </c>
      <c r="J3203" s="8">
        <f>I3203*H3203</f>
        <v>59</v>
      </c>
      <c r="K3203" s="39">
        <v>4.7300000000000004</v>
      </c>
      <c r="L3203" s="39">
        <f t="shared" si="225"/>
        <v>279.07000000000005</v>
      </c>
      <c r="M3203" s="403" t="s">
        <v>322</v>
      </c>
      <c r="N3203" s="33">
        <v>45182</v>
      </c>
      <c r="O3203" s="32">
        <v>5515</v>
      </c>
      <c r="P3203" s="391">
        <f t="shared" si="226"/>
        <v>3.2199999999999998</v>
      </c>
      <c r="Q3203" s="322">
        <v>3.22</v>
      </c>
      <c r="R3203" s="322">
        <f>Q3203*J3203</f>
        <v>189.98000000000002</v>
      </c>
      <c r="S3203" s="7">
        <v>340</v>
      </c>
      <c r="T3203" s="7">
        <f t="shared" si="228"/>
        <v>20060</v>
      </c>
      <c r="U3203" s="21"/>
      <c r="V3203" s="260">
        <v>120</v>
      </c>
      <c r="W3203" s="1136">
        <f t="shared" si="224"/>
        <v>0.4009866102889359</v>
      </c>
    </row>
    <row r="3204" spans="2:24" s="7" customFormat="1" ht="18" customHeight="1">
      <c r="B3204" s="12" t="s">
        <v>302</v>
      </c>
      <c r="C3204" s="6" t="s">
        <v>4525</v>
      </c>
      <c r="D3204" s="14" t="s">
        <v>2171</v>
      </c>
      <c r="E3204" s="22" t="s">
        <v>190</v>
      </c>
      <c r="F3204" s="107">
        <v>160</v>
      </c>
      <c r="G3204" s="396" t="s">
        <v>4530</v>
      </c>
      <c r="H3204" s="108">
        <v>50</v>
      </c>
      <c r="I3204" s="109">
        <v>2</v>
      </c>
      <c r="J3204" s="8">
        <f>H3204*I3204</f>
        <v>100</v>
      </c>
      <c r="K3204" s="39">
        <v>5.28</v>
      </c>
      <c r="L3204" s="39">
        <f t="shared" si="225"/>
        <v>528</v>
      </c>
      <c r="M3204" s="117" t="s">
        <v>322</v>
      </c>
      <c r="N3204" s="33">
        <v>45182</v>
      </c>
      <c r="O3204" s="32">
        <v>5515</v>
      </c>
      <c r="P3204" s="391">
        <f t="shared" si="226"/>
        <v>3.5999999999999996</v>
      </c>
      <c r="Q3204" s="322">
        <v>3.6</v>
      </c>
      <c r="R3204" s="322">
        <f>Q3204*J3204</f>
        <v>360</v>
      </c>
      <c r="S3204" s="7">
        <v>380</v>
      </c>
      <c r="T3204" s="7">
        <f t="shared" si="228"/>
        <v>38000</v>
      </c>
      <c r="U3204" s="21"/>
      <c r="V3204" s="260">
        <v>120</v>
      </c>
      <c r="W3204" s="1136">
        <f t="shared" si="224"/>
        <v>0.40025252525252525</v>
      </c>
    </row>
    <row r="3205" spans="2:24" s="7" customFormat="1" ht="18" customHeight="1">
      <c r="B3205" s="12"/>
      <c r="C3205" s="6" t="s">
        <v>4525</v>
      </c>
      <c r="D3205" s="14" t="s">
        <v>2171</v>
      </c>
      <c r="E3205" s="22"/>
      <c r="F3205" s="102"/>
      <c r="G3205" s="22" t="s">
        <v>316</v>
      </c>
      <c r="H3205" s="8"/>
      <c r="I3205" s="35"/>
      <c r="J3205" s="38">
        <v>1</v>
      </c>
      <c r="K3205" s="39">
        <v>20</v>
      </c>
      <c r="L3205" s="39">
        <f t="shared" si="225"/>
        <v>20</v>
      </c>
      <c r="M3205" s="91"/>
      <c r="N3205" s="33">
        <v>45182</v>
      </c>
      <c r="O3205" s="32">
        <v>5515</v>
      </c>
      <c r="P3205" s="6" t="s">
        <v>3</v>
      </c>
      <c r="Q3205" s="39">
        <v>20</v>
      </c>
      <c r="R3205" s="322">
        <f t="shared" si="227"/>
        <v>20</v>
      </c>
      <c r="S3205" s="7">
        <v>1800</v>
      </c>
      <c r="T3205" s="7">
        <f t="shared" si="228"/>
        <v>1800</v>
      </c>
      <c r="U3205" s="21"/>
      <c r="V3205" s="260">
        <v>120</v>
      </c>
      <c r="W3205" s="1136">
        <f t="shared" si="224"/>
        <v>0.25</v>
      </c>
    </row>
    <row r="3206" spans="2:24" s="191" customFormat="1" ht="18" customHeight="1">
      <c r="B3206" s="190"/>
      <c r="C3206" s="179" t="s">
        <v>4525</v>
      </c>
      <c r="D3206" s="180" t="s">
        <v>2171</v>
      </c>
      <c r="E3206" s="181"/>
      <c r="F3206" s="182"/>
      <c r="G3206" s="182" t="s">
        <v>250</v>
      </c>
      <c r="H3206" s="184" t="s">
        <v>252</v>
      </c>
      <c r="I3206" s="185"/>
      <c r="J3206" s="183"/>
      <c r="K3206" s="203">
        <v>763</v>
      </c>
      <c r="L3206" s="203">
        <v>763</v>
      </c>
      <c r="M3206" s="947"/>
      <c r="N3206" s="187">
        <v>45182</v>
      </c>
      <c r="O3206" s="186">
        <v>5515</v>
      </c>
      <c r="P3206" s="179"/>
      <c r="Q3206" s="203">
        <v>763</v>
      </c>
      <c r="R3206" s="203">
        <v>763</v>
      </c>
      <c r="S3206" s="7">
        <v>87631</v>
      </c>
      <c r="T3206" s="7">
        <v>87631</v>
      </c>
      <c r="U3206" s="335"/>
      <c r="V3206" s="260">
        <v>120</v>
      </c>
      <c r="W3206" s="1136">
        <f t="shared" si="224"/>
        <v>4.2911751856705982E-2</v>
      </c>
      <c r="X3206" s="218"/>
    </row>
    <row r="3207" spans="2:24" s="7" customFormat="1" ht="18" customHeight="1">
      <c r="B3207" s="12"/>
      <c r="C3207" s="6" t="s">
        <v>4531</v>
      </c>
      <c r="D3207" s="14" t="s">
        <v>2162</v>
      </c>
      <c r="E3207" s="19" t="s">
        <v>2163</v>
      </c>
      <c r="F3207" s="37"/>
      <c r="G3207" s="37"/>
      <c r="H3207" s="108"/>
      <c r="I3207" s="108"/>
      <c r="J3207" s="108"/>
      <c r="K3207" s="110" t="s">
        <v>5</v>
      </c>
      <c r="L3207" s="139"/>
      <c r="M3207" s="33"/>
      <c r="N3207" s="33">
        <v>45188</v>
      </c>
      <c r="O3207" s="32">
        <v>5519</v>
      </c>
      <c r="P3207" s="6"/>
      <c r="Q3207" s="339"/>
      <c r="U3207" s="21"/>
      <c r="V3207" s="260">
        <v>120</v>
      </c>
      <c r="W3207" s="1136" t="e">
        <f t="shared" si="224"/>
        <v>#VALUE!</v>
      </c>
    </row>
    <row r="3208" spans="2:24" s="7" customFormat="1" ht="18" customHeight="1">
      <c r="B3208" s="12" t="s">
        <v>300</v>
      </c>
      <c r="C3208" s="6" t="s">
        <v>4531</v>
      </c>
      <c r="D3208" s="14" t="s">
        <v>2162</v>
      </c>
      <c r="E3208" s="22">
        <v>5603</v>
      </c>
      <c r="F3208" s="37"/>
      <c r="G3208" s="22" t="s">
        <v>4522</v>
      </c>
      <c r="H3208" s="108">
        <v>50</v>
      </c>
      <c r="I3208" s="950">
        <v>5</v>
      </c>
      <c r="J3208" s="8">
        <f>I3208*H3208</f>
        <v>250</v>
      </c>
      <c r="K3208" s="39">
        <v>0.34</v>
      </c>
      <c r="L3208" s="39">
        <f>K3208*J3208</f>
        <v>85</v>
      </c>
      <c r="M3208" s="117" t="s">
        <v>349</v>
      </c>
      <c r="N3208" s="33">
        <v>45188</v>
      </c>
      <c r="O3208" s="32">
        <v>5519</v>
      </c>
      <c r="P3208" s="391">
        <f>ROUNDUP(S3208/V3208/VLOOKUP(B3208,$C$2:$F$6,3,FALSE),2)</f>
        <v>0.22</v>
      </c>
      <c r="Q3208" s="322">
        <v>0.22</v>
      </c>
      <c r="R3208" s="322">
        <f>Q3208*J3208</f>
        <v>55</v>
      </c>
      <c r="S3208" s="7">
        <v>18.3</v>
      </c>
      <c r="T3208" s="7">
        <f>S3208*J3208</f>
        <v>4575</v>
      </c>
      <c r="U3208" s="21"/>
      <c r="V3208" s="260">
        <v>120</v>
      </c>
      <c r="W3208" s="1136">
        <f t="shared" si="224"/>
        <v>0.55147058823529416</v>
      </c>
    </row>
    <row r="3209" spans="2:24" s="7" customFormat="1" ht="18" customHeight="1">
      <c r="B3209" s="12" t="s">
        <v>300</v>
      </c>
      <c r="C3209" s="6" t="s">
        <v>4531</v>
      </c>
      <c r="D3209" s="14" t="s">
        <v>2162</v>
      </c>
      <c r="E3209" s="22">
        <v>5603</v>
      </c>
      <c r="F3209" s="37"/>
      <c r="G3209" s="22" t="s">
        <v>4521</v>
      </c>
      <c r="H3209" s="108">
        <v>50</v>
      </c>
      <c r="I3209" s="950">
        <v>2</v>
      </c>
      <c r="J3209" s="8">
        <f>I3209*H3209</f>
        <v>100</v>
      </c>
      <c r="K3209" s="39">
        <v>0.34</v>
      </c>
      <c r="L3209" s="39">
        <f>K3209*J3209</f>
        <v>34</v>
      </c>
      <c r="M3209" s="117" t="s">
        <v>349</v>
      </c>
      <c r="N3209" s="33">
        <v>45188</v>
      </c>
      <c r="O3209" s="32">
        <v>5519</v>
      </c>
      <c r="P3209" s="391">
        <f>ROUNDUP(S3209/V3209/VLOOKUP(B3209,$C$2:$F$6,3,FALSE),2)</f>
        <v>0.22</v>
      </c>
      <c r="Q3209" s="322">
        <v>0.22</v>
      </c>
      <c r="R3209" s="322">
        <f>Q3209*J3209</f>
        <v>22</v>
      </c>
      <c r="S3209" s="7">
        <v>18.3</v>
      </c>
      <c r="T3209" s="7">
        <f>S3209*J3209</f>
        <v>1830</v>
      </c>
      <c r="U3209" s="21"/>
      <c r="V3209" s="260">
        <v>120</v>
      </c>
      <c r="W3209" s="1136">
        <f t="shared" si="224"/>
        <v>0.55147058823529416</v>
      </c>
    </row>
    <row r="3210" spans="2:24" s="7" customFormat="1" ht="18" customHeight="1">
      <c r="B3210" s="12" t="s">
        <v>300</v>
      </c>
      <c r="C3210" s="6" t="s">
        <v>4531</v>
      </c>
      <c r="D3210" s="14" t="s">
        <v>2162</v>
      </c>
      <c r="E3210" s="22">
        <v>5603</v>
      </c>
      <c r="F3210" s="37"/>
      <c r="G3210" s="22" t="s">
        <v>4523</v>
      </c>
      <c r="H3210" s="108">
        <v>50</v>
      </c>
      <c r="I3210" s="950">
        <v>3</v>
      </c>
      <c r="J3210" s="8">
        <f>I3210*H3210</f>
        <v>150</v>
      </c>
      <c r="K3210" s="39">
        <v>0.34</v>
      </c>
      <c r="L3210" s="39">
        <f>K3210*J3210</f>
        <v>51.000000000000007</v>
      </c>
      <c r="M3210" s="117" t="s">
        <v>349</v>
      </c>
      <c r="N3210" s="33">
        <v>45188</v>
      </c>
      <c r="O3210" s="32">
        <v>5519</v>
      </c>
      <c r="P3210" s="391">
        <f>ROUNDUP(S3210/V3210/VLOOKUP(B3210,$C$2:$F$6,3,FALSE),2)</f>
        <v>0.22</v>
      </c>
      <c r="Q3210" s="322">
        <v>0.22</v>
      </c>
      <c r="R3210" s="322">
        <f>Q3210*J3210</f>
        <v>33</v>
      </c>
      <c r="S3210" s="7">
        <v>18.3</v>
      </c>
      <c r="T3210" s="7">
        <f>S3210*J3210</f>
        <v>2745</v>
      </c>
      <c r="U3210" s="21"/>
      <c r="V3210" s="260">
        <v>120</v>
      </c>
      <c r="W3210" s="1136">
        <f t="shared" si="224"/>
        <v>0.55147058823529416</v>
      </c>
    </row>
    <row r="3211" spans="2:24" s="7" customFormat="1" ht="18" customHeight="1">
      <c r="B3211" s="12"/>
      <c r="C3211" s="6" t="s">
        <v>4531</v>
      </c>
      <c r="D3211" s="14" t="s">
        <v>2162</v>
      </c>
      <c r="E3211" s="49"/>
      <c r="F3211" s="102"/>
      <c r="G3211" s="22" t="s">
        <v>316</v>
      </c>
      <c r="H3211" s="8"/>
      <c r="I3211" s="35"/>
      <c r="J3211" s="38">
        <v>1</v>
      </c>
      <c r="K3211" s="39">
        <v>12</v>
      </c>
      <c r="L3211" s="39">
        <f>K3211*J3211</f>
        <v>12</v>
      </c>
      <c r="M3211" s="91"/>
      <c r="N3211" s="33">
        <v>45188</v>
      </c>
      <c r="O3211" s="32">
        <v>5519</v>
      </c>
      <c r="P3211" s="6" t="s">
        <v>3</v>
      </c>
      <c r="Q3211" s="322">
        <v>12</v>
      </c>
      <c r="R3211" s="322">
        <v>12</v>
      </c>
      <c r="S3211" s="7">
        <v>1100</v>
      </c>
      <c r="T3211" s="7">
        <f>S3211*J3211</f>
        <v>1100</v>
      </c>
      <c r="U3211" s="21"/>
      <c r="V3211" s="260">
        <v>120</v>
      </c>
      <c r="W3211" s="1136">
        <f t="shared" si="224"/>
        <v>0.2361111111111111</v>
      </c>
    </row>
    <row r="3212" spans="2:24" s="191" customFormat="1" ht="18" customHeight="1">
      <c r="B3212" s="190"/>
      <c r="C3212" s="179" t="s">
        <v>4531</v>
      </c>
      <c r="D3212" s="180" t="s">
        <v>2162</v>
      </c>
      <c r="E3212" s="217"/>
      <c r="F3212" s="182"/>
      <c r="G3212" s="182" t="s">
        <v>250</v>
      </c>
      <c r="H3212" s="184" t="s">
        <v>251</v>
      </c>
      <c r="I3212" s="185"/>
      <c r="J3212" s="183"/>
      <c r="K3212" s="192">
        <v>0</v>
      </c>
      <c r="L3212" s="187"/>
      <c r="M3212" s="187"/>
      <c r="N3212" s="187">
        <v>45188</v>
      </c>
      <c r="O3212" s="186">
        <v>5519</v>
      </c>
      <c r="P3212" s="179"/>
      <c r="Q3212" s="255">
        <v>0</v>
      </c>
      <c r="R3212" s="322">
        <v>0</v>
      </c>
      <c r="S3212" s="275">
        <v>0</v>
      </c>
      <c r="T3212" s="198">
        <v>0</v>
      </c>
      <c r="U3212" s="271"/>
      <c r="V3212" s="260">
        <v>120</v>
      </c>
      <c r="W3212" s="1136" t="e">
        <f>(((K3212*V3212)-S3212)/(K3212*V3212))</f>
        <v>#DIV/0!</v>
      </c>
    </row>
    <row r="3213" spans="2:24" s="7" customFormat="1" ht="18" customHeight="1">
      <c r="B3213" s="12"/>
      <c r="C3213" s="6" t="s">
        <v>4532</v>
      </c>
      <c r="D3213" s="14" t="s">
        <v>2059</v>
      </c>
      <c r="E3213" s="19" t="s">
        <v>2358</v>
      </c>
      <c r="F3213" s="24"/>
      <c r="G3213" s="22"/>
      <c r="H3213" s="60"/>
      <c r="I3213" s="61"/>
      <c r="J3213" s="60"/>
      <c r="K3213" s="16" t="s">
        <v>5</v>
      </c>
      <c r="L3213" s="139"/>
      <c r="M3213" s="33"/>
      <c r="N3213" s="33">
        <v>45195</v>
      </c>
      <c r="O3213" s="32">
        <v>5544</v>
      </c>
      <c r="P3213" s="6" t="s">
        <v>3</v>
      </c>
      <c r="Q3213" s="358"/>
      <c r="U3213" s="120"/>
      <c r="V3213" s="260">
        <v>120</v>
      </c>
      <c r="W3213" s="1136" t="e">
        <f t="shared" si="224"/>
        <v>#VALUE!</v>
      </c>
    </row>
    <row r="3214" spans="2:24" s="7" customFormat="1" ht="18" customHeight="1">
      <c r="B3214" s="12" t="s">
        <v>300</v>
      </c>
      <c r="C3214" s="6" t="s">
        <v>4532</v>
      </c>
      <c r="D3214" s="14" t="s">
        <v>2059</v>
      </c>
      <c r="E3214" s="22" t="s">
        <v>4533</v>
      </c>
      <c r="F3214" s="24"/>
      <c r="G3214" s="22" t="s">
        <v>58</v>
      </c>
      <c r="H3214" s="108"/>
      <c r="I3214" s="109"/>
      <c r="J3214" s="8">
        <v>30</v>
      </c>
      <c r="K3214" s="39">
        <v>3.82</v>
      </c>
      <c r="L3214" s="39">
        <f>K3214*J3214</f>
        <v>114.6</v>
      </c>
      <c r="M3214" s="117" t="s">
        <v>323</v>
      </c>
      <c r="N3214" s="33">
        <v>45195</v>
      </c>
      <c r="O3214" s="32">
        <v>5544</v>
      </c>
      <c r="P3214" s="391">
        <f>ROUNDUP(S3214/V3214/VLOOKUP(B3214,$C$2:$F$6,3,FALSE),2)</f>
        <v>2.46</v>
      </c>
      <c r="Q3214" s="322">
        <v>2.46</v>
      </c>
      <c r="R3214" s="322">
        <f>Q3214*J3214</f>
        <v>73.8</v>
      </c>
      <c r="S3214" s="7">
        <v>206</v>
      </c>
      <c r="T3214" s="7">
        <f>S3214*J3214</f>
        <v>6180</v>
      </c>
      <c r="U3214" s="386"/>
      <c r="V3214" s="260">
        <v>120</v>
      </c>
      <c r="W3214" s="1136">
        <f>(((K3214*V3214)-S3214)/(K3214*V3214))</f>
        <v>0.55061082024432806</v>
      </c>
    </row>
    <row r="3215" spans="2:24" s="7" customFormat="1" ht="18" customHeight="1">
      <c r="B3215" s="12"/>
      <c r="C3215" s="6" t="s">
        <v>4532</v>
      </c>
      <c r="D3215" s="14" t="s">
        <v>2059</v>
      </c>
      <c r="E3215" s="49"/>
      <c r="F3215" s="102"/>
      <c r="G3215" s="22" t="s">
        <v>316</v>
      </c>
      <c r="H3215" s="8"/>
      <c r="I3215" s="35"/>
      <c r="J3215" s="38">
        <v>1</v>
      </c>
      <c r="K3215" s="39">
        <v>12</v>
      </c>
      <c r="L3215" s="39">
        <f>K3215*J3215</f>
        <v>12</v>
      </c>
      <c r="M3215" s="91"/>
      <c r="N3215" s="33">
        <v>45195</v>
      </c>
      <c r="O3215" s="32">
        <v>5544</v>
      </c>
      <c r="P3215" s="6" t="s">
        <v>3</v>
      </c>
      <c r="Q3215" s="322">
        <v>12</v>
      </c>
      <c r="R3215" s="322">
        <v>12</v>
      </c>
      <c r="S3215" s="7">
        <v>900</v>
      </c>
      <c r="T3215" s="7">
        <f>S3215*J3215</f>
        <v>900</v>
      </c>
      <c r="U3215" s="21"/>
      <c r="V3215" s="260">
        <v>120</v>
      </c>
      <c r="W3215" s="1136">
        <f>(((K3215*V3215)-S3215)/(K3215*V3215))</f>
        <v>0.375</v>
      </c>
    </row>
    <row r="3216" spans="2:24" s="191" customFormat="1" ht="18" customHeight="1">
      <c r="B3216" s="190"/>
      <c r="C3216" s="179" t="s">
        <v>4532</v>
      </c>
      <c r="D3216" s="180" t="s">
        <v>2059</v>
      </c>
      <c r="E3216" s="217"/>
      <c r="F3216" s="182"/>
      <c r="G3216" s="182" t="s">
        <v>250</v>
      </c>
      <c r="H3216" s="184" t="s">
        <v>251</v>
      </c>
      <c r="I3216" s="185"/>
      <c r="J3216" s="183"/>
      <c r="K3216" s="192">
        <v>0</v>
      </c>
      <c r="L3216" s="187"/>
      <c r="M3216" s="187"/>
      <c r="N3216" s="187">
        <v>45195</v>
      </c>
      <c r="O3216" s="186">
        <v>5544</v>
      </c>
      <c r="P3216" s="179"/>
      <c r="Q3216" s="255">
        <v>0</v>
      </c>
      <c r="R3216" s="322">
        <v>0</v>
      </c>
      <c r="S3216" s="275">
        <v>0</v>
      </c>
      <c r="T3216" s="198">
        <v>0</v>
      </c>
      <c r="U3216" s="271"/>
      <c r="V3216" s="260">
        <v>120</v>
      </c>
      <c r="W3216" s="1136" t="e">
        <f>(((K3216*V3216)-S3216)/(K3216*V3216))</f>
        <v>#DIV/0!</v>
      </c>
    </row>
    <row r="3217" spans="1:51" s="7" customFormat="1" ht="18" customHeight="1">
      <c r="B3217" s="12"/>
      <c r="C3217" s="6" t="s">
        <v>4573</v>
      </c>
      <c r="D3217" s="14" t="s">
        <v>1963</v>
      </c>
      <c r="E3217" s="19" t="s">
        <v>4553</v>
      </c>
      <c r="F3217" s="24"/>
      <c r="G3217" s="22"/>
      <c r="H3217" s="60"/>
      <c r="I3217" s="61"/>
      <c r="J3217" s="60"/>
      <c r="K3217" s="16" t="s">
        <v>5</v>
      </c>
      <c r="L3217" s="139"/>
      <c r="M3217" s="33"/>
      <c r="N3217" s="33">
        <v>45201</v>
      </c>
      <c r="O3217" s="32">
        <v>5555</v>
      </c>
      <c r="P3217" s="6" t="s">
        <v>3</v>
      </c>
      <c r="Q3217" s="358"/>
      <c r="U3217" s="120"/>
      <c r="V3217" s="260">
        <v>120</v>
      </c>
      <c r="W3217" s="1136" t="e">
        <f>(((K3217*V3217)-S3217)/(K3217*V3217))</f>
        <v>#VALUE!</v>
      </c>
    </row>
    <row r="3218" spans="1:51" s="7" customFormat="1" ht="18" customHeight="1">
      <c r="B3218" s="12" t="s">
        <v>300</v>
      </c>
      <c r="C3218" s="6" t="s">
        <v>4573</v>
      </c>
      <c r="D3218" s="14" t="s">
        <v>1963</v>
      </c>
      <c r="E3218" s="40" t="s">
        <v>4540</v>
      </c>
      <c r="F3218" s="41" t="s">
        <v>4538</v>
      </c>
      <c r="G3218" s="22" t="s">
        <v>4554</v>
      </c>
      <c r="H3218" s="108">
        <v>20</v>
      </c>
      <c r="I3218" s="950">
        <v>1</v>
      </c>
      <c r="J3218" s="8">
        <f>I3218*H3218</f>
        <v>20</v>
      </c>
      <c r="K3218" s="39">
        <v>3.39</v>
      </c>
      <c r="L3218" s="39">
        <f>K3218*J3218</f>
        <v>67.8</v>
      </c>
      <c r="M3218" s="117" t="s">
        <v>323</v>
      </c>
      <c r="N3218" s="33">
        <v>45201</v>
      </c>
      <c r="O3218" s="32">
        <v>5555</v>
      </c>
      <c r="P3218" s="391">
        <f>ROUNDUP(S3218/V3218/VLOOKUP(B3218,$C$2:$F$6,3,FALSE),2)</f>
        <v>2.6599999999999997</v>
      </c>
      <c r="Q3218" s="322">
        <v>2.66</v>
      </c>
      <c r="R3218" s="322">
        <f>Q3218*J3218</f>
        <v>53.2</v>
      </c>
      <c r="S3218" s="7">
        <v>214</v>
      </c>
      <c r="T3218" s="7">
        <f>S3218*J3218</f>
        <v>4280</v>
      </c>
      <c r="U3218" s="386"/>
      <c r="V3218" s="260">
        <v>115</v>
      </c>
      <c r="W3218" s="1136">
        <f t="shared" ref="W3218:W3239" si="229">(((K3218*V3218)-S3218)/(K3218*V3218))</f>
        <v>0.45107092471463389</v>
      </c>
    </row>
    <row r="3219" spans="1:51" s="7" customFormat="1" ht="18" customHeight="1">
      <c r="B3219" s="12"/>
      <c r="C3219" s="6" t="s">
        <v>4573</v>
      </c>
      <c r="D3219" s="14" t="s">
        <v>1963</v>
      </c>
      <c r="E3219" s="19" t="s">
        <v>4555</v>
      </c>
      <c r="F3219" s="24"/>
      <c r="G3219" s="22"/>
      <c r="H3219" s="60"/>
      <c r="I3219" s="61"/>
      <c r="J3219" s="60"/>
      <c r="K3219" s="16" t="s">
        <v>5</v>
      </c>
      <c r="L3219" s="139"/>
      <c r="M3219" s="33"/>
      <c r="N3219" s="33">
        <v>45201</v>
      </c>
      <c r="O3219" s="32">
        <v>5555</v>
      </c>
      <c r="P3219" s="6" t="s">
        <v>3</v>
      </c>
      <c r="Q3219" s="358"/>
      <c r="U3219" s="120"/>
      <c r="V3219" s="260">
        <v>115</v>
      </c>
      <c r="W3219" s="1136" t="e">
        <f t="shared" si="229"/>
        <v>#VALUE!</v>
      </c>
    </row>
    <row r="3220" spans="1:51" s="7" customFormat="1" ht="18" customHeight="1">
      <c r="B3220" s="12" t="s">
        <v>300</v>
      </c>
      <c r="C3220" s="6" t="s">
        <v>4573</v>
      </c>
      <c r="D3220" s="14" t="s">
        <v>1963</v>
      </c>
      <c r="E3220" s="40" t="s">
        <v>4542</v>
      </c>
      <c r="F3220" s="41" t="s">
        <v>4538</v>
      </c>
      <c r="G3220" s="22" t="s">
        <v>4556</v>
      </c>
      <c r="H3220" s="108">
        <v>25</v>
      </c>
      <c r="I3220" s="950">
        <v>1</v>
      </c>
      <c r="J3220" s="8">
        <f>I3220*H3220</f>
        <v>25</v>
      </c>
      <c r="K3220" s="39">
        <v>3.12</v>
      </c>
      <c r="L3220" s="39">
        <f>K3220*J3220</f>
        <v>78</v>
      </c>
      <c r="M3220" s="117" t="s">
        <v>323</v>
      </c>
      <c r="N3220" s="33">
        <v>45201</v>
      </c>
      <c r="O3220" s="32">
        <v>5555</v>
      </c>
      <c r="P3220" s="391">
        <f>ROUNDUP(S3220/V3220/VLOOKUP(B3220,$C$2:$F$6,3,FALSE),2)</f>
        <v>2.25</v>
      </c>
      <c r="Q3220" s="322">
        <v>2.25</v>
      </c>
      <c r="R3220" s="322">
        <f>Q3220*J3220</f>
        <v>56.25</v>
      </c>
      <c r="S3220" s="7">
        <v>181</v>
      </c>
      <c r="T3220" s="7">
        <f>S3220*J3220</f>
        <v>4525</v>
      </c>
      <c r="U3220" s="386"/>
      <c r="V3220" s="260">
        <v>115</v>
      </c>
      <c r="W3220" s="1136">
        <f>(((K3220*V3220)-S3220)/(K3220*V3220))</f>
        <v>0.49554069119286515</v>
      </c>
    </row>
    <row r="3221" spans="1:51" s="7" customFormat="1" ht="18" customHeight="1">
      <c r="B3221" s="12"/>
      <c r="C3221" s="6" t="s">
        <v>4573</v>
      </c>
      <c r="D3221" s="14" t="s">
        <v>1963</v>
      </c>
      <c r="E3221" s="49"/>
      <c r="F3221" s="102"/>
      <c r="G3221" s="22" t="s">
        <v>316</v>
      </c>
      <c r="H3221" s="8"/>
      <c r="I3221" s="35"/>
      <c r="J3221" s="38">
        <v>1</v>
      </c>
      <c r="K3221" s="39">
        <v>12</v>
      </c>
      <c r="L3221" s="39">
        <f>K3221*J3221</f>
        <v>12</v>
      </c>
      <c r="M3221" s="91"/>
      <c r="N3221" s="33">
        <v>45201</v>
      </c>
      <c r="O3221" s="32">
        <v>5555</v>
      </c>
      <c r="P3221" s="6" t="s">
        <v>3</v>
      </c>
      <c r="Q3221" s="322">
        <v>12</v>
      </c>
      <c r="R3221" s="322">
        <v>12</v>
      </c>
      <c r="S3221" s="7">
        <v>600</v>
      </c>
      <c r="T3221" s="7">
        <f>S3221*J3221</f>
        <v>600</v>
      </c>
      <c r="U3221" s="21"/>
      <c r="V3221" s="260">
        <v>115</v>
      </c>
      <c r="W3221" s="1136">
        <f t="shared" si="229"/>
        <v>0.56521739130434778</v>
      </c>
    </row>
    <row r="3222" spans="1:51" s="191" customFormat="1" ht="18" customHeight="1">
      <c r="B3222" s="190"/>
      <c r="C3222" s="179" t="s">
        <v>4573</v>
      </c>
      <c r="D3222" s="180" t="s">
        <v>1963</v>
      </c>
      <c r="E3222" s="217"/>
      <c r="F3222" s="182"/>
      <c r="G3222" s="182" t="s">
        <v>250</v>
      </c>
      <c r="H3222" s="184" t="s">
        <v>251</v>
      </c>
      <c r="I3222" s="185"/>
      <c r="J3222" s="183"/>
      <c r="K3222" s="192">
        <v>0</v>
      </c>
      <c r="L3222" s="187"/>
      <c r="M3222" s="187"/>
      <c r="N3222" s="187">
        <v>45201</v>
      </c>
      <c r="O3222" s="186">
        <v>5555</v>
      </c>
      <c r="P3222" s="179"/>
      <c r="Q3222" s="255">
        <v>0</v>
      </c>
      <c r="R3222" s="322">
        <v>0</v>
      </c>
      <c r="S3222" s="275">
        <v>0</v>
      </c>
      <c r="T3222" s="198">
        <v>0</v>
      </c>
      <c r="U3222" s="271"/>
      <c r="V3222" s="260">
        <v>115</v>
      </c>
      <c r="W3222" s="1136" t="e">
        <f t="shared" si="229"/>
        <v>#DIV/0!</v>
      </c>
    </row>
    <row r="3223" spans="1:51" customFormat="1" ht="18" customHeight="1">
      <c r="A3223" s="1"/>
      <c r="B3223" s="26"/>
      <c r="C3223" s="6" t="s">
        <v>4557</v>
      </c>
      <c r="D3223" s="14" t="s">
        <v>3238</v>
      </c>
      <c r="E3223" s="19" t="s">
        <v>59</v>
      </c>
      <c r="F3223" s="107"/>
      <c r="G3223" s="22"/>
      <c r="H3223" s="108"/>
      <c r="I3223" s="109"/>
      <c r="J3223" s="108"/>
      <c r="K3223" s="110" t="s">
        <v>5</v>
      </c>
      <c r="L3223" s="33"/>
      <c r="M3223" s="33"/>
      <c r="N3223" s="33">
        <v>45202</v>
      </c>
      <c r="O3223" s="32">
        <v>5558</v>
      </c>
      <c r="P3223" s="14"/>
      <c r="Q3223" s="254"/>
      <c r="R3223" s="1"/>
      <c r="S3223" s="261"/>
      <c r="T3223" s="92"/>
      <c r="U3223" s="264"/>
      <c r="V3223" s="260">
        <v>120</v>
      </c>
      <c r="W3223" s="1136" t="e">
        <f t="shared" si="229"/>
        <v>#VALUE!</v>
      </c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1"/>
      <c r="AI3223" s="1"/>
      <c r="AJ3223" s="1"/>
      <c r="AK3223" s="1"/>
      <c r="AL3223" s="1"/>
      <c r="AM3223" s="1"/>
      <c r="AN3223" s="1"/>
      <c r="AO3223" s="1"/>
      <c r="AP3223" s="1"/>
      <c r="AQ3223" s="1"/>
      <c r="AR3223" s="1"/>
      <c r="AS3223" s="1"/>
      <c r="AT3223" s="1"/>
      <c r="AU3223" s="1"/>
      <c r="AV3223" s="1"/>
      <c r="AW3223" s="1"/>
      <c r="AX3223" s="1"/>
      <c r="AY3223" s="1"/>
    </row>
    <row r="3224" spans="1:51" customFormat="1" ht="18" customHeight="1">
      <c r="B3224" s="12" t="s">
        <v>302</v>
      </c>
      <c r="C3224" s="6" t="s">
        <v>4557</v>
      </c>
      <c r="D3224" s="14" t="s">
        <v>3238</v>
      </c>
      <c r="E3224" s="22">
        <v>2440</v>
      </c>
      <c r="F3224" s="107">
        <v>140</v>
      </c>
      <c r="G3224" s="22" t="s">
        <v>4349</v>
      </c>
      <c r="H3224" s="108">
        <v>68</v>
      </c>
      <c r="I3224" s="109">
        <v>2</v>
      </c>
      <c r="J3224" s="8">
        <f>H3224*I3224</f>
        <v>136</v>
      </c>
      <c r="K3224" s="39">
        <v>3.19</v>
      </c>
      <c r="L3224" s="39">
        <f>K3224*J3224</f>
        <v>433.84</v>
      </c>
      <c r="M3224" s="117" t="s">
        <v>323</v>
      </c>
      <c r="N3224" s="33">
        <v>45202</v>
      </c>
      <c r="O3224" s="32">
        <v>5558</v>
      </c>
      <c r="P3224" s="391">
        <f>ROUNDUP(S3224/V3224/VLOOKUP(B3224,$C$2:$F$6,3,FALSE),2)</f>
        <v>2.8499999999999996</v>
      </c>
      <c r="Q3224" s="254">
        <v>2.85</v>
      </c>
      <c r="R3224" s="323">
        <f>Q3224*J3224</f>
        <v>387.6</v>
      </c>
      <c r="S3224" s="257">
        <v>300</v>
      </c>
      <c r="T3224" s="287">
        <f>S3224*J3224</f>
        <v>40800</v>
      </c>
      <c r="U3224" s="264"/>
      <c r="V3224" s="260">
        <v>120</v>
      </c>
      <c r="W3224" s="1136">
        <f t="shared" si="229"/>
        <v>0.21630094043887149</v>
      </c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1"/>
      <c r="AI3224" s="1"/>
      <c r="AJ3224" s="1"/>
      <c r="AK3224" s="1"/>
      <c r="AL3224" s="1"/>
      <c r="AM3224" s="1"/>
      <c r="AN3224" s="1"/>
      <c r="AO3224" s="1"/>
      <c r="AP3224" s="1"/>
      <c r="AQ3224" s="1"/>
      <c r="AR3224" s="1"/>
      <c r="AS3224" s="1"/>
      <c r="AT3224" s="1"/>
      <c r="AU3224" s="1"/>
      <c r="AV3224" s="1"/>
      <c r="AW3224" s="1"/>
      <c r="AX3224" s="1"/>
      <c r="AY3224" s="1"/>
    </row>
    <row r="3225" spans="1:51" s="7" customFormat="1" ht="15">
      <c r="B3225" s="12"/>
      <c r="C3225" s="6" t="s">
        <v>4557</v>
      </c>
      <c r="D3225" s="14" t="s">
        <v>3238</v>
      </c>
      <c r="E3225" s="49"/>
      <c r="F3225" s="102"/>
      <c r="G3225" s="22" t="s">
        <v>316</v>
      </c>
      <c r="H3225" s="38"/>
      <c r="I3225" s="35"/>
      <c r="J3225" s="38">
        <v>1</v>
      </c>
      <c r="K3225" s="39">
        <v>20</v>
      </c>
      <c r="L3225" s="39">
        <f>K3225*J3225</f>
        <v>20</v>
      </c>
      <c r="M3225" s="91"/>
      <c r="N3225" s="33">
        <v>45202</v>
      </c>
      <c r="O3225" s="32">
        <v>5558</v>
      </c>
      <c r="P3225" s="722"/>
      <c r="Q3225" s="322">
        <v>20</v>
      </c>
      <c r="R3225" s="322">
        <f>Q3225*J3225</f>
        <v>20</v>
      </c>
      <c r="S3225" s="7">
        <v>1800</v>
      </c>
      <c r="T3225" s="7">
        <f>S3225*J3225</f>
        <v>1800</v>
      </c>
      <c r="U3225" s="21"/>
      <c r="V3225" s="260">
        <v>120</v>
      </c>
      <c r="W3225" s="1136">
        <f t="shared" si="229"/>
        <v>0.25</v>
      </c>
    </row>
    <row r="3226" spans="1:51" s="191" customFormat="1" ht="15">
      <c r="B3226" s="190"/>
      <c r="C3226" s="179" t="s">
        <v>4557</v>
      </c>
      <c r="D3226" s="180" t="s">
        <v>3238</v>
      </c>
      <c r="E3226" s="181"/>
      <c r="F3226" s="182"/>
      <c r="G3226" s="182" t="s">
        <v>2738</v>
      </c>
      <c r="H3226" s="184" t="s">
        <v>252</v>
      </c>
      <c r="I3226" s="185"/>
      <c r="J3226" s="183"/>
      <c r="K3226" s="192">
        <v>0</v>
      </c>
      <c r="L3226" s="187"/>
      <c r="M3226" s="187"/>
      <c r="N3226" s="187">
        <v>45202</v>
      </c>
      <c r="O3226" s="186">
        <v>5558</v>
      </c>
      <c r="P3226" s="179"/>
      <c r="Q3226" s="203"/>
      <c r="R3226" s="203"/>
      <c r="S3226" s="203"/>
      <c r="T3226" s="203"/>
      <c r="U3226" s="271"/>
      <c r="V3226" s="260">
        <v>120</v>
      </c>
      <c r="W3226" s="1136" t="e">
        <f t="shared" si="229"/>
        <v>#DIV/0!</v>
      </c>
    </row>
    <row r="3227" spans="1:51" s="7" customFormat="1" ht="18" customHeight="1">
      <c r="B3227" s="12"/>
      <c r="C3227" s="6" t="s">
        <v>4558</v>
      </c>
      <c r="D3227" s="14" t="s">
        <v>2059</v>
      </c>
      <c r="E3227" s="19" t="s">
        <v>2358</v>
      </c>
      <c r="F3227" s="24"/>
      <c r="G3227" s="22"/>
      <c r="H3227" s="60"/>
      <c r="I3227" s="61"/>
      <c r="J3227" s="60"/>
      <c r="K3227" s="16" t="s">
        <v>5</v>
      </c>
      <c r="L3227" s="139"/>
      <c r="M3227" s="33"/>
      <c r="N3227" s="33">
        <v>45203</v>
      </c>
      <c r="O3227" s="32">
        <v>5556</v>
      </c>
      <c r="P3227" s="6" t="s">
        <v>3</v>
      </c>
      <c r="Q3227" s="358"/>
      <c r="U3227" s="120"/>
      <c r="V3227" s="260">
        <v>120</v>
      </c>
      <c r="W3227" s="1136" t="e">
        <f t="shared" si="229"/>
        <v>#VALUE!</v>
      </c>
    </row>
    <row r="3228" spans="1:51" s="7" customFormat="1" ht="18" customHeight="1">
      <c r="B3228" s="12" t="s">
        <v>300</v>
      </c>
      <c r="C3228" s="6" t="s">
        <v>4558</v>
      </c>
      <c r="D3228" s="14" t="s">
        <v>2059</v>
      </c>
      <c r="E3228" s="22" t="s">
        <v>4559</v>
      </c>
      <c r="F3228" s="24"/>
      <c r="G3228" s="22" t="s">
        <v>58</v>
      </c>
      <c r="H3228" s="108"/>
      <c r="I3228" s="109"/>
      <c r="J3228" s="8">
        <v>50</v>
      </c>
      <c r="K3228" s="39">
        <v>4.13</v>
      </c>
      <c r="L3228" s="39">
        <f t="shared" ref="L3228:L3233" si="230">K3228*J3228</f>
        <v>206.5</v>
      </c>
      <c r="M3228" s="117" t="s">
        <v>323</v>
      </c>
      <c r="N3228" s="33">
        <v>45203</v>
      </c>
      <c r="O3228" s="32">
        <v>5556</v>
      </c>
      <c r="P3228" s="391">
        <f>ROUNDUP(S3228/V3228/VLOOKUP(B3228,$C$2:$F$6,3,FALSE),2)</f>
        <v>2.6599999999999997</v>
      </c>
      <c r="Q3228" s="322">
        <v>2.66</v>
      </c>
      <c r="R3228" s="322">
        <f>Q3228*J3228</f>
        <v>133</v>
      </c>
      <c r="S3228" s="7">
        <v>223</v>
      </c>
      <c r="T3228" s="7">
        <f t="shared" ref="T3228:T3233" si="231">S3228*J3228</f>
        <v>11150</v>
      </c>
      <c r="U3228" s="386"/>
      <c r="V3228" s="260">
        <v>120</v>
      </c>
      <c r="W3228" s="1136">
        <f t="shared" si="229"/>
        <v>0.55004035512510085</v>
      </c>
    </row>
    <row r="3229" spans="1:51" s="7" customFormat="1" ht="18" customHeight="1">
      <c r="B3229" s="12"/>
      <c r="C3229" s="6" t="s">
        <v>4558</v>
      </c>
      <c r="D3229" s="14" t="s">
        <v>2059</v>
      </c>
      <c r="E3229" s="49"/>
      <c r="F3229" s="102"/>
      <c r="G3229" s="22" t="s">
        <v>316</v>
      </c>
      <c r="H3229" s="8"/>
      <c r="I3229" s="35"/>
      <c r="J3229" s="38">
        <v>1</v>
      </c>
      <c r="K3229" s="39">
        <v>12</v>
      </c>
      <c r="L3229" s="39">
        <f t="shared" si="230"/>
        <v>12</v>
      </c>
      <c r="M3229" s="91"/>
      <c r="N3229" s="33">
        <v>45203</v>
      </c>
      <c r="O3229" s="32">
        <v>5556</v>
      </c>
      <c r="P3229" s="6" t="s">
        <v>3</v>
      </c>
      <c r="Q3229" s="322">
        <v>12</v>
      </c>
      <c r="R3229" s="322">
        <v>12</v>
      </c>
      <c r="S3229" s="7">
        <v>0</v>
      </c>
      <c r="T3229" s="7">
        <f t="shared" si="231"/>
        <v>0</v>
      </c>
      <c r="U3229" s="21"/>
      <c r="V3229" s="260">
        <v>120</v>
      </c>
      <c r="W3229" s="1136">
        <f t="shared" ref="W3229:W3235" si="232">(((K3229*V3229)-S3229)/(K3229*V3229))</f>
        <v>1</v>
      </c>
    </row>
    <row r="3230" spans="1:51" s="7" customFormat="1" ht="18" customHeight="1">
      <c r="B3230" s="12" t="s">
        <v>300</v>
      </c>
      <c r="C3230" s="6" t="s">
        <v>4558</v>
      </c>
      <c r="D3230" s="14" t="s">
        <v>2059</v>
      </c>
      <c r="E3230" s="22" t="s">
        <v>4559</v>
      </c>
      <c r="F3230" s="24"/>
      <c r="G3230" s="22" t="s">
        <v>4572</v>
      </c>
      <c r="H3230" s="108"/>
      <c r="I3230" s="109"/>
      <c r="J3230" s="8">
        <v>50</v>
      </c>
      <c r="K3230" s="39">
        <v>4.13</v>
      </c>
      <c r="L3230" s="39">
        <f t="shared" si="230"/>
        <v>206.5</v>
      </c>
      <c r="M3230" s="117" t="s">
        <v>323</v>
      </c>
      <c r="N3230" s="33">
        <v>45216</v>
      </c>
      <c r="O3230" s="32">
        <v>5596</v>
      </c>
      <c r="P3230" s="391">
        <f>ROUNDUP(S3230/V3230/VLOOKUP(B3230,$C$2:$F$6,3,FALSE),2)</f>
        <v>2.6599999999999997</v>
      </c>
      <c r="Q3230" s="322">
        <v>2.66</v>
      </c>
      <c r="R3230" s="322">
        <f>Q3230*J3230</f>
        <v>133</v>
      </c>
      <c r="S3230" s="7">
        <v>223</v>
      </c>
      <c r="T3230" s="7">
        <f t="shared" si="231"/>
        <v>11150</v>
      </c>
      <c r="U3230" s="386"/>
      <c r="V3230" s="260">
        <v>120</v>
      </c>
      <c r="W3230" s="1136">
        <f t="shared" si="232"/>
        <v>0.55004035512510085</v>
      </c>
    </row>
    <row r="3231" spans="1:51" s="7" customFormat="1" ht="18" customHeight="1">
      <c r="B3231" s="12" t="s">
        <v>4561</v>
      </c>
      <c r="C3231" s="6" t="s">
        <v>4558</v>
      </c>
      <c r="D3231" s="14" t="s">
        <v>2059</v>
      </c>
      <c r="E3231" s="22"/>
      <c r="F3231" s="102"/>
      <c r="G3231" s="22" t="s">
        <v>4560</v>
      </c>
      <c r="H3231" s="8"/>
      <c r="I3231" s="35"/>
      <c r="J3231" s="38">
        <v>1</v>
      </c>
      <c r="K3231" s="39">
        <v>100</v>
      </c>
      <c r="L3231" s="39">
        <f t="shared" si="230"/>
        <v>100</v>
      </c>
      <c r="M3231" s="91"/>
      <c r="N3231" s="33">
        <v>45216</v>
      </c>
      <c r="O3231" s="32">
        <v>5596</v>
      </c>
      <c r="P3231" s="391">
        <f>ROUNDUP(S3231/V3231/VLOOKUP(B3231,$C$2:$F$6,3,FALSE),2)</f>
        <v>85.23</v>
      </c>
      <c r="Q3231" s="322">
        <v>85.23</v>
      </c>
      <c r="R3231" s="322">
        <f>Q3231*J3231</f>
        <v>85.23</v>
      </c>
      <c r="S3231" s="7">
        <v>9000</v>
      </c>
      <c r="T3231" s="7">
        <f t="shared" si="231"/>
        <v>9000</v>
      </c>
      <c r="U3231" s="21"/>
      <c r="V3231" s="260">
        <v>120</v>
      </c>
      <c r="W3231" s="1136">
        <f t="shared" si="232"/>
        <v>0.25</v>
      </c>
    </row>
    <row r="3232" spans="1:51" s="7" customFormat="1" ht="18" customHeight="1">
      <c r="B3232" s="12" t="s">
        <v>300</v>
      </c>
      <c r="C3232" s="6" t="s">
        <v>4558</v>
      </c>
      <c r="D3232" s="14" t="s">
        <v>2059</v>
      </c>
      <c r="E3232" s="22" t="s">
        <v>4559</v>
      </c>
      <c r="F3232" s="102"/>
      <c r="G3232" s="22" t="s">
        <v>4574</v>
      </c>
      <c r="H3232" s="8"/>
      <c r="I3232" s="35"/>
      <c r="J3232" s="8">
        <v>5</v>
      </c>
      <c r="K3232" s="39">
        <v>4.13</v>
      </c>
      <c r="L3232" s="39">
        <f t="shared" si="230"/>
        <v>20.65</v>
      </c>
      <c r="M3232" s="117" t="s">
        <v>323</v>
      </c>
      <c r="N3232" s="33">
        <v>45216</v>
      </c>
      <c r="O3232" s="32">
        <v>5596</v>
      </c>
      <c r="P3232" s="391">
        <f>ROUNDUP(S3232/V3232/VLOOKUP(B3232,$C$2:$F$6,3,FALSE),2)</f>
        <v>2.6599999999999997</v>
      </c>
      <c r="Q3232" s="322">
        <v>2.66</v>
      </c>
      <c r="R3232" s="322">
        <f>Q3232*J3232</f>
        <v>13.3</v>
      </c>
      <c r="S3232" s="7">
        <v>223</v>
      </c>
      <c r="T3232" s="7">
        <f t="shared" si="231"/>
        <v>1115</v>
      </c>
      <c r="U3232" s="386"/>
      <c r="V3232" s="260">
        <v>120</v>
      </c>
      <c r="W3232" s="1136">
        <f t="shared" si="232"/>
        <v>0.55004035512510085</v>
      </c>
    </row>
    <row r="3233" spans="2:23" s="7" customFormat="1" ht="18" customHeight="1">
      <c r="B3233" s="12" t="s">
        <v>306</v>
      </c>
      <c r="C3233" s="6" t="s">
        <v>4558</v>
      </c>
      <c r="D3233" s="14" t="s">
        <v>2059</v>
      </c>
      <c r="E3233" s="49"/>
      <c r="F3233" s="102"/>
      <c r="G3233" s="22" t="s">
        <v>4575</v>
      </c>
      <c r="H3233" s="8"/>
      <c r="I3233" s="35"/>
      <c r="J3233" s="38">
        <v>1</v>
      </c>
      <c r="K3233" s="39">
        <v>100</v>
      </c>
      <c r="L3233" s="39">
        <f t="shared" si="230"/>
        <v>100</v>
      </c>
      <c r="M3233" s="91"/>
      <c r="N3233" s="33">
        <v>45216</v>
      </c>
      <c r="O3233" s="32">
        <v>5596</v>
      </c>
      <c r="P3233" s="391">
        <f>ROUNDUP(S3233/V3233/VLOOKUP(B3233,$C$2:$F$6,3,FALSE),2)</f>
        <v>85.23</v>
      </c>
      <c r="Q3233" s="322">
        <v>85.23</v>
      </c>
      <c r="R3233" s="322">
        <f>Q3233*J3233</f>
        <v>85.23</v>
      </c>
      <c r="S3233" s="7">
        <v>9000</v>
      </c>
      <c r="T3233" s="7">
        <f t="shared" si="231"/>
        <v>9000</v>
      </c>
      <c r="U3233" s="21"/>
      <c r="V3233" s="260">
        <v>120</v>
      </c>
      <c r="W3233" s="1136">
        <f t="shared" si="232"/>
        <v>0.25</v>
      </c>
    </row>
    <row r="3234" spans="2:23" s="7" customFormat="1" ht="18" customHeight="1">
      <c r="B3234" s="12"/>
      <c r="C3234" s="6" t="s">
        <v>4558</v>
      </c>
      <c r="D3234" s="14" t="s">
        <v>2059</v>
      </c>
      <c r="E3234" s="19" t="s">
        <v>4555</v>
      </c>
      <c r="F3234" s="24"/>
      <c r="G3234" s="22"/>
      <c r="H3234" s="60"/>
      <c r="I3234" s="61"/>
      <c r="J3234" s="60"/>
      <c r="K3234" s="16" t="s">
        <v>5</v>
      </c>
      <c r="L3234" s="139"/>
      <c r="M3234" s="33"/>
      <c r="N3234" s="33">
        <v>45203</v>
      </c>
      <c r="O3234" s="32">
        <v>5556</v>
      </c>
      <c r="P3234" s="6" t="s">
        <v>3</v>
      </c>
      <c r="Q3234" s="358"/>
      <c r="U3234" s="120"/>
      <c r="V3234" s="260">
        <v>120</v>
      </c>
      <c r="W3234" s="1136" t="e">
        <f t="shared" si="232"/>
        <v>#VALUE!</v>
      </c>
    </row>
    <row r="3235" spans="2:23" s="7" customFormat="1" ht="18" customHeight="1">
      <c r="B3235" s="12" t="s">
        <v>300</v>
      </c>
      <c r="C3235" s="6" t="s">
        <v>4558</v>
      </c>
      <c r="D3235" s="14" t="s">
        <v>2059</v>
      </c>
      <c r="E3235" s="40" t="s">
        <v>4562</v>
      </c>
      <c r="F3235" s="112" t="s">
        <v>4563</v>
      </c>
      <c r="G3235" s="22" t="s">
        <v>4556</v>
      </c>
      <c r="H3235" s="108">
        <v>25</v>
      </c>
      <c r="I3235" s="950">
        <v>2</v>
      </c>
      <c r="J3235" s="8">
        <f>I3235*H3235</f>
        <v>50</v>
      </c>
      <c r="K3235" s="39">
        <v>2.13</v>
      </c>
      <c r="L3235" s="39">
        <f>K3235*J3235</f>
        <v>106.5</v>
      </c>
      <c r="M3235" s="117" t="s">
        <v>323</v>
      </c>
      <c r="N3235" s="33">
        <v>45203</v>
      </c>
      <c r="O3235" s="32">
        <v>5556</v>
      </c>
      <c r="P3235" s="391">
        <f>ROUNDUP(S3235/V3235/VLOOKUP(B3235,$C$2:$F$6,3,FALSE),2)</f>
        <v>1.37</v>
      </c>
      <c r="Q3235" s="322">
        <v>1.37</v>
      </c>
      <c r="R3235" s="322">
        <f>Q3235*J3235</f>
        <v>68.5</v>
      </c>
      <c r="S3235" s="7">
        <v>115</v>
      </c>
      <c r="T3235" s="7">
        <f>S3235*J3235</f>
        <v>5750</v>
      </c>
      <c r="U3235" s="386"/>
      <c r="V3235" s="260">
        <v>120</v>
      </c>
      <c r="W3235" s="1136">
        <f t="shared" si="232"/>
        <v>0.5500782472613458</v>
      </c>
    </row>
    <row r="3236" spans="2:23" s="7" customFormat="1" ht="18" customHeight="1">
      <c r="B3236" s="12"/>
      <c r="C3236" s="6" t="s">
        <v>4558</v>
      </c>
      <c r="D3236" s="14" t="s">
        <v>2059</v>
      </c>
      <c r="E3236" s="49"/>
      <c r="F3236" s="102"/>
      <c r="G3236" s="22" t="s">
        <v>316</v>
      </c>
      <c r="H3236" s="8"/>
      <c r="I3236" s="35"/>
      <c r="J3236" s="38">
        <v>1</v>
      </c>
      <c r="K3236" s="39">
        <v>12</v>
      </c>
      <c r="L3236" s="39">
        <f>K3236*J3236</f>
        <v>12</v>
      </c>
      <c r="M3236" s="91"/>
      <c r="N3236" s="33">
        <v>45203</v>
      </c>
      <c r="O3236" s="32">
        <v>5556</v>
      </c>
      <c r="P3236" s="6" t="s">
        <v>3</v>
      </c>
      <c r="Q3236" s="322">
        <v>12</v>
      </c>
      <c r="R3236" s="322">
        <v>12</v>
      </c>
      <c r="S3236" s="7">
        <v>0</v>
      </c>
      <c r="T3236" s="7">
        <f>S3236*J3236</f>
        <v>0</v>
      </c>
      <c r="U3236" s="21"/>
      <c r="V3236" s="260">
        <v>120</v>
      </c>
      <c r="W3236" s="1136">
        <f t="shared" si="229"/>
        <v>1</v>
      </c>
    </row>
    <row r="3237" spans="2:23" s="191" customFormat="1" ht="18" customHeight="1">
      <c r="B3237" s="190"/>
      <c r="C3237" s="179" t="s">
        <v>4558</v>
      </c>
      <c r="D3237" s="180" t="s">
        <v>2059</v>
      </c>
      <c r="E3237" s="217"/>
      <c r="F3237" s="182"/>
      <c r="G3237" s="182" t="s">
        <v>250</v>
      </c>
      <c r="H3237" s="184" t="s">
        <v>251</v>
      </c>
      <c r="I3237" s="185"/>
      <c r="J3237" s="183"/>
      <c r="K3237" s="192">
        <v>0</v>
      </c>
      <c r="L3237" s="187"/>
      <c r="M3237" s="187"/>
      <c r="N3237" s="187">
        <v>45203</v>
      </c>
      <c r="O3237" s="186">
        <v>5556</v>
      </c>
      <c r="P3237" s="179"/>
      <c r="Q3237" s="255">
        <v>0</v>
      </c>
      <c r="R3237" s="322">
        <v>0</v>
      </c>
      <c r="S3237" s="275">
        <v>0</v>
      </c>
      <c r="T3237" s="198">
        <v>0</v>
      </c>
      <c r="U3237" s="271"/>
      <c r="V3237" s="260">
        <v>120</v>
      </c>
      <c r="W3237" s="1136" t="e">
        <f t="shared" si="229"/>
        <v>#DIV/0!</v>
      </c>
    </row>
    <row r="3238" spans="2:23" ht="15">
      <c r="C3238" s="6" t="s">
        <v>4566</v>
      </c>
      <c r="D3238" s="14" t="s">
        <v>4581</v>
      </c>
      <c r="E3238" s="19" t="s">
        <v>4567</v>
      </c>
      <c r="F3238" s="107"/>
      <c r="G3238" s="22"/>
      <c r="H3238" s="108"/>
      <c r="I3238" s="109"/>
      <c r="J3238" s="108"/>
      <c r="K3238" s="110" t="s">
        <v>5</v>
      </c>
      <c r="L3238" s="33"/>
      <c r="M3238" s="33"/>
      <c r="N3238" s="33">
        <v>45238</v>
      </c>
      <c r="O3238" s="32">
        <v>5559</v>
      </c>
      <c r="P3238" s="14"/>
      <c r="Q3238" s="254"/>
      <c r="S3238" s="1196" t="s">
        <v>4571</v>
      </c>
      <c r="T3238" s="92"/>
      <c r="U3238" s="264"/>
      <c r="V3238" s="260">
        <v>120</v>
      </c>
      <c r="W3238" s="1136" t="e">
        <f t="shared" si="229"/>
        <v>#VALUE!</v>
      </c>
    </row>
    <row r="3239" spans="2:23" ht="15.75">
      <c r="B3239" s="12" t="s">
        <v>302</v>
      </c>
      <c r="C3239" s="6" t="s">
        <v>4566</v>
      </c>
      <c r="D3239" s="14" t="s">
        <v>4581</v>
      </c>
      <c r="E3239" s="221" t="s">
        <v>4568</v>
      </c>
      <c r="F3239" s="133" t="s">
        <v>4569</v>
      </c>
      <c r="G3239" s="396" t="s">
        <v>4570</v>
      </c>
      <c r="H3239" s="18">
        <v>22.5</v>
      </c>
      <c r="I3239" s="61">
        <v>1</v>
      </c>
      <c r="J3239" s="131">
        <f>H3239*I3239</f>
        <v>22.5</v>
      </c>
      <c r="K3239" s="322">
        <v>27.95</v>
      </c>
      <c r="L3239" s="39">
        <f>K3239*J3239</f>
        <v>628.875</v>
      </c>
      <c r="M3239" s="117" t="s">
        <v>323</v>
      </c>
      <c r="N3239" s="33">
        <v>45238</v>
      </c>
      <c r="O3239" s="32">
        <v>5559</v>
      </c>
      <c r="P3239" s="391">
        <f>ROUNDUP(S3239/V3239/VLOOKUP(B3239,$C$2:$F$6,3,FALSE),2)</f>
        <v>22.240000000000002</v>
      </c>
      <c r="Q3239" s="254">
        <v>22.24</v>
      </c>
      <c r="R3239" s="323">
        <f>Q3239*J3239</f>
        <v>500.4</v>
      </c>
      <c r="S3239" s="273">
        <f>1950+300</f>
        <v>2250</v>
      </c>
      <c r="T3239" s="287">
        <f>S3239*J3239</f>
        <v>50625</v>
      </c>
      <c r="U3239" s="264"/>
      <c r="V3239" s="260">
        <v>115</v>
      </c>
      <c r="W3239" s="1136">
        <f t="shared" si="229"/>
        <v>0.29999222213580151</v>
      </c>
    </row>
    <row r="3240" spans="2:23" s="7" customFormat="1" ht="18" customHeight="1">
      <c r="B3240" s="12"/>
      <c r="C3240" s="6" t="s">
        <v>4566</v>
      </c>
      <c r="D3240" s="14" t="s">
        <v>4581</v>
      </c>
      <c r="E3240" s="49"/>
      <c r="F3240" s="102"/>
      <c r="G3240" s="22" t="s">
        <v>316</v>
      </c>
      <c r="H3240" s="8"/>
      <c r="I3240" s="35"/>
      <c r="J3240" s="38">
        <v>1</v>
      </c>
      <c r="K3240" s="39">
        <v>20</v>
      </c>
      <c r="L3240" s="39">
        <f>K3240*J3240</f>
        <v>20</v>
      </c>
      <c r="M3240" s="91"/>
      <c r="N3240" s="33">
        <v>45238</v>
      </c>
      <c r="O3240" s="32">
        <v>5559</v>
      </c>
      <c r="P3240" s="6" t="s">
        <v>3</v>
      </c>
      <c r="Q3240" s="322">
        <v>20</v>
      </c>
      <c r="R3240" s="323">
        <f>Q3240*J3240</f>
        <v>20</v>
      </c>
      <c r="S3240" s="7">
        <v>0</v>
      </c>
      <c r="T3240" s="7">
        <f>S3240*J3240</f>
        <v>0</v>
      </c>
      <c r="U3240" s="21"/>
      <c r="V3240" s="260">
        <v>120</v>
      </c>
      <c r="W3240" s="1136">
        <f>(((K3240*V3240)-S3240)/(K3240*V3240))</f>
        <v>1</v>
      </c>
    </row>
    <row r="3241" spans="2:23" s="191" customFormat="1" ht="18" customHeight="1">
      <c r="B3241" s="190"/>
      <c r="C3241" s="179" t="s">
        <v>4566</v>
      </c>
      <c r="D3241" s="180" t="s">
        <v>4581</v>
      </c>
      <c r="E3241" s="217"/>
      <c r="F3241" s="182"/>
      <c r="G3241" s="182" t="s">
        <v>250</v>
      </c>
      <c r="H3241" s="184" t="s">
        <v>374</v>
      </c>
      <c r="I3241" s="185"/>
      <c r="J3241" s="183"/>
      <c r="K3241" s="203">
        <v>286</v>
      </c>
      <c r="L3241" s="203">
        <v>286</v>
      </c>
      <c r="M3241" s="187"/>
      <c r="N3241" s="187">
        <v>45238</v>
      </c>
      <c r="O3241" s="186">
        <v>5559</v>
      </c>
      <c r="P3241" s="179"/>
      <c r="Q3241" s="203">
        <v>286</v>
      </c>
      <c r="R3241" s="203">
        <v>286</v>
      </c>
      <c r="S3241" s="273">
        <v>31856</v>
      </c>
      <c r="T3241" s="273">
        <v>31856</v>
      </c>
      <c r="U3241" s="271"/>
      <c r="V3241" s="260">
        <v>120</v>
      </c>
      <c r="W3241" s="1136">
        <f>(((K3241*V3241)-S3241)/(K3241*V3241))</f>
        <v>7.179487179487179E-2</v>
      </c>
    </row>
    <row r="3242" spans="2:23" s="7" customFormat="1" ht="15">
      <c r="B3242" s="12"/>
      <c r="C3242" s="6" t="s">
        <v>4576</v>
      </c>
      <c r="D3242" s="14" t="s">
        <v>2034</v>
      </c>
      <c r="E3242" s="19" t="s">
        <v>4420</v>
      </c>
      <c r="F3242" s="24"/>
      <c r="G3242" s="22"/>
      <c r="H3242" s="60"/>
      <c r="I3242" s="61"/>
      <c r="J3242" s="60"/>
      <c r="K3242" s="16" t="s">
        <v>101</v>
      </c>
      <c r="L3242" s="33"/>
      <c r="M3242" s="33"/>
      <c r="N3242" s="33">
        <v>45209</v>
      </c>
      <c r="O3242" s="32">
        <v>5567</v>
      </c>
      <c r="P3242" s="6"/>
      <c r="Q3242" s="252"/>
      <c r="S3242" s="257"/>
      <c r="T3242" s="92"/>
      <c r="U3242" s="265"/>
      <c r="V3242" s="260"/>
    </row>
    <row r="3243" spans="2:23" s="7" customFormat="1" ht="16.899999999999999" customHeight="1">
      <c r="B3243" s="12" t="s">
        <v>302</v>
      </c>
      <c r="C3243" s="6" t="s">
        <v>4576</v>
      </c>
      <c r="D3243" s="14" t="s">
        <v>2034</v>
      </c>
      <c r="E3243" s="22" t="s">
        <v>4411</v>
      </c>
      <c r="F3243" s="37" t="s">
        <v>4421</v>
      </c>
      <c r="G3243" s="37" t="s">
        <v>4409</v>
      </c>
      <c r="H3243" s="18">
        <v>53</v>
      </c>
      <c r="I3243" s="61">
        <v>3</v>
      </c>
      <c r="J3243" s="131">
        <f>H3243*I3243</f>
        <v>159</v>
      </c>
      <c r="K3243" s="39">
        <v>3.34</v>
      </c>
      <c r="L3243" s="39">
        <f>K3243*J3243</f>
        <v>531.05999999999995</v>
      </c>
      <c r="M3243" s="117" t="s">
        <v>349</v>
      </c>
      <c r="N3243" s="33">
        <v>45209</v>
      </c>
      <c r="O3243" s="32">
        <v>5567</v>
      </c>
      <c r="P3243" s="391">
        <f>ROUNDUP(S3243/V3243/VLOOKUP(B3243,$C$2:$F$6,3,FALSE),2)</f>
        <v>2.2799999999999998</v>
      </c>
      <c r="Q3243" s="358">
        <v>2.2799999999999998</v>
      </c>
      <c r="R3243" s="322">
        <f>Q3243*J3243</f>
        <v>362.52</v>
      </c>
      <c r="S3243" s="7">
        <v>240</v>
      </c>
      <c r="T3243" s="7">
        <f>S3243*J3243</f>
        <v>38160</v>
      </c>
      <c r="U3243" s="267"/>
      <c r="V3243" s="260">
        <v>120</v>
      </c>
      <c r="W3243" s="1136">
        <f t="shared" ref="W3243:W3253" si="233">(((K3243*V3243)-S3243)/(K3243*V3243))</f>
        <v>0.4011976047904191</v>
      </c>
    </row>
    <row r="3244" spans="2:23" s="7" customFormat="1" ht="16.899999999999999" customHeight="1">
      <c r="B3244" s="12" t="s">
        <v>302</v>
      </c>
      <c r="C3244" s="6" t="s">
        <v>4576</v>
      </c>
      <c r="D3244" s="14" t="s">
        <v>2034</v>
      </c>
      <c r="E3244" s="22" t="s">
        <v>4411</v>
      </c>
      <c r="F3244" s="37" t="s">
        <v>4421</v>
      </c>
      <c r="G3244" s="37" t="s">
        <v>4409</v>
      </c>
      <c r="H3244" s="18">
        <v>53.5</v>
      </c>
      <c r="I3244" s="61">
        <v>1</v>
      </c>
      <c r="J3244" s="131">
        <f>H3244*I3244</f>
        <v>53.5</v>
      </c>
      <c r="K3244" s="39">
        <v>3.34</v>
      </c>
      <c r="L3244" s="39">
        <f>K3244*J3244</f>
        <v>178.69</v>
      </c>
      <c r="M3244" s="117" t="s">
        <v>349</v>
      </c>
      <c r="N3244" s="33">
        <v>45209</v>
      </c>
      <c r="O3244" s="32">
        <v>5567</v>
      </c>
      <c r="P3244" s="391">
        <f>ROUNDUP(S3244/V3244/VLOOKUP(B3244,$C$2:$F$6,3,FALSE),2)</f>
        <v>2.2799999999999998</v>
      </c>
      <c r="Q3244" s="358">
        <v>2.2799999999999998</v>
      </c>
      <c r="R3244" s="322">
        <f>Q3244*J3244</f>
        <v>121.97999999999999</v>
      </c>
      <c r="S3244" s="7">
        <v>240</v>
      </c>
      <c r="T3244" s="7">
        <f>S3244*J3244</f>
        <v>12840</v>
      </c>
      <c r="U3244" s="267"/>
      <c r="V3244" s="260">
        <v>120</v>
      </c>
      <c r="W3244" s="1136">
        <f t="shared" si="233"/>
        <v>0.4011976047904191</v>
      </c>
    </row>
    <row r="3245" spans="2:23" s="7" customFormat="1" ht="16.899999999999999" customHeight="1">
      <c r="B3245" s="12" t="s">
        <v>302</v>
      </c>
      <c r="C3245" s="6" t="s">
        <v>4576</v>
      </c>
      <c r="D3245" s="14" t="s">
        <v>2034</v>
      </c>
      <c r="E3245" s="22" t="s">
        <v>4411</v>
      </c>
      <c r="F3245" s="37" t="s">
        <v>4421</v>
      </c>
      <c r="G3245" s="37" t="s">
        <v>4409</v>
      </c>
      <c r="H3245" s="18">
        <v>54</v>
      </c>
      <c r="I3245" s="61">
        <v>1</v>
      </c>
      <c r="J3245" s="131">
        <f>H3245*I3245</f>
        <v>54</v>
      </c>
      <c r="K3245" s="39">
        <v>3.34</v>
      </c>
      <c r="L3245" s="39">
        <f>K3245*J3245</f>
        <v>180.35999999999999</v>
      </c>
      <c r="M3245" s="117" t="s">
        <v>349</v>
      </c>
      <c r="N3245" s="33">
        <v>45209</v>
      </c>
      <c r="O3245" s="32">
        <v>5567</v>
      </c>
      <c r="P3245" s="391">
        <f>ROUNDUP(S3245/V3245/VLOOKUP(B3245,$C$2:$F$6,3,FALSE),2)</f>
        <v>2.2799999999999998</v>
      </c>
      <c r="Q3245" s="358">
        <v>2.2799999999999998</v>
      </c>
      <c r="R3245" s="322">
        <f>Q3245*J3245</f>
        <v>123.11999999999999</v>
      </c>
      <c r="S3245" s="7">
        <v>240</v>
      </c>
      <c r="T3245" s="7">
        <f>S3245*J3245</f>
        <v>12960</v>
      </c>
      <c r="U3245" s="267"/>
      <c r="V3245" s="260">
        <v>120</v>
      </c>
      <c r="W3245" s="1136">
        <f t="shared" si="233"/>
        <v>0.4011976047904191</v>
      </c>
    </row>
    <row r="3246" spans="2:23" s="7" customFormat="1" ht="16.899999999999999" customHeight="1">
      <c r="B3246" s="12" t="s">
        <v>302</v>
      </c>
      <c r="C3246" s="6" t="s">
        <v>4576</v>
      </c>
      <c r="D3246" s="14" t="s">
        <v>2034</v>
      </c>
      <c r="E3246" s="22" t="s">
        <v>4411</v>
      </c>
      <c r="F3246" s="37" t="s">
        <v>4421</v>
      </c>
      <c r="G3246" s="37" t="s">
        <v>4409</v>
      </c>
      <c r="H3246" s="18">
        <v>55</v>
      </c>
      <c r="I3246" s="61">
        <v>1</v>
      </c>
      <c r="J3246" s="131">
        <f>H3246*I3246</f>
        <v>55</v>
      </c>
      <c r="K3246" s="39">
        <v>3.34</v>
      </c>
      <c r="L3246" s="39">
        <f>K3246*J3246</f>
        <v>183.7</v>
      </c>
      <c r="M3246" s="117" t="s">
        <v>349</v>
      </c>
      <c r="N3246" s="33">
        <v>45209</v>
      </c>
      <c r="O3246" s="32">
        <v>5567</v>
      </c>
      <c r="P3246" s="391">
        <f>ROUNDUP(S3246/V3246/VLOOKUP(B3246,$C$2:$F$6,3,FALSE),2)</f>
        <v>2.2799999999999998</v>
      </c>
      <c r="Q3246" s="358">
        <v>2.2799999999999998</v>
      </c>
      <c r="R3246" s="322">
        <f>Q3246*J3246</f>
        <v>125.39999999999999</v>
      </c>
      <c r="S3246" s="7">
        <v>240</v>
      </c>
      <c r="T3246" s="7">
        <f>S3246*J3246</f>
        <v>13200</v>
      </c>
      <c r="U3246" s="267"/>
      <c r="V3246" s="260">
        <v>120</v>
      </c>
      <c r="W3246" s="1136">
        <f t="shared" si="233"/>
        <v>0.4011976047904191</v>
      </c>
    </row>
    <row r="3247" spans="2:23" s="7" customFormat="1" ht="18" customHeight="1">
      <c r="B3247" s="12"/>
      <c r="C3247" s="6" t="s">
        <v>4576</v>
      </c>
      <c r="D3247" s="14" t="s">
        <v>2034</v>
      </c>
      <c r="E3247" s="22"/>
      <c r="F3247" s="102"/>
      <c r="G3247" s="22" t="s">
        <v>316</v>
      </c>
      <c r="H3247" s="8"/>
      <c r="I3247" s="35"/>
      <c r="J3247" s="38">
        <v>1</v>
      </c>
      <c r="K3247" s="39">
        <v>20</v>
      </c>
      <c r="L3247" s="39">
        <f>K3247*J3247</f>
        <v>20</v>
      </c>
      <c r="M3247" s="91"/>
      <c r="N3247" s="33">
        <v>45209</v>
      </c>
      <c r="O3247" s="32">
        <v>5567</v>
      </c>
      <c r="P3247" s="6"/>
      <c r="Q3247" s="322">
        <v>20</v>
      </c>
      <c r="R3247" s="322">
        <f>Q3247*J3247</f>
        <v>20</v>
      </c>
      <c r="S3247" s="7">
        <f>1800</f>
        <v>1800</v>
      </c>
      <c r="T3247" s="7">
        <v>1800</v>
      </c>
      <c r="U3247" s="21"/>
      <c r="V3247" s="260">
        <v>120</v>
      </c>
      <c r="W3247" s="1136">
        <f t="shared" si="233"/>
        <v>0.25</v>
      </c>
    </row>
    <row r="3248" spans="2:23" s="191" customFormat="1" ht="15.75">
      <c r="B3248" s="190"/>
      <c r="C3248" s="179" t="s">
        <v>4576</v>
      </c>
      <c r="D3248" s="180" t="s">
        <v>2034</v>
      </c>
      <c r="E3248" s="181"/>
      <c r="F3248" s="182"/>
      <c r="G3248" s="309" t="s">
        <v>324</v>
      </c>
      <c r="H3248" s="184" t="s">
        <v>252</v>
      </c>
      <c r="I3248" s="185"/>
      <c r="J3248" s="183"/>
      <c r="K3248" s="203">
        <v>336</v>
      </c>
      <c r="L3248" s="203">
        <v>336</v>
      </c>
      <c r="M3248" s="187"/>
      <c r="N3248" s="187">
        <v>45209</v>
      </c>
      <c r="O3248" s="186">
        <v>5567</v>
      </c>
      <c r="P3248" s="179"/>
      <c r="Q3248" s="203">
        <v>336</v>
      </c>
      <c r="R3248" s="203">
        <v>336</v>
      </c>
      <c r="S3248" s="7">
        <v>38528</v>
      </c>
      <c r="T3248" s="7">
        <v>38528</v>
      </c>
      <c r="U3248" s="271"/>
      <c r="V3248" s="260">
        <v>120</v>
      </c>
      <c r="W3248" s="1136">
        <f t="shared" si="233"/>
        <v>4.4444444444444446E-2</v>
      </c>
    </row>
    <row r="3249" spans="2:23" s="7" customFormat="1" ht="18" customHeight="1">
      <c r="B3249" s="12"/>
      <c r="C3249" s="6" t="s">
        <v>4577</v>
      </c>
      <c r="D3249" s="14" t="s">
        <v>2171</v>
      </c>
      <c r="E3249" s="19" t="s">
        <v>2358</v>
      </c>
      <c r="F3249" s="24"/>
      <c r="G3249" s="22"/>
      <c r="H3249" s="60"/>
      <c r="I3249" s="61"/>
      <c r="J3249" s="60"/>
      <c r="K3249" s="16" t="s">
        <v>5</v>
      </c>
      <c r="L3249" s="139"/>
      <c r="M3249" s="33"/>
      <c r="N3249" s="33">
        <v>45217</v>
      </c>
      <c r="O3249" s="32">
        <v>5599</v>
      </c>
      <c r="P3249" s="6" t="s">
        <v>3</v>
      </c>
      <c r="Q3249" s="358"/>
      <c r="U3249" s="120"/>
      <c r="V3249" s="260">
        <v>120</v>
      </c>
      <c r="W3249" s="1136" t="e">
        <f t="shared" si="233"/>
        <v>#VALUE!</v>
      </c>
    </row>
    <row r="3250" spans="2:23" s="7" customFormat="1" ht="18" customHeight="1">
      <c r="B3250" s="12" t="s">
        <v>300</v>
      </c>
      <c r="C3250" s="6" t="s">
        <v>4577</v>
      </c>
      <c r="D3250" s="14" t="s">
        <v>2171</v>
      </c>
      <c r="E3250" s="22" t="s">
        <v>4578</v>
      </c>
      <c r="F3250" s="24"/>
      <c r="G3250" s="22" t="s">
        <v>4579</v>
      </c>
      <c r="H3250" s="18">
        <v>13.7</v>
      </c>
      <c r="I3250" s="61">
        <v>1</v>
      </c>
      <c r="J3250" s="131">
        <f>H3250*I3250</f>
        <v>13.7</v>
      </c>
      <c r="K3250" s="39">
        <v>5.87</v>
      </c>
      <c r="L3250" s="39">
        <f>K3250*J3250</f>
        <v>80.418999999999997</v>
      </c>
      <c r="M3250" s="117" t="s">
        <v>323</v>
      </c>
      <c r="N3250" s="33">
        <v>45217</v>
      </c>
      <c r="O3250" s="32">
        <v>5599</v>
      </c>
      <c r="P3250" s="391">
        <f>ROUNDUP(S3250/V3250/VLOOKUP(B3250,$C$2:$F$6,3,FALSE),2)</f>
        <v>4.83</v>
      </c>
      <c r="Q3250" s="322">
        <v>4.83</v>
      </c>
      <c r="R3250" s="322">
        <f>Q3250*J3250</f>
        <v>66.170999999999992</v>
      </c>
      <c r="S3250" s="7">
        <v>405</v>
      </c>
      <c r="T3250" s="7">
        <f>S3250*J3250</f>
        <v>5548.5</v>
      </c>
      <c r="U3250" s="386"/>
      <c r="V3250" s="260">
        <v>120</v>
      </c>
      <c r="W3250" s="1136">
        <f t="shared" si="233"/>
        <v>0.42504258943781942</v>
      </c>
    </row>
    <row r="3251" spans="2:23" s="7" customFormat="1" ht="18" customHeight="1">
      <c r="B3251" s="12" t="s">
        <v>306</v>
      </c>
      <c r="C3251" s="6" t="s">
        <v>4577</v>
      </c>
      <c r="D3251" s="14" t="s">
        <v>2171</v>
      </c>
      <c r="E3251" s="49"/>
      <c r="F3251" s="102"/>
      <c r="G3251" s="22" t="s">
        <v>4560</v>
      </c>
      <c r="H3251" s="8"/>
      <c r="I3251" s="35"/>
      <c r="J3251" s="38">
        <v>1</v>
      </c>
      <c r="K3251" s="39">
        <v>110</v>
      </c>
      <c r="L3251" s="39">
        <f>K3251*J3251</f>
        <v>110</v>
      </c>
      <c r="M3251" s="91"/>
      <c r="N3251" s="33">
        <v>45217</v>
      </c>
      <c r="O3251" s="32">
        <v>5599</v>
      </c>
      <c r="P3251" s="391">
        <f>ROUNDUP(S3251/V3251/VLOOKUP(B3251,$C$2:$F$6,3,FALSE),2)</f>
        <v>94.7</v>
      </c>
      <c r="Q3251" s="322">
        <v>94.7</v>
      </c>
      <c r="R3251" s="322">
        <f>Q3251*J3251</f>
        <v>94.7</v>
      </c>
      <c r="S3251" s="7">
        <v>10000</v>
      </c>
      <c r="T3251" s="7">
        <f>S3251*J3251</f>
        <v>10000</v>
      </c>
      <c r="U3251" s="21"/>
      <c r="V3251" s="260">
        <v>120</v>
      </c>
      <c r="W3251" s="1136">
        <f t="shared" si="233"/>
        <v>0.24242424242424243</v>
      </c>
    </row>
    <row r="3252" spans="2:23" s="7" customFormat="1" ht="18" customHeight="1">
      <c r="B3252" s="12"/>
      <c r="C3252" s="6" t="s">
        <v>4577</v>
      </c>
      <c r="D3252" s="14" t="s">
        <v>2171</v>
      </c>
      <c r="E3252" s="49"/>
      <c r="F3252" s="102"/>
      <c r="G3252" s="22" t="s">
        <v>316</v>
      </c>
      <c r="H3252" s="8"/>
      <c r="I3252" s="35"/>
      <c r="J3252" s="38">
        <v>1</v>
      </c>
      <c r="K3252" s="39">
        <v>12</v>
      </c>
      <c r="L3252" s="39">
        <f>K3252*J3252</f>
        <v>12</v>
      </c>
      <c r="M3252" s="91"/>
      <c r="N3252" s="33">
        <v>45217</v>
      </c>
      <c r="O3252" s="32">
        <v>5599</v>
      </c>
      <c r="P3252" s="6" t="s">
        <v>3</v>
      </c>
      <c r="Q3252" s="322">
        <v>12</v>
      </c>
      <c r="R3252" s="322">
        <v>12</v>
      </c>
      <c r="S3252" s="7">
        <v>900</v>
      </c>
      <c r="T3252" s="7">
        <f>S3252*J3252</f>
        <v>900</v>
      </c>
      <c r="U3252" s="21"/>
      <c r="V3252" s="260">
        <v>120</v>
      </c>
      <c r="W3252" s="1136">
        <f t="shared" si="233"/>
        <v>0.375</v>
      </c>
    </row>
    <row r="3253" spans="2:23" s="191" customFormat="1" ht="15.75">
      <c r="B3253" s="190"/>
      <c r="C3253" s="179" t="s">
        <v>4577</v>
      </c>
      <c r="D3253" s="180" t="s">
        <v>2171</v>
      </c>
      <c r="E3253" s="181"/>
      <c r="F3253" s="182"/>
      <c r="G3253" s="309" t="s">
        <v>324</v>
      </c>
      <c r="H3253" s="184" t="s">
        <v>252</v>
      </c>
      <c r="I3253" s="185"/>
      <c r="J3253" s="183"/>
      <c r="K3253" s="203">
        <v>24</v>
      </c>
      <c r="L3253" s="203">
        <v>24</v>
      </c>
      <c r="M3253" s="187"/>
      <c r="N3253" s="187">
        <v>45217</v>
      </c>
      <c r="O3253" s="186">
        <v>5599</v>
      </c>
      <c r="P3253" s="179"/>
      <c r="Q3253" s="203">
        <v>24</v>
      </c>
      <c r="R3253" s="203">
        <v>24</v>
      </c>
      <c r="S3253" s="7">
        <v>2700</v>
      </c>
      <c r="T3253" s="7">
        <v>2700</v>
      </c>
      <c r="U3253" s="271"/>
      <c r="V3253" s="260">
        <v>120</v>
      </c>
      <c r="W3253" s="1136">
        <f t="shared" si="233"/>
        <v>6.25E-2</v>
      </c>
    </row>
    <row r="3254" spans="2:23" s="7" customFormat="1" ht="18" customHeight="1">
      <c r="B3254" s="12"/>
      <c r="C3254" s="6" t="s">
        <v>4580</v>
      </c>
      <c r="D3254" s="14" t="s">
        <v>3391</v>
      </c>
      <c r="E3254" s="19" t="s">
        <v>10</v>
      </c>
      <c r="F3254" s="107"/>
      <c r="G3254" s="22"/>
      <c r="H3254" s="108"/>
      <c r="I3254" s="109"/>
      <c r="J3254" s="108"/>
      <c r="K3254" s="29" t="s">
        <v>5</v>
      </c>
      <c r="L3254" s="39"/>
      <c r="M3254" s="91"/>
      <c r="N3254" s="33">
        <v>45212</v>
      </c>
      <c r="O3254" s="32">
        <v>5576</v>
      </c>
      <c r="P3254" s="14"/>
      <c r="Q3254" s="322"/>
      <c r="U3254" s="14"/>
      <c r="V3254" s="384">
        <v>120</v>
      </c>
    </row>
    <row r="3255" spans="2:23" s="7" customFormat="1" ht="18" customHeight="1">
      <c r="B3255" s="12" t="s">
        <v>302</v>
      </c>
      <c r="C3255" s="6" t="s">
        <v>4580</v>
      </c>
      <c r="D3255" s="14" t="s">
        <v>3391</v>
      </c>
      <c r="E3255" s="22" t="s">
        <v>190</v>
      </c>
      <c r="F3255" s="107">
        <v>160</v>
      </c>
      <c r="G3255" s="396" t="s">
        <v>4303</v>
      </c>
      <c r="H3255" s="108">
        <v>50</v>
      </c>
      <c r="I3255" s="109">
        <v>2</v>
      </c>
      <c r="J3255" s="8">
        <f>H3255*I3255</f>
        <v>100</v>
      </c>
      <c r="K3255" s="39">
        <v>3.96</v>
      </c>
      <c r="L3255" s="39">
        <f>K3255*J3255</f>
        <v>396</v>
      </c>
      <c r="M3255" s="117" t="s">
        <v>322</v>
      </c>
      <c r="N3255" s="33">
        <v>45212</v>
      </c>
      <c r="O3255" s="32">
        <v>5576</v>
      </c>
      <c r="P3255" s="391">
        <f>ROUNDUP(S3255/V3255/VLOOKUP(B3255,$C$2:$F$6,3,FALSE),2)</f>
        <v>3.5999999999999996</v>
      </c>
      <c r="Q3255" s="322">
        <v>3.6</v>
      </c>
      <c r="R3255" s="322">
        <f>Q3255*J3255</f>
        <v>360</v>
      </c>
      <c r="S3255" s="7">
        <v>380</v>
      </c>
      <c r="T3255" s="7">
        <f>S3255*J3255</f>
        <v>38000</v>
      </c>
      <c r="U3255" s="21"/>
      <c r="V3255" s="260">
        <v>120</v>
      </c>
      <c r="W3255" s="1136">
        <f t="shared" ref="W3255:W3261" si="234">(((K3255*V3255)-S3255)/(K3255*V3255))</f>
        <v>0.20033670033670031</v>
      </c>
    </row>
    <row r="3256" spans="2:23" s="7" customFormat="1" ht="18" customHeight="1">
      <c r="B3256" s="12"/>
      <c r="C3256" s="6" t="s">
        <v>4580</v>
      </c>
      <c r="D3256" s="14" t="s">
        <v>3391</v>
      </c>
      <c r="E3256" s="82"/>
      <c r="F3256" s="102"/>
      <c r="G3256" s="22" t="s">
        <v>316</v>
      </c>
      <c r="H3256" s="8"/>
      <c r="I3256" s="35"/>
      <c r="J3256" s="38">
        <v>1</v>
      </c>
      <c r="K3256" s="39">
        <v>20</v>
      </c>
      <c r="L3256" s="39">
        <f>K3256*J3256</f>
        <v>20</v>
      </c>
      <c r="M3256" s="91"/>
      <c r="N3256" s="33">
        <v>45212</v>
      </c>
      <c r="O3256" s="32">
        <v>5576</v>
      </c>
      <c r="P3256" s="6"/>
      <c r="Q3256" s="322">
        <v>20</v>
      </c>
      <c r="R3256" s="322">
        <f>Q3256*J3256</f>
        <v>20</v>
      </c>
      <c r="S3256" s="7">
        <v>1800</v>
      </c>
      <c r="T3256" s="7">
        <f>S3256*J3256</f>
        <v>1800</v>
      </c>
      <c r="U3256" s="21"/>
      <c r="V3256" s="260">
        <v>120</v>
      </c>
      <c r="W3256" s="1136">
        <f t="shared" si="234"/>
        <v>0.25</v>
      </c>
    </row>
    <row r="3257" spans="2:23" s="218" customFormat="1" ht="17.25" customHeight="1">
      <c r="B3257" s="189"/>
      <c r="C3257" s="179" t="s">
        <v>4580</v>
      </c>
      <c r="D3257" s="180" t="s">
        <v>3391</v>
      </c>
      <c r="E3257" s="217"/>
      <c r="F3257" s="182"/>
      <c r="G3257" s="182" t="s">
        <v>250</v>
      </c>
      <c r="H3257" s="184" t="s">
        <v>251</v>
      </c>
      <c r="I3257" s="185"/>
      <c r="J3257" s="183"/>
      <c r="K3257" s="192">
        <v>0</v>
      </c>
      <c r="L3257" s="188"/>
      <c r="M3257" s="187"/>
      <c r="N3257" s="187">
        <v>45212</v>
      </c>
      <c r="O3257" s="186">
        <v>5576</v>
      </c>
      <c r="P3257" s="179"/>
      <c r="Q3257" s="725">
        <v>0</v>
      </c>
      <c r="R3257" s="191"/>
      <c r="S3257" s="197">
        <v>0</v>
      </c>
      <c r="T3257" s="198">
        <v>0</v>
      </c>
      <c r="U3257" s="335"/>
      <c r="V3257" s="260">
        <v>120</v>
      </c>
      <c r="W3257" s="1136" t="e">
        <f t="shared" si="234"/>
        <v>#DIV/0!</v>
      </c>
    </row>
    <row r="3258" spans="2:23" s="7" customFormat="1" ht="18" customHeight="1">
      <c r="B3258" s="12"/>
      <c r="C3258" s="965" t="s">
        <v>4582</v>
      </c>
      <c r="D3258" s="14" t="s">
        <v>3116</v>
      </c>
      <c r="E3258" s="19" t="s">
        <v>4277</v>
      </c>
      <c r="F3258" s="107"/>
      <c r="G3258" s="22"/>
      <c r="H3258" s="108"/>
      <c r="I3258" s="109"/>
      <c r="J3258" s="108"/>
      <c r="K3258" s="29" t="s">
        <v>5</v>
      </c>
      <c r="L3258" s="39"/>
      <c r="M3258" s="91"/>
      <c r="N3258" s="33">
        <v>45210</v>
      </c>
      <c r="O3258" s="32">
        <v>5580</v>
      </c>
      <c r="P3258" s="14"/>
      <c r="Q3258" s="322"/>
      <c r="U3258" s="14"/>
      <c r="V3258" s="384">
        <v>120</v>
      </c>
    </row>
    <row r="3259" spans="2:23" s="7" customFormat="1" ht="18" customHeight="1">
      <c r="B3259" s="12" t="s">
        <v>302</v>
      </c>
      <c r="C3259" s="965" t="s">
        <v>4582</v>
      </c>
      <c r="D3259" s="14" t="s">
        <v>3116</v>
      </c>
      <c r="E3259" s="22" t="s">
        <v>4276</v>
      </c>
      <c r="F3259" s="107">
        <v>112</v>
      </c>
      <c r="G3259" s="396" t="s">
        <v>4583</v>
      </c>
      <c r="H3259" s="108"/>
      <c r="I3259" s="109"/>
      <c r="J3259" s="131">
        <v>20.8</v>
      </c>
      <c r="K3259" s="39">
        <v>10.28</v>
      </c>
      <c r="L3259" s="39">
        <f>K3259*J3259</f>
        <v>213.82399999999998</v>
      </c>
      <c r="M3259" s="117" t="s">
        <v>323</v>
      </c>
      <c r="N3259" s="33">
        <v>45210</v>
      </c>
      <c r="O3259" s="32">
        <v>5580</v>
      </c>
      <c r="P3259" s="391">
        <f>ROUNDUP(S3259/V3259/VLOOKUP(B3259,$C$2:$F$6,3,FALSE),2)</f>
        <v>7.2</v>
      </c>
      <c r="Q3259" s="322">
        <v>7.2</v>
      </c>
      <c r="R3259" s="322">
        <f>Q3259*J3259</f>
        <v>149.76000000000002</v>
      </c>
      <c r="S3259" s="7">
        <v>760</v>
      </c>
      <c r="T3259" s="7">
        <f>S3259*J3259</f>
        <v>15808</v>
      </c>
      <c r="U3259" s="21"/>
      <c r="V3259" s="260">
        <v>120</v>
      </c>
      <c r="W3259" s="1136">
        <f t="shared" si="234"/>
        <v>0.38391699092088194</v>
      </c>
    </row>
    <row r="3260" spans="2:23" s="7" customFormat="1" ht="18" customHeight="1">
      <c r="B3260" s="12"/>
      <c r="C3260" s="965" t="s">
        <v>4582</v>
      </c>
      <c r="D3260" s="14" t="s">
        <v>3116</v>
      </c>
      <c r="E3260" s="22"/>
      <c r="F3260" s="102"/>
      <c r="G3260" s="22" t="s">
        <v>316</v>
      </c>
      <c r="H3260" s="8"/>
      <c r="I3260" s="35"/>
      <c r="J3260" s="38">
        <v>1</v>
      </c>
      <c r="K3260" s="39">
        <v>20</v>
      </c>
      <c r="L3260" s="39">
        <f>K3260*J3260</f>
        <v>20</v>
      </c>
      <c r="M3260" s="91"/>
      <c r="N3260" s="33">
        <v>45210</v>
      </c>
      <c r="O3260" s="32">
        <v>5580</v>
      </c>
      <c r="P3260" s="6" t="s">
        <v>3</v>
      </c>
      <c r="Q3260" s="39">
        <v>20</v>
      </c>
      <c r="R3260" s="322">
        <f>Q3260*J3260</f>
        <v>20</v>
      </c>
      <c r="S3260" s="7">
        <v>0</v>
      </c>
      <c r="T3260" s="7">
        <f>S3260*J3260</f>
        <v>0</v>
      </c>
      <c r="U3260" s="21"/>
      <c r="V3260" s="260">
        <v>120</v>
      </c>
      <c r="W3260" s="1136">
        <f t="shared" si="234"/>
        <v>1</v>
      </c>
    </row>
    <row r="3261" spans="2:23" s="191" customFormat="1" ht="18" customHeight="1">
      <c r="B3261" s="190"/>
      <c r="C3261" s="966" t="s">
        <v>4582</v>
      </c>
      <c r="D3261" s="180" t="s">
        <v>3116</v>
      </c>
      <c r="E3261" s="217"/>
      <c r="F3261" s="182"/>
      <c r="G3261" s="182" t="s">
        <v>250</v>
      </c>
      <c r="H3261" s="184" t="s">
        <v>251</v>
      </c>
      <c r="I3261" s="185"/>
      <c r="J3261" s="183"/>
      <c r="K3261" s="192">
        <v>0</v>
      </c>
      <c r="L3261" s="192">
        <v>0</v>
      </c>
      <c r="M3261" s="187"/>
      <c r="N3261" s="187">
        <v>45210</v>
      </c>
      <c r="O3261" s="186">
        <v>5580</v>
      </c>
      <c r="P3261" s="179"/>
      <c r="Q3261" s="334">
        <v>0</v>
      </c>
      <c r="R3261" s="334">
        <v>0</v>
      </c>
      <c r="S3261" s="197">
        <v>0</v>
      </c>
      <c r="T3261" s="197">
        <v>0</v>
      </c>
      <c r="U3261" s="335"/>
      <c r="V3261" s="260">
        <v>120</v>
      </c>
      <c r="W3261" s="1136" t="e">
        <f t="shared" si="234"/>
        <v>#DIV/0!</v>
      </c>
    </row>
    <row r="3262" spans="2:23" s="7" customFormat="1" ht="18" customHeight="1">
      <c r="B3262" s="12"/>
      <c r="C3262" s="965" t="s">
        <v>4584</v>
      </c>
      <c r="D3262" s="14" t="s">
        <v>3116</v>
      </c>
      <c r="E3262" s="19" t="s">
        <v>4277</v>
      </c>
      <c r="F3262" s="107"/>
      <c r="G3262" s="22"/>
      <c r="H3262" s="108"/>
      <c r="I3262" s="109"/>
      <c r="J3262" s="108"/>
      <c r="K3262" s="29" t="s">
        <v>5</v>
      </c>
      <c r="L3262" s="39"/>
      <c r="M3262" s="91"/>
      <c r="N3262" s="33">
        <v>45215</v>
      </c>
      <c r="O3262" s="32">
        <v>5591</v>
      </c>
      <c r="P3262" s="14"/>
      <c r="Q3262" s="322"/>
      <c r="U3262" s="14"/>
      <c r="V3262" s="384">
        <v>120</v>
      </c>
    </row>
    <row r="3263" spans="2:23" s="7" customFormat="1" ht="18" customHeight="1">
      <c r="B3263" s="12" t="s">
        <v>302</v>
      </c>
      <c r="C3263" s="965" t="s">
        <v>4584</v>
      </c>
      <c r="D3263" s="14" t="s">
        <v>3116</v>
      </c>
      <c r="E3263" s="22" t="s">
        <v>4276</v>
      </c>
      <c r="F3263" s="107">
        <v>112</v>
      </c>
      <c r="G3263" s="396" t="s">
        <v>4585</v>
      </c>
      <c r="H3263" s="108"/>
      <c r="I3263" s="109"/>
      <c r="J3263" s="131">
        <v>5</v>
      </c>
      <c r="K3263" s="39">
        <v>10.28</v>
      </c>
      <c r="L3263" s="39">
        <f>K3263*J3263</f>
        <v>51.4</v>
      </c>
      <c r="M3263" s="117" t="s">
        <v>323</v>
      </c>
      <c r="N3263" s="33">
        <v>45215</v>
      </c>
      <c r="O3263" s="32">
        <v>5591</v>
      </c>
      <c r="P3263" s="391">
        <f>ROUNDUP(S3263/V3263/VLOOKUP(B3263,$C$2:$F$6,3,FALSE),2)</f>
        <v>7.2</v>
      </c>
      <c r="Q3263" s="322">
        <v>7.2</v>
      </c>
      <c r="R3263" s="322">
        <f>Q3263*J3263</f>
        <v>36</v>
      </c>
      <c r="S3263" s="7">
        <v>760</v>
      </c>
      <c r="T3263" s="7">
        <f>S3263*J3263</f>
        <v>3800</v>
      </c>
      <c r="U3263" s="21"/>
      <c r="V3263" s="260">
        <v>120</v>
      </c>
      <c r="W3263" s="1136">
        <f t="shared" ref="W3263:W3268" si="235">(((K3263*V3263)-S3263)/(K3263*V3263))</f>
        <v>0.38391699092088194</v>
      </c>
    </row>
    <row r="3264" spans="2:23" s="7" customFormat="1" ht="18" customHeight="1">
      <c r="B3264" s="12"/>
      <c r="C3264" s="965" t="s">
        <v>4584</v>
      </c>
      <c r="D3264" s="14" t="s">
        <v>3116</v>
      </c>
      <c r="E3264" s="22"/>
      <c r="F3264" s="102"/>
      <c r="G3264" s="22" t="s">
        <v>4329</v>
      </c>
      <c r="H3264" s="8"/>
      <c r="I3264" s="35"/>
      <c r="J3264" s="131">
        <v>5</v>
      </c>
      <c r="K3264" s="39">
        <v>3.13</v>
      </c>
      <c r="L3264" s="39">
        <f>K3264*J3264</f>
        <v>15.649999999999999</v>
      </c>
      <c r="M3264" s="91"/>
      <c r="N3264" s="33">
        <v>45215</v>
      </c>
      <c r="O3264" s="32">
        <v>5591</v>
      </c>
      <c r="P3264" s="6" t="s">
        <v>3</v>
      </c>
      <c r="Q3264" s="39">
        <v>3.13</v>
      </c>
      <c r="R3264" s="322">
        <f>Q3264*J3264</f>
        <v>15.649999999999999</v>
      </c>
      <c r="S3264" s="7">
        <v>300</v>
      </c>
      <c r="T3264" s="7">
        <f>S3264*J3264</f>
        <v>1500</v>
      </c>
      <c r="U3264" s="21"/>
      <c r="V3264" s="260">
        <v>120</v>
      </c>
      <c r="W3264" s="1136">
        <f>(((K3264*V3264)-S3264)/(K3264*V3264))</f>
        <v>0.20127795527156542</v>
      </c>
    </row>
    <row r="3265" spans="1:51" s="7" customFormat="1" ht="18" customHeight="1">
      <c r="B3265" s="12"/>
      <c r="C3265" s="965" t="s">
        <v>4584</v>
      </c>
      <c r="D3265" s="14" t="s">
        <v>3116</v>
      </c>
      <c r="E3265" s="22"/>
      <c r="F3265" s="102"/>
      <c r="G3265" s="22" t="s">
        <v>316</v>
      </c>
      <c r="H3265" s="8"/>
      <c r="I3265" s="35"/>
      <c r="J3265" s="38">
        <v>1</v>
      </c>
      <c r="K3265" s="39">
        <v>15</v>
      </c>
      <c r="L3265" s="39">
        <f>K3265*J3265</f>
        <v>15</v>
      </c>
      <c r="M3265" s="91"/>
      <c r="N3265" s="33">
        <v>45215</v>
      </c>
      <c r="O3265" s="32">
        <v>5591</v>
      </c>
      <c r="P3265" s="6" t="s">
        <v>3</v>
      </c>
      <c r="Q3265" s="39">
        <v>15</v>
      </c>
      <c r="R3265" s="322">
        <f>Q3265*J3265</f>
        <v>15</v>
      </c>
      <c r="S3265" s="7">
        <v>0</v>
      </c>
      <c r="T3265" s="7">
        <f>S3265*J3265</f>
        <v>0</v>
      </c>
      <c r="U3265" s="21"/>
      <c r="V3265" s="260">
        <v>120</v>
      </c>
      <c r="W3265" s="1136">
        <f t="shared" si="235"/>
        <v>1</v>
      </c>
    </row>
    <row r="3266" spans="1:51" s="191" customFormat="1" ht="18" customHeight="1">
      <c r="B3266" s="190"/>
      <c r="C3266" s="966" t="s">
        <v>4584</v>
      </c>
      <c r="D3266" s="180" t="s">
        <v>3116</v>
      </c>
      <c r="E3266" s="217"/>
      <c r="F3266" s="182"/>
      <c r="G3266" s="182" t="s">
        <v>250</v>
      </c>
      <c r="H3266" s="184" t="s">
        <v>251</v>
      </c>
      <c r="I3266" s="185"/>
      <c r="J3266" s="183"/>
      <c r="K3266" s="192">
        <v>0</v>
      </c>
      <c r="L3266" s="192">
        <v>0</v>
      </c>
      <c r="M3266" s="187"/>
      <c r="N3266" s="187">
        <v>45215</v>
      </c>
      <c r="O3266" s="186">
        <v>5591</v>
      </c>
      <c r="P3266" s="179"/>
      <c r="Q3266" s="334">
        <v>0</v>
      </c>
      <c r="R3266" s="334">
        <v>0</v>
      </c>
      <c r="S3266" s="197">
        <v>0</v>
      </c>
      <c r="T3266" s="197">
        <v>0</v>
      </c>
      <c r="U3266" s="335"/>
      <c r="V3266" s="260">
        <v>120</v>
      </c>
      <c r="W3266" s="1136" t="e">
        <f t="shared" si="235"/>
        <v>#DIV/0!</v>
      </c>
    </row>
    <row r="3267" spans="1:51" s="7" customFormat="1" ht="18" customHeight="1">
      <c r="B3267" s="12"/>
      <c r="C3267" s="965" t="s">
        <v>4586</v>
      </c>
      <c r="D3267" s="14" t="s">
        <v>2162</v>
      </c>
      <c r="E3267" s="19" t="s">
        <v>2270</v>
      </c>
      <c r="F3267" s="37"/>
      <c r="G3267" s="37"/>
      <c r="H3267" s="108"/>
      <c r="I3267" s="108"/>
      <c r="J3267" s="108"/>
      <c r="K3267" s="29" t="s">
        <v>5</v>
      </c>
      <c r="L3267" s="139"/>
      <c r="M3267" s="33"/>
      <c r="N3267" s="33">
        <v>45218</v>
      </c>
      <c r="O3267" s="32">
        <v>5603</v>
      </c>
      <c r="P3267" s="6"/>
      <c r="Q3267" s="339"/>
      <c r="U3267" s="21"/>
      <c r="V3267" s="260">
        <v>120</v>
      </c>
      <c r="W3267" s="1136" t="e">
        <f t="shared" si="235"/>
        <v>#VALUE!</v>
      </c>
    </row>
    <row r="3268" spans="1:51" s="7" customFormat="1" ht="18" customHeight="1">
      <c r="B3268" s="12" t="s">
        <v>300</v>
      </c>
      <c r="C3268" s="965" t="s">
        <v>4586</v>
      </c>
      <c r="D3268" s="14" t="s">
        <v>2162</v>
      </c>
      <c r="E3268" s="22">
        <v>5636</v>
      </c>
      <c r="F3268" s="37" t="s">
        <v>230</v>
      </c>
      <c r="G3268" s="839" t="s">
        <v>4587</v>
      </c>
      <c r="H3268" s="108">
        <v>50</v>
      </c>
      <c r="I3268" s="109">
        <v>1</v>
      </c>
      <c r="J3268" s="8">
        <f>H3268*I3268</f>
        <v>50</v>
      </c>
      <c r="K3268" s="39">
        <v>0.3</v>
      </c>
      <c r="L3268" s="39">
        <f>K3268*J3268</f>
        <v>15</v>
      </c>
      <c r="M3268" s="117" t="s">
        <v>349</v>
      </c>
      <c r="N3268" s="33">
        <v>45218</v>
      </c>
      <c r="O3268" s="32">
        <v>5603</v>
      </c>
      <c r="P3268" s="391">
        <f>ROUNDUP(S3268/V3268/VLOOKUP(B3268,$C$2:$F$6,3,FALSE),2)</f>
        <v>0.19</v>
      </c>
      <c r="Q3268" s="322">
        <v>0.19</v>
      </c>
      <c r="R3268" s="322">
        <f>Q3268*J3268</f>
        <v>9.5</v>
      </c>
      <c r="S3268" s="7">
        <v>15.7</v>
      </c>
      <c r="T3268" s="7">
        <f>S3268*J3268</f>
        <v>785</v>
      </c>
      <c r="U3268" s="778"/>
      <c r="V3268" s="260">
        <v>120</v>
      </c>
      <c r="W3268" s="1136">
        <f t="shared" si="235"/>
        <v>0.56388888888888888</v>
      </c>
    </row>
    <row r="3269" spans="1:51" s="7" customFormat="1" ht="18" customHeight="1">
      <c r="B3269" s="12" t="s">
        <v>300</v>
      </c>
      <c r="C3269" s="965" t="s">
        <v>4586</v>
      </c>
      <c r="D3269" s="14" t="s">
        <v>2162</v>
      </c>
      <c r="E3269" s="22">
        <v>5636</v>
      </c>
      <c r="F3269" s="37" t="s">
        <v>230</v>
      </c>
      <c r="G3269" s="839" t="s">
        <v>4588</v>
      </c>
      <c r="H3269" s="108">
        <v>50</v>
      </c>
      <c r="I3269" s="109">
        <v>1</v>
      </c>
      <c r="J3269" s="8">
        <f>H3269*I3269</f>
        <v>50</v>
      </c>
      <c r="K3269" s="39">
        <v>0.3</v>
      </c>
      <c r="L3269" s="39">
        <f>K3269*J3269</f>
        <v>15</v>
      </c>
      <c r="M3269" s="117" t="s">
        <v>349</v>
      </c>
      <c r="N3269" s="33">
        <v>45218</v>
      </c>
      <c r="O3269" s="32">
        <v>5603</v>
      </c>
      <c r="P3269" s="391">
        <f>ROUNDUP(S3269/V3269/VLOOKUP(B3269,$C$2:$F$6,3,FALSE),2)</f>
        <v>0.19</v>
      </c>
      <c r="Q3269" s="322">
        <v>0.19</v>
      </c>
      <c r="R3269" s="322">
        <f>Q3269*J3269</f>
        <v>9.5</v>
      </c>
      <c r="S3269" s="7">
        <v>15.7</v>
      </c>
      <c r="T3269" s="7">
        <f>S3269*J3269</f>
        <v>785</v>
      </c>
      <c r="U3269" s="778"/>
      <c r="V3269" s="260">
        <v>120</v>
      </c>
      <c r="W3269" s="1136">
        <f>(((K3269*V3269)-S3269)/(K3269*V3269))</f>
        <v>0.56388888888888888</v>
      </c>
    </row>
    <row r="3270" spans="1:51" s="7" customFormat="1" ht="18" customHeight="1">
      <c r="B3270" s="12" t="s">
        <v>300</v>
      </c>
      <c r="C3270" s="965" t="s">
        <v>4586</v>
      </c>
      <c r="D3270" s="14" t="s">
        <v>2162</v>
      </c>
      <c r="E3270" s="22">
        <v>5636</v>
      </c>
      <c r="F3270" s="37" t="s">
        <v>230</v>
      </c>
      <c r="G3270" s="839" t="s">
        <v>4589</v>
      </c>
      <c r="H3270" s="108">
        <v>50</v>
      </c>
      <c r="I3270" s="109">
        <v>1</v>
      </c>
      <c r="J3270" s="8">
        <f>H3270*I3270</f>
        <v>50</v>
      </c>
      <c r="K3270" s="39">
        <v>0.3</v>
      </c>
      <c r="L3270" s="39">
        <f>K3270*J3270</f>
        <v>15</v>
      </c>
      <c r="M3270" s="117" t="s">
        <v>349</v>
      </c>
      <c r="N3270" s="33">
        <v>45218</v>
      </c>
      <c r="O3270" s="32">
        <v>5603</v>
      </c>
      <c r="P3270" s="391">
        <f>ROUNDUP(S3270/V3270/VLOOKUP(B3270,$C$2:$F$6,3,FALSE),2)</f>
        <v>0.19</v>
      </c>
      <c r="Q3270" s="322">
        <v>0.19</v>
      </c>
      <c r="R3270" s="322">
        <f>Q3270*J3270</f>
        <v>9.5</v>
      </c>
      <c r="S3270" s="7">
        <v>15.7</v>
      </c>
      <c r="T3270" s="7">
        <f>S3270*J3270</f>
        <v>785</v>
      </c>
      <c r="U3270" s="778"/>
      <c r="V3270" s="260">
        <v>120</v>
      </c>
      <c r="W3270" s="1136">
        <f>(((K3270*V3270)-S3270)/(K3270*V3270))</f>
        <v>0.56388888888888888</v>
      </c>
    </row>
    <row r="3271" spans="1:51" s="7" customFormat="1" ht="18" customHeight="1">
      <c r="B3271" s="12"/>
      <c r="C3271" s="965" t="s">
        <v>4586</v>
      </c>
      <c r="D3271" s="14" t="s">
        <v>2162</v>
      </c>
      <c r="E3271" s="19" t="s">
        <v>200</v>
      </c>
      <c r="F3271" s="37"/>
      <c r="G3271" s="37"/>
      <c r="H3271" s="108"/>
      <c r="I3271" s="108"/>
      <c r="J3271" s="108"/>
      <c r="K3271" s="29" t="s">
        <v>5</v>
      </c>
      <c r="L3271" s="139"/>
      <c r="M3271" s="33"/>
      <c r="N3271" s="33">
        <v>45218</v>
      </c>
      <c r="O3271" s="32">
        <v>5603</v>
      </c>
      <c r="P3271" s="6"/>
      <c r="Q3271" s="339"/>
      <c r="U3271" s="21"/>
      <c r="V3271" s="260">
        <v>120</v>
      </c>
      <c r="W3271" s="1136" t="e">
        <f>(((K3271*V3271)-S3271)/(K3271*V3271))</f>
        <v>#VALUE!</v>
      </c>
    </row>
    <row r="3272" spans="1:51" s="7" customFormat="1" ht="18" customHeight="1">
      <c r="B3272" s="12" t="s">
        <v>300</v>
      </c>
      <c r="C3272" s="965" t="s">
        <v>4586</v>
      </c>
      <c r="D3272" s="14" t="s">
        <v>2162</v>
      </c>
      <c r="E3272" s="22" t="s">
        <v>4590</v>
      </c>
      <c r="F3272" s="37"/>
      <c r="G3272" s="839" t="s">
        <v>4591</v>
      </c>
      <c r="H3272" s="108">
        <v>30</v>
      </c>
      <c r="I3272" s="109">
        <v>1</v>
      </c>
      <c r="J3272" s="8">
        <f>H3272*I3272</f>
        <v>30</v>
      </c>
      <c r="K3272" s="39">
        <v>0.62</v>
      </c>
      <c r="L3272" s="39">
        <f>K3272*J3272</f>
        <v>18.600000000000001</v>
      </c>
      <c r="M3272" s="117" t="s">
        <v>349</v>
      </c>
      <c r="N3272" s="33">
        <v>45218</v>
      </c>
      <c r="O3272" s="32">
        <v>5603</v>
      </c>
      <c r="P3272" s="391">
        <f>ROUNDUP(S3272/V3272/VLOOKUP(B3272,$C$2:$F$6,3,FALSE),2)</f>
        <v>0.4</v>
      </c>
      <c r="Q3272" s="322">
        <v>0.4</v>
      </c>
      <c r="R3272" s="322">
        <f>Q3272*J3272</f>
        <v>12</v>
      </c>
      <c r="S3272" s="7">
        <v>33</v>
      </c>
      <c r="T3272" s="7">
        <f>S3272*J3272</f>
        <v>990</v>
      </c>
      <c r="U3272" s="778"/>
      <c r="V3272" s="260">
        <v>120</v>
      </c>
      <c r="W3272" s="1136">
        <f>(((K3272*V3272)-S3272)/(K3272*V3272))</f>
        <v>0.55645161290322587</v>
      </c>
    </row>
    <row r="3273" spans="1:51" s="7" customFormat="1" ht="18" customHeight="1">
      <c r="B3273" s="12" t="s">
        <v>300</v>
      </c>
      <c r="C3273" s="965" t="s">
        <v>4586</v>
      </c>
      <c r="D3273" s="14" t="s">
        <v>2162</v>
      </c>
      <c r="E3273" s="22" t="s">
        <v>4590</v>
      </c>
      <c r="F3273" s="37"/>
      <c r="G3273" s="839" t="s">
        <v>4592</v>
      </c>
      <c r="H3273" s="108">
        <v>30</v>
      </c>
      <c r="I3273" s="109">
        <v>1</v>
      </c>
      <c r="J3273" s="8">
        <f>H3273*I3273</f>
        <v>30</v>
      </c>
      <c r="K3273" s="39">
        <v>0.62</v>
      </c>
      <c r="L3273" s="39">
        <f>K3273*J3273</f>
        <v>18.600000000000001</v>
      </c>
      <c r="M3273" s="117" t="s">
        <v>349</v>
      </c>
      <c r="N3273" s="33">
        <v>45218</v>
      </c>
      <c r="O3273" s="32">
        <v>5603</v>
      </c>
      <c r="P3273" s="391">
        <f>ROUNDUP(S3273/V3273/VLOOKUP(B3273,$C$2:$F$6,3,FALSE),2)</f>
        <v>0.4</v>
      </c>
      <c r="Q3273" s="322">
        <v>0.4</v>
      </c>
      <c r="R3273" s="322">
        <f>Q3273*J3273</f>
        <v>12</v>
      </c>
      <c r="S3273" s="7">
        <v>33</v>
      </c>
      <c r="T3273" s="7">
        <f>S3273*J3273</f>
        <v>990</v>
      </c>
      <c r="U3273" s="778"/>
      <c r="V3273" s="260">
        <v>120</v>
      </c>
      <c r="W3273" s="1136">
        <f t="shared" ref="W3273:W3295" si="236">(((K3273*V3273)-S3273)/(K3273*V3273))</f>
        <v>0.55645161290322587</v>
      </c>
    </row>
    <row r="3274" spans="1:51" s="7" customFormat="1" ht="18" customHeight="1">
      <c r="B3274" s="12" t="s">
        <v>300</v>
      </c>
      <c r="C3274" s="965" t="s">
        <v>4586</v>
      </c>
      <c r="D3274" s="14" t="s">
        <v>2162</v>
      </c>
      <c r="E3274" s="22" t="s">
        <v>4590</v>
      </c>
      <c r="F3274" s="37"/>
      <c r="G3274" s="839" t="s">
        <v>4593</v>
      </c>
      <c r="H3274" s="108">
        <v>30</v>
      </c>
      <c r="I3274" s="109">
        <v>1</v>
      </c>
      <c r="J3274" s="8">
        <f>H3274*I3274</f>
        <v>30</v>
      </c>
      <c r="K3274" s="39">
        <v>0.62</v>
      </c>
      <c r="L3274" s="39">
        <f>K3274*J3274</f>
        <v>18.600000000000001</v>
      </c>
      <c r="M3274" s="117" t="s">
        <v>349</v>
      </c>
      <c r="N3274" s="33">
        <v>45218</v>
      </c>
      <c r="O3274" s="32">
        <v>5603</v>
      </c>
      <c r="P3274" s="391">
        <f>ROUNDUP(S3274/V3274/VLOOKUP(B3274,$C$2:$F$6,3,FALSE),2)</f>
        <v>0.4</v>
      </c>
      <c r="Q3274" s="322">
        <v>0.4</v>
      </c>
      <c r="R3274" s="322">
        <f>Q3274*J3274</f>
        <v>12</v>
      </c>
      <c r="S3274" s="7">
        <v>33</v>
      </c>
      <c r="T3274" s="7">
        <f>S3274*J3274</f>
        <v>990</v>
      </c>
      <c r="U3274" s="778"/>
      <c r="V3274" s="260">
        <v>120</v>
      </c>
      <c r="W3274" s="1136">
        <f t="shared" si="236"/>
        <v>0.55645161290322587</v>
      </c>
    </row>
    <row r="3275" spans="1:51" s="7" customFormat="1" ht="18" customHeight="1">
      <c r="B3275" s="12"/>
      <c r="C3275" s="965" t="s">
        <v>4586</v>
      </c>
      <c r="D3275" s="14" t="s">
        <v>2162</v>
      </c>
      <c r="E3275" s="22"/>
      <c r="F3275" s="102"/>
      <c r="G3275" s="22" t="s">
        <v>316</v>
      </c>
      <c r="H3275" s="8"/>
      <c r="I3275" s="35"/>
      <c r="J3275" s="38">
        <v>1</v>
      </c>
      <c r="K3275" s="39">
        <v>24</v>
      </c>
      <c r="L3275" s="39">
        <f>K3275*J3275</f>
        <v>24</v>
      </c>
      <c r="M3275" s="91"/>
      <c r="N3275" s="33">
        <v>45218</v>
      </c>
      <c r="O3275" s="32">
        <v>5603</v>
      </c>
      <c r="P3275" s="6" t="s">
        <v>3</v>
      </c>
      <c r="Q3275" s="39">
        <v>24</v>
      </c>
      <c r="R3275" s="322">
        <f>Q3275*J3275</f>
        <v>24</v>
      </c>
      <c r="S3275" s="7">
        <f>1100+900</f>
        <v>2000</v>
      </c>
      <c r="T3275" s="7">
        <f>S3275*J3275</f>
        <v>2000</v>
      </c>
      <c r="U3275" s="21"/>
      <c r="V3275" s="260">
        <v>120</v>
      </c>
      <c r="W3275" s="1136">
        <f t="shared" si="236"/>
        <v>0.30555555555555558</v>
      </c>
    </row>
    <row r="3276" spans="1:51" s="191" customFormat="1" ht="18" customHeight="1">
      <c r="B3276" s="190"/>
      <c r="C3276" s="966" t="s">
        <v>4586</v>
      </c>
      <c r="D3276" s="180" t="s">
        <v>2162</v>
      </c>
      <c r="E3276" s="217"/>
      <c r="F3276" s="182"/>
      <c r="G3276" s="182" t="s">
        <v>250</v>
      </c>
      <c r="H3276" s="184" t="s">
        <v>251</v>
      </c>
      <c r="I3276" s="185"/>
      <c r="J3276" s="183"/>
      <c r="K3276" s="192">
        <v>0</v>
      </c>
      <c r="L3276" s="192">
        <v>0</v>
      </c>
      <c r="M3276" s="187"/>
      <c r="N3276" s="187">
        <v>45218</v>
      </c>
      <c r="O3276" s="186">
        <v>5603</v>
      </c>
      <c r="P3276" s="179"/>
      <c r="Q3276" s="334">
        <v>0</v>
      </c>
      <c r="R3276" s="334">
        <v>0</v>
      </c>
      <c r="S3276" s="197">
        <v>0</v>
      </c>
      <c r="T3276" s="197">
        <v>0</v>
      </c>
      <c r="U3276" s="335"/>
      <c r="V3276" s="260">
        <v>120</v>
      </c>
      <c r="W3276" s="1136" t="e">
        <f t="shared" si="236"/>
        <v>#DIV/0!</v>
      </c>
    </row>
    <row r="3277" spans="1:51" customFormat="1" ht="18" customHeight="1">
      <c r="A3277" s="1"/>
      <c r="B3277" s="26"/>
      <c r="C3277" s="6" t="s">
        <v>4601</v>
      </c>
      <c r="D3277" s="14" t="s">
        <v>3067</v>
      </c>
      <c r="E3277" s="19" t="s">
        <v>59</v>
      </c>
      <c r="F3277" s="107"/>
      <c r="G3277" s="22"/>
      <c r="H3277" s="108"/>
      <c r="I3277" s="109"/>
      <c r="J3277" s="108"/>
      <c r="K3277" s="110" t="s">
        <v>5</v>
      </c>
      <c r="L3277" s="33"/>
      <c r="M3277" s="33"/>
      <c r="N3277" s="33">
        <v>45231</v>
      </c>
      <c r="O3277" s="32">
        <v>5639</v>
      </c>
      <c r="P3277" s="14"/>
      <c r="Q3277" s="254"/>
      <c r="R3277" s="1"/>
      <c r="S3277" s="261"/>
      <c r="T3277" s="92"/>
      <c r="U3277" s="264"/>
      <c r="V3277" s="260">
        <v>120</v>
      </c>
      <c r="W3277" s="1136" t="e">
        <f t="shared" si="236"/>
        <v>#VALUE!</v>
      </c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1"/>
      <c r="AI3277" s="1"/>
      <c r="AJ3277" s="1"/>
      <c r="AK3277" s="1"/>
      <c r="AL3277" s="1"/>
      <c r="AM3277" s="1"/>
      <c r="AN3277" s="1"/>
      <c r="AO3277" s="1"/>
      <c r="AP3277" s="1"/>
      <c r="AQ3277" s="1"/>
      <c r="AR3277" s="1"/>
      <c r="AS3277" s="1"/>
      <c r="AT3277" s="1"/>
      <c r="AU3277" s="1"/>
      <c r="AV3277" s="1"/>
      <c r="AW3277" s="1"/>
      <c r="AX3277" s="1"/>
      <c r="AY3277" s="1"/>
    </row>
    <row r="3278" spans="1:51" customFormat="1" ht="18" customHeight="1">
      <c r="B3278" s="12" t="s">
        <v>302</v>
      </c>
      <c r="C3278" s="6" t="s">
        <v>4601</v>
      </c>
      <c r="D3278" s="14" t="s">
        <v>3067</v>
      </c>
      <c r="E3278" s="22">
        <v>2440</v>
      </c>
      <c r="F3278" s="107">
        <v>140</v>
      </c>
      <c r="G3278" s="22" t="s">
        <v>4597</v>
      </c>
      <c r="H3278" s="108">
        <v>58</v>
      </c>
      <c r="I3278" s="109">
        <v>1</v>
      </c>
      <c r="J3278" s="8">
        <f>H3278*I3278</f>
        <v>58</v>
      </c>
      <c r="K3278" s="39">
        <v>4.17</v>
      </c>
      <c r="L3278" s="39">
        <f t="shared" ref="L3278:L3289" si="237">K3278*J3278</f>
        <v>241.85999999999999</v>
      </c>
      <c r="M3278" s="117" t="s">
        <v>323</v>
      </c>
      <c r="N3278" s="33">
        <v>45231</v>
      </c>
      <c r="O3278" s="32">
        <v>5639</v>
      </c>
      <c r="P3278" s="391">
        <f>ROUNDUP(S3278/V3278/VLOOKUP(B3278,$C$2:$F$6,3,FALSE),2)</f>
        <v>2.8499999999999996</v>
      </c>
      <c r="Q3278" s="254">
        <v>2.85</v>
      </c>
      <c r="R3278" s="323">
        <f t="shared" ref="R3278:R3289" si="238">Q3278*J3278</f>
        <v>165.3</v>
      </c>
      <c r="S3278" s="257">
        <v>300</v>
      </c>
      <c r="T3278" s="287">
        <f t="shared" ref="T3278:T3289" si="239">S3278*J3278</f>
        <v>17400</v>
      </c>
      <c r="U3278" s="264"/>
      <c r="V3278" s="260">
        <v>120</v>
      </c>
      <c r="W3278" s="1136">
        <f t="shared" si="236"/>
        <v>0.40047961630695439</v>
      </c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1"/>
      <c r="AI3278" s="1"/>
      <c r="AJ3278" s="1"/>
      <c r="AK3278" s="1"/>
      <c r="AL3278" s="1"/>
      <c r="AM3278" s="1"/>
      <c r="AN3278" s="1"/>
      <c r="AO3278" s="1"/>
      <c r="AP3278" s="1"/>
      <c r="AQ3278" s="1"/>
      <c r="AR3278" s="1"/>
      <c r="AS3278" s="1"/>
      <c r="AT3278" s="1"/>
      <c r="AU3278" s="1"/>
      <c r="AV3278" s="1"/>
      <c r="AW3278" s="1"/>
      <c r="AX3278" s="1"/>
      <c r="AY3278" s="1"/>
    </row>
    <row r="3279" spans="1:51" customFormat="1" ht="18" customHeight="1">
      <c r="B3279" s="12" t="s">
        <v>302</v>
      </c>
      <c r="C3279" s="6" t="s">
        <v>4601</v>
      </c>
      <c r="D3279" s="14" t="s">
        <v>3067</v>
      </c>
      <c r="E3279" s="22">
        <v>2440</v>
      </c>
      <c r="F3279" s="107">
        <v>140</v>
      </c>
      <c r="G3279" s="22" t="s">
        <v>4596</v>
      </c>
      <c r="H3279" s="108">
        <v>58</v>
      </c>
      <c r="I3279" s="109">
        <v>1</v>
      </c>
      <c r="J3279" s="8">
        <f>H3279*I3279</f>
        <v>58</v>
      </c>
      <c r="K3279" s="39">
        <v>4.17</v>
      </c>
      <c r="L3279" s="39">
        <f t="shared" si="237"/>
        <v>241.85999999999999</v>
      </c>
      <c r="M3279" s="117" t="s">
        <v>323</v>
      </c>
      <c r="N3279" s="33">
        <v>45231</v>
      </c>
      <c r="O3279" s="32">
        <v>5639</v>
      </c>
      <c r="P3279" s="391">
        <f>ROUNDUP(S3279/V3279/VLOOKUP(B3279,$C$2:$F$6,3,FALSE),2)</f>
        <v>2.8499999999999996</v>
      </c>
      <c r="Q3279" s="254">
        <v>2.85</v>
      </c>
      <c r="R3279" s="323">
        <f t="shared" si="238"/>
        <v>165.3</v>
      </c>
      <c r="S3279" s="257">
        <v>300</v>
      </c>
      <c r="T3279" s="287">
        <f t="shared" si="239"/>
        <v>17400</v>
      </c>
      <c r="U3279" s="264"/>
      <c r="V3279" s="260">
        <v>120</v>
      </c>
      <c r="W3279" s="1136">
        <f>(((K3279*V3279)-S3279)/(K3279*V3279))</f>
        <v>0.40047961630695439</v>
      </c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1"/>
      <c r="AI3279" s="1"/>
      <c r="AJ3279" s="1"/>
      <c r="AK3279" s="1"/>
      <c r="AL3279" s="1"/>
      <c r="AM3279" s="1"/>
      <c r="AN3279" s="1"/>
      <c r="AO3279" s="1"/>
      <c r="AP3279" s="1"/>
      <c r="AQ3279" s="1"/>
      <c r="AR3279" s="1"/>
      <c r="AS3279" s="1"/>
      <c r="AT3279" s="1"/>
      <c r="AU3279" s="1"/>
      <c r="AV3279" s="1"/>
      <c r="AW3279" s="1"/>
      <c r="AX3279" s="1"/>
      <c r="AY3279" s="1"/>
    </row>
    <row r="3280" spans="1:51" customFormat="1" ht="18" customHeight="1">
      <c r="B3280" s="12" t="s">
        <v>302</v>
      </c>
      <c r="C3280" s="6" t="s">
        <v>4601</v>
      </c>
      <c r="D3280" s="14" t="s">
        <v>3067</v>
      </c>
      <c r="E3280" s="22">
        <v>2440</v>
      </c>
      <c r="F3280" s="107">
        <v>140</v>
      </c>
      <c r="G3280" s="22" t="s">
        <v>4595</v>
      </c>
      <c r="H3280" s="108">
        <v>58</v>
      </c>
      <c r="I3280" s="109">
        <v>6</v>
      </c>
      <c r="J3280" s="8">
        <f>H3280*I3280</f>
        <v>348</v>
      </c>
      <c r="K3280" s="39">
        <v>3.13</v>
      </c>
      <c r="L3280" s="39">
        <f t="shared" si="237"/>
        <v>1089.24</v>
      </c>
      <c r="M3280" s="117" t="s">
        <v>323</v>
      </c>
      <c r="N3280" s="33">
        <v>45231</v>
      </c>
      <c r="O3280" s="32">
        <v>5639</v>
      </c>
      <c r="P3280" s="391">
        <f>ROUNDUP(S3280/V3280/VLOOKUP(B3280,$C$2:$F$6,3,FALSE),2)</f>
        <v>2.8499999999999996</v>
      </c>
      <c r="Q3280" s="254">
        <v>2.85</v>
      </c>
      <c r="R3280" s="323">
        <f t="shared" si="238"/>
        <v>991.80000000000007</v>
      </c>
      <c r="S3280" s="257">
        <v>300</v>
      </c>
      <c r="T3280" s="287">
        <f t="shared" si="239"/>
        <v>104400</v>
      </c>
      <c r="U3280" s="264"/>
      <c r="V3280" s="260">
        <v>120</v>
      </c>
      <c r="W3280" s="1136">
        <f>(((K3280*V3280)-S3280)/(K3280*V3280))</f>
        <v>0.20127795527156542</v>
      </c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1"/>
      <c r="AI3280" s="1"/>
      <c r="AJ3280" s="1"/>
      <c r="AK3280" s="1"/>
      <c r="AL3280" s="1"/>
      <c r="AM3280" s="1"/>
      <c r="AN3280" s="1"/>
      <c r="AO3280" s="1"/>
      <c r="AP3280" s="1"/>
      <c r="AQ3280" s="1"/>
      <c r="AR3280" s="1"/>
      <c r="AS3280" s="1"/>
      <c r="AT3280" s="1"/>
      <c r="AU3280" s="1"/>
      <c r="AV3280" s="1"/>
      <c r="AW3280" s="1"/>
      <c r="AX3280" s="1"/>
      <c r="AY3280" s="1"/>
    </row>
    <row r="3281" spans="2:51" customFormat="1" ht="18" customHeight="1">
      <c r="B3281" s="12" t="s">
        <v>302</v>
      </c>
      <c r="C3281" s="6" t="s">
        <v>4601</v>
      </c>
      <c r="D3281" s="14" t="s">
        <v>3067</v>
      </c>
      <c r="E3281" s="22">
        <v>2440</v>
      </c>
      <c r="F3281" s="107">
        <v>140</v>
      </c>
      <c r="G3281" s="22" t="s">
        <v>4594</v>
      </c>
      <c r="H3281" s="108">
        <v>58</v>
      </c>
      <c r="I3281" s="109">
        <v>2</v>
      </c>
      <c r="J3281" s="8">
        <f>H3281*I3281</f>
        <v>116</v>
      </c>
      <c r="K3281" s="39">
        <v>3.13</v>
      </c>
      <c r="L3281" s="39">
        <f t="shared" si="237"/>
        <v>363.08</v>
      </c>
      <c r="M3281" s="117" t="s">
        <v>323</v>
      </c>
      <c r="N3281" s="33">
        <v>45231</v>
      </c>
      <c r="O3281" s="32">
        <v>5639</v>
      </c>
      <c r="P3281" s="391">
        <f>ROUNDUP(S3281/V3281/VLOOKUP(B3281,$C$2:$F$6,3,FALSE),2)</f>
        <v>2.8499999999999996</v>
      </c>
      <c r="Q3281" s="254">
        <v>2.85</v>
      </c>
      <c r="R3281" s="323">
        <f t="shared" si="238"/>
        <v>330.6</v>
      </c>
      <c r="S3281" s="257">
        <v>300</v>
      </c>
      <c r="T3281" s="287">
        <f t="shared" si="239"/>
        <v>34800</v>
      </c>
      <c r="U3281" s="264"/>
      <c r="V3281" s="260">
        <v>120</v>
      </c>
      <c r="W3281" s="1136">
        <f>(((K3281*V3281)-S3281)/(K3281*V3281))</f>
        <v>0.20127795527156542</v>
      </c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1"/>
      <c r="AI3281" s="1"/>
      <c r="AJ3281" s="1"/>
      <c r="AK3281" s="1"/>
      <c r="AL3281" s="1"/>
      <c r="AM3281" s="1"/>
      <c r="AN3281" s="1"/>
      <c r="AO3281" s="1"/>
      <c r="AP3281" s="1"/>
      <c r="AQ3281" s="1"/>
      <c r="AR3281" s="1"/>
      <c r="AS3281" s="1"/>
      <c r="AT3281" s="1"/>
      <c r="AU3281" s="1"/>
      <c r="AV3281" s="1"/>
      <c r="AW3281" s="1"/>
      <c r="AX3281" s="1"/>
      <c r="AY3281" s="1"/>
    </row>
    <row r="3282" spans="2:51" s="7" customFormat="1" ht="15">
      <c r="B3282" s="12"/>
      <c r="C3282" s="6" t="s">
        <v>4601</v>
      </c>
      <c r="D3282" s="14" t="s">
        <v>3067</v>
      </c>
      <c r="E3282" s="49"/>
      <c r="F3282" s="102"/>
      <c r="G3282" s="22" t="s">
        <v>316</v>
      </c>
      <c r="H3282" s="38"/>
      <c r="I3282" s="35"/>
      <c r="J3282" s="38">
        <v>1</v>
      </c>
      <c r="K3282" s="39">
        <v>20</v>
      </c>
      <c r="L3282" s="39">
        <f t="shared" si="237"/>
        <v>20</v>
      </c>
      <c r="M3282" s="91"/>
      <c r="N3282" s="33">
        <v>45231</v>
      </c>
      <c r="O3282" s="32">
        <v>5639</v>
      </c>
      <c r="P3282" s="722"/>
      <c r="Q3282" s="322">
        <v>20</v>
      </c>
      <c r="R3282" s="322">
        <f t="shared" si="238"/>
        <v>20</v>
      </c>
      <c r="S3282" s="7">
        <v>1800</v>
      </c>
      <c r="T3282" s="7">
        <f t="shared" si="239"/>
        <v>1800</v>
      </c>
      <c r="U3282" s="21"/>
      <c r="V3282" s="260">
        <v>120</v>
      </c>
      <c r="W3282" s="1136">
        <f t="shared" si="236"/>
        <v>0.25</v>
      </c>
    </row>
    <row r="3283" spans="2:51" customFormat="1" ht="18" customHeight="1">
      <c r="B3283" s="12" t="s">
        <v>302</v>
      </c>
      <c r="C3283" s="6" t="s">
        <v>4601</v>
      </c>
      <c r="D3283" s="14" t="s">
        <v>3067</v>
      </c>
      <c r="E3283" s="22">
        <v>2440</v>
      </c>
      <c r="F3283" s="107">
        <v>140</v>
      </c>
      <c r="G3283" s="22" t="s">
        <v>4594</v>
      </c>
      <c r="H3283" s="108">
        <v>58</v>
      </c>
      <c r="I3283" s="109">
        <v>1</v>
      </c>
      <c r="J3283" s="8">
        <f>H3283*I3283</f>
        <v>58</v>
      </c>
      <c r="K3283" s="39">
        <v>3.13</v>
      </c>
      <c r="L3283" s="39">
        <f t="shared" si="237"/>
        <v>181.54</v>
      </c>
      <c r="M3283" s="117" t="s">
        <v>323</v>
      </c>
      <c r="N3283" s="33">
        <v>45251</v>
      </c>
      <c r="O3283" s="32">
        <v>5687</v>
      </c>
      <c r="P3283" s="391">
        <f>ROUNDUP(S3283/V3283/VLOOKUP(B3283,$C$2:$F$6,3,FALSE),2)</f>
        <v>2.8499999999999996</v>
      </c>
      <c r="Q3283" s="254">
        <v>2.85</v>
      </c>
      <c r="R3283" s="323">
        <f t="shared" si="238"/>
        <v>165.3</v>
      </c>
      <c r="S3283" s="257">
        <v>300</v>
      </c>
      <c r="T3283" s="287">
        <f t="shared" si="239"/>
        <v>17400</v>
      </c>
      <c r="U3283" s="264"/>
      <c r="V3283" s="260">
        <v>120</v>
      </c>
      <c r="W3283" s="1136">
        <f t="shared" si="236"/>
        <v>0.20127795527156542</v>
      </c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1"/>
      <c r="AI3283" s="1"/>
      <c r="AJ3283" s="1"/>
      <c r="AK3283" s="1"/>
      <c r="AL3283" s="1"/>
      <c r="AM3283" s="1"/>
      <c r="AN3283" s="1"/>
      <c r="AO3283" s="1"/>
      <c r="AP3283" s="1"/>
      <c r="AQ3283" s="1"/>
      <c r="AR3283" s="1"/>
      <c r="AS3283" s="1"/>
      <c r="AT3283" s="1"/>
      <c r="AU3283" s="1"/>
      <c r="AV3283" s="1"/>
      <c r="AW3283" s="1"/>
      <c r="AX3283" s="1"/>
      <c r="AY3283" s="1"/>
    </row>
    <row r="3284" spans="2:51" s="7" customFormat="1" ht="15">
      <c r="B3284" s="12"/>
      <c r="C3284" s="6" t="s">
        <v>4601</v>
      </c>
      <c r="D3284" s="14" t="s">
        <v>3067</v>
      </c>
      <c r="E3284" s="22"/>
      <c r="F3284" s="102"/>
      <c r="G3284" s="22" t="s">
        <v>316</v>
      </c>
      <c r="H3284" s="38"/>
      <c r="I3284" s="35"/>
      <c r="J3284" s="38">
        <v>1</v>
      </c>
      <c r="K3284" s="39">
        <v>20</v>
      </c>
      <c r="L3284" s="39">
        <f t="shared" si="237"/>
        <v>20</v>
      </c>
      <c r="M3284" s="91"/>
      <c r="N3284" s="33">
        <v>45251</v>
      </c>
      <c r="O3284" s="32">
        <v>5687</v>
      </c>
      <c r="P3284" s="722"/>
      <c r="Q3284" s="322">
        <v>20</v>
      </c>
      <c r="R3284" s="322">
        <f t="shared" si="238"/>
        <v>20</v>
      </c>
      <c r="S3284" s="7">
        <v>1800</v>
      </c>
      <c r="T3284" s="7">
        <f t="shared" si="239"/>
        <v>1800</v>
      </c>
      <c r="U3284" s="21"/>
      <c r="V3284" s="260">
        <v>120</v>
      </c>
      <c r="W3284" s="1136">
        <f t="shared" si="236"/>
        <v>0.25</v>
      </c>
    </row>
    <row r="3285" spans="2:51" customFormat="1" ht="18" customHeight="1">
      <c r="B3285" s="12" t="s">
        <v>302</v>
      </c>
      <c r="C3285" s="6" t="s">
        <v>4646</v>
      </c>
      <c r="D3285" s="14" t="s">
        <v>3067</v>
      </c>
      <c r="E3285" s="22">
        <v>2440</v>
      </c>
      <c r="F3285" s="107">
        <v>140</v>
      </c>
      <c r="G3285" s="22" t="s">
        <v>4647</v>
      </c>
      <c r="H3285" s="108">
        <v>58</v>
      </c>
      <c r="I3285" s="109">
        <v>1</v>
      </c>
      <c r="J3285" s="8">
        <f>H3285*I3285</f>
        <v>58</v>
      </c>
      <c r="K3285" s="39">
        <v>4.17</v>
      </c>
      <c r="L3285" s="39">
        <f t="shared" si="237"/>
        <v>241.85999999999999</v>
      </c>
      <c r="M3285" s="117" t="s">
        <v>323</v>
      </c>
      <c r="N3285" s="33">
        <v>45251</v>
      </c>
      <c r="O3285" s="32">
        <v>5687</v>
      </c>
      <c r="P3285" s="391">
        <f>ROUNDUP(S3285/V3285/VLOOKUP(B3285,$C$2:$F$6,3,FALSE),2)</f>
        <v>2.8499999999999996</v>
      </c>
      <c r="Q3285" s="254">
        <v>2.85</v>
      </c>
      <c r="R3285" s="323">
        <f t="shared" si="238"/>
        <v>165.3</v>
      </c>
      <c r="S3285" s="257">
        <v>300</v>
      </c>
      <c r="T3285" s="287">
        <f t="shared" si="239"/>
        <v>17400</v>
      </c>
      <c r="U3285" s="264"/>
      <c r="V3285" s="260">
        <v>120</v>
      </c>
      <c r="W3285" s="1136">
        <f>(((K3285*V3285)-S3285)/(K3285*V3285))</f>
        <v>0.40047961630695439</v>
      </c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1"/>
      <c r="AI3285" s="1"/>
      <c r="AJ3285" s="1"/>
      <c r="AK3285" s="1"/>
      <c r="AL3285" s="1"/>
      <c r="AM3285" s="1"/>
      <c r="AN3285" s="1"/>
      <c r="AO3285" s="1"/>
      <c r="AP3285" s="1"/>
      <c r="AQ3285" s="1"/>
      <c r="AR3285" s="1"/>
      <c r="AS3285" s="1"/>
      <c r="AT3285" s="1"/>
      <c r="AU3285" s="1"/>
      <c r="AV3285" s="1"/>
      <c r="AW3285" s="1"/>
      <c r="AX3285" s="1"/>
      <c r="AY3285" s="1"/>
    </row>
    <row r="3286" spans="2:51" customFormat="1" ht="18" customHeight="1">
      <c r="B3286" s="12" t="s">
        <v>302</v>
      </c>
      <c r="C3286" s="6" t="s">
        <v>4646</v>
      </c>
      <c r="D3286" s="14" t="s">
        <v>3067</v>
      </c>
      <c r="E3286" s="22">
        <v>2440</v>
      </c>
      <c r="F3286" s="107">
        <v>140</v>
      </c>
      <c r="G3286" s="22" t="s">
        <v>4648</v>
      </c>
      <c r="H3286" s="108">
        <v>58</v>
      </c>
      <c r="I3286" s="109">
        <v>1</v>
      </c>
      <c r="J3286" s="8">
        <f>H3286*I3286</f>
        <v>58</v>
      </c>
      <c r="K3286" s="39">
        <v>4.17</v>
      </c>
      <c r="L3286" s="39">
        <f t="shared" si="237"/>
        <v>241.85999999999999</v>
      </c>
      <c r="M3286" s="117" t="s">
        <v>323</v>
      </c>
      <c r="N3286" s="33">
        <v>45251</v>
      </c>
      <c r="O3286" s="32">
        <v>5687</v>
      </c>
      <c r="P3286" s="391">
        <f>ROUNDUP(S3286/V3286/VLOOKUP(B3286,$C$2:$F$6,3,FALSE),2)</f>
        <v>2.8499999999999996</v>
      </c>
      <c r="Q3286" s="254">
        <v>2.85</v>
      </c>
      <c r="R3286" s="323">
        <f t="shared" si="238"/>
        <v>165.3</v>
      </c>
      <c r="S3286" s="257">
        <v>300</v>
      </c>
      <c r="T3286" s="287">
        <f t="shared" si="239"/>
        <v>17400</v>
      </c>
      <c r="U3286" s="264"/>
      <c r="V3286" s="260">
        <v>120</v>
      </c>
      <c r="W3286" s="1136">
        <f>(((K3286*V3286)-S3286)/(K3286*V3286))</f>
        <v>0.40047961630695439</v>
      </c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1"/>
      <c r="AI3286" s="1"/>
      <c r="AJ3286" s="1"/>
      <c r="AK3286" s="1"/>
      <c r="AL3286" s="1"/>
      <c r="AM3286" s="1"/>
      <c r="AN3286" s="1"/>
      <c r="AO3286" s="1"/>
      <c r="AP3286" s="1"/>
      <c r="AQ3286" s="1"/>
      <c r="AR3286" s="1"/>
      <c r="AS3286" s="1"/>
      <c r="AT3286" s="1"/>
      <c r="AU3286" s="1"/>
      <c r="AV3286" s="1"/>
      <c r="AW3286" s="1"/>
      <c r="AX3286" s="1"/>
      <c r="AY3286" s="1"/>
    </row>
    <row r="3287" spans="2:51" customFormat="1" ht="18" customHeight="1">
      <c r="B3287" s="12" t="s">
        <v>302</v>
      </c>
      <c r="C3287" s="6" t="s">
        <v>4646</v>
      </c>
      <c r="D3287" s="14" t="s">
        <v>3067</v>
      </c>
      <c r="E3287" s="22">
        <v>2440</v>
      </c>
      <c r="F3287" s="107">
        <v>140</v>
      </c>
      <c r="G3287" s="22" t="s">
        <v>4649</v>
      </c>
      <c r="H3287" s="108">
        <v>56</v>
      </c>
      <c r="I3287" s="109">
        <v>1</v>
      </c>
      <c r="J3287" s="8">
        <f>H3287*I3287</f>
        <v>56</v>
      </c>
      <c r="K3287" s="39">
        <v>3.13</v>
      </c>
      <c r="L3287" s="39">
        <f t="shared" si="237"/>
        <v>175.28</v>
      </c>
      <c r="M3287" s="117" t="s">
        <v>323</v>
      </c>
      <c r="N3287" s="33">
        <v>45251</v>
      </c>
      <c r="O3287" s="32">
        <v>5687</v>
      </c>
      <c r="P3287" s="391">
        <f>ROUNDUP(S3287/V3287/VLOOKUP(B3287,$C$2:$F$6,3,FALSE),2)</f>
        <v>2.8499999999999996</v>
      </c>
      <c r="Q3287" s="254">
        <v>2.85</v>
      </c>
      <c r="R3287" s="323">
        <f t="shared" si="238"/>
        <v>159.6</v>
      </c>
      <c r="S3287" s="257">
        <v>300</v>
      </c>
      <c r="T3287" s="287">
        <f t="shared" si="239"/>
        <v>16800</v>
      </c>
      <c r="U3287" s="264"/>
      <c r="V3287" s="260">
        <v>120</v>
      </c>
      <c r="W3287" s="1136">
        <f>(((K3287*V3287)-S3287)/(K3287*V3287))</f>
        <v>0.20127795527156542</v>
      </c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1"/>
      <c r="AI3287" s="1"/>
      <c r="AJ3287" s="1"/>
      <c r="AK3287" s="1"/>
      <c r="AL3287" s="1"/>
      <c r="AM3287" s="1"/>
      <c r="AN3287" s="1"/>
      <c r="AO3287" s="1"/>
      <c r="AP3287" s="1"/>
      <c r="AQ3287" s="1"/>
      <c r="AR3287" s="1"/>
      <c r="AS3287" s="1"/>
      <c r="AT3287" s="1"/>
      <c r="AU3287" s="1"/>
      <c r="AV3287" s="1"/>
      <c r="AW3287" s="1"/>
      <c r="AX3287" s="1"/>
      <c r="AY3287" s="1"/>
    </row>
    <row r="3288" spans="2:51" customFormat="1" ht="18" customHeight="1">
      <c r="B3288" s="12" t="s">
        <v>302</v>
      </c>
      <c r="C3288" s="6" t="s">
        <v>4646</v>
      </c>
      <c r="D3288" s="14" t="s">
        <v>3067</v>
      </c>
      <c r="E3288" s="22">
        <v>2440</v>
      </c>
      <c r="F3288" s="107">
        <v>140</v>
      </c>
      <c r="G3288" s="22" t="s">
        <v>4649</v>
      </c>
      <c r="H3288" s="108">
        <v>57</v>
      </c>
      <c r="I3288" s="109">
        <v>1</v>
      </c>
      <c r="J3288" s="8">
        <f>H3288*I3288</f>
        <v>57</v>
      </c>
      <c r="K3288" s="39">
        <v>3.13</v>
      </c>
      <c r="L3288" s="39">
        <f t="shared" si="237"/>
        <v>178.41</v>
      </c>
      <c r="M3288" s="117" t="s">
        <v>323</v>
      </c>
      <c r="N3288" s="33">
        <v>45251</v>
      </c>
      <c r="O3288" s="32">
        <v>5687</v>
      </c>
      <c r="P3288" s="391">
        <f>ROUNDUP(S3288/V3288/VLOOKUP(B3288,$C$2:$F$6,3,FALSE),2)</f>
        <v>2.8499999999999996</v>
      </c>
      <c r="Q3288" s="254">
        <v>2.85</v>
      </c>
      <c r="R3288" s="323">
        <f t="shared" si="238"/>
        <v>162.45000000000002</v>
      </c>
      <c r="S3288" s="257">
        <v>300</v>
      </c>
      <c r="T3288" s="287">
        <f t="shared" si="239"/>
        <v>17100</v>
      </c>
      <c r="U3288" s="264"/>
      <c r="V3288" s="260">
        <v>120</v>
      </c>
      <c r="W3288" s="1136">
        <f>(((K3288*V3288)-S3288)/(K3288*V3288))</f>
        <v>0.20127795527156542</v>
      </c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1"/>
      <c r="AI3288" s="1"/>
      <c r="AJ3288" s="1"/>
      <c r="AK3288" s="1"/>
      <c r="AL3288" s="1"/>
      <c r="AM3288" s="1"/>
      <c r="AN3288" s="1"/>
      <c r="AO3288" s="1"/>
      <c r="AP3288" s="1"/>
      <c r="AQ3288" s="1"/>
      <c r="AR3288" s="1"/>
      <c r="AS3288" s="1"/>
      <c r="AT3288" s="1"/>
      <c r="AU3288" s="1"/>
      <c r="AV3288" s="1"/>
      <c r="AW3288" s="1"/>
      <c r="AX3288" s="1"/>
      <c r="AY3288" s="1"/>
    </row>
    <row r="3289" spans="2:51" s="7" customFormat="1" ht="15">
      <c r="B3289" s="12"/>
      <c r="C3289" s="6" t="s">
        <v>4646</v>
      </c>
      <c r="D3289" s="14" t="s">
        <v>3067</v>
      </c>
      <c r="E3289" s="49"/>
      <c r="F3289" s="102"/>
      <c r="G3289" s="22" t="s">
        <v>316</v>
      </c>
      <c r="H3289" s="38"/>
      <c r="I3289" s="35"/>
      <c r="J3289" s="38">
        <v>1</v>
      </c>
      <c r="K3289" s="39">
        <v>20</v>
      </c>
      <c r="L3289" s="39">
        <f t="shared" si="237"/>
        <v>20</v>
      </c>
      <c r="M3289" s="91"/>
      <c r="N3289" s="33">
        <v>45251</v>
      </c>
      <c r="O3289" s="32">
        <v>5687</v>
      </c>
      <c r="P3289" s="722"/>
      <c r="Q3289" s="322">
        <v>20</v>
      </c>
      <c r="R3289" s="322">
        <f t="shared" si="238"/>
        <v>20</v>
      </c>
      <c r="S3289" s="7">
        <v>0</v>
      </c>
      <c r="T3289" s="7">
        <f t="shared" si="239"/>
        <v>0</v>
      </c>
      <c r="U3289" s="21"/>
      <c r="V3289" s="260">
        <v>120</v>
      </c>
      <c r="W3289" s="1136">
        <f>(((K3289*V3289)-S3289)/(K3289*V3289))</f>
        <v>1</v>
      </c>
    </row>
    <row r="3290" spans="2:51" s="191" customFormat="1" ht="15">
      <c r="B3290" s="190"/>
      <c r="C3290" s="179" t="s">
        <v>4601</v>
      </c>
      <c r="D3290" s="180" t="s">
        <v>3067</v>
      </c>
      <c r="E3290" s="181"/>
      <c r="F3290" s="182"/>
      <c r="G3290" s="182" t="s">
        <v>2738</v>
      </c>
      <c r="H3290" s="184" t="s">
        <v>252</v>
      </c>
      <c r="I3290" s="185"/>
      <c r="J3290" s="183"/>
      <c r="K3290" s="192">
        <v>0</v>
      </c>
      <c r="L3290" s="187"/>
      <c r="M3290" s="187"/>
      <c r="N3290" s="187">
        <v>45251</v>
      </c>
      <c r="O3290" s="186">
        <v>5687</v>
      </c>
      <c r="P3290" s="179"/>
      <c r="Q3290" s="203"/>
      <c r="R3290" s="203"/>
      <c r="S3290" s="203"/>
      <c r="T3290" s="203"/>
      <c r="U3290" s="271"/>
      <c r="V3290" s="260">
        <v>120</v>
      </c>
      <c r="W3290" s="1136" t="e">
        <f t="shared" si="236"/>
        <v>#DIV/0!</v>
      </c>
    </row>
    <row r="3291" spans="2:51" s="7" customFormat="1" ht="18" customHeight="1">
      <c r="B3291" s="12"/>
      <c r="C3291" s="6" t="s">
        <v>4598</v>
      </c>
      <c r="D3291" s="14" t="s">
        <v>2416</v>
      </c>
      <c r="E3291" s="19" t="s">
        <v>4599</v>
      </c>
      <c r="F3291" s="107"/>
      <c r="G3291" s="22"/>
      <c r="H3291" s="108"/>
      <c r="I3291" s="109"/>
      <c r="J3291" s="108"/>
      <c r="K3291" s="110" t="s">
        <v>102</v>
      </c>
      <c r="L3291" s="139"/>
      <c r="M3291" s="33"/>
      <c r="N3291" s="33">
        <v>45231</v>
      </c>
      <c r="O3291" s="32">
        <v>5640</v>
      </c>
      <c r="P3291" s="14"/>
      <c r="Q3291" s="322"/>
      <c r="S3291" s="308" t="s">
        <v>4603</v>
      </c>
      <c r="T3291" s="308" t="s">
        <v>4603</v>
      </c>
      <c r="U3291" s="14"/>
      <c r="V3291" s="260">
        <v>120</v>
      </c>
    </row>
    <row r="3292" spans="2:51" customFormat="1" ht="18" customHeight="1">
      <c r="B3292" s="26" t="s">
        <v>306</v>
      </c>
      <c r="C3292" s="6" t="s">
        <v>4598</v>
      </c>
      <c r="D3292" s="14" t="s">
        <v>2416</v>
      </c>
      <c r="E3292" s="19" t="s">
        <v>2418</v>
      </c>
      <c r="F3292" s="37">
        <v>30</v>
      </c>
      <c r="G3292" s="37" t="s">
        <v>4602</v>
      </c>
      <c r="H3292" s="108">
        <v>30</v>
      </c>
      <c r="I3292" s="109"/>
      <c r="J3292" s="38">
        <v>1</v>
      </c>
      <c r="K3292" s="39">
        <v>110</v>
      </c>
      <c r="L3292" s="39">
        <f>K3292*J3292</f>
        <v>110</v>
      </c>
      <c r="M3292" s="117" t="s">
        <v>2651</v>
      </c>
      <c r="N3292" s="33">
        <v>45231</v>
      </c>
      <c r="O3292" s="32">
        <v>5640</v>
      </c>
      <c r="P3292" s="391">
        <f>ROUNDUP(S3292/V3292/VLOOKUP(B3292,$C$2:$F$6,3,FALSE),2)</f>
        <v>94.7</v>
      </c>
      <c r="Q3292" s="322">
        <v>94.7</v>
      </c>
      <c r="R3292" s="322">
        <v>94.7</v>
      </c>
      <c r="S3292" s="7">
        <v>10000</v>
      </c>
      <c r="T3292" s="92">
        <v>10000</v>
      </c>
      <c r="U3292" s="39"/>
      <c r="V3292" s="260">
        <v>120</v>
      </c>
      <c r="W3292" s="1136">
        <f t="shared" si="236"/>
        <v>0.24242424242424243</v>
      </c>
    </row>
    <row r="3293" spans="2:51" customFormat="1" ht="18" customHeight="1">
      <c r="B3293" s="26" t="s">
        <v>306</v>
      </c>
      <c r="C3293" s="6" t="s">
        <v>4598</v>
      </c>
      <c r="D3293" s="14" t="s">
        <v>2416</v>
      </c>
      <c r="E3293" s="19" t="s">
        <v>2418</v>
      </c>
      <c r="F3293" s="37">
        <v>30</v>
      </c>
      <c r="G3293" s="37" t="s">
        <v>2419</v>
      </c>
      <c r="H3293" s="108">
        <v>30</v>
      </c>
      <c r="I3293" s="109"/>
      <c r="J3293" s="38">
        <v>1</v>
      </c>
      <c r="K3293" s="39">
        <v>110</v>
      </c>
      <c r="L3293" s="39">
        <f>K3293*J3293</f>
        <v>110</v>
      </c>
      <c r="M3293" s="117" t="s">
        <v>2651</v>
      </c>
      <c r="N3293" s="33">
        <v>45231</v>
      </c>
      <c r="O3293" s="32">
        <v>5640</v>
      </c>
      <c r="P3293" s="391">
        <f>ROUNDUP(S3293/V3293/VLOOKUP(B3293,$C$2:$F$6,3,FALSE),2)</f>
        <v>94.7</v>
      </c>
      <c r="Q3293" s="322">
        <v>94.7</v>
      </c>
      <c r="R3293" s="322">
        <v>94.7</v>
      </c>
      <c r="S3293" s="7">
        <v>10000</v>
      </c>
      <c r="T3293" s="92">
        <v>10000</v>
      </c>
      <c r="U3293" s="39"/>
      <c r="V3293" s="260">
        <v>120</v>
      </c>
      <c r="W3293" s="1136">
        <f t="shared" si="236"/>
        <v>0.24242424242424243</v>
      </c>
    </row>
    <row r="3294" spans="2:51" s="7" customFormat="1" ht="18" customHeight="1">
      <c r="B3294" s="12" t="s">
        <v>306</v>
      </c>
      <c r="C3294" s="6" t="s">
        <v>4598</v>
      </c>
      <c r="D3294" s="14" t="s">
        <v>2416</v>
      </c>
      <c r="E3294" s="49"/>
      <c r="F3294" s="102"/>
      <c r="G3294" s="22" t="s">
        <v>3034</v>
      </c>
      <c r="H3294" s="8"/>
      <c r="I3294" s="35"/>
      <c r="J3294" s="38">
        <v>1</v>
      </c>
      <c r="K3294" s="39">
        <v>135</v>
      </c>
      <c r="L3294" s="39">
        <f>K3294*J3294</f>
        <v>135</v>
      </c>
      <c r="M3294" s="91"/>
      <c r="N3294" s="33">
        <v>45231</v>
      </c>
      <c r="O3294" s="32">
        <v>5640</v>
      </c>
      <c r="P3294" s="391">
        <f>ROUNDUP(S3294/V3294/VLOOKUP(B3294,$C$2:$F$6,3,FALSE),2)</f>
        <v>113.64</v>
      </c>
      <c r="Q3294" s="322">
        <v>113.64</v>
      </c>
      <c r="R3294" s="322">
        <v>113.64</v>
      </c>
      <c r="S3294" s="7">
        <v>12000</v>
      </c>
      <c r="T3294" s="92">
        <f>S3294*J3294</f>
        <v>12000</v>
      </c>
      <c r="U3294" s="21"/>
      <c r="V3294" s="260">
        <v>120</v>
      </c>
      <c r="W3294" s="1136">
        <f t="shared" si="236"/>
        <v>0.25925925925925924</v>
      </c>
    </row>
    <row r="3295" spans="2:51" s="7" customFormat="1" ht="18" customHeight="1">
      <c r="B3295" s="12"/>
      <c r="C3295" s="6" t="s">
        <v>4598</v>
      </c>
      <c r="D3295" s="14" t="s">
        <v>2416</v>
      </c>
      <c r="E3295" s="49"/>
      <c r="F3295" s="102"/>
      <c r="G3295" s="22" t="s">
        <v>316</v>
      </c>
      <c r="H3295" s="38"/>
      <c r="I3295" s="35"/>
      <c r="J3295" s="38">
        <v>1</v>
      </c>
      <c r="K3295" s="39">
        <v>12</v>
      </c>
      <c r="L3295" s="39">
        <f>K3295*J3295</f>
        <v>12</v>
      </c>
      <c r="M3295" s="91"/>
      <c r="N3295" s="33">
        <v>45231</v>
      </c>
      <c r="O3295" s="32">
        <v>5640</v>
      </c>
      <c r="P3295" s="722"/>
      <c r="Q3295" s="322">
        <v>12</v>
      </c>
      <c r="R3295" s="322">
        <f>Q3295*J3295</f>
        <v>12</v>
      </c>
      <c r="S3295" s="7">
        <v>0</v>
      </c>
      <c r="T3295" s="7">
        <f>S3295*J3295</f>
        <v>0</v>
      </c>
      <c r="U3295" s="21"/>
      <c r="V3295" s="260">
        <v>120</v>
      </c>
      <c r="W3295" s="1136">
        <f t="shared" si="236"/>
        <v>1</v>
      </c>
    </row>
    <row r="3296" spans="2:51" s="191" customFormat="1" ht="15">
      <c r="B3296" s="190"/>
      <c r="C3296" s="179" t="s">
        <v>4598</v>
      </c>
      <c r="D3296" s="180" t="s">
        <v>2416</v>
      </c>
      <c r="E3296" s="217"/>
      <c r="F3296" s="182"/>
      <c r="G3296" s="182" t="s">
        <v>250</v>
      </c>
      <c r="H3296" s="184" t="s">
        <v>251</v>
      </c>
      <c r="I3296" s="185"/>
      <c r="J3296" s="183"/>
      <c r="K3296" s="192">
        <v>0</v>
      </c>
      <c r="L3296" s="188"/>
      <c r="M3296" s="187"/>
      <c r="N3296" s="187">
        <v>45231</v>
      </c>
      <c r="O3296" s="186">
        <v>5640</v>
      </c>
      <c r="P3296" s="179"/>
      <c r="Q3296" s="725"/>
      <c r="S3296" s="197">
        <v>0</v>
      </c>
      <c r="T3296" s="198">
        <v>0</v>
      </c>
      <c r="U3296" s="335"/>
      <c r="V3296" s="260">
        <v>120</v>
      </c>
    </row>
    <row r="3297" spans="1:24" s="7" customFormat="1" ht="18" customHeight="1">
      <c r="B3297" s="12"/>
      <c r="C3297" s="6" t="s">
        <v>4604</v>
      </c>
      <c r="D3297" s="14" t="s">
        <v>2059</v>
      </c>
      <c r="E3297" s="19" t="s">
        <v>2358</v>
      </c>
      <c r="F3297" s="24"/>
      <c r="G3297" s="22"/>
      <c r="H3297" s="60"/>
      <c r="I3297" s="61"/>
      <c r="J3297" s="60"/>
      <c r="K3297" s="16" t="s">
        <v>5</v>
      </c>
      <c r="L3297" s="139"/>
      <c r="M3297" s="33"/>
      <c r="N3297" s="33">
        <v>45230</v>
      </c>
      <c r="O3297" s="32">
        <v>5635</v>
      </c>
      <c r="P3297" s="6" t="s">
        <v>3</v>
      </c>
      <c r="Q3297" s="358"/>
      <c r="U3297" s="120"/>
      <c r="V3297" s="260">
        <v>120</v>
      </c>
      <c r="W3297" s="1136" t="e">
        <f>(((K3297*V3297)-S3297)/(K3297*V3297))</f>
        <v>#VALUE!</v>
      </c>
    </row>
    <row r="3298" spans="1:24" s="7" customFormat="1" ht="18" customHeight="1">
      <c r="B3298" s="12" t="s">
        <v>300</v>
      </c>
      <c r="C3298" s="6" t="s">
        <v>4604</v>
      </c>
      <c r="D3298" s="14" t="s">
        <v>2059</v>
      </c>
      <c r="E3298" s="22" t="s">
        <v>4559</v>
      </c>
      <c r="F3298" s="102"/>
      <c r="G3298" s="22" t="s">
        <v>4605</v>
      </c>
      <c r="H3298" s="8"/>
      <c r="I3298" s="35"/>
      <c r="J3298" s="8">
        <v>5</v>
      </c>
      <c r="K3298" s="39">
        <v>4.13</v>
      </c>
      <c r="L3298" s="39">
        <f>K3298*J3298</f>
        <v>20.65</v>
      </c>
      <c r="M3298" s="117" t="s">
        <v>323</v>
      </c>
      <c r="N3298" s="33">
        <v>45230</v>
      </c>
      <c r="O3298" s="32">
        <v>5635</v>
      </c>
      <c r="P3298" s="391">
        <f>ROUNDUP(S3298/V3298/VLOOKUP(B3298,$C$2:$F$6,3,FALSE),2)</f>
        <v>2.6599999999999997</v>
      </c>
      <c r="Q3298" s="322">
        <v>2.66</v>
      </c>
      <c r="R3298" s="322">
        <f>Q3298*J3298</f>
        <v>13.3</v>
      </c>
      <c r="S3298" s="7">
        <v>223</v>
      </c>
      <c r="T3298" s="7">
        <f>S3298*J3298</f>
        <v>1115</v>
      </c>
      <c r="U3298" s="386"/>
      <c r="V3298" s="260">
        <v>120</v>
      </c>
      <c r="W3298" s="1136">
        <f>(((K3298*V3298)-S3298)/(K3298*V3298))</f>
        <v>0.55004035512510085</v>
      </c>
    </row>
    <row r="3299" spans="1:24" s="7" customFormat="1" ht="18" customHeight="1">
      <c r="B3299" s="12" t="s">
        <v>306</v>
      </c>
      <c r="C3299" s="6" t="s">
        <v>4604</v>
      </c>
      <c r="D3299" s="14" t="s">
        <v>2059</v>
      </c>
      <c r="E3299" s="49"/>
      <c r="F3299" s="102"/>
      <c r="G3299" s="22" t="s">
        <v>4606</v>
      </c>
      <c r="H3299" s="8"/>
      <c r="I3299" s="35"/>
      <c r="J3299" s="38">
        <v>1</v>
      </c>
      <c r="K3299" s="39">
        <v>100</v>
      </c>
      <c r="L3299" s="39">
        <f>K3299*J3299</f>
        <v>100</v>
      </c>
      <c r="M3299" s="91"/>
      <c r="N3299" s="33">
        <v>45230</v>
      </c>
      <c r="O3299" s="32">
        <v>5635</v>
      </c>
      <c r="P3299" s="391">
        <f>ROUNDUP(S3299/V3299/VLOOKUP(B3299,$C$2:$F$6,3,FALSE),2)</f>
        <v>85.23</v>
      </c>
      <c r="Q3299" s="322">
        <v>85.23</v>
      </c>
      <c r="R3299" s="322">
        <f>Q3299*J3299</f>
        <v>85.23</v>
      </c>
      <c r="S3299" s="7">
        <v>9000</v>
      </c>
      <c r="T3299" s="7">
        <f>S3299*J3299</f>
        <v>9000</v>
      </c>
      <c r="U3299" s="21"/>
      <c r="V3299" s="260">
        <v>120</v>
      </c>
      <c r="W3299" s="1136">
        <f>(((K3299*V3299)-S3299)/(K3299*V3299))</f>
        <v>0.25</v>
      </c>
    </row>
    <row r="3300" spans="1:24" s="7" customFormat="1" ht="18" customHeight="1">
      <c r="B3300" s="12"/>
      <c r="C3300" s="6" t="s">
        <v>4604</v>
      </c>
      <c r="D3300" s="14" t="s">
        <v>2059</v>
      </c>
      <c r="E3300" s="49"/>
      <c r="F3300" s="102"/>
      <c r="G3300" s="22" t="s">
        <v>316</v>
      </c>
      <c r="H3300" s="8"/>
      <c r="I3300" s="35"/>
      <c r="J3300" s="38">
        <v>1</v>
      </c>
      <c r="K3300" s="39">
        <v>12</v>
      </c>
      <c r="L3300" s="39">
        <f>K3300*J3300</f>
        <v>12</v>
      </c>
      <c r="M3300" s="91"/>
      <c r="N3300" s="33">
        <v>45230</v>
      </c>
      <c r="O3300" s="32">
        <v>5635</v>
      </c>
      <c r="P3300" s="6" t="s">
        <v>3</v>
      </c>
      <c r="Q3300" s="322">
        <v>12</v>
      </c>
      <c r="R3300" s="322">
        <v>12</v>
      </c>
      <c r="S3300" s="7">
        <v>0</v>
      </c>
      <c r="T3300" s="7">
        <f>S3300*J3300</f>
        <v>0</v>
      </c>
      <c r="U3300" s="21"/>
      <c r="V3300" s="260">
        <v>120</v>
      </c>
      <c r="W3300" s="1136">
        <f>(((K3300*V3300)-S3300)/(K3300*V3300))</f>
        <v>1</v>
      </c>
    </row>
    <row r="3301" spans="1:24" s="191" customFormat="1" ht="18" customHeight="1">
      <c r="B3301" s="190"/>
      <c r="C3301" s="179" t="s">
        <v>4604</v>
      </c>
      <c r="D3301" s="180" t="s">
        <v>2059</v>
      </c>
      <c r="E3301" s="217"/>
      <c r="F3301" s="182"/>
      <c r="G3301" s="182" t="s">
        <v>250</v>
      </c>
      <c r="H3301" s="184" t="s">
        <v>251</v>
      </c>
      <c r="I3301" s="185"/>
      <c r="J3301" s="183"/>
      <c r="K3301" s="192">
        <v>0</v>
      </c>
      <c r="L3301" s="187"/>
      <c r="M3301" s="187"/>
      <c r="N3301" s="187">
        <v>45230</v>
      </c>
      <c r="O3301" s="186">
        <v>5635</v>
      </c>
      <c r="P3301" s="179"/>
      <c r="Q3301" s="255">
        <v>0</v>
      </c>
      <c r="R3301" s="322">
        <v>0</v>
      </c>
      <c r="S3301" s="275">
        <v>0</v>
      </c>
      <c r="T3301" s="198">
        <v>0</v>
      </c>
      <c r="U3301" s="271"/>
      <c r="V3301" s="260">
        <v>120</v>
      </c>
      <c r="W3301" s="1136" t="e">
        <f>(((K3301*V3301)-S3301)/(K3301*V3301))</f>
        <v>#DIV/0!</v>
      </c>
    </row>
    <row r="3302" spans="1:24" s="7" customFormat="1" ht="18" customHeight="1">
      <c r="B3302" s="12"/>
      <c r="C3302" s="6" t="s">
        <v>4607</v>
      </c>
      <c r="D3302" s="14" t="s">
        <v>2004</v>
      </c>
      <c r="E3302" s="19" t="s">
        <v>2358</v>
      </c>
      <c r="F3302" s="24"/>
      <c r="G3302" s="22"/>
      <c r="H3302" s="60"/>
      <c r="I3302" s="61"/>
      <c r="J3302" s="60"/>
      <c r="K3302" s="16" t="s">
        <v>5</v>
      </c>
      <c r="L3302" s="139"/>
      <c r="M3302" s="33"/>
      <c r="N3302" s="33">
        <v>45230</v>
      </c>
      <c r="O3302" s="32">
        <v>5614</v>
      </c>
      <c r="P3302" s="6" t="s">
        <v>3</v>
      </c>
      <c r="Q3302" s="358"/>
      <c r="U3302" s="120"/>
      <c r="V3302" s="260">
        <v>120</v>
      </c>
    </row>
    <row r="3303" spans="1:24" s="7" customFormat="1" ht="18" customHeight="1">
      <c r="B3303" s="12" t="s">
        <v>300</v>
      </c>
      <c r="C3303" s="6" t="s">
        <v>4607</v>
      </c>
      <c r="D3303" s="14" t="s">
        <v>2004</v>
      </c>
      <c r="E3303" s="22" t="s">
        <v>3291</v>
      </c>
      <c r="F3303" s="24"/>
      <c r="G3303" s="22" t="s">
        <v>39</v>
      </c>
      <c r="H3303" s="108"/>
      <c r="I3303" s="109"/>
      <c r="J3303" s="8">
        <v>180</v>
      </c>
      <c r="K3303" s="39">
        <v>1.92</v>
      </c>
      <c r="L3303" s="39">
        <f>K3303*J3303</f>
        <v>345.59999999999997</v>
      </c>
      <c r="M3303" s="117" t="s">
        <v>323</v>
      </c>
      <c r="N3303" s="33">
        <v>45230</v>
      </c>
      <c r="O3303" s="32">
        <v>5614</v>
      </c>
      <c r="P3303" s="391">
        <f>ROUNDUP(S3303/V3303/VLOOKUP(B3303,$C$2:$F$6,3,FALSE),2)</f>
        <v>1.58</v>
      </c>
      <c r="Q3303" s="322">
        <v>1.58</v>
      </c>
      <c r="R3303" s="322">
        <f>Q3303*J3303</f>
        <v>284.40000000000003</v>
      </c>
      <c r="S3303" s="7">
        <f>62+70</f>
        <v>132</v>
      </c>
      <c r="T3303" s="7">
        <f>S3303*J3303</f>
        <v>23760</v>
      </c>
      <c r="U3303" s="386"/>
      <c r="V3303" s="260">
        <v>120</v>
      </c>
    </row>
    <row r="3304" spans="1:24" s="7" customFormat="1" ht="18" customHeight="1">
      <c r="B3304" s="12"/>
      <c r="C3304" s="6" t="s">
        <v>4607</v>
      </c>
      <c r="D3304" s="14" t="s">
        <v>2004</v>
      </c>
      <c r="E3304" s="82"/>
      <c r="F3304" s="102"/>
      <c r="G3304" s="22" t="s">
        <v>316</v>
      </c>
      <c r="H3304" s="8"/>
      <c r="I3304" s="35"/>
      <c r="J3304" s="38">
        <v>1</v>
      </c>
      <c r="K3304" s="39">
        <v>12</v>
      </c>
      <c r="L3304" s="39">
        <f>K3304*J3304</f>
        <v>12</v>
      </c>
      <c r="M3304" s="91"/>
      <c r="N3304" s="33">
        <v>45230</v>
      </c>
      <c r="O3304" s="32">
        <v>5614</v>
      </c>
      <c r="P3304" s="6"/>
      <c r="Q3304" s="322">
        <v>12</v>
      </c>
      <c r="R3304" s="322">
        <f>Q3304*J3304</f>
        <v>12</v>
      </c>
      <c r="S3304" s="7">
        <v>0</v>
      </c>
      <c r="T3304" s="7">
        <f>S3304*J3304</f>
        <v>0</v>
      </c>
      <c r="U3304" s="21"/>
      <c r="V3304" s="260">
        <v>120</v>
      </c>
    </row>
    <row r="3305" spans="1:24" s="191" customFormat="1" ht="18" customHeight="1">
      <c r="B3305" s="190"/>
      <c r="C3305" s="179" t="s">
        <v>4607</v>
      </c>
      <c r="D3305" s="180" t="s">
        <v>2004</v>
      </c>
      <c r="E3305" s="181"/>
      <c r="F3305" s="182"/>
      <c r="G3305" s="182" t="s">
        <v>250</v>
      </c>
      <c r="H3305" s="184" t="s">
        <v>251</v>
      </c>
      <c r="I3305" s="185"/>
      <c r="J3305" s="183"/>
      <c r="K3305" s="192">
        <v>0</v>
      </c>
      <c r="L3305" s="946"/>
      <c r="M3305" s="947"/>
      <c r="N3305" s="187">
        <v>45230</v>
      </c>
      <c r="O3305" s="186">
        <v>5614</v>
      </c>
      <c r="P3305" s="179"/>
      <c r="Q3305" s="322">
        <v>0</v>
      </c>
      <c r="R3305" s="218"/>
      <c r="S3305" s="197">
        <v>0</v>
      </c>
      <c r="T3305" s="197">
        <v>0</v>
      </c>
      <c r="U3305" s="335"/>
      <c r="V3305" s="260">
        <v>120</v>
      </c>
      <c r="X3305" s="218"/>
    </row>
    <row r="3306" spans="1:24" s="7" customFormat="1" ht="15">
      <c r="B3306" s="12"/>
      <c r="C3306" s="6" t="s">
        <v>4652</v>
      </c>
      <c r="D3306" s="14" t="s">
        <v>2416</v>
      </c>
      <c r="E3306" s="19" t="s">
        <v>3261</v>
      </c>
      <c r="F3306" s="24"/>
      <c r="G3306" s="22"/>
      <c r="H3306" s="8"/>
      <c r="I3306" s="35"/>
      <c r="J3306" s="8"/>
      <c r="K3306" s="110" t="s">
        <v>5</v>
      </c>
      <c r="L3306" s="139"/>
      <c r="M3306" s="33"/>
      <c r="N3306" s="33">
        <v>45243</v>
      </c>
      <c r="O3306" s="32">
        <v>5624</v>
      </c>
      <c r="P3306" s="6" t="s">
        <v>8</v>
      </c>
      <c r="Q3306" s="358"/>
      <c r="U3306" s="120"/>
      <c r="V3306" s="260">
        <v>120</v>
      </c>
      <c r="W3306" s="1136" t="e">
        <f>(((K3306*V3306)-S3306)/(K3306*V3306))</f>
        <v>#VALUE!</v>
      </c>
    </row>
    <row r="3307" spans="1:24" s="7" customFormat="1" ht="18" customHeight="1">
      <c r="B3307" s="12" t="s">
        <v>300</v>
      </c>
      <c r="C3307" s="6" t="s">
        <v>4652</v>
      </c>
      <c r="D3307" s="14" t="s">
        <v>2416</v>
      </c>
      <c r="E3307" s="22" t="s">
        <v>3262</v>
      </c>
      <c r="F3307" s="37" t="s">
        <v>359</v>
      </c>
      <c r="G3307" s="396" t="s">
        <v>3263</v>
      </c>
      <c r="H3307" s="8">
        <v>50</v>
      </c>
      <c r="I3307" s="35">
        <v>6</v>
      </c>
      <c r="J3307" s="108">
        <f>H3307*I3307</f>
        <v>300</v>
      </c>
      <c r="K3307" s="958">
        <v>0.23</v>
      </c>
      <c r="L3307" s="39">
        <f>K3307*J3307</f>
        <v>69</v>
      </c>
      <c r="M3307" s="117" t="s">
        <v>349</v>
      </c>
      <c r="N3307" s="33">
        <v>45243</v>
      </c>
      <c r="O3307" s="32">
        <v>5624</v>
      </c>
      <c r="P3307" s="391">
        <f>ROUNDUP(S3307/V3307/VLOOKUP(B3307,$C$2:$F$6,3,FALSE),2)</f>
        <v>0.11</v>
      </c>
      <c r="Q3307" s="322">
        <v>0.11</v>
      </c>
      <c r="R3307" s="322">
        <f>Q3307*J3307</f>
        <v>33</v>
      </c>
      <c r="S3307" s="7">
        <v>8.8000000000000007</v>
      </c>
      <c r="T3307" s="7">
        <f>S3307*J3307</f>
        <v>2640</v>
      </c>
      <c r="U3307" s="39"/>
      <c r="V3307" s="260">
        <v>120</v>
      </c>
      <c r="W3307" s="1136">
        <f>(((K3307*V3307)-S3307)/(K3307*V3307))</f>
        <v>0.6811594202898551</v>
      </c>
    </row>
    <row r="3308" spans="1:24" s="7" customFormat="1" ht="18" customHeight="1">
      <c r="B3308" s="12" t="s">
        <v>300</v>
      </c>
      <c r="C3308" s="6" t="s">
        <v>4652</v>
      </c>
      <c r="D3308" s="14" t="s">
        <v>2416</v>
      </c>
      <c r="E3308" s="22" t="s">
        <v>3262</v>
      </c>
      <c r="F3308" s="37" t="s">
        <v>359</v>
      </c>
      <c r="G3308" s="396" t="s">
        <v>4447</v>
      </c>
      <c r="H3308" s="8">
        <v>50</v>
      </c>
      <c r="I3308" s="35">
        <v>4</v>
      </c>
      <c r="J3308" s="108">
        <f>H3308*I3308</f>
        <v>200</v>
      </c>
      <c r="K3308" s="958">
        <v>0.33</v>
      </c>
      <c r="L3308" s="39">
        <f>K3308*J3308</f>
        <v>66</v>
      </c>
      <c r="M3308" s="117" t="s">
        <v>349</v>
      </c>
      <c r="N3308" s="33">
        <v>45243</v>
      </c>
      <c r="O3308" s="32">
        <v>5624</v>
      </c>
      <c r="P3308" s="391">
        <f>ROUNDUP(S3308/V3308/VLOOKUP(B3308,$C$2:$F$6,3,FALSE),2)</f>
        <v>0.14000000000000001</v>
      </c>
      <c r="Q3308" s="322">
        <v>0.14000000000000001</v>
      </c>
      <c r="R3308" s="322">
        <f>Q3308*J3308</f>
        <v>28.000000000000004</v>
      </c>
      <c r="S3308" s="7">
        <v>11.7</v>
      </c>
      <c r="T3308" s="7">
        <f>S3308*J3308</f>
        <v>2340</v>
      </c>
      <c r="U3308" s="39"/>
      <c r="V3308" s="260">
        <v>120</v>
      </c>
      <c r="W3308" s="1136">
        <f>(((K3308*V3308)-S3308)/(K3308*V3308))</f>
        <v>0.70454545454545459</v>
      </c>
    </row>
    <row r="3309" spans="1:24" s="7" customFormat="1" ht="17.45" customHeight="1">
      <c r="B3309" s="12" t="s">
        <v>306</v>
      </c>
      <c r="C3309" s="6" t="s">
        <v>4652</v>
      </c>
      <c r="D3309" s="14" t="s">
        <v>2416</v>
      </c>
      <c r="E3309" s="22"/>
      <c r="F3309" s="37"/>
      <c r="G3309" s="221" t="s">
        <v>4448</v>
      </c>
      <c r="H3309" s="8"/>
      <c r="I3309" s="35"/>
      <c r="J3309" s="38">
        <v>1</v>
      </c>
      <c r="K3309" s="958">
        <v>153</v>
      </c>
      <c r="L3309" s="39">
        <f>K3309*J3309</f>
        <v>153</v>
      </c>
      <c r="M3309" s="117" t="s">
        <v>349</v>
      </c>
      <c r="N3309" s="33">
        <v>45243</v>
      </c>
      <c r="O3309" s="32">
        <v>5624</v>
      </c>
      <c r="P3309" s="391">
        <f>ROUNDUP(S3309/V3309/VLOOKUP(B3309,$C$2:$F$6,3,FALSE),2)</f>
        <v>104.17</v>
      </c>
      <c r="Q3309" s="322">
        <v>142.05000000000001</v>
      </c>
      <c r="R3309" s="322">
        <f>Q3309*J3309</f>
        <v>142.05000000000001</v>
      </c>
      <c r="S3309" s="7">
        <f>3000+8000</f>
        <v>11000</v>
      </c>
      <c r="T3309" s="7">
        <f>3000+8000</f>
        <v>11000</v>
      </c>
      <c r="U3309" s="39"/>
      <c r="V3309" s="260">
        <v>120</v>
      </c>
      <c r="W3309" s="1136">
        <f>(((K3309*V3309)-S3309)/(K3309*V3309))</f>
        <v>0.40087145969498911</v>
      </c>
    </row>
    <row r="3310" spans="1:24" s="7" customFormat="1" ht="18" customHeight="1">
      <c r="B3310" s="12" t="s">
        <v>300</v>
      </c>
      <c r="C3310" s="6" t="s">
        <v>4652</v>
      </c>
      <c r="D3310" s="14" t="s">
        <v>2416</v>
      </c>
      <c r="E3310" s="22" t="s">
        <v>3262</v>
      </c>
      <c r="F3310" s="37" t="s">
        <v>359</v>
      </c>
      <c r="G3310" s="396" t="s">
        <v>4608</v>
      </c>
      <c r="H3310" s="8">
        <v>50</v>
      </c>
      <c r="I3310" s="35">
        <v>3</v>
      </c>
      <c r="J3310" s="108">
        <f>H3310*I3310</f>
        <v>150</v>
      </c>
      <c r="K3310" s="958">
        <v>0.23</v>
      </c>
      <c r="L3310" s="39">
        <f>K3310*J3310</f>
        <v>34.5</v>
      </c>
      <c r="M3310" s="117" t="s">
        <v>349</v>
      </c>
      <c r="N3310" s="33">
        <v>45243</v>
      </c>
      <c r="O3310" s="32">
        <v>5624</v>
      </c>
      <c r="P3310" s="391">
        <f>ROUNDUP(S3310/V3310/VLOOKUP(B3310,$C$2:$F$6,3,FALSE),2)</f>
        <v>0.11</v>
      </c>
      <c r="Q3310" s="322">
        <v>0.11</v>
      </c>
      <c r="R3310" s="322">
        <f>Q3310*J3310</f>
        <v>16.5</v>
      </c>
      <c r="S3310" s="7">
        <v>8.8000000000000007</v>
      </c>
      <c r="T3310" s="7">
        <f>S3310*J3310</f>
        <v>1320</v>
      </c>
      <c r="U3310" s="39"/>
      <c r="V3310" s="260">
        <v>120</v>
      </c>
      <c r="W3310" s="1136">
        <f>(((K3310*V3310)-S3310)/(K3310*V3310))</f>
        <v>0.6811594202898551</v>
      </c>
    </row>
    <row r="3311" spans="1:24" s="7" customFormat="1" ht="18" customHeight="1">
      <c r="B3311" s="12"/>
      <c r="C3311" s="6" t="s">
        <v>4652</v>
      </c>
      <c r="D3311" s="14" t="s">
        <v>2416</v>
      </c>
      <c r="E3311" s="22"/>
      <c r="F3311" s="102"/>
      <c r="G3311" s="22" t="s">
        <v>316</v>
      </c>
      <c r="H3311" s="8"/>
      <c r="I3311" s="35"/>
      <c r="J3311" s="38">
        <v>1</v>
      </c>
      <c r="K3311" s="39">
        <v>12</v>
      </c>
      <c r="L3311" s="39">
        <f>K3311*J3311</f>
        <v>12</v>
      </c>
      <c r="M3311" s="91"/>
      <c r="N3311" s="33">
        <v>45243</v>
      </c>
      <c r="O3311" s="32">
        <v>5624</v>
      </c>
      <c r="P3311" s="6"/>
      <c r="Q3311" s="322">
        <v>12</v>
      </c>
      <c r="R3311" s="322">
        <f>Q3311*J3311</f>
        <v>12</v>
      </c>
      <c r="S3311" s="7">
        <v>1100</v>
      </c>
      <c r="T3311" s="7">
        <f>S3311*J3311</f>
        <v>1100</v>
      </c>
      <c r="U3311" s="21"/>
      <c r="V3311" s="260">
        <v>120</v>
      </c>
    </row>
    <row r="3312" spans="1:24" s="218" customFormat="1" ht="18" customHeight="1">
      <c r="A3312" s="7"/>
      <c r="B3312" s="189"/>
      <c r="C3312" s="179" t="s">
        <v>4652</v>
      </c>
      <c r="D3312" s="180" t="s">
        <v>2416</v>
      </c>
      <c r="E3312" s="217"/>
      <c r="F3312" s="182"/>
      <c r="G3312" s="182" t="s">
        <v>250</v>
      </c>
      <c r="H3312" s="184" t="s">
        <v>251</v>
      </c>
      <c r="I3312" s="185"/>
      <c r="J3312" s="183"/>
      <c r="K3312" s="192">
        <v>0</v>
      </c>
      <c r="L3312" s="946"/>
      <c r="M3312" s="947"/>
      <c r="N3312" s="187">
        <v>45243</v>
      </c>
      <c r="O3312" s="186">
        <v>5624</v>
      </c>
      <c r="P3312" s="179"/>
      <c r="Q3312" s="725">
        <v>0</v>
      </c>
      <c r="S3312" s="197">
        <v>0</v>
      </c>
      <c r="T3312" s="197">
        <v>0</v>
      </c>
      <c r="U3312" s="335"/>
      <c r="V3312" s="260">
        <v>120</v>
      </c>
    </row>
    <row r="3313" spans="1:23" s="7" customFormat="1" ht="15">
      <c r="B3313" s="12"/>
      <c r="C3313" s="6" t="s">
        <v>4610</v>
      </c>
      <c r="D3313" s="14" t="s">
        <v>2416</v>
      </c>
      <c r="E3313" s="19" t="s">
        <v>3261</v>
      </c>
      <c r="F3313" s="24"/>
      <c r="G3313" s="22"/>
      <c r="H3313" s="8"/>
      <c r="I3313" s="35"/>
      <c r="J3313" s="8"/>
      <c r="K3313" s="110" t="s">
        <v>5</v>
      </c>
      <c r="L3313" s="139"/>
      <c r="M3313" s="33"/>
      <c r="N3313" s="33">
        <v>45243</v>
      </c>
      <c r="O3313" s="32">
        <v>5625</v>
      </c>
      <c r="P3313" s="6" t="s">
        <v>8</v>
      </c>
      <c r="Q3313" s="358"/>
      <c r="U3313" s="120"/>
      <c r="V3313" s="260">
        <v>120</v>
      </c>
      <c r="W3313" s="1136" t="e">
        <f>(((K3313*V3313)-S3313)/(K3313*V3313))</f>
        <v>#VALUE!</v>
      </c>
    </row>
    <row r="3314" spans="1:23" s="7" customFormat="1" ht="18" customHeight="1">
      <c r="B3314" s="12" t="s">
        <v>300</v>
      </c>
      <c r="C3314" s="6" t="s">
        <v>4610</v>
      </c>
      <c r="D3314" s="14" t="s">
        <v>2416</v>
      </c>
      <c r="E3314" s="22" t="s">
        <v>3262</v>
      </c>
      <c r="F3314" s="37" t="s">
        <v>359</v>
      </c>
      <c r="G3314" s="396" t="s">
        <v>3263</v>
      </c>
      <c r="H3314" s="8">
        <v>50</v>
      </c>
      <c r="I3314" s="35">
        <v>7</v>
      </c>
      <c r="J3314" s="108">
        <f>H3314*I3314</f>
        <v>350</v>
      </c>
      <c r="K3314" s="958">
        <v>0.23</v>
      </c>
      <c r="L3314" s="39">
        <f>K3314*J3314</f>
        <v>80.5</v>
      </c>
      <c r="M3314" s="117" t="s">
        <v>349</v>
      </c>
      <c r="N3314" s="33">
        <v>45243</v>
      </c>
      <c r="O3314" s="32">
        <v>5625</v>
      </c>
      <c r="P3314" s="391">
        <f>ROUNDUP(S3314/V3314/VLOOKUP(B3314,$C$2:$F$6,3,FALSE),2)</f>
        <v>0.11</v>
      </c>
      <c r="Q3314" s="322">
        <v>0.11</v>
      </c>
      <c r="R3314" s="322">
        <f>Q3314*J3314</f>
        <v>38.5</v>
      </c>
      <c r="S3314" s="7">
        <v>8.8000000000000007</v>
      </c>
      <c r="T3314" s="7">
        <f>S3314*J3314</f>
        <v>3080.0000000000005</v>
      </c>
      <c r="U3314" s="39"/>
      <c r="V3314" s="260">
        <v>120</v>
      </c>
      <c r="W3314" s="1136">
        <f>(((K3314*V3314)-S3314)/(K3314*V3314))</f>
        <v>0.6811594202898551</v>
      </c>
    </row>
    <row r="3315" spans="1:23" s="7" customFormat="1" ht="18" customHeight="1">
      <c r="B3315" s="12" t="s">
        <v>300</v>
      </c>
      <c r="C3315" s="6" t="s">
        <v>4610</v>
      </c>
      <c r="D3315" s="14" t="s">
        <v>2416</v>
      </c>
      <c r="E3315" s="22" t="s">
        <v>3262</v>
      </c>
      <c r="F3315" s="37" t="s">
        <v>359</v>
      </c>
      <c r="G3315" s="396" t="s">
        <v>4609</v>
      </c>
      <c r="H3315" s="8">
        <v>50</v>
      </c>
      <c r="I3315" s="35">
        <v>1</v>
      </c>
      <c r="J3315" s="108">
        <f>H3315*I3315</f>
        <v>50</v>
      </c>
      <c r="K3315" s="958">
        <v>0.23</v>
      </c>
      <c r="L3315" s="39">
        <f>K3315*J3315</f>
        <v>11.5</v>
      </c>
      <c r="M3315" s="117" t="s">
        <v>349</v>
      </c>
      <c r="N3315" s="33">
        <v>45243</v>
      </c>
      <c r="O3315" s="32">
        <v>5625</v>
      </c>
      <c r="P3315" s="391">
        <f>ROUNDUP(S3315/V3315/VLOOKUP(B3315,$C$2:$F$6,3,FALSE),2)</f>
        <v>0.11</v>
      </c>
      <c r="Q3315" s="322">
        <v>0.11</v>
      </c>
      <c r="R3315" s="322">
        <f>Q3315*J3315</f>
        <v>5.5</v>
      </c>
      <c r="S3315" s="7">
        <v>8.8000000000000007</v>
      </c>
      <c r="T3315" s="7">
        <f>S3315*J3315</f>
        <v>440.00000000000006</v>
      </c>
      <c r="U3315" s="39"/>
      <c r="V3315" s="260">
        <v>120</v>
      </c>
      <c r="W3315" s="1136">
        <f>(((K3315*V3315)-S3315)/(K3315*V3315))</f>
        <v>0.6811594202898551</v>
      </c>
    </row>
    <row r="3316" spans="1:23" s="7" customFormat="1" ht="18" customHeight="1">
      <c r="B3316" s="12"/>
      <c r="C3316" s="6" t="s">
        <v>4610</v>
      </c>
      <c r="D3316" s="14" t="s">
        <v>2416</v>
      </c>
      <c r="E3316" s="22"/>
      <c r="F3316" s="102"/>
      <c r="G3316" s="22" t="s">
        <v>316</v>
      </c>
      <c r="H3316" s="8"/>
      <c r="I3316" s="35"/>
      <c r="J3316" s="38">
        <v>1</v>
      </c>
      <c r="K3316" s="39">
        <v>12</v>
      </c>
      <c r="L3316" s="39">
        <f>K3316*J3316</f>
        <v>12</v>
      </c>
      <c r="M3316" s="91"/>
      <c r="N3316" s="33">
        <v>45243</v>
      </c>
      <c r="O3316" s="32">
        <v>5625</v>
      </c>
      <c r="P3316" s="6"/>
      <c r="Q3316" s="322">
        <v>12</v>
      </c>
      <c r="R3316" s="322">
        <f>Q3316*J3316</f>
        <v>12</v>
      </c>
      <c r="S3316" s="7">
        <v>0</v>
      </c>
      <c r="T3316" s="7">
        <f>S3316*J3316</f>
        <v>0</v>
      </c>
      <c r="U3316" s="21"/>
      <c r="V3316" s="260">
        <v>120</v>
      </c>
    </row>
    <row r="3317" spans="1:23" s="218" customFormat="1" ht="18" customHeight="1">
      <c r="A3317" s="7"/>
      <c r="B3317" s="189"/>
      <c r="C3317" s="179" t="s">
        <v>4610</v>
      </c>
      <c r="D3317" s="180" t="s">
        <v>2416</v>
      </c>
      <c r="E3317" s="217"/>
      <c r="F3317" s="182"/>
      <c r="G3317" s="182" t="s">
        <v>250</v>
      </c>
      <c r="H3317" s="184" t="s">
        <v>251</v>
      </c>
      <c r="I3317" s="185"/>
      <c r="J3317" s="183"/>
      <c r="K3317" s="192">
        <v>0</v>
      </c>
      <c r="L3317" s="946"/>
      <c r="M3317" s="947"/>
      <c r="N3317" s="187">
        <v>45243</v>
      </c>
      <c r="O3317" s="186">
        <v>5625</v>
      </c>
      <c r="P3317" s="179"/>
      <c r="Q3317" s="725">
        <v>0</v>
      </c>
      <c r="S3317" s="197">
        <v>0</v>
      </c>
      <c r="T3317" s="197">
        <v>0</v>
      </c>
      <c r="U3317" s="335"/>
      <c r="V3317" s="260">
        <v>120</v>
      </c>
    </row>
    <row r="3318" spans="1:23" s="7" customFormat="1" ht="15">
      <c r="B3318" s="12"/>
      <c r="C3318" s="6" t="s">
        <v>4611</v>
      </c>
      <c r="D3318" s="14" t="s">
        <v>2416</v>
      </c>
      <c r="E3318" s="19" t="s">
        <v>3261</v>
      </c>
      <c r="F3318" s="24"/>
      <c r="G3318" s="22"/>
      <c r="H3318" s="8"/>
      <c r="I3318" s="35"/>
      <c r="J3318" s="8"/>
      <c r="K3318" s="110" t="s">
        <v>5</v>
      </c>
      <c r="L3318" s="139"/>
      <c r="M3318" s="33"/>
      <c r="N3318" s="33">
        <v>45258</v>
      </c>
      <c r="O3318" s="32">
        <v>5626</v>
      </c>
      <c r="P3318" s="6" t="s">
        <v>8</v>
      </c>
      <c r="Q3318" s="358"/>
      <c r="U3318" s="120"/>
      <c r="V3318" s="260">
        <v>120</v>
      </c>
      <c r="W3318" s="1136" t="e">
        <f>(((K3318*V3318)-S3318)/(K3318*V3318))</f>
        <v>#VALUE!</v>
      </c>
    </row>
    <row r="3319" spans="1:23" s="7" customFormat="1" ht="18" customHeight="1">
      <c r="B3319" s="12" t="s">
        <v>300</v>
      </c>
      <c r="C3319" s="6" t="s">
        <v>4611</v>
      </c>
      <c r="D3319" s="14" t="s">
        <v>2416</v>
      </c>
      <c r="E3319" s="22" t="s">
        <v>3262</v>
      </c>
      <c r="F3319" s="37" t="s">
        <v>359</v>
      </c>
      <c r="G3319" s="396" t="s">
        <v>3263</v>
      </c>
      <c r="H3319" s="8">
        <v>50</v>
      </c>
      <c r="I3319" s="35">
        <v>10</v>
      </c>
      <c r="J3319" s="108">
        <f>H3319*I3319</f>
        <v>500</v>
      </c>
      <c r="K3319" s="958">
        <v>0.23</v>
      </c>
      <c r="L3319" s="39">
        <f>K3319*J3319</f>
        <v>115</v>
      </c>
      <c r="M3319" s="117" t="s">
        <v>349</v>
      </c>
      <c r="N3319" s="33">
        <v>45258</v>
      </c>
      <c r="O3319" s="32">
        <v>5626</v>
      </c>
      <c r="P3319" s="391">
        <f>ROUNDUP(S3319/V3319/VLOOKUP(B3319,$C$2:$F$6,3,FALSE),2)</f>
        <v>0.11</v>
      </c>
      <c r="Q3319" s="322">
        <v>0.11</v>
      </c>
      <c r="R3319" s="322">
        <f>Q3319*J3319</f>
        <v>55</v>
      </c>
      <c r="S3319" s="7">
        <v>8.8000000000000007</v>
      </c>
      <c r="T3319" s="7">
        <f>S3319*J3319</f>
        <v>4400</v>
      </c>
      <c r="U3319" s="39"/>
      <c r="V3319" s="260">
        <v>120</v>
      </c>
      <c r="W3319" s="1136">
        <f>(((K3319*V3319)-S3319)/(K3319*V3319))</f>
        <v>0.6811594202898551</v>
      </c>
    </row>
    <row r="3320" spans="1:23" s="7" customFormat="1" ht="18" customHeight="1">
      <c r="B3320" s="12" t="s">
        <v>300</v>
      </c>
      <c r="C3320" s="6" t="s">
        <v>4611</v>
      </c>
      <c r="D3320" s="14" t="s">
        <v>2416</v>
      </c>
      <c r="E3320" s="22" t="s">
        <v>3262</v>
      </c>
      <c r="F3320" s="37" t="s">
        <v>359</v>
      </c>
      <c r="G3320" s="396" t="s">
        <v>4447</v>
      </c>
      <c r="H3320" s="8">
        <v>50</v>
      </c>
      <c r="I3320" s="35">
        <v>9</v>
      </c>
      <c r="J3320" s="108">
        <f>H3320*I3320</f>
        <v>450</v>
      </c>
      <c r="K3320" s="958">
        <v>0.33</v>
      </c>
      <c r="L3320" s="39">
        <f>K3320*J3320</f>
        <v>148.5</v>
      </c>
      <c r="M3320" s="117" t="s">
        <v>349</v>
      </c>
      <c r="N3320" s="33">
        <v>45258</v>
      </c>
      <c r="O3320" s="32">
        <v>5626</v>
      </c>
      <c r="P3320" s="391">
        <f>ROUNDUP(S3320/V3320/VLOOKUP(B3320,$C$2:$F$6,3,FALSE),2)</f>
        <v>0.14000000000000001</v>
      </c>
      <c r="Q3320" s="322">
        <v>0.14000000000000001</v>
      </c>
      <c r="R3320" s="322">
        <f>Q3320*J3320</f>
        <v>63.000000000000007</v>
      </c>
      <c r="S3320" s="7">
        <v>11.7</v>
      </c>
      <c r="T3320" s="7">
        <f>S3320*J3320</f>
        <v>5265</v>
      </c>
      <c r="U3320" s="39"/>
      <c r="V3320" s="260">
        <v>120</v>
      </c>
      <c r="W3320" s="1136">
        <f>(((K3320*V3320)-S3320)/(K3320*V3320))</f>
        <v>0.70454545454545459</v>
      </c>
    </row>
    <row r="3321" spans="1:23" s="7" customFormat="1" ht="17.45" customHeight="1">
      <c r="B3321" s="12" t="s">
        <v>306</v>
      </c>
      <c r="C3321" s="6" t="s">
        <v>4611</v>
      </c>
      <c r="D3321" s="14" t="s">
        <v>2416</v>
      </c>
      <c r="E3321" s="22"/>
      <c r="F3321" s="37"/>
      <c r="G3321" s="221" t="s">
        <v>4448</v>
      </c>
      <c r="H3321" s="8"/>
      <c r="I3321" s="35"/>
      <c r="J3321" s="38">
        <v>1</v>
      </c>
      <c r="K3321" s="958">
        <v>0</v>
      </c>
      <c r="L3321" s="39">
        <f>K3321*J3321</f>
        <v>0</v>
      </c>
      <c r="M3321" s="117" t="s">
        <v>349</v>
      </c>
      <c r="N3321" s="33">
        <v>45258</v>
      </c>
      <c r="O3321" s="32">
        <v>5626</v>
      </c>
      <c r="P3321" s="391">
        <v>0</v>
      </c>
      <c r="Q3321" s="958">
        <v>0</v>
      </c>
      <c r="R3321" s="322">
        <f>Q3321*J3321</f>
        <v>0</v>
      </c>
      <c r="S3321" s="7">
        <v>0</v>
      </c>
      <c r="T3321" s="7">
        <v>0</v>
      </c>
      <c r="U3321" s="39"/>
      <c r="V3321" s="260">
        <v>120</v>
      </c>
      <c r="W3321" s="1136" t="e">
        <f>(((K3321*V3321)-S3321)/(K3321*V3321))</f>
        <v>#DIV/0!</v>
      </c>
    </row>
    <row r="3322" spans="1:23" s="7" customFormat="1" ht="18" customHeight="1">
      <c r="B3322" s="12"/>
      <c r="C3322" s="6" t="s">
        <v>4611</v>
      </c>
      <c r="D3322" s="14" t="s">
        <v>2416</v>
      </c>
      <c r="E3322" s="19" t="s">
        <v>4510</v>
      </c>
      <c r="F3322" s="37"/>
      <c r="G3322" s="37"/>
      <c r="H3322" s="108"/>
      <c r="I3322" s="108"/>
      <c r="J3322" s="108"/>
      <c r="K3322" s="110" t="s">
        <v>101</v>
      </c>
      <c r="L3322" s="139"/>
      <c r="M3322" s="33"/>
      <c r="N3322" s="33">
        <v>45258</v>
      </c>
      <c r="O3322" s="32">
        <v>5626</v>
      </c>
      <c r="P3322" s="6"/>
      <c r="Q3322" s="339"/>
      <c r="U3322" s="21"/>
      <c r="V3322" s="257"/>
    </row>
    <row r="3323" spans="1:23" s="7" customFormat="1" ht="17.25" customHeight="1">
      <c r="B3323" s="12" t="s">
        <v>300</v>
      </c>
      <c r="C3323" s="6" t="s">
        <v>4611</v>
      </c>
      <c r="D3323" s="14" t="s">
        <v>2416</v>
      </c>
      <c r="E3323" s="22" t="s">
        <v>4516</v>
      </c>
      <c r="F3323" s="37"/>
      <c r="G3323" s="37" t="s">
        <v>58</v>
      </c>
      <c r="H3323" s="108"/>
      <c r="I3323" s="109"/>
      <c r="J3323" s="8">
        <v>200</v>
      </c>
      <c r="K3323" s="39">
        <v>0.98</v>
      </c>
      <c r="L3323" s="39">
        <f>K3323*J3323</f>
        <v>196</v>
      </c>
      <c r="M3323" s="117" t="s">
        <v>349</v>
      </c>
      <c r="N3323" s="33">
        <v>45258</v>
      </c>
      <c r="O3323" s="32">
        <v>5626</v>
      </c>
      <c r="P3323" s="391">
        <f>ROUNDUP(S3323/V3323/VLOOKUP(B3323,$C$2:$F$6,3,FALSE),2)</f>
        <v>0.83</v>
      </c>
      <c r="Q3323" s="358">
        <v>0.83</v>
      </c>
      <c r="R3323" s="322">
        <f>Q3323*J3323</f>
        <v>166</v>
      </c>
      <c r="S3323" s="7">
        <v>69</v>
      </c>
      <c r="T3323" s="7">
        <f>S3323*J3323</f>
        <v>13800</v>
      </c>
      <c r="U3323" s="267"/>
      <c r="V3323" s="260">
        <v>120</v>
      </c>
      <c r="W3323" s="1136">
        <f>(((K3323*V3323)-S3323)/(K3323*V3323))</f>
        <v>0.41326530612244894</v>
      </c>
    </row>
    <row r="3324" spans="1:23" s="7" customFormat="1" ht="17.25" customHeight="1">
      <c r="B3324" s="12" t="s">
        <v>300</v>
      </c>
      <c r="C3324" s="6" t="s">
        <v>4611</v>
      </c>
      <c r="D3324" s="14" t="s">
        <v>2416</v>
      </c>
      <c r="E3324" s="22" t="s">
        <v>4516</v>
      </c>
      <c r="F3324" s="37"/>
      <c r="G3324" s="37" t="s">
        <v>39</v>
      </c>
      <c r="H3324" s="108"/>
      <c r="I3324" s="109"/>
      <c r="J3324" s="8">
        <v>200</v>
      </c>
      <c r="K3324" s="39">
        <v>1.93</v>
      </c>
      <c r="L3324" s="39">
        <f>K3324*J3324</f>
        <v>386</v>
      </c>
      <c r="M3324" s="117" t="s">
        <v>349</v>
      </c>
      <c r="N3324" s="33">
        <v>45258</v>
      </c>
      <c r="O3324" s="32">
        <v>5626</v>
      </c>
      <c r="P3324" s="391">
        <f>ROUNDUP(S3324/V3324/VLOOKUP(B3324,$C$2:$F$6,3,FALSE),2)</f>
        <v>1.66</v>
      </c>
      <c r="Q3324" s="358">
        <v>1.66</v>
      </c>
      <c r="R3324" s="322">
        <f>Q3324*J3324</f>
        <v>332</v>
      </c>
      <c r="S3324" s="7">
        <f>69+70</f>
        <v>139</v>
      </c>
      <c r="T3324" s="7">
        <f>S3324*J3324</f>
        <v>27800</v>
      </c>
      <c r="U3324" s="267"/>
      <c r="V3324" s="260">
        <v>120</v>
      </c>
      <c r="W3324" s="1136">
        <f>(((K3324*V3324)-S3324)/(K3324*V3324))</f>
        <v>0.39982728842832466</v>
      </c>
    </row>
    <row r="3325" spans="1:23" s="7" customFormat="1" ht="18" customHeight="1">
      <c r="B3325" s="12"/>
      <c r="C3325" s="6" t="s">
        <v>4611</v>
      </c>
      <c r="D3325" s="14" t="s">
        <v>2416</v>
      </c>
      <c r="E3325" s="22"/>
      <c r="F3325" s="102"/>
      <c r="G3325" s="22" t="s">
        <v>316</v>
      </c>
      <c r="H3325" s="8"/>
      <c r="I3325" s="35"/>
      <c r="J3325" s="38">
        <v>1</v>
      </c>
      <c r="K3325" s="39">
        <v>12</v>
      </c>
      <c r="L3325" s="39">
        <f>K3325*J3325</f>
        <v>12</v>
      </c>
      <c r="M3325" s="91"/>
      <c r="N3325" s="33">
        <v>45258</v>
      </c>
      <c r="O3325" s="32">
        <v>5626</v>
      </c>
      <c r="P3325" s="6"/>
      <c r="Q3325" s="322">
        <v>12</v>
      </c>
      <c r="R3325" s="322">
        <f>Q3325*J3325</f>
        <v>12</v>
      </c>
      <c r="S3325" s="7">
        <v>0</v>
      </c>
      <c r="T3325" s="7">
        <f>S3325*J3325</f>
        <v>0</v>
      </c>
      <c r="U3325" s="21"/>
      <c r="V3325" s="260">
        <v>120</v>
      </c>
    </row>
    <row r="3326" spans="1:23" s="218" customFormat="1" ht="18" customHeight="1">
      <c r="A3326" s="7"/>
      <c r="B3326" s="189"/>
      <c r="C3326" s="179" t="s">
        <v>4611</v>
      </c>
      <c r="D3326" s="180" t="s">
        <v>2416</v>
      </c>
      <c r="E3326" s="217"/>
      <c r="F3326" s="182"/>
      <c r="G3326" s="182" t="s">
        <v>250</v>
      </c>
      <c r="H3326" s="184" t="s">
        <v>251</v>
      </c>
      <c r="I3326" s="185"/>
      <c r="J3326" s="183"/>
      <c r="K3326" s="192">
        <v>0</v>
      </c>
      <c r="L3326" s="946"/>
      <c r="M3326" s="947"/>
      <c r="N3326" s="187">
        <v>45258</v>
      </c>
      <c r="O3326" s="186">
        <v>5626</v>
      </c>
      <c r="P3326" s="179"/>
      <c r="Q3326" s="725">
        <v>0</v>
      </c>
      <c r="S3326" s="197">
        <v>0</v>
      </c>
      <c r="T3326" s="197">
        <v>0</v>
      </c>
      <c r="U3326" s="335"/>
      <c r="V3326" s="260">
        <v>120</v>
      </c>
    </row>
    <row r="3327" spans="1:23" s="7" customFormat="1" ht="15">
      <c r="B3327" s="12"/>
      <c r="C3327" s="6" t="s">
        <v>4612</v>
      </c>
      <c r="D3327" s="14" t="s">
        <v>2416</v>
      </c>
      <c r="E3327" s="19" t="s">
        <v>3261</v>
      </c>
      <c r="F3327" s="24"/>
      <c r="G3327" s="22"/>
      <c r="H3327" s="8"/>
      <c r="I3327" s="35"/>
      <c r="J3327" s="8"/>
      <c r="K3327" s="110" t="s">
        <v>5</v>
      </c>
      <c r="L3327" s="139"/>
      <c r="M3327" s="33"/>
      <c r="N3327" s="33">
        <v>45243</v>
      </c>
      <c r="O3327" s="32">
        <v>5627</v>
      </c>
      <c r="P3327" s="6" t="s">
        <v>8</v>
      </c>
      <c r="Q3327" s="358"/>
      <c r="U3327" s="120"/>
      <c r="V3327" s="260">
        <v>120</v>
      </c>
      <c r="W3327" s="1136" t="e">
        <f>(((K3327*V3327)-S3327)/(K3327*V3327))</f>
        <v>#VALUE!</v>
      </c>
    </row>
    <row r="3328" spans="1:23" s="7" customFormat="1" ht="18" customHeight="1">
      <c r="B3328" s="12" t="s">
        <v>300</v>
      </c>
      <c r="C3328" s="6" t="s">
        <v>4612</v>
      </c>
      <c r="D3328" s="14" t="s">
        <v>2416</v>
      </c>
      <c r="E3328" s="22" t="s">
        <v>3262</v>
      </c>
      <c r="F3328" s="37" t="s">
        <v>359</v>
      </c>
      <c r="G3328" s="396" t="s">
        <v>3263</v>
      </c>
      <c r="H3328" s="8">
        <v>50</v>
      </c>
      <c r="I3328" s="35">
        <v>7</v>
      </c>
      <c r="J3328" s="108">
        <f>H3328*I3328</f>
        <v>350</v>
      </c>
      <c r="K3328" s="958">
        <v>0.23</v>
      </c>
      <c r="L3328" s="39">
        <f>K3328*J3328</f>
        <v>80.5</v>
      </c>
      <c r="M3328" s="117" t="s">
        <v>349</v>
      </c>
      <c r="N3328" s="33">
        <v>45243</v>
      </c>
      <c r="O3328" s="32">
        <v>5627</v>
      </c>
      <c r="P3328" s="391">
        <f>ROUNDUP(S3328/V3328/VLOOKUP(B3328,$C$2:$F$6,3,FALSE),2)</f>
        <v>0.11</v>
      </c>
      <c r="Q3328" s="322">
        <v>0.11</v>
      </c>
      <c r="R3328" s="322">
        <f>Q3328*J3328</f>
        <v>38.5</v>
      </c>
      <c r="S3328" s="7">
        <v>8.8000000000000007</v>
      </c>
      <c r="T3328" s="7">
        <f>S3328*J3328</f>
        <v>3080.0000000000005</v>
      </c>
      <c r="U3328" s="39"/>
      <c r="V3328" s="260">
        <v>120</v>
      </c>
      <c r="W3328" s="1136">
        <f>(((K3328*V3328)-S3328)/(K3328*V3328))</f>
        <v>0.6811594202898551</v>
      </c>
    </row>
    <row r="3329" spans="1:23" s="7" customFormat="1" ht="18" customHeight="1">
      <c r="B3329" s="12"/>
      <c r="C3329" s="6" t="s">
        <v>4612</v>
      </c>
      <c r="D3329" s="14" t="s">
        <v>2416</v>
      </c>
      <c r="E3329" s="22"/>
      <c r="F3329" s="102"/>
      <c r="G3329" s="22" t="s">
        <v>316</v>
      </c>
      <c r="H3329" s="8"/>
      <c r="I3329" s="35"/>
      <c r="J3329" s="38">
        <v>1</v>
      </c>
      <c r="K3329" s="39">
        <v>12</v>
      </c>
      <c r="L3329" s="39">
        <f>K3329*J3329</f>
        <v>12</v>
      </c>
      <c r="M3329" s="91"/>
      <c r="N3329" s="33">
        <v>45243</v>
      </c>
      <c r="O3329" s="32">
        <v>5627</v>
      </c>
      <c r="P3329" s="6"/>
      <c r="Q3329" s="322">
        <v>12</v>
      </c>
      <c r="R3329" s="322">
        <f>Q3329*J3329</f>
        <v>12</v>
      </c>
      <c r="S3329" s="7">
        <v>0</v>
      </c>
      <c r="T3329" s="7">
        <f>S3329*J3329</f>
        <v>0</v>
      </c>
      <c r="U3329" s="21"/>
      <c r="V3329" s="260">
        <v>120</v>
      </c>
    </row>
    <row r="3330" spans="1:23" s="218" customFormat="1" ht="18" customHeight="1">
      <c r="A3330" s="7"/>
      <c r="B3330" s="189"/>
      <c r="C3330" s="179" t="s">
        <v>4612</v>
      </c>
      <c r="D3330" s="180" t="s">
        <v>2416</v>
      </c>
      <c r="E3330" s="217"/>
      <c r="F3330" s="182"/>
      <c r="G3330" s="182" t="s">
        <v>250</v>
      </c>
      <c r="H3330" s="184" t="s">
        <v>251</v>
      </c>
      <c r="I3330" s="185"/>
      <c r="J3330" s="183"/>
      <c r="K3330" s="192">
        <v>0</v>
      </c>
      <c r="L3330" s="946"/>
      <c r="M3330" s="947"/>
      <c r="N3330" s="187">
        <v>45243</v>
      </c>
      <c r="O3330" s="186">
        <v>5627</v>
      </c>
      <c r="P3330" s="179"/>
      <c r="Q3330" s="725">
        <v>0</v>
      </c>
      <c r="S3330" s="197">
        <v>0</v>
      </c>
      <c r="T3330" s="197">
        <v>0</v>
      </c>
      <c r="U3330" s="335"/>
      <c r="V3330" s="260">
        <v>120</v>
      </c>
    </row>
    <row r="3331" spans="1:23" s="7" customFormat="1" ht="15">
      <c r="B3331" s="12"/>
      <c r="C3331" s="6" t="s">
        <v>4617</v>
      </c>
      <c r="D3331" s="14" t="s">
        <v>2416</v>
      </c>
      <c r="E3331" s="19" t="s">
        <v>3261</v>
      </c>
      <c r="F3331" s="24"/>
      <c r="G3331" s="22"/>
      <c r="H3331" s="8"/>
      <c r="I3331" s="35"/>
      <c r="J3331" s="8"/>
      <c r="K3331" s="110" t="s">
        <v>5</v>
      </c>
      <c r="L3331" s="139"/>
      <c r="M3331" s="33"/>
      <c r="N3331" s="33">
        <v>45243</v>
      </c>
      <c r="O3331" s="32">
        <v>5628</v>
      </c>
      <c r="P3331" s="6" t="s">
        <v>8</v>
      </c>
      <c r="Q3331" s="358"/>
      <c r="U3331" s="120"/>
      <c r="V3331" s="260">
        <v>120</v>
      </c>
      <c r="W3331" s="1136" t="e">
        <f>(((K3331*V3331)-S3331)/(K3331*V3331))</f>
        <v>#VALUE!</v>
      </c>
    </row>
    <row r="3332" spans="1:23" s="7" customFormat="1" ht="18" customHeight="1">
      <c r="B3332" s="12" t="s">
        <v>300</v>
      </c>
      <c r="C3332" s="6" t="s">
        <v>4617</v>
      </c>
      <c r="D3332" s="14" t="s">
        <v>2416</v>
      </c>
      <c r="E3332" s="22" t="s">
        <v>3262</v>
      </c>
      <c r="F3332" s="37" t="s">
        <v>359</v>
      </c>
      <c r="G3332" s="396" t="s">
        <v>4447</v>
      </c>
      <c r="H3332" s="8">
        <v>50</v>
      </c>
      <c r="I3332" s="35">
        <v>4</v>
      </c>
      <c r="J3332" s="108">
        <f>H3332*I3332</f>
        <v>200</v>
      </c>
      <c r="K3332" s="958">
        <v>0.33</v>
      </c>
      <c r="L3332" s="39">
        <f>K3332*J3332</f>
        <v>66</v>
      </c>
      <c r="M3332" s="117" t="s">
        <v>349</v>
      </c>
      <c r="N3332" s="33">
        <v>45243</v>
      </c>
      <c r="O3332" s="32">
        <v>5628</v>
      </c>
      <c r="P3332" s="391">
        <f>ROUNDUP(S3332/V3332/VLOOKUP(B3332,$C$2:$F$6,3,FALSE),2)</f>
        <v>0.14000000000000001</v>
      </c>
      <c r="Q3332" s="322">
        <v>0.14000000000000001</v>
      </c>
      <c r="R3332" s="322">
        <f>Q3332*J3332</f>
        <v>28.000000000000004</v>
      </c>
      <c r="S3332" s="7">
        <v>11.7</v>
      </c>
      <c r="T3332" s="7">
        <f>S3332*J3332</f>
        <v>2340</v>
      </c>
      <c r="U3332" s="39"/>
      <c r="V3332" s="260">
        <v>120</v>
      </c>
      <c r="W3332" s="1136">
        <f>(((K3332*V3332)-S3332)/(K3332*V3332))</f>
        <v>0.70454545454545459</v>
      </c>
    </row>
    <row r="3333" spans="1:23" s="7" customFormat="1" ht="17.45" customHeight="1">
      <c r="B3333" s="12" t="s">
        <v>306</v>
      </c>
      <c r="C3333" s="6" t="s">
        <v>4617</v>
      </c>
      <c r="D3333" s="14" t="s">
        <v>2416</v>
      </c>
      <c r="E3333" s="22"/>
      <c r="F3333" s="37"/>
      <c r="G3333" s="221" t="s">
        <v>4448</v>
      </c>
      <c r="H3333" s="8"/>
      <c r="I3333" s="35"/>
      <c r="J3333" s="38">
        <v>1</v>
      </c>
      <c r="K3333" s="958">
        <v>0</v>
      </c>
      <c r="L3333" s="39">
        <f>K3333*J3333</f>
        <v>0</v>
      </c>
      <c r="M3333" s="117" t="s">
        <v>349</v>
      </c>
      <c r="N3333" s="33">
        <v>45243</v>
      </c>
      <c r="O3333" s="32">
        <v>5628</v>
      </c>
      <c r="P3333" s="391">
        <v>0</v>
      </c>
      <c r="Q3333" s="958">
        <v>0</v>
      </c>
      <c r="R3333" s="322">
        <f>Q3333*J3333</f>
        <v>0</v>
      </c>
      <c r="S3333" s="7">
        <v>0</v>
      </c>
      <c r="T3333" s="7">
        <v>0</v>
      </c>
      <c r="U3333" s="39"/>
      <c r="V3333" s="260">
        <v>120</v>
      </c>
      <c r="W3333" s="1136" t="e">
        <f>(((K3333*V3333)-S3333)/(K3333*V3333))</f>
        <v>#DIV/0!</v>
      </c>
    </row>
    <row r="3334" spans="1:23" s="7" customFormat="1" ht="18" customHeight="1">
      <c r="B3334" s="12" t="s">
        <v>300</v>
      </c>
      <c r="C3334" s="6" t="s">
        <v>4617</v>
      </c>
      <c r="D3334" s="14" t="s">
        <v>2416</v>
      </c>
      <c r="E3334" s="22" t="s">
        <v>3262</v>
      </c>
      <c r="F3334" s="37" t="s">
        <v>359</v>
      </c>
      <c r="G3334" s="396" t="s">
        <v>4609</v>
      </c>
      <c r="H3334" s="8">
        <v>50</v>
      </c>
      <c r="I3334" s="35">
        <v>1</v>
      </c>
      <c r="J3334" s="108">
        <f>H3334*I3334</f>
        <v>50</v>
      </c>
      <c r="K3334" s="958">
        <v>0.23</v>
      </c>
      <c r="L3334" s="39">
        <f>K3334*J3334</f>
        <v>11.5</v>
      </c>
      <c r="M3334" s="117" t="s">
        <v>349</v>
      </c>
      <c r="N3334" s="33">
        <v>45243</v>
      </c>
      <c r="O3334" s="32">
        <v>5628</v>
      </c>
      <c r="P3334" s="391">
        <f>ROUNDUP(S3334/V3334/VLOOKUP(B3334,$C$2:$F$6,3,FALSE),2)</f>
        <v>0.11</v>
      </c>
      <c r="Q3334" s="322">
        <v>0.11</v>
      </c>
      <c r="R3334" s="322">
        <f>Q3334*J3334</f>
        <v>5.5</v>
      </c>
      <c r="S3334" s="7">
        <v>8.8000000000000007</v>
      </c>
      <c r="T3334" s="7">
        <f>S3334*J3334</f>
        <v>440.00000000000006</v>
      </c>
      <c r="U3334" s="39"/>
      <c r="V3334" s="260">
        <v>120</v>
      </c>
      <c r="W3334" s="1136">
        <f>(((K3334*V3334)-S3334)/(K3334*V3334))</f>
        <v>0.6811594202898551</v>
      </c>
    </row>
    <row r="3335" spans="1:23" s="7" customFormat="1" ht="18" customHeight="1">
      <c r="B3335" s="12"/>
      <c r="C3335" s="6" t="s">
        <v>4617</v>
      </c>
      <c r="D3335" s="14" t="s">
        <v>2416</v>
      </c>
      <c r="E3335" s="82"/>
      <c r="F3335" s="102"/>
      <c r="G3335" s="22" t="s">
        <v>316</v>
      </c>
      <c r="H3335" s="8"/>
      <c r="I3335" s="35"/>
      <c r="J3335" s="38">
        <v>1</v>
      </c>
      <c r="K3335" s="39">
        <v>12</v>
      </c>
      <c r="L3335" s="39">
        <f>K3335*J3335</f>
        <v>12</v>
      </c>
      <c r="M3335" s="91"/>
      <c r="N3335" s="33">
        <v>45243</v>
      </c>
      <c r="O3335" s="32">
        <v>5628</v>
      </c>
      <c r="P3335" s="6"/>
      <c r="Q3335" s="322">
        <v>12</v>
      </c>
      <c r="R3335" s="322">
        <f>Q3335*J3335</f>
        <v>12</v>
      </c>
      <c r="S3335" s="7">
        <v>0</v>
      </c>
      <c r="T3335" s="7">
        <f>S3335*J3335</f>
        <v>0</v>
      </c>
      <c r="U3335" s="21"/>
      <c r="V3335" s="260">
        <v>120</v>
      </c>
    </row>
    <row r="3336" spans="1:23" s="143" customFormat="1" ht="18" customHeight="1">
      <c r="B3336" s="276"/>
      <c r="C3336" s="142" t="s">
        <v>4650</v>
      </c>
      <c r="D3336" s="90" t="s">
        <v>2416</v>
      </c>
      <c r="E3336" s="153"/>
      <c r="F3336" s="116"/>
      <c r="G3336" s="153" t="s">
        <v>4651</v>
      </c>
      <c r="H3336" s="140"/>
      <c r="I3336" s="141"/>
      <c r="J3336" s="36">
        <v>1</v>
      </c>
      <c r="K3336" s="154">
        <v>0</v>
      </c>
      <c r="L3336" s="154">
        <f>K3336*J3336</f>
        <v>0</v>
      </c>
      <c r="M3336" s="366"/>
      <c r="N3336" s="33">
        <v>45243</v>
      </c>
      <c r="O3336" s="32">
        <v>5628</v>
      </c>
      <c r="P3336" s="142"/>
      <c r="Q3336" s="773">
        <v>0</v>
      </c>
      <c r="R3336" s="773">
        <f>Q3336*J3336</f>
        <v>0</v>
      </c>
      <c r="S3336" s="143">
        <v>1100</v>
      </c>
      <c r="T3336" s="143">
        <f>S3336*J3336</f>
        <v>1100</v>
      </c>
      <c r="U3336" s="746"/>
      <c r="V3336" s="279">
        <v>120</v>
      </c>
    </row>
    <row r="3337" spans="1:23" s="218" customFormat="1" ht="18" customHeight="1">
      <c r="A3337" s="7"/>
      <c r="B3337" s="189"/>
      <c r="C3337" s="179" t="s">
        <v>4617</v>
      </c>
      <c r="D3337" s="180" t="s">
        <v>2416</v>
      </c>
      <c r="E3337" s="217"/>
      <c r="F3337" s="182"/>
      <c r="G3337" s="182" t="s">
        <v>250</v>
      </c>
      <c r="H3337" s="184" t="s">
        <v>251</v>
      </c>
      <c r="I3337" s="185"/>
      <c r="J3337" s="183"/>
      <c r="K3337" s="192">
        <v>0</v>
      </c>
      <c r="L3337" s="946"/>
      <c r="M3337" s="947"/>
      <c r="N3337" s="187">
        <v>45243</v>
      </c>
      <c r="O3337" s="186">
        <v>5628</v>
      </c>
      <c r="P3337" s="179"/>
      <c r="Q3337" s="725">
        <v>0</v>
      </c>
      <c r="S3337" s="197">
        <v>0</v>
      </c>
      <c r="T3337" s="197">
        <v>0</v>
      </c>
      <c r="U3337" s="335"/>
      <c r="V3337" s="260">
        <v>120</v>
      </c>
    </row>
    <row r="3338" spans="1:23" s="7" customFormat="1" ht="18" customHeight="1">
      <c r="B3338" s="12"/>
      <c r="C3338" s="965" t="s">
        <v>4613</v>
      </c>
      <c r="D3338" s="14" t="s">
        <v>2162</v>
      </c>
      <c r="E3338" s="19" t="s">
        <v>2270</v>
      </c>
      <c r="F3338" s="37"/>
      <c r="G3338" s="37"/>
      <c r="H3338" s="108"/>
      <c r="I3338" s="108"/>
      <c r="J3338" s="108"/>
      <c r="K3338" s="29" t="s">
        <v>5</v>
      </c>
      <c r="L3338" s="139"/>
      <c r="M3338" s="33"/>
      <c r="N3338" s="33">
        <v>45224</v>
      </c>
      <c r="O3338" s="32">
        <v>5617</v>
      </c>
      <c r="P3338" s="6"/>
      <c r="Q3338" s="339"/>
      <c r="U3338" s="21"/>
      <c r="V3338" s="260">
        <v>120</v>
      </c>
      <c r="W3338" s="1136" t="e">
        <f>(((K3338*V3338)-S3338)/(K3338*V3338))</f>
        <v>#VALUE!</v>
      </c>
    </row>
    <row r="3339" spans="1:23" s="7" customFormat="1" ht="18" customHeight="1">
      <c r="B3339" s="12" t="s">
        <v>300</v>
      </c>
      <c r="C3339" s="965" t="s">
        <v>4613</v>
      </c>
      <c r="D3339" s="14" t="s">
        <v>2162</v>
      </c>
      <c r="E3339" s="22">
        <v>5636</v>
      </c>
      <c r="F3339" s="37" t="s">
        <v>230</v>
      </c>
      <c r="G3339" s="839" t="s">
        <v>4614</v>
      </c>
      <c r="H3339" s="108">
        <v>50</v>
      </c>
      <c r="I3339" s="109">
        <v>1</v>
      </c>
      <c r="J3339" s="8">
        <f>H3339*I3339</f>
        <v>50</v>
      </c>
      <c r="K3339" s="39">
        <v>0.3</v>
      </c>
      <c r="L3339" s="39">
        <f>K3339*J3339</f>
        <v>15</v>
      </c>
      <c r="M3339" s="117" t="s">
        <v>349</v>
      </c>
      <c r="N3339" s="33">
        <v>45224</v>
      </c>
      <c r="O3339" s="32">
        <v>5617</v>
      </c>
      <c r="P3339" s="391">
        <f>ROUNDUP(S3339/V3339/VLOOKUP(B3339,$C$2:$F$6,3,FALSE),2)</f>
        <v>0.19</v>
      </c>
      <c r="Q3339" s="322">
        <v>0.19</v>
      </c>
      <c r="R3339" s="322">
        <f>Q3339*J3339</f>
        <v>9.5</v>
      </c>
      <c r="S3339" s="7">
        <v>15.7</v>
      </c>
      <c r="T3339" s="7">
        <f>S3339*J3339</f>
        <v>785</v>
      </c>
      <c r="U3339" s="778"/>
      <c r="V3339" s="260">
        <v>120</v>
      </c>
      <c r="W3339" s="1136">
        <f>(((K3339*V3339)-S3339)/(K3339*V3339))</f>
        <v>0.56388888888888888</v>
      </c>
    </row>
    <row r="3340" spans="1:23" s="7" customFormat="1" ht="18" customHeight="1">
      <c r="B3340" s="12"/>
      <c r="C3340" s="965" t="s">
        <v>4613</v>
      </c>
      <c r="D3340" s="14" t="s">
        <v>2162</v>
      </c>
      <c r="E3340" s="22"/>
      <c r="F3340" s="102"/>
      <c r="G3340" s="22" t="s">
        <v>316</v>
      </c>
      <c r="H3340" s="8"/>
      <c r="I3340" s="35"/>
      <c r="J3340" s="38">
        <v>1</v>
      </c>
      <c r="K3340" s="39">
        <v>12</v>
      </c>
      <c r="L3340" s="39">
        <f>K3340*J3340</f>
        <v>12</v>
      </c>
      <c r="M3340" s="91"/>
      <c r="N3340" s="33">
        <v>45224</v>
      </c>
      <c r="O3340" s="32">
        <v>5617</v>
      </c>
      <c r="P3340" s="6" t="s">
        <v>3</v>
      </c>
      <c r="Q3340" s="39">
        <v>12</v>
      </c>
      <c r="R3340" s="322">
        <f>Q3340*J3340</f>
        <v>12</v>
      </c>
      <c r="S3340" s="7">
        <v>1100</v>
      </c>
      <c r="T3340" s="7">
        <f>S3340*J3340</f>
        <v>1100</v>
      </c>
      <c r="U3340" s="21"/>
      <c r="V3340" s="260">
        <v>120</v>
      </c>
      <c r="W3340" s="1136">
        <f>(((K3340*V3340)-S3340)/(K3340*V3340))</f>
        <v>0.2361111111111111</v>
      </c>
    </row>
    <row r="3341" spans="1:23" s="191" customFormat="1" ht="18" customHeight="1">
      <c r="B3341" s="190"/>
      <c r="C3341" s="966" t="s">
        <v>4613</v>
      </c>
      <c r="D3341" s="180" t="s">
        <v>2162</v>
      </c>
      <c r="E3341" s="217"/>
      <c r="F3341" s="182"/>
      <c r="G3341" s="182" t="s">
        <v>250</v>
      </c>
      <c r="H3341" s="184" t="s">
        <v>251</v>
      </c>
      <c r="I3341" s="185"/>
      <c r="J3341" s="183"/>
      <c r="K3341" s="192">
        <v>0</v>
      </c>
      <c r="L3341" s="192">
        <v>0</v>
      </c>
      <c r="M3341" s="187"/>
      <c r="N3341" s="187">
        <v>45224</v>
      </c>
      <c r="O3341" s="186">
        <v>5617</v>
      </c>
      <c r="P3341" s="179"/>
      <c r="Q3341" s="334">
        <v>0</v>
      </c>
      <c r="R3341" s="334">
        <v>0</v>
      </c>
      <c r="S3341" s="197">
        <v>0</v>
      </c>
      <c r="T3341" s="197">
        <v>0</v>
      </c>
      <c r="U3341" s="335"/>
      <c r="V3341" s="260">
        <v>120</v>
      </c>
      <c r="W3341" s="1136" t="e">
        <f>(((K3341*V3341)-S3341)/(K3341*V3341))</f>
        <v>#DIV/0!</v>
      </c>
    </row>
    <row r="3342" spans="1:23" s="7" customFormat="1" ht="18" customHeight="1">
      <c r="B3342" s="12"/>
      <c r="C3342" s="6" t="s">
        <v>4615</v>
      </c>
      <c r="D3342" s="14" t="s">
        <v>3391</v>
      </c>
      <c r="E3342" s="19" t="s">
        <v>10</v>
      </c>
      <c r="F3342" s="107"/>
      <c r="G3342" s="22"/>
      <c r="H3342" s="108"/>
      <c r="I3342" s="109"/>
      <c r="J3342" s="108"/>
      <c r="K3342" s="29" t="s">
        <v>5</v>
      </c>
      <c r="L3342" s="39"/>
      <c r="M3342" s="91"/>
      <c r="N3342" s="33">
        <v>45225</v>
      </c>
      <c r="O3342" s="32">
        <v>5623</v>
      </c>
      <c r="P3342" s="14"/>
      <c r="Q3342" s="322"/>
      <c r="U3342" s="14"/>
      <c r="V3342" s="384">
        <v>120</v>
      </c>
    </row>
    <row r="3343" spans="1:23" s="7" customFormat="1" ht="18" customHeight="1">
      <c r="B3343" s="12" t="s">
        <v>302</v>
      </c>
      <c r="C3343" s="6" t="s">
        <v>4615</v>
      </c>
      <c r="D3343" s="14" t="s">
        <v>3391</v>
      </c>
      <c r="E3343" s="22" t="s">
        <v>190</v>
      </c>
      <c r="F3343" s="107">
        <v>160</v>
      </c>
      <c r="G3343" s="396" t="s">
        <v>4303</v>
      </c>
      <c r="H3343" s="108">
        <v>50</v>
      </c>
      <c r="I3343" s="109">
        <v>3</v>
      </c>
      <c r="J3343" s="8">
        <f>H3343*I3343</f>
        <v>150</v>
      </c>
      <c r="K3343" s="39">
        <v>3.96</v>
      </c>
      <c r="L3343" s="39">
        <f>K3343*J3343</f>
        <v>594</v>
      </c>
      <c r="M3343" s="117" t="s">
        <v>322</v>
      </c>
      <c r="N3343" s="33">
        <v>45225</v>
      </c>
      <c r="O3343" s="32">
        <v>5623</v>
      </c>
      <c r="P3343" s="391">
        <f>ROUNDUP(S3343/V3343/VLOOKUP(B3343,$C$2:$F$6,3,FALSE),2)</f>
        <v>3.5999999999999996</v>
      </c>
      <c r="Q3343" s="322">
        <v>3.6</v>
      </c>
      <c r="R3343" s="322">
        <f>Q3343*J3343</f>
        <v>540</v>
      </c>
      <c r="S3343" s="7">
        <v>380</v>
      </c>
      <c r="T3343" s="7">
        <f>S3343*J3343</f>
        <v>57000</v>
      </c>
      <c r="U3343" s="21"/>
      <c r="V3343" s="260">
        <v>120</v>
      </c>
      <c r="W3343" s="1136">
        <f t="shared" ref="W3343:W3363" si="240">(((K3343*V3343)-S3343)/(K3343*V3343))</f>
        <v>0.20033670033670031</v>
      </c>
    </row>
    <row r="3344" spans="1:23" s="7" customFormat="1" ht="18" customHeight="1">
      <c r="B3344" s="12" t="s">
        <v>302</v>
      </c>
      <c r="C3344" s="6" t="s">
        <v>4615</v>
      </c>
      <c r="D3344" s="14" t="s">
        <v>3391</v>
      </c>
      <c r="E3344" s="22" t="s">
        <v>190</v>
      </c>
      <c r="F3344" s="107">
        <v>160</v>
      </c>
      <c r="G3344" s="396" t="s">
        <v>4303</v>
      </c>
      <c r="H3344" s="108">
        <v>53</v>
      </c>
      <c r="I3344" s="109">
        <v>1</v>
      </c>
      <c r="J3344" s="8">
        <f>H3344*I3344</f>
        <v>53</v>
      </c>
      <c r="K3344" s="39">
        <v>3.96</v>
      </c>
      <c r="L3344" s="39">
        <f>K3344*J3344</f>
        <v>209.88</v>
      </c>
      <c r="M3344" s="117" t="s">
        <v>322</v>
      </c>
      <c r="N3344" s="33">
        <v>45225</v>
      </c>
      <c r="O3344" s="32">
        <v>5623</v>
      </c>
      <c r="P3344" s="391">
        <f>ROUNDUP(S3344/V3344/VLOOKUP(B3344,$C$2:$F$6,3,FALSE),2)</f>
        <v>3.5999999999999996</v>
      </c>
      <c r="Q3344" s="322">
        <v>3.6</v>
      </c>
      <c r="R3344" s="322">
        <f>Q3344*J3344</f>
        <v>190.8</v>
      </c>
      <c r="S3344" s="7">
        <v>380</v>
      </c>
      <c r="T3344" s="7">
        <f>S3344*J3344</f>
        <v>20140</v>
      </c>
      <c r="U3344" s="21"/>
      <c r="V3344" s="260">
        <v>120</v>
      </c>
      <c r="W3344" s="1136">
        <f>(((K3344*V3344)-S3344)/(K3344*V3344))</f>
        <v>0.20033670033670031</v>
      </c>
    </row>
    <row r="3345" spans="1:51" customFormat="1" ht="18" customHeight="1">
      <c r="A3345" s="1"/>
      <c r="B3345" s="26"/>
      <c r="C3345" s="6" t="s">
        <v>4615</v>
      </c>
      <c r="D3345" s="14" t="s">
        <v>3391</v>
      </c>
      <c r="E3345" s="19" t="s">
        <v>59</v>
      </c>
      <c r="F3345" s="107"/>
      <c r="G3345" s="22"/>
      <c r="H3345" s="108"/>
      <c r="I3345" s="109"/>
      <c r="J3345" s="108"/>
      <c r="K3345" s="110" t="s">
        <v>5</v>
      </c>
      <c r="L3345" s="33"/>
      <c r="M3345" s="33"/>
      <c r="N3345" s="33">
        <v>45225</v>
      </c>
      <c r="O3345" s="32">
        <v>5623</v>
      </c>
      <c r="P3345" s="14"/>
      <c r="Q3345" s="254"/>
      <c r="R3345" s="1"/>
      <c r="S3345" s="261"/>
      <c r="T3345" s="92"/>
      <c r="U3345" s="264"/>
      <c r="V3345" s="260">
        <v>120</v>
      </c>
      <c r="W3345" s="1136" t="e">
        <f t="shared" si="240"/>
        <v>#VALUE!</v>
      </c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1"/>
      <c r="AI3345" s="1"/>
      <c r="AJ3345" s="1"/>
      <c r="AK3345" s="1"/>
      <c r="AL3345" s="1"/>
      <c r="AM3345" s="1"/>
      <c r="AN3345" s="1"/>
      <c r="AO3345" s="1"/>
      <c r="AP3345" s="1"/>
      <c r="AQ3345" s="1"/>
      <c r="AR3345" s="1"/>
      <c r="AS3345" s="1"/>
      <c r="AT3345" s="1"/>
      <c r="AU3345" s="1"/>
      <c r="AV3345" s="1"/>
      <c r="AW3345" s="1"/>
      <c r="AX3345" s="1"/>
      <c r="AY3345" s="1"/>
    </row>
    <row r="3346" spans="1:51" customFormat="1" ht="18" customHeight="1">
      <c r="B3346" s="12" t="s">
        <v>302</v>
      </c>
      <c r="C3346" s="6" t="s">
        <v>4615</v>
      </c>
      <c r="D3346" s="14" t="s">
        <v>3391</v>
      </c>
      <c r="E3346" s="22">
        <v>2440</v>
      </c>
      <c r="F3346" s="107">
        <v>140</v>
      </c>
      <c r="G3346" s="22" t="s">
        <v>4616</v>
      </c>
      <c r="H3346" s="108">
        <v>56</v>
      </c>
      <c r="I3346" s="109">
        <v>1</v>
      </c>
      <c r="J3346" s="8">
        <f>H3346*I3346</f>
        <v>56</v>
      </c>
      <c r="K3346" s="39">
        <v>3.13</v>
      </c>
      <c r="L3346" s="39">
        <f>K3346*J3346</f>
        <v>175.28</v>
      </c>
      <c r="M3346" s="117" t="s">
        <v>323</v>
      </c>
      <c r="N3346" s="33">
        <v>45225</v>
      </c>
      <c r="O3346" s="32">
        <v>5623</v>
      </c>
      <c r="P3346" s="391">
        <f>ROUNDUP(S3346/V3346/VLOOKUP(B3346,$C$2:$F$6,3,FALSE),2)</f>
        <v>2.8499999999999996</v>
      </c>
      <c r="Q3346" s="254">
        <v>2.85</v>
      </c>
      <c r="R3346" s="323">
        <f>Q3346*J3346</f>
        <v>159.6</v>
      </c>
      <c r="S3346" s="257">
        <v>300</v>
      </c>
      <c r="T3346" s="287">
        <f>S3346*J3346</f>
        <v>16800</v>
      </c>
      <c r="U3346" s="264"/>
      <c r="V3346" s="260">
        <v>120</v>
      </c>
      <c r="W3346" s="1136">
        <f t="shared" si="240"/>
        <v>0.20127795527156542</v>
      </c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1"/>
      <c r="AI3346" s="1"/>
      <c r="AJ3346" s="1"/>
      <c r="AK3346" s="1"/>
      <c r="AL3346" s="1"/>
      <c r="AM3346" s="1"/>
      <c r="AN3346" s="1"/>
      <c r="AO3346" s="1"/>
      <c r="AP3346" s="1"/>
      <c r="AQ3346" s="1"/>
      <c r="AR3346" s="1"/>
      <c r="AS3346" s="1"/>
      <c r="AT3346" s="1"/>
      <c r="AU3346" s="1"/>
      <c r="AV3346" s="1"/>
      <c r="AW3346" s="1"/>
      <c r="AX3346" s="1"/>
      <c r="AY3346" s="1"/>
    </row>
    <row r="3347" spans="1:51" s="7" customFormat="1" ht="18" customHeight="1">
      <c r="B3347" s="12"/>
      <c r="C3347" s="6" t="s">
        <v>4615</v>
      </c>
      <c r="D3347" s="14" t="s">
        <v>3391</v>
      </c>
      <c r="E3347" s="82"/>
      <c r="F3347" s="102"/>
      <c r="G3347" s="22" t="s">
        <v>316</v>
      </c>
      <c r="H3347" s="8"/>
      <c r="I3347" s="35"/>
      <c r="J3347" s="38">
        <v>1</v>
      </c>
      <c r="K3347" s="39">
        <v>20</v>
      </c>
      <c r="L3347" s="39">
        <f>K3347*J3347</f>
        <v>20</v>
      </c>
      <c r="M3347" s="91"/>
      <c r="N3347" s="33">
        <v>45225</v>
      </c>
      <c r="O3347" s="32">
        <v>5623</v>
      </c>
      <c r="P3347" s="6"/>
      <c r="Q3347" s="322">
        <v>20</v>
      </c>
      <c r="R3347" s="322">
        <f>Q3347*J3347</f>
        <v>20</v>
      </c>
      <c r="S3347" s="7">
        <v>1800</v>
      </c>
      <c r="T3347" s="7">
        <f>S3347*J3347</f>
        <v>1800</v>
      </c>
      <c r="U3347" s="21"/>
      <c r="V3347" s="260">
        <v>120</v>
      </c>
      <c r="W3347" s="1136">
        <f t="shared" si="240"/>
        <v>0.25</v>
      </c>
    </row>
    <row r="3348" spans="1:51" s="218" customFormat="1" ht="17.25" customHeight="1">
      <c r="B3348" s="189"/>
      <c r="C3348" s="179" t="s">
        <v>4615</v>
      </c>
      <c r="D3348" s="180" t="s">
        <v>3391</v>
      </c>
      <c r="E3348" s="217"/>
      <c r="F3348" s="182"/>
      <c r="G3348" s="182" t="s">
        <v>250</v>
      </c>
      <c r="H3348" s="184" t="s">
        <v>251</v>
      </c>
      <c r="I3348" s="185"/>
      <c r="J3348" s="183"/>
      <c r="K3348" s="192">
        <v>0</v>
      </c>
      <c r="L3348" s="188"/>
      <c r="M3348" s="187"/>
      <c r="N3348" s="187">
        <v>45225</v>
      </c>
      <c r="O3348" s="186">
        <v>5623</v>
      </c>
      <c r="P3348" s="179"/>
      <c r="Q3348" s="725">
        <v>0</v>
      </c>
      <c r="R3348" s="191"/>
      <c r="S3348" s="197">
        <v>0</v>
      </c>
      <c r="T3348" s="198">
        <v>0</v>
      </c>
      <c r="U3348" s="335"/>
      <c r="V3348" s="260">
        <v>120</v>
      </c>
      <c r="W3348" s="1136" t="e">
        <f t="shared" si="240"/>
        <v>#DIV/0!</v>
      </c>
    </row>
    <row r="3349" spans="1:51" s="7" customFormat="1" ht="18" customHeight="1">
      <c r="B3349" s="12"/>
      <c r="C3349" s="965" t="s">
        <v>4619</v>
      </c>
      <c r="D3349" s="14" t="s">
        <v>2608</v>
      </c>
      <c r="E3349" s="19" t="s">
        <v>2270</v>
      </c>
      <c r="F3349" s="37"/>
      <c r="G3349" s="37"/>
      <c r="H3349" s="108"/>
      <c r="I3349" s="108"/>
      <c r="J3349" s="108"/>
      <c r="K3349" s="29" t="s">
        <v>5</v>
      </c>
      <c r="L3349" s="139"/>
      <c r="M3349" s="33"/>
      <c r="N3349" s="33">
        <v>45244</v>
      </c>
      <c r="O3349" s="32">
        <v>5631</v>
      </c>
      <c r="P3349" s="6"/>
      <c r="Q3349" s="339"/>
      <c r="U3349" s="21"/>
      <c r="V3349" s="260">
        <v>120</v>
      </c>
      <c r="W3349" s="1136" t="e">
        <f t="shared" si="240"/>
        <v>#VALUE!</v>
      </c>
    </row>
    <row r="3350" spans="1:51" s="7" customFormat="1" ht="18" customHeight="1">
      <c r="B3350" s="12" t="s">
        <v>300</v>
      </c>
      <c r="C3350" s="965" t="s">
        <v>4619</v>
      </c>
      <c r="D3350" s="14" t="s">
        <v>2608</v>
      </c>
      <c r="E3350" s="22">
        <v>5636</v>
      </c>
      <c r="F3350" s="37" t="s">
        <v>230</v>
      </c>
      <c r="G3350" s="839" t="s">
        <v>283</v>
      </c>
      <c r="H3350" s="108">
        <v>50</v>
      </c>
      <c r="I3350" s="109">
        <v>18</v>
      </c>
      <c r="J3350" s="8">
        <f>H3350*I3350</f>
        <v>900</v>
      </c>
      <c r="K3350" s="39">
        <v>0.28999999999999998</v>
      </c>
      <c r="L3350" s="39">
        <f>K3350*J3350</f>
        <v>261</v>
      </c>
      <c r="M3350" s="117" t="s">
        <v>349</v>
      </c>
      <c r="N3350" s="33">
        <v>45244</v>
      </c>
      <c r="O3350" s="32">
        <v>5631</v>
      </c>
      <c r="P3350" s="391">
        <f>ROUNDUP(S3350/V3350/VLOOKUP(B3350,$C$2:$F$6,3,FALSE),2)</f>
        <v>0.14000000000000001</v>
      </c>
      <c r="Q3350" s="322">
        <v>0.14000000000000001</v>
      </c>
      <c r="R3350" s="322">
        <f>Q3350*J3350</f>
        <v>126.00000000000001</v>
      </c>
      <c r="S3350" s="7">
        <v>11.6</v>
      </c>
      <c r="T3350" s="7">
        <f>S3350*J3350</f>
        <v>10440</v>
      </c>
      <c r="U3350" s="778"/>
      <c r="V3350" s="260">
        <v>120</v>
      </c>
      <c r="W3350" s="1136">
        <f t="shared" si="240"/>
        <v>0.66666666666666663</v>
      </c>
    </row>
    <row r="3351" spans="1:51" s="7" customFormat="1" ht="18" customHeight="1">
      <c r="B3351" s="12" t="s">
        <v>300</v>
      </c>
      <c r="C3351" s="965" t="s">
        <v>4619</v>
      </c>
      <c r="D3351" s="14" t="s">
        <v>2608</v>
      </c>
      <c r="E3351" s="22">
        <v>5636</v>
      </c>
      <c r="F3351" s="37" t="s">
        <v>230</v>
      </c>
      <c r="G3351" s="839" t="s">
        <v>4618</v>
      </c>
      <c r="H3351" s="108">
        <v>50</v>
      </c>
      <c r="I3351" s="109">
        <v>11</v>
      </c>
      <c r="J3351" s="8">
        <f>H3351*I3351</f>
        <v>550</v>
      </c>
      <c r="K3351" s="39">
        <v>0.28999999999999998</v>
      </c>
      <c r="L3351" s="39">
        <f>K3351*J3351</f>
        <v>159.5</v>
      </c>
      <c r="M3351" s="117" t="s">
        <v>349</v>
      </c>
      <c r="N3351" s="33">
        <v>45244</v>
      </c>
      <c r="O3351" s="32">
        <v>5631</v>
      </c>
      <c r="P3351" s="391">
        <f>ROUNDUP(S3351/V3351/VLOOKUP(B3351,$C$2:$F$6,3,FALSE),2)</f>
        <v>0.19</v>
      </c>
      <c r="Q3351" s="322">
        <v>0.19</v>
      </c>
      <c r="R3351" s="322">
        <f>Q3351*J3351</f>
        <v>104.5</v>
      </c>
      <c r="S3351" s="7">
        <v>15.7</v>
      </c>
      <c r="T3351" s="7">
        <f>S3351*J3351</f>
        <v>8635</v>
      </c>
      <c r="U3351" s="778"/>
      <c r="V3351" s="260">
        <v>120</v>
      </c>
      <c r="W3351" s="1136">
        <f t="shared" si="240"/>
        <v>0.54885057471264365</v>
      </c>
    </row>
    <row r="3352" spans="1:51" s="7" customFormat="1" ht="18" customHeight="1">
      <c r="B3352" s="12" t="s">
        <v>300</v>
      </c>
      <c r="C3352" s="965" t="s">
        <v>4619</v>
      </c>
      <c r="D3352" s="14" t="s">
        <v>2608</v>
      </c>
      <c r="E3352" s="22">
        <v>5636</v>
      </c>
      <c r="F3352" s="37" t="s">
        <v>230</v>
      </c>
      <c r="G3352" s="839" t="s">
        <v>283</v>
      </c>
      <c r="H3352" s="108">
        <v>50</v>
      </c>
      <c r="I3352" s="109">
        <v>24</v>
      </c>
      <c r="J3352" s="8">
        <f>H3352*I3352</f>
        <v>1200</v>
      </c>
      <c r="K3352" s="39">
        <v>0.28999999999999998</v>
      </c>
      <c r="L3352" s="39">
        <f>K3352*J3352</f>
        <v>348</v>
      </c>
      <c r="M3352" s="117" t="s">
        <v>349</v>
      </c>
      <c r="N3352" s="33">
        <v>45244</v>
      </c>
      <c r="O3352" s="32">
        <v>5631</v>
      </c>
      <c r="P3352" s="391">
        <f>ROUNDUP(S3352/V3352/VLOOKUP(B3352,$C$2:$F$6,3,FALSE),2)</f>
        <v>0.14000000000000001</v>
      </c>
      <c r="Q3352" s="322">
        <v>0.14000000000000001</v>
      </c>
      <c r="R3352" s="322">
        <f>Q3352*J3352</f>
        <v>168.00000000000003</v>
      </c>
      <c r="S3352" s="7">
        <v>11.6</v>
      </c>
      <c r="T3352" s="7">
        <f>S3352*J3352</f>
        <v>13920</v>
      </c>
      <c r="U3352" s="778"/>
      <c r="V3352" s="260">
        <v>120</v>
      </c>
      <c r="W3352" s="1136">
        <f>(((K3352*V3352)-S3352)/(K3352*V3352))</f>
        <v>0.66666666666666663</v>
      </c>
    </row>
    <row r="3353" spans="1:51" s="7" customFormat="1" ht="18" customHeight="1">
      <c r="B3353" s="12"/>
      <c r="C3353" s="965" t="s">
        <v>4619</v>
      </c>
      <c r="D3353" s="14" t="s">
        <v>2608</v>
      </c>
      <c r="E3353" s="22"/>
      <c r="F3353" s="102"/>
      <c r="G3353" s="22" t="s">
        <v>316</v>
      </c>
      <c r="H3353" s="8"/>
      <c r="I3353" s="35"/>
      <c r="J3353" s="38">
        <v>1</v>
      </c>
      <c r="K3353" s="39">
        <v>12</v>
      </c>
      <c r="L3353" s="39">
        <f>K3353*J3353</f>
        <v>12</v>
      </c>
      <c r="M3353" s="91"/>
      <c r="N3353" s="33">
        <v>45244</v>
      </c>
      <c r="O3353" s="32">
        <v>5631</v>
      </c>
      <c r="P3353" s="6" t="s">
        <v>3</v>
      </c>
      <c r="Q3353" s="39">
        <v>12</v>
      </c>
      <c r="R3353" s="322">
        <f>Q3353*J3353</f>
        <v>12</v>
      </c>
      <c r="S3353" s="7">
        <v>1100</v>
      </c>
      <c r="T3353" s="7">
        <f>S3353*J3353</f>
        <v>1100</v>
      </c>
      <c r="U3353" s="21"/>
      <c r="V3353" s="260">
        <v>120</v>
      </c>
      <c r="W3353" s="1136">
        <f t="shared" si="240"/>
        <v>0.2361111111111111</v>
      </c>
    </row>
    <row r="3354" spans="1:51" s="191" customFormat="1" ht="18" customHeight="1">
      <c r="B3354" s="190"/>
      <c r="C3354" s="966" t="s">
        <v>4619</v>
      </c>
      <c r="D3354" s="180" t="s">
        <v>2608</v>
      </c>
      <c r="E3354" s="217"/>
      <c r="F3354" s="182"/>
      <c r="G3354" s="182" t="s">
        <v>250</v>
      </c>
      <c r="H3354" s="184" t="s">
        <v>251</v>
      </c>
      <c r="I3354" s="185"/>
      <c r="J3354" s="183"/>
      <c r="K3354" s="192">
        <v>0</v>
      </c>
      <c r="L3354" s="192">
        <v>0</v>
      </c>
      <c r="M3354" s="187"/>
      <c r="N3354" s="187">
        <v>45244</v>
      </c>
      <c r="O3354" s="186">
        <v>5631</v>
      </c>
      <c r="P3354" s="179"/>
      <c r="Q3354" s="334">
        <v>0</v>
      </c>
      <c r="R3354" s="334">
        <v>0</v>
      </c>
      <c r="S3354" s="197">
        <v>0</v>
      </c>
      <c r="T3354" s="197">
        <v>0</v>
      </c>
      <c r="U3354" s="335"/>
      <c r="V3354" s="260">
        <v>120</v>
      </c>
      <c r="W3354" s="1136" t="e">
        <f t="shared" si="240"/>
        <v>#DIV/0!</v>
      </c>
    </row>
    <row r="3355" spans="1:51" s="7" customFormat="1" ht="18" customHeight="1">
      <c r="B3355" s="12"/>
      <c r="C3355" s="6" t="s">
        <v>4620</v>
      </c>
      <c r="D3355" s="14" t="s">
        <v>2059</v>
      </c>
      <c r="E3355" s="19" t="s">
        <v>2358</v>
      </c>
      <c r="F3355" s="24"/>
      <c r="G3355" s="22"/>
      <c r="H3355" s="60"/>
      <c r="I3355" s="61"/>
      <c r="J3355" s="60"/>
      <c r="K3355" s="16" t="s">
        <v>5</v>
      </c>
      <c r="L3355" s="139"/>
      <c r="M3355" s="33"/>
      <c r="N3355" s="33">
        <v>45240</v>
      </c>
      <c r="O3355" s="32">
        <v>5660</v>
      </c>
      <c r="P3355" s="6" t="s">
        <v>3</v>
      </c>
      <c r="Q3355" s="358"/>
      <c r="U3355" s="120"/>
      <c r="V3355" s="260">
        <v>120</v>
      </c>
      <c r="W3355" s="1136" t="e">
        <f t="shared" si="240"/>
        <v>#VALUE!</v>
      </c>
    </row>
    <row r="3356" spans="1:51" s="7" customFormat="1" ht="18" customHeight="1">
      <c r="B3356" s="12" t="s">
        <v>300</v>
      </c>
      <c r="C3356" s="6" t="s">
        <v>4620</v>
      </c>
      <c r="D3356" s="14" t="s">
        <v>2059</v>
      </c>
      <c r="E3356" s="22" t="s">
        <v>4559</v>
      </c>
      <c r="F3356" s="102"/>
      <c r="G3356" s="22" t="s">
        <v>4605</v>
      </c>
      <c r="H3356" s="8"/>
      <c r="I3356" s="35"/>
      <c r="J3356" s="8">
        <v>50</v>
      </c>
      <c r="K3356" s="39">
        <v>4.13</v>
      </c>
      <c r="L3356" s="39">
        <f>K3356*J3356</f>
        <v>206.5</v>
      </c>
      <c r="M3356" s="117" t="s">
        <v>323</v>
      </c>
      <c r="N3356" s="33">
        <v>45240</v>
      </c>
      <c r="O3356" s="32">
        <v>5660</v>
      </c>
      <c r="P3356" s="391">
        <f>ROUNDUP(S3356/V3356/VLOOKUP(B3356,$C$2:$F$6,3,FALSE),2)</f>
        <v>2.6599999999999997</v>
      </c>
      <c r="Q3356" s="322">
        <v>2.66</v>
      </c>
      <c r="R3356" s="322">
        <f>Q3356*J3356</f>
        <v>133</v>
      </c>
      <c r="S3356" s="7">
        <v>223</v>
      </c>
      <c r="T3356" s="7">
        <f>S3356*J3356</f>
        <v>11150</v>
      </c>
      <c r="U3356" s="386"/>
      <c r="V3356" s="260">
        <v>120</v>
      </c>
      <c r="W3356" s="1136">
        <f t="shared" si="240"/>
        <v>0.55004035512510085</v>
      </c>
    </row>
    <row r="3357" spans="1:51" s="143" customFormat="1" ht="18" customHeight="1">
      <c r="B3357" s="276" t="s">
        <v>306</v>
      </c>
      <c r="C3357" s="142" t="s">
        <v>4620</v>
      </c>
      <c r="D3357" s="90" t="s">
        <v>2059</v>
      </c>
      <c r="E3357" s="153"/>
      <c r="F3357" s="116"/>
      <c r="G3357" s="153" t="s">
        <v>4606</v>
      </c>
      <c r="H3357" s="140"/>
      <c r="I3357" s="141"/>
      <c r="J3357" s="36">
        <v>1</v>
      </c>
      <c r="K3357" s="154">
        <v>100</v>
      </c>
      <c r="L3357" s="154">
        <v>0</v>
      </c>
      <c r="M3357" s="366"/>
      <c r="N3357" s="33">
        <v>45240</v>
      </c>
      <c r="O3357" s="32">
        <v>5660</v>
      </c>
      <c r="P3357" s="1198">
        <f>ROUNDUP(S3357/V3357/VLOOKUP(B3357,$C$2:$F$6,3,FALSE),2)</f>
        <v>85.23</v>
      </c>
      <c r="Q3357" s="773">
        <v>85.23</v>
      </c>
      <c r="R3357" s="773">
        <f>Q3357*J3357</f>
        <v>85.23</v>
      </c>
      <c r="S3357" s="143">
        <v>9000</v>
      </c>
      <c r="T3357" s="143">
        <f>S3357*J3357</f>
        <v>9000</v>
      </c>
      <c r="U3357" s="746"/>
      <c r="V3357" s="279">
        <v>120</v>
      </c>
      <c r="W3357" s="1199">
        <f t="shared" si="240"/>
        <v>0.25</v>
      </c>
    </row>
    <row r="3358" spans="1:51" s="7" customFormat="1" ht="18" customHeight="1">
      <c r="B3358" s="12"/>
      <c r="C3358" s="6" t="s">
        <v>4620</v>
      </c>
      <c r="D3358" s="14" t="s">
        <v>2059</v>
      </c>
      <c r="E3358" s="49"/>
      <c r="F3358" s="102"/>
      <c r="G3358" s="22" t="s">
        <v>316</v>
      </c>
      <c r="H3358" s="8"/>
      <c r="I3358" s="35"/>
      <c r="J3358" s="38">
        <v>1</v>
      </c>
      <c r="K3358" s="39">
        <v>12</v>
      </c>
      <c r="L3358" s="39">
        <f>K3358*J3358</f>
        <v>12</v>
      </c>
      <c r="M3358" s="91"/>
      <c r="N3358" s="33">
        <v>45240</v>
      </c>
      <c r="O3358" s="32">
        <v>5660</v>
      </c>
      <c r="P3358" s="6" t="s">
        <v>3</v>
      </c>
      <c r="Q3358" s="322">
        <v>12</v>
      </c>
      <c r="R3358" s="322">
        <v>12</v>
      </c>
      <c r="S3358" s="7">
        <v>0</v>
      </c>
      <c r="T3358" s="7">
        <f>S3358*J3358</f>
        <v>0</v>
      </c>
      <c r="U3358" s="21"/>
      <c r="V3358" s="260">
        <v>120</v>
      </c>
      <c r="W3358" s="1136">
        <f t="shared" si="240"/>
        <v>1</v>
      </c>
    </row>
    <row r="3359" spans="1:51" s="191" customFormat="1" ht="18" customHeight="1">
      <c r="B3359" s="190"/>
      <c r="C3359" s="179" t="s">
        <v>4620</v>
      </c>
      <c r="D3359" s="180" t="s">
        <v>2059</v>
      </c>
      <c r="E3359" s="217"/>
      <c r="F3359" s="182"/>
      <c r="G3359" s="182" t="s">
        <v>250</v>
      </c>
      <c r="H3359" s="184" t="s">
        <v>251</v>
      </c>
      <c r="I3359" s="185"/>
      <c r="J3359" s="183"/>
      <c r="K3359" s="192">
        <v>0</v>
      </c>
      <c r="L3359" s="187"/>
      <c r="M3359" s="187"/>
      <c r="N3359" s="187">
        <v>45240</v>
      </c>
      <c r="O3359" s="186">
        <v>5660</v>
      </c>
      <c r="P3359" s="179"/>
      <c r="Q3359" s="255">
        <v>0</v>
      </c>
      <c r="R3359" s="322">
        <v>0</v>
      </c>
      <c r="S3359" s="275">
        <v>0</v>
      </c>
      <c r="T3359" s="198">
        <v>0</v>
      </c>
      <c r="U3359" s="271"/>
      <c r="V3359" s="260">
        <v>120</v>
      </c>
      <c r="W3359" s="1136" t="e">
        <f t="shared" si="240"/>
        <v>#DIV/0!</v>
      </c>
    </row>
    <row r="3360" spans="1:51" ht="15">
      <c r="C3360" s="6" t="s">
        <v>4621</v>
      </c>
      <c r="D3360" s="14" t="s">
        <v>3067</v>
      </c>
      <c r="E3360" s="19" t="s">
        <v>4626</v>
      </c>
      <c r="F3360" s="107"/>
      <c r="G3360" s="22"/>
      <c r="H3360" s="108"/>
      <c r="I3360" s="109"/>
      <c r="J3360" s="108"/>
      <c r="K3360" s="110" t="s">
        <v>5</v>
      </c>
      <c r="L3360" s="33"/>
      <c r="M3360" s="33"/>
      <c r="N3360" s="33">
        <v>45231</v>
      </c>
      <c r="O3360" s="32">
        <v>5638</v>
      </c>
      <c r="P3360" s="14"/>
      <c r="Q3360" s="254"/>
      <c r="S3360" s="1196"/>
      <c r="T3360" s="92"/>
      <c r="U3360" s="264"/>
      <c r="V3360" s="260">
        <v>120</v>
      </c>
      <c r="W3360" s="1136" t="e">
        <f t="shared" si="240"/>
        <v>#VALUE!</v>
      </c>
    </row>
    <row r="3361" spans="2:23" ht="15.75">
      <c r="B3361" s="12" t="s">
        <v>302</v>
      </c>
      <c r="C3361" s="6" t="s">
        <v>4621</v>
      </c>
      <c r="D3361" s="14" t="s">
        <v>3067</v>
      </c>
      <c r="E3361" s="221" t="s">
        <v>4622</v>
      </c>
      <c r="F3361" s="133" t="s">
        <v>3061</v>
      </c>
      <c r="G3361" s="396" t="s">
        <v>4625</v>
      </c>
      <c r="H3361" s="18">
        <v>24.5</v>
      </c>
      <c r="I3361" s="61">
        <v>1</v>
      </c>
      <c r="J3361" s="131">
        <f>H3361*I3361</f>
        <v>24.5</v>
      </c>
      <c r="K3361" s="322">
        <v>23.36</v>
      </c>
      <c r="L3361" s="39">
        <f>K3361*J3361</f>
        <v>572.31999999999994</v>
      </c>
      <c r="M3361" s="117" t="s">
        <v>323</v>
      </c>
      <c r="N3361" s="33">
        <v>45231</v>
      </c>
      <c r="O3361" s="32">
        <v>5638</v>
      </c>
      <c r="P3361" s="391">
        <f>ROUNDUP(S3361/V3361/VLOOKUP(B3361,$C$2:$F$6,3,FALSE),2)</f>
        <v>18.580000000000002</v>
      </c>
      <c r="Q3361" s="254">
        <v>18.579999999999998</v>
      </c>
      <c r="R3361" s="323">
        <f>Q3361*J3361</f>
        <v>455.21</v>
      </c>
      <c r="S3361" s="273">
        <v>1880</v>
      </c>
      <c r="T3361" s="287">
        <f>S3361*J3361</f>
        <v>46060</v>
      </c>
      <c r="U3361" s="264"/>
      <c r="V3361" s="260">
        <v>115</v>
      </c>
      <c r="W3361" s="1136">
        <f t="shared" si="240"/>
        <v>0.3001786777843955</v>
      </c>
    </row>
    <row r="3362" spans="2:23" ht="15.75">
      <c r="B3362" s="12" t="s">
        <v>302</v>
      </c>
      <c r="C3362" s="6" t="s">
        <v>4621</v>
      </c>
      <c r="D3362" s="14" t="s">
        <v>3067</v>
      </c>
      <c r="E3362" s="221" t="s">
        <v>4622</v>
      </c>
      <c r="F3362" s="133" t="s">
        <v>3061</v>
      </c>
      <c r="G3362" s="396" t="s">
        <v>4625</v>
      </c>
      <c r="H3362" s="18">
        <v>11.5</v>
      </c>
      <c r="I3362" s="61">
        <v>1</v>
      </c>
      <c r="J3362" s="131">
        <f>H3362*I3362</f>
        <v>11.5</v>
      </c>
      <c r="K3362" s="322">
        <v>23.36</v>
      </c>
      <c r="L3362" s="39">
        <f>K3362*J3362</f>
        <v>268.64</v>
      </c>
      <c r="M3362" s="117" t="s">
        <v>323</v>
      </c>
      <c r="N3362" s="33">
        <v>45231</v>
      </c>
      <c r="O3362" s="32">
        <v>5638</v>
      </c>
      <c r="P3362" s="391">
        <f>ROUNDUP(S3362/V3362/VLOOKUP(B3362,$C$2:$F$6,3,FALSE),2)</f>
        <v>18.580000000000002</v>
      </c>
      <c r="Q3362" s="254">
        <v>18.579999999999998</v>
      </c>
      <c r="R3362" s="323">
        <f>Q3362*J3362</f>
        <v>213.67</v>
      </c>
      <c r="S3362" s="273">
        <v>1880</v>
      </c>
      <c r="T3362" s="287">
        <f>S3362*J3362</f>
        <v>21620</v>
      </c>
      <c r="U3362" s="264"/>
      <c r="V3362" s="260">
        <v>115</v>
      </c>
      <c r="W3362" s="1136">
        <f>(((K3362*V3362)-S3362)/(K3362*V3362))</f>
        <v>0.3001786777843955</v>
      </c>
    </row>
    <row r="3363" spans="2:23" s="7" customFormat="1" ht="18" customHeight="1">
      <c r="B3363" s="12"/>
      <c r="C3363" s="6" t="s">
        <v>4621</v>
      </c>
      <c r="D3363" s="14" t="s">
        <v>3067</v>
      </c>
      <c r="E3363" s="22"/>
      <c r="F3363" s="102"/>
      <c r="G3363" s="22" t="s">
        <v>316</v>
      </c>
      <c r="H3363" s="8"/>
      <c r="I3363" s="35"/>
      <c r="J3363" s="38">
        <v>1</v>
      </c>
      <c r="K3363" s="39">
        <v>20</v>
      </c>
      <c r="L3363" s="39">
        <f>K3363*J3363</f>
        <v>20</v>
      </c>
      <c r="M3363" s="91"/>
      <c r="N3363" s="33">
        <v>45231</v>
      </c>
      <c r="O3363" s="32">
        <v>5638</v>
      </c>
      <c r="P3363" s="6" t="s">
        <v>3</v>
      </c>
      <c r="Q3363" s="322">
        <v>20</v>
      </c>
      <c r="R3363" s="323">
        <f>Q3363*J3363</f>
        <v>20</v>
      </c>
      <c r="S3363" s="7">
        <v>0</v>
      </c>
      <c r="T3363" s="7">
        <f>S3363*J3363</f>
        <v>0</v>
      </c>
      <c r="U3363" s="21"/>
      <c r="V3363" s="260">
        <v>120</v>
      </c>
      <c r="W3363" s="1136">
        <f t="shared" si="240"/>
        <v>1</v>
      </c>
    </row>
    <row r="3364" spans="2:23" s="191" customFormat="1" ht="18" customHeight="1">
      <c r="B3364" s="190"/>
      <c r="C3364" s="179" t="s">
        <v>4621</v>
      </c>
      <c r="D3364" s="180" t="s">
        <v>3067</v>
      </c>
      <c r="E3364" s="217"/>
      <c r="F3364" s="182"/>
      <c r="G3364" s="182" t="s">
        <v>250</v>
      </c>
      <c r="H3364" s="184" t="s">
        <v>251</v>
      </c>
      <c r="I3364" s="185"/>
      <c r="J3364" s="183"/>
      <c r="K3364" s="192">
        <v>0</v>
      </c>
      <c r="L3364" s="187"/>
      <c r="M3364" s="187"/>
      <c r="N3364" s="187">
        <v>45231</v>
      </c>
      <c r="O3364" s="186">
        <v>5638</v>
      </c>
      <c r="P3364" s="179"/>
      <c r="Q3364" s="255">
        <v>0</v>
      </c>
      <c r="R3364" s="322">
        <v>0</v>
      </c>
      <c r="S3364" s="275">
        <v>0</v>
      </c>
      <c r="T3364" s="198">
        <v>0</v>
      </c>
      <c r="U3364" s="271"/>
      <c r="V3364" s="260">
        <v>120</v>
      </c>
      <c r="W3364" s="1136" t="e">
        <f>(((K3364*V3364)-S3364)/(K3364*V3364))</f>
        <v>#DIV/0!</v>
      </c>
    </row>
    <row r="3365" spans="2:23" ht="15">
      <c r="C3365" s="6" t="s">
        <v>4623</v>
      </c>
      <c r="D3365" s="14" t="s">
        <v>3067</v>
      </c>
      <c r="E3365" s="19" t="s">
        <v>4626</v>
      </c>
      <c r="F3365" s="107"/>
      <c r="G3365" s="22"/>
      <c r="H3365" s="108"/>
      <c r="I3365" s="109"/>
      <c r="J3365" s="108"/>
      <c r="K3365" s="110" t="s">
        <v>5</v>
      </c>
      <c r="L3365" s="33"/>
      <c r="M3365" s="33"/>
      <c r="N3365" s="33">
        <v>45231</v>
      </c>
      <c r="O3365" s="32">
        <v>5638</v>
      </c>
      <c r="P3365" s="14"/>
      <c r="Q3365" s="254"/>
      <c r="S3365" s="1196"/>
      <c r="T3365" s="92"/>
      <c r="U3365" s="264"/>
      <c r="V3365" s="260">
        <v>120</v>
      </c>
      <c r="W3365" s="1136" t="e">
        <f>(((K3365*V3365)-S3365)/(K3365*V3365))</f>
        <v>#VALUE!</v>
      </c>
    </row>
    <row r="3366" spans="2:23" ht="15.75">
      <c r="B3366" s="12" t="s">
        <v>302</v>
      </c>
      <c r="C3366" s="6" t="s">
        <v>4623</v>
      </c>
      <c r="D3366" s="14" t="s">
        <v>3067</v>
      </c>
      <c r="E3366" s="221" t="s">
        <v>4622</v>
      </c>
      <c r="F3366" s="133" t="s">
        <v>3061</v>
      </c>
      <c r="G3366" s="396" t="s">
        <v>4624</v>
      </c>
      <c r="H3366" s="18">
        <v>44</v>
      </c>
      <c r="I3366" s="61">
        <v>1</v>
      </c>
      <c r="J3366" s="131">
        <f>H3366*I3366</f>
        <v>44</v>
      </c>
      <c r="K3366" s="322">
        <v>23.36</v>
      </c>
      <c r="L3366" s="39">
        <f>K3366*J3366</f>
        <v>1027.8399999999999</v>
      </c>
      <c r="M3366" s="117" t="s">
        <v>323</v>
      </c>
      <c r="N3366" s="33">
        <v>45231</v>
      </c>
      <c r="O3366" s="32">
        <v>5638</v>
      </c>
      <c r="P3366" s="391">
        <f>ROUNDUP(S3366/V3366/VLOOKUP(B3366,$C$2:$F$6,3,FALSE),2)</f>
        <v>18.580000000000002</v>
      </c>
      <c r="Q3366" s="254">
        <v>18.579999999999998</v>
      </c>
      <c r="R3366" s="323">
        <f>Q3366*J3366</f>
        <v>817.52</v>
      </c>
      <c r="S3366" s="273">
        <v>1880</v>
      </c>
      <c r="T3366" s="287">
        <f>S3366*J3366</f>
        <v>82720</v>
      </c>
      <c r="U3366" s="264"/>
      <c r="V3366" s="260">
        <v>115</v>
      </c>
      <c r="W3366" s="1136">
        <f>(((K3366*V3366)-S3366)/(K3366*V3366))</f>
        <v>0.3001786777843955</v>
      </c>
    </row>
    <row r="3367" spans="2:23" s="191" customFormat="1" ht="18" customHeight="1">
      <c r="B3367" s="190"/>
      <c r="C3367" s="179" t="s">
        <v>4623</v>
      </c>
      <c r="D3367" s="180" t="s">
        <v>3067</v>
      </c>
      <c r="E3367" s="217"/>
      <c r="F3367" s="182"/>
      <c r="G3367" s="182" t="s">
        <v>250</v>
      </c>
      <c r="H3367" s="184" t="s">
        <v>251</v>
      </c>
      <c r="I3367" s="185"/>
      <c r="J3367" s="183"/>
      <c r="K3367" s="192">
        <v>0</v>
      </c>
      <c r="L3367" s="187"/>
      <c r="M3367" s="187"/>
      <c r="N3367" s="187">
        <v>45231</v>
      </c>
      <c r="O3367" s="186">
        <v>5638</v>
      </c>
      <c r="P3367" s="179"/>
      <c r="Q3367" s="255">
        <v>0</v>
      </c>
      <c r="R3367" s="322">
        <v>0</v>
      </c>
      <c r="S3367" s="275">
        <v>0</v>
      </c>
      <c r="T3367" s="198">
        <v>0</v>
      </c>
      <c r="U3367" s="271"/>
      <c r="V3367" s="260">
        <v>120</v>
      </c>
      <c r="W3367" s="1136" t="e">
        <f>(((K3367*V3367)-S3367)/(K3367*V3367))</f>
        <v>#DIV/0!</v>
      </c>
    </row>
    <row r="3368" spans="2:23" s="7" customFormat="1" ht="18" customHeight="1">
      <c r="B3368" s="12"/>
      <c r="C3368" s="965" t="s">
        <v>4627</v>
      </c>
      <c r="D3368" s="14" t="s">
        <v>3401</v>
      </c>
      <c r="E3368" s="19" t="s">
        <v>4277</v>
      </c>
      <c r="F3368" s="107"/>
      <c r="G3368" s="22"/>
      <c r="H3368" s="108"/>
      <c r="I3368" s="109"/>
      <c r="J3368" s="108"/>
      <c r="K3368" s="29" t="s">
        <v>5</v>
      </c>
      <c r="L3368" s="39"/>
      <c r="M3368" s="91"/>
      <c r="N3368" s="33">
        <v>45238</v>
      </c>
      <c r="O3368" s="32">
        <v>5659</v>
      </c>
      <c r="P3368" s="14"/>
      <c r="Q3368" s="322"/>
      <c r="U3368" s="14"/>
      <c r="V3368" s="384">
        <v>120</v>
      </c>
    </row>
    <row r="3369" spans="2:23" s="7" customFormat="1" ht="18" customHeight="1">
      <c r="B3369" s="12" t="s">
        <v>302</v>
      </c>
      <c r="C3369" s="965" t="s">
        <v>4627</v>
      </c>
      <c r="D3369" s="14" t="s">
        <v>3401</v>
      </c>
      <c r="E3369" s="22" t="s">
        <v>4629</v>
      </c>
      <c r="F3369" s="107" t="s">
        <v>4628</v>
      </c>
      <c r="G3369" s="396" t="s">
        <v>4630</v>
      </c>
      <c r="H3369" s="108"/>
      <c r="I3369" s="109"/>
      <c r="J3369" s="131">
        <v>5</v>
      </c>
      <c r="K3369" s="39">
        <v>9.8699999999999992</v>
      </c>
      <c r="L3369" s="39">
        <f>K3369*J3369</f>
        <v>49.349999999999994</v>
      </c>
      <c r="M3369" s="117" t="s">
        <v>323</v>
      </c>
      <c r="N3369" s="33">
        <v>45238</v>
      </c>
      <c r="O3369" s="32">
        <v>5659</v>
      </c>
      <c r="P3369" s="391">
        <f>ROUNDUP(S3369/V3369/VLOOKUP(B3369,$C$2:$F$6,3,FALSE),2)</f>
        <v>6.7299999999999995</v>
      </c>
      <c r="Q3369" s="322">
        <v>6.73</v>
      </c>
      <c r="R3369" s="322">
        <f>Q3369*J3369</f>
        <v>33.650000000000006</v>
      </c>
      <c r="S3369" s="7">
        <v>710</v>
      </c>
      <c r="T3369" s="7">
        <f>S3369*J3369</f>
        <v>3550</v>
      </c>
      <c r="U3369" s="21"/>
      <c r="V3369" s="260">
        <v>120</v>
      </c>
      <c r="W3369" s="1136">
        <f t="shared" ref="W3369:W3376" si="241">(((K3369*V3369)-S3369)/(K3369*V3369))</f>
        <v>0.40054035798716642</v>
      </c>
    </row>
    <row r="3370" spans="2:23" s="7" customFormat="1" ht="18" customHeight="1">
      <c r="B3370" s="12"/>
      <c r="C3370" s="965" t="s">
        <v>4627</v>
      </c>
      <c r="D3370" s="14" t="s">
        <v>3401</v>
      </c>
      <c r="E3370" s="22"/>
      <c r="F3370" s="102"/>
      <c r="G3370" s="22" t="s">
        <v>4329</v>
      </c>
      <c r="H3370" s="8"/>
      <c r="I3370" s="35"/>
      <c r="J3370" s="131">
        <v>5</v>
      </c>
      <c r="K3370" s="39">
        <v>3.26</v>
      </c>
      <c r="L3370" s="39">
        <f>K3370*J3370</f>
        <v>16.299999999999997</v>
      </c>
      <c r="M3370" s="91"/>
      <c r="N3370" s="33">
        <v>45238</v>
      </c>
      <c r="O3370" s="32">
        <v>5659</v>
      </c>
      <c r="P3370" s="6" t="s">
        <v>3</v>
      </c>
      <c r="Q3370" s="39">
        <v>3.26</v>
      </c>
      <c r="R3370" s="322">
        <f>Q3370*J3370</f>
        <v>16.299999999999997</v>
      </c>
      <c r="S3370" s="7">
        <v>300</v>
      </c>
      <c r="T3370" s="7">
        <f>S3370*J3370</f>
        <v>1500</v>
      </c>
      <c r="U3370" s="21"/>
      <c r="V3370" s="260">
        <v>120</v>
      </c>
      <c r="W3370" s="1136">
        <f t="shared" si="241"/>
        <v>0.23312883435582821</v>
      </c>
    </row>
    <row r="3371" spans="2:23" s="7" customFormat="1" ht="18" customHeight="1">
      <c r="B3371" s="12"/>
      <c r="C3371" s="965" t="s">
        <v>4627</v>
      </c>
      <c r="D3371" s="14" t="s">
        <v>3401</v>
      </c>
      <c r="E3371" s="22"/>
      <c r="F3371" s="102"/>
      <c r="G3371" s="22" t="s">
        <v>316</v>
      </c>
      <c r="H3371" s="8"/>
      <c r="I3371" s="35"/>
      <c r="J3371" s="38">
        <v>1</v>
      </c>
      <c r="K3371" s="39">
        <v>12</v>
      </c>
      <c r="L3371" s="39">
        <f>K3371*J3371</f>
        <v>12</v>
      </c>
      <c r="M3371" s="91"/>
      <c r="N3371" s="33">
        <v>45238</v>
      </c>
      <c r="O3371" s="32">
        <v>5659</v>
      </c>
      <c r="P3371" s="6" t="s">
        <v>3</v>
      </c>
      <c r="Q3371" s="39">
        <v>12</v>
      </c>
      <c r="R3371" s="322">
        <f>Q3371*J3371</f>
        <v>12</v>
      </c>
      <c r="S3371" s="7">
        <v>0</v>
      </c>
      <c r="T3371" s="7">
        <f>S3371*J3371</f>
        <v>0</v>
      </c>
      <c r="U3371" s="21"/>
      <c r="V3371" s="260">
        <v>120</v>
      </c>
      <c r="W3371" s="1136">
        <f t="shared" si="241"/>
        <v>1</v>
      </c>
    </row>
    <row r="3372" spans="2:23" s="191" customFormat="1" ht="18" customHeight="1">
      <c r="B3372" s="190"/>
      <c r="C3372" s="966" t="s">
        <v>4627</v>
      </c>
      <c r="D3372" s="180" t="s">
        <v>3401</v>
      </c>
      <c r="E3372" s="217"/>
      <c r="F3372" s="182"/>
      <c r="G3372" s="182" t="s">
        <v>250</v>
      </c>
      <c r="H3372" s="184" t="s">
        <v>374</v>
      </c>
      <c r="I3372" s="185"/>
      <c r="J3372" s="183"/>
      <c r="K3372" s="192">
        <v>25</v>
      </c>
      <c r="L3372" s="192">
        <v>25</v>
      </c>
      <c r="M3372" s="187"/>
      <c r="N3372" s="187">
        <v>45238</v>
      </c>
      <c r="O3372" s="186">
        <v>5659</v>
      </c>
      <c r="P3372" s="179"/>
      <c r="Q3372" s="192">
        <v>25</v>
      </c>
      <c r="R3372" s="192">
        <v>25</v>
      </c>
      <c r="S3372" s="197">
        <v>2354</v>
      </c>
      <c r="T3372" s="197">
        <v>2354</v>
      </c>
      <c r="U3372" s="335"/>
      <c r="V3372" s="260">
        <v>120</v>
      </c>
      <c r="W3372" s="1136">
        <f t="shared" si="241"/>
        <v>0.21533333333333332</v>
      </c>
    </row>
    <row r="3373" spans="2:23" s="7" customFormat="1" ht="18" customHeight="1">
      <c r="B3373" s="12"/>
      <c r="C3373" s="6" t="s">
        <v>4632</v>
      </c>
      <c r="D3373" s="14" t="s">
        <v>2116</v>
      </c>
      <c r="E3373" s="19" t="s">
        <v>361</v>
      </c>
      <c r="F3373" s="22"/>
      <c r="G3373" s="37"/>
      <c r="H3373" s="108"/>
      <c r="I3373" s="108"/>
      <c r="J3373" s="108"/>
      <c r="K3373" s="110" t="s">
        <v>5</v>
      </c>
      <c r="L3373" s="33"/>
      <c r="M3373" s="33"/>
      <c r="N3373" s="33">
        <v>45240</v>
      </c>
      <c r="O3373" s="32">
        <v>5667</v>
      </c>
      <c r="P3373" s="6"/>
      <c r="Q3373" s="223"/>
      <c r="S3373" s="257"/>
      <c r="T3373" s="92"/>
      <c r="U3373" s="266"/>
      <c r="V3373" s="260">
        <v>120</v>
      </c>
    </row>
    <row r="3374" spans="2:23" s="7" customFormat="1" ht="15.95" customHeight="1">
      <c r="B3374" s="12" t="s">
        <v>300</v>
      </c>
      <c r="C3374" s="6" t="s">
        <v>4632</v>
      </c>
      <c r="D3374" s="14" t="s">
        <v>2116</v>
      </c>
      <c r="E3374" s="22">
        <v>12720</v>
      </c>
      <c r="F3374" s="37">
        <v>9</v>
      </c>
      <c r="G3374" s="37" t="s">
        <v>4631</v>
      </c>
      <c r="H3374" s="60">
        <v>10</v>
      </c>
      <c r="I3374" s="61">
        <v>1</v>
      </c>
      <c r="J3374" s="60">
        <f>H3374*I3374</f>
        <v>10</v>
      </c>
      <c r="K3374" s="39">
        <v>0.97</v>
      </c>
      <c r="L3374" s="39">
        <f>K3374*J3374</f>
        <v>9.6999999999999993</v>
      </c>
      <c r="M3374" s="117" t="s">
        <v>323</v>
      </c>
      <c r="N3374" s="33">
        <v>45240</v>
      </c>
      <c r="O3374" s="32">
        <v>5667</v>
      </c>
      <c r="P3374" s="391">
        <f>ROUNDUP(S3374/V3374/VLOOKUP(B3374,$C$2:$F$6,3,FALSE),2)</f>
        <v>0.62</v>
      </c>
      <c r="Q3374" s="254">
        <v>0.62</v>
      </c>
      <c r="R3374" s="323">
        <f>Q3374*J3374</f>
        <v>6.2</v>
      </c>
      <c r="S3374" s="257">
        <v>52</v>
      </c>
      <c r="T3374" s="92">
        <f>S3374*J3374</f>
        <v>520</v>
      </c>
      <c r="U3374" s="376"/>
      <c r="V3374" s="260">
        <v>120</v>
      </c>
      <c r="W3374" s="1136">
        <f t="shared" si="241"/>
        <v>0.55326460481099649</v>
      </c>
    </row>
    <row r="3375" spans="2:23" s="7" customFormat="1" ht="15.95" customHeight="1">
      <c r="B3375" s="12" t="s">
        <v>300</v>
      </c>
      <c r="C3375" s="6" t="s">
        <v>4632</v>
      </c>
      <c r="D3375" s="14" t="s">
        <v>2116</v>
      </c>
      <c r="E3375" s="22">
        <v>12720</v>
      </c>
      <c r="F3375" s="37">
        <v>9</v>
      </c>
      <c r="G3375" s="37" t="s">
        <v>177</v>
      </c>
      <c r="H3375" s="60">
        <v>10</v>
      </c>
      <c r="I3375" s="61">
        <v>1</v>
      </c>
      <c r="J3375" s="60">
        <f>H3375*I3375</f>
        <v>10</v>
      </c>
      <c r="K3375" s="39">
        <v>0.97</v>
      </c>
      <c r="L3375" s="39">
        <f>K3375*J3375</f>
        <v>9.6999999999999993</v>
      </c>
      <c r="M3375" s="117" t="s">
        <v>323</v>
      </c>
      <c r="N3375" s="33">
        <v>45240</v>
      </c>
      <c r="O3375" s="32">
        <v>5667</v>
      </c>
      <c r="P3375" s="391">
        <f>ROUNDUP(S3375/V3375/VLOOKUP(B3375,$C$2:$F$6,3,FALSE),2)</f>
        <v>0.62</v>
      </c>
      <c r="Q3375" s="254">
        <v>0.62</v>
      </c>
      <c r="R3375" s="323">
        <f>Q3375*J3375</f>
        <v>6.2</v>
      </c>
      <c r="S3375" s="257">
        <v>52</v>
      </c>
      <c r="T3375" s="92">
        <f>S3375*J3375</f>
        <v>520</v>
      </c>
      <c r="U3375" s="376"/>
      <c r="V3375" s="260">
        <v>120</v>
      </c>
      <c r="W3375" s="1136">
        <f>(((K3375*V3375)-S3375)/(K3375*V3375))</f>
        <v>0.55326460481099649</v>
      </c>
    </row>
    <row r="3376" spans="2:23" s="191" customFormat="1" ht="15">
      <c r="B3376" s="190"/>
      <c r="C3376" s="179" t="s">
        <v>4632</v>
      </c>
      <c r="D3376" s="180" t="s">
        <v>2116</v>
      </c>
      <c r="E3376" s="181"/>
      <c r="F3376" s="182"/>
      <c r="G3376" s="182" t="s">
        <v>250</v>
      </c>
      <c r="H3376" s="184" t="s">
        <v>374</v>
      </c>
      <c r="I3376" s="185"/>
      <c r="J3376" s="183"/>
      <c r="K3376" s="192">
        <v>24</v>
      </c>
      <c r="L3376" s="192">
        <v>24</v>
      </c>
      <c r="M3376" s="187"/>
      <c r="N3376" s="187">
        <v>45240</v>
      </c>
      <c r="O3376" s="186">
        <v>5667</v>
      </c>
      <c r="P3376" s="179"/>
      <c r="Q3376" s="192">
        <v>24</v>
      </c>
      <c r="R3376" s="192">
        <v>24</v>
      </c>
      <c r="S3376" s="257">
        <v>2663</v>
      </c>
      <c r="T3376" s="257">
        <v>2663</v>
      </c>
      <c r="U3376" s="271"/>
      <c r="V3376" s="260">
        <v>120</v>
      </c>
      <c r="W3376" s="1136">
        <f t="shared" si="241"/>
        <v>7.5347222222222218E-2</v>
      </c>
    </row>
    <row r="3377" spans="2:23" s="7" customFormat="1" ht="18" customHeight="1">
      <c r="B3377" s="12"/>
      <c r="C3377" s="965" t="s">
        <v>4655</v>
      </c>
      <c r="D3377" s="14" t="s">
        <v>3112</v>
      </c>
      <c r="E3377" s="19" t="s">
        <v>4639</v>
      </c>
      <c r="F3377" s="107"/>
      <c r="G3377" s="22"/>
      <c r="H3377" s="108"/>
      <c r="I3377" s="109"/>
      <c r="J3377" s="108"/>
      <c r="K3377" s="29" t="s">
        <v>5</v>
      </c>
      <c r="L3377" s="39"/>
      <c r="M3377" s="91"/>
      <c r="N3377" s="33">
        <v>45250</v>
      </c>
      <c r="O3377" s="32">
        <v>5676</v>
      </c>
      <c r="P3377" s="14"/>
      <c r="Q3377" s="322"/>
      <c r="U3377" s="14"/>
      <c r="V3377" s="384">
        <v>120</v>
      </c>
    </row>
    <row r="3378" spans="2:23" s="7" customFormat="1" ht="18" customHeight="1">
      <c r="B3378" s="12" t="s">
        <v>302</v>
      </c>
      <c r="C3378" s="965" t="s">
        <v>4655</v>
      </c>
      <c r="D3378" s="14" t="s">
        <v>3112</v>
      </c>
      <c r="E3378" s="22" t="s">
        <v>4633</v>
      </c>
      <c r="F3378" s="107">
        <v>145</v>
      </c>
      <c r="G3378" s="396" t="s">
        <v>4634</v>
      </c>
      <c r="H3378" s="18">
        <v>14.9</v>
      </c>
      <c r="I3378" s="61">
        <v>1</v>
      </c>
      <c r="J3378" s="18">
        <f>H3378*I3378</f>
        <v>14.9</v>
      </c>
      <c r="K3378" s="39">
        <v>9.8699999999999992</v>
      </c>
      <c r="L3378" s="39">
        <f>K3378*J3378</f>
        <v>147.06299999999999</v>
      </c>
      <c r="M3378" s="117" t="s">
        <v>323</v>
      </c>
      <c r="N3378" s="33">
        <v>45250</v>
      </c>
      <c r="O3378" s="32">
        <v>5676</v>
      </c>
      <c r="P3378" s="391">
        <f>ROUNDUP(S3378/V3378/VLOOKUP(B3378,$C$2:$F$6,3,FALSE),2)</f>
        <v>6.7299999999999995</v>
      </c>
      <c r="Q3378" s="322">
        <v>6.73</v>
      </c>
      <c r="R3378" s="322">
        <f>Q3378*J3378</f>
        <v>100.27700000000002</v>
      </c>
      <c r="S3378" s="7">
        <v>710</v>
      </c>
      <c r="T3378" s="7">
        <f>S3378*J3378</f>
        <v>10579</v>
      </c>
      <c r="U3378" s="21"/>
      <c r="V3378" s="260">
        <v>120</v>
      </c>
      <c r="W3378" s="1136">
        <f>(((K3378*V3378)-S3378)/(K3378*V3378))</f>
        <v>0.40054035798716642</v>
      </c>
    </row>
    <row r="3379" spans="2:23" s="7" customFormat="1" ht="18" customHeight="1">
      <c r="B3379" s="12" t="s">
        <v>302</v>
      </c>
      <c r="C3379" s="965" t="s">
        <v>4655</v>
      </c>
      <c r="D3379" s="14" t="s">
        <v>3112</v>
      </c>
      <c r="E3379" s="22" t="s">
        <v>4633</v>
      </c>
      <c r="F3379" s="107">
        <v>145</v>
      </c>
      <c r="G3379" s="396" t="s">
        <v>4635</v>
      </c>
      <c r="H3379" s="60">
        <v>10</v>
      </c>
      <c r="I3379" s="61">
        <v>1</v>
      </c>
      <c r="J3379" s="60">
        <f>H3379*I3379</f>
        <v>10</v>
      </c>
      <c r="K3379" s="39">
        <v>9.8699999999999992</v>
      </c>
      <c r="L3379" s="39">
        <f>K3379*J3379</f>
        <v>98.699999999999989</v>
      </c>
      <c r="M3379" s="117" t="s">
        <v>323</v>
      </c>
      <c r="N3379" s="33">
        <v>45250</v>
      </c>
      <c r="O3379" s="32">
        <v>5676</v>
      </c>
      <c r="P3379" s="391">
        <f>ROUNDUP(S3379/V3379/VLOOKUP(B3379,$C$2:$F$6,3,FALSE),2)</f>
        <v>6.7299999999999995</v>
      </c>
      <c r="Q3379" s="322">
        <v>6.73</v>
      </c>
      <c r="R3379" s="322">
        <f>Q3379*J3379</f>
        <v>67.300000000000011</v>
      </c>
      <c r="S3379" s="7">
        <v>710</v>
      </c>
      <c r="T3379" s="7">
        <f>S3379*J3379</f>
        <v>7100</v>
      </c>
      <c r="U3379" s="21"/>
      <c r="V3379" s="260">
        <v>120</v>
      </c>
      <c r="W3379" s="1136">
        <f>(((K3379*V3379)-S3379)/(K3379*V3379))</f>
        <v>0.40054035798716642</v>
      </c>
    </row>
    <row r="3380" spans="2:23" s="7" customFormat="1" ht="18" customHeight="1">
      <c r="B3380" s="12" t="s">
        <v>302</v>
      </c>
      <c r="C3380" s="965" t="s">
        <v>4655</v>
      </c>
      <c r="D3380" s="14" t="s">
        <v>3112</v>
      </c>
      <c r="E3380" s="22" t="s">
        <v>4633</v>
      </c>
      <c r="F3380" s="107">
        <v>145</v>
      </c>
      <c r="G3380" s="396" t="s">
        <v>4636</v>
      </c>
      <c r="H3380" s="60">
        <v>10</v>
      </c>
      <c r="I3380" s="61">
        <v>1</v>
      </c>
      <c r="J3380" s="60">
        <f>H3380*I3380</f>
        <v>10</v>
      </c>
      <c r="K3380" s="39">
        <v>9.8699999999999992</v>
      </c>
      <c r="L3380" s="39">
        <f>K3380*J3380</f>
        <v>98.699999999999989</v>
      </c>
      <c r="M3380" s="117" t="s">
        <v>323</v>
      </c>
      <c r="N3380" s="33">
        <v>45250</v>
      </c>
      <c r="O3380" s="32">
        <v>5676</v>
      </c>
      <c r="P3380" s="391">
        <f>ROUNDUP(S3380/V3380/VLOOKUP(B3380,$C$2:$F$6,3,FALSE),2)</f>
        <v>6.7299999999999995</v>
      </c>
      <c r="Q3380" s="322">
        <v>6.73</v>
      </c>
      <c r="R3380" s="322">
        <f>Q3380*J3380</f>
        <v>67.300000000000011</v>
      </c>
      <c r="S3380" s="7">
        <v>710</v>
      </c>
      <c r="T3380" s="7">
        <f>S3380*J3380</f>
        <v>7100</v>
      </c>
      <c r="U3380" s="21"/>
      <c r="V3380" s="260">
        <v>120</v>
      </c>
      <c r="W3380" s="1136">
        <f>(((K3380*V3380)-S3380)/(K3380*V3380))</f>
        <v>0.40054035798716642</v>
      </c>
    </row>
    <row r="3381" spans="2:23" s="7" customFormat="1" ht="18" customHeight="1">
      <c r="B3381" s="12" t="s">
        <v>302</v>
      </c>
      <c r="C3381" s="965" t="s">
        <v>4654</v>
      </c>
      <c r="D3381" s="14" t="s">
        <v>3112</v>
      </c>
      <c r="E3381" s="22" t="s">
        <v>4633</v>
      </c>
      <c r="F3381" s="107">
        <v>145</v>
      </c>
      <c r="G3381" s="396" t="s">
        <v>4637</v>
      </c>
      <c r="H3381" s="60">
        <v>10</v>
      </c>
      <c r="I3381" s="61">
        <v>1</v>
      </c>
      <c r="J3381" s="60">
        <f>H3381*I3381</f>
        <v>10</v>
      </c>
      <c r="K3381" s="39">
        <v>9.8699999999999992</v>
      </c>
      <c r="L3381" s="39">
        <f>K3381*J3381</f>
        <v>98.699999999999989</v>
      </c>
      <c r="M3381" s="117" t="s">
        <v>323</v>
      </c>
      <c r="N3381" s="33">
        <v>45250</v>
      </c>
      <c r="O3381" s="32">
        <v>5676</v>
      </c>
      <c r="P3381" s="391">
        <f>ROUNDUP(S3381/V3381/VLOOKUP(B3381,$C$2:$F$6,3,FALSE),2)</f>
        <v>6.7299999999999995</v>
      </c>
      <c r="Q3381" s="322">
        <v>6.73</v>
      </c>
      <c r="R3381" s="322">
        <f>Q3381*J3381</f>
        <v>67.300000000000011</v>
      </c>
      <c r="S3381" s="7">
        <v>710</v>
      </c>
      <c r="T3381" s="7">
        <f>S3381*J3381</f>
        <v>7100</v>
      </c>
      <c r="U3381" s="21"/>
      <c r="V3381" s="260">
        <v>120</v>
      </c>
      <c r="W3381" s="1136">
        <f>(((K3381*V3381)-S3381)/(K3381*V3381))</f>
        <v>0.40054035798716642</v>
      </c>
    </row>
    <row r="3382" spans="2:23" s="7" customFormat="1" ht="18" customHeight="1">
      <c r="B3382" s="12"/>
      <c r="C3382" s="965" t="s">
        <v>4654</v>
      </c>
      <c r="D3382" s="14" t="s">
        <v>3112</v>
      </c>
      <c r="E3382" s="22"/>
      <c r="F3382" s="102"/>
      <c r="G3382" s="22" t="s">
        <v>4329</v>
      </c>
      <c r="H3382" s="8"/>
      <c r="I3382" s="35"/>
      <c r="J3382" s="8">
        <v>30</v>
      </c>
      <c r="K3382" s="39">
        <v>4.17</v>
      </c>
      <c r="L3382" s="39">
        <f>K3382*J3382</f>
        <v>125.1</v>
      </c>
      <c r="M3382" s="91"/>
      <c r="N3382" s="33">
        <v>45250</v>
      </c>
      <c r="O3382" s="32">
        <v>5676</v>
      </c>
      <c r="P3382" s="6" t="s">
        <v>3</v>
      </c>
      <c r="Q3382" s="39">
        <v>4.17</v>
      </c>
      <c r="R3382" s="322">
        <f>Q3382*J3382</f>
        <v>125.1</v>
      </c>
      <c r="S3382" s="7">
        <v>400</v>
      </c>
      <c r="T3382" s="7">
        <f>S3382*J3382</f>
        <v>12000</v>
      </c>
      <c r="U3382" s="21"/>
      <c r="V3382" s="260">
        <v>120</v>
      </c>
      <c r="W3382" s="1136">
        <f>(((K3382*V3382)-S3382)/(K3382*V3382))</f>
        <v>0.20063948840927254</v>
      </c>
    </row>
    <row r="3383" spans="2:23" s="7" customFormat="1" ht="18" customHeight="1">
      <c r="B3383" s="12"/>
      <c r="C3383" s="965" t="s">
        <v>4654</v>
      </c>
      <c r="D3383" s="14" t="s">
        <v>3112</v>
      </c>
      <c r="E3383" s="19" t="s">
        <v>4638</v>
      </c>
      <c r="F3383" s="107"/>
      <c r="G3383" s="22"/>
      <c r="H3383" s="108"/>
      <c r="I3383" s="109"/>
      <c r="J3383" s="108"/>
      <c r="K3383" s="29" t="s">
        <v>5</v>
      </c>
      <c r="L3383" s="39"/>
      <c r="M3383" s="91"/>
      <c r="N3383" s="33">
        <v>45250</v>
      </c>
      <c r="O3383" s="32">
        <v>5676</v>
      </c>
      <c r="P3383" s="14"/>
      <c r="Q3383" s="322"/>
      <c r="U3383" s="14"/>
      <c r="V3383" s="384">
        <v>120</v>
      </c>
    </row>
    <row r="3384" spans="2:23" s="7" customFormat="1" ht="18" customHeight="1">
      <c r="B3384" s="12" t="s">
        <v>302</v>
      </c>
      <c r="C3384" s="965" t="s">
        <v>4654</v>
      </c>
      <c r="D3384" s="14" t="s">
        <v>3112</v>
      </c>
      <c r="E3384" s="22" t="s">
        <v>4640</v>
      </c>
      <c r="F3384" s="133" t="s">
        <v>4641</v>
      </c>
      <c r="G3384" s="396" t="s">
        <v>4634</v>
      </c>
      <c r="H3384" s="60">
        <v>10</v>
      </c>
      <c r="I3384" s="61">
        <v>1</v>
      </c>
      <c r="J3384" s="60">
        <f>H3384*I3384</f>
        <v>10</v>
      </c>
      <c r="K3384" s="39">
        <v>9.59</v>
      </c>
      <c r="L3384" s="39">
        <f>K3384*J3384</f>
        <v>95.9</v>
      </c>
      <c r="M3384" s="117" t="s">
        <v>323</v>
      </c>
      <c r="N3384" s="33">
        <v>45250</v>
      </c>
      <c r="O3384" s="32">
        <v>5676</v>
      </c>
      <c r="P3384" s="391">
        <f>ROUNDUP(S3384/V3384/VLOOKUP(B3384,$C$2:$F$6,3,FALSE),2)</f>
        <v>6.54</v>
      </c>
      <c r="Q3384" s="322">
        <v>6.54</v>
      </c>
      <c r="R3384" s="322">
        <f>Q3384*J3384</f>
        <v>65.400000000000006</v>
      </c>
      <c r="S3384" s="7">
        <v>690</v>
      </c>
      <c r="T3384" s="7">
        <f>S3384*J3384</f>
        <v>6900</v>
      </c>
      <c r="U3384" s="21"/>
      <c r="V3384" s="260">
        <v>120</v>
      </c>
      <c r="W3384" s="1136">
        <f>(((K3384*V3384)-S3384)/(K3384*V3384))</f>
        <v>0.40041710114702811</v>
      </c>
    </row>
    <row r="3385" spans="2:23" s="7" customFormat="1" ht="18" customHeight="1">
      <c r="B3385" s="12" t="s">
        <v>302</v>
      </c>
      <c r="C3385" s="965" t="s">
        <v>4654</v>
      </c>
      <c r="D3385" s="14" t="s">
        <v>3112</v>
      </c>
      <c r="E3385" s="22" t="s">
        <v>4640</v>
      </c>
      <c r="F3385" s="133" t="s">
        <v>4641</v>
      </c>
      <c r="G3385" s="396" t="s">
        <v>4642</v>
      </c>
      <c r="H3385" s="60">
        <v>10</v>
      </c>
      <c r="I3385" s="61">
        <v>1</v>
      </c>
      <c r="J3385" s="60">
        <f>H3385*I3385</f>
        <v>10</v>
      </c>
      <c r="K3385" s="39">
        <v>9.59</v>
      </c>
      <c r="L3385" s="39">
        <f>K3385*J3385</f>
        <v>95.9</v>
      </c>
      <c r="M3385" s="117" t="s">
        <v>323</v>
      </c>
      <c r="N3385" s="33">
        <v>45250</v>
      </c>
      <c r="O3385" s="32">
        <v>5676</v>
      </c>
      <c r="P3385" s="391">
        <f>ROUNDUP(S3385/V3385/VLOOKUP(B3385,$C$2:$F$6,3,FALSE),2)</f>
        <v>6.54</v>
      </c>
      <c r="Q3385" s="322">
        <v>6.54</v>
      </c>
      <c r="R3385" s="322">
        <f>Q3385*J3385</f>
        <v>65.400000000000006</v>
      </c>
      <c r="S3385" s="7">
        <v>690</v>
      </c>
      <c r="T3385" s="7">
        <f>S3385*J3385</f>
        <v>6900</v>
      </c>
      <c r="U3385" s="21"/>
      <c r="V3385" s="260">
        <v>120</v>
      </c>
      <c r="W3385" s="1136">
        <f>(((K3385*V3385)-S3385)/(K3385*V3385))</f>
        <v>0.40041710114702811</v>
      </c>
    </row>
    <row r="3386" spans="2:23" s="7" customFormat="1" ht="18" customHeight="1">
      <c r="B3386" s="12" t="s">
        <v>302</v>
      </c>
      <c r="C3386" s="965" t="s">
        <v>4654</v>
      </c>
      <c r="D3386" s="14" t="s">
        <v>3112</v>
      </c>
      <c r="E3386" s="22" t="s">
        <v>4640</v>
      </c>
      <c r="F3386" s="133" t="s">
        <v>4641</v>
      </c>
      <c r="G3386" s="396" t="s">
        <v>4637</v>
      </c>
      <c r="H3386" s="60">
        <v>10</v>
      </c>
      <c r="I3386" s="61">
        <v>1</v>
      </c>
      <c r="J3386" s="60">
        <f>H3386*I3386</f>
        <v>10</v>
      </c>
      <c r="K3386" s="39">
        <v>9.59</v>
      </c>
      <c r="L3386" s="39">
        <f>K3386*J3386</f>
        <v>95.9</v>
      </c>
      <c r="M3386" s="117" t="s">
        <v>323</v>
      </c>
      <c r="N3386" s="33">
        <v>45250</v>
      </c>
      <c r="O3386" s="32">
        <v>5676</v>
      </c>
      <c r="P3386" s="391">
        <f>ROUNDUP(S3386/V3386/VLOOKUP(B3386,$C$2:$F$6,3,FALSE),2)</f>
        <v>6.54</v>
      </c>
      <c r="Q3386" s="322">
        <v>6.54</v>
      </c>
      <c r="R3386" s="322">
        <f>Q3386*J3386</f>
        <v>65.400000000000006</v>
      </c>
      <c r="S3386" s="7">
        <v>690</v>
      </c>
      <c r="T3386" s="7">
        <f>S3386*J3386</f>
        <v>6900</v>
      </c>
      <c r="U3386" s="21"/>
      <c r="V3386" s="260">
        <v>120</v>
      </c>
      <c r="W3386" s="1136">
        <f>(((K3386*V3386)-S3386)/(K3386*V3386))</f>
        <v>0.40041710114702811</v>
      </c>
    </row>
    <row r="3387" spans="2:23" s="7" customFormat="1" ht="18" customHeight="1">
      <c r="B3387" s="12" t="s">
        <v>302</v>
      </c>
      <c r="C3387" s="965" t="s">
        <v>4654</v>
      </c>
      <c r="D3387" s="14" t="s">
        <v>3112</v>
      </c>
      <c r="E3387" s="22" t="s">
        <v>4640</v>
      </c>
      <c r="F3387" s="133" t="s">
        <v>4641</v>
      </c>
      <c r="G3387" s="396" t="s">
        <v>4635</v>
      </c>
      <c r="H3387" s="60">
        <v>10</v>
      </c>
      <c r="I3387" s="61">
        <v>1</v>
      </c>
      <c r="J3387" s="60">
        <f>H3387*I3387</f>
        <v>10</v>
      </c>
      <c r="K3387" s="39">
        <v>9.59</v>
      </c>
      <c r="L3387" s="39">
        <f>K3387*J3387</f>
        <v>95.9</v>
      </c>
      <c r="M3387" s="117" t="s">
        <v>323</v>
      </c>
      <c r="N3387" s="33">
        <v>45250</v>
      </c>
      <c r="O3387" s="32">
        <v>5676</v>
      </c>
      <c r="P3387" s="391">
        <f>ROUNDUP(S3387/V3387/VLOOKUP(B3387,$C$2:$F$6,3,FALSE),2)</f>
        <v>6.54</v>
      </c>
      <c r="Q3387" s="322">
        <v>6.54</v>
      </c>
      <c r="R3387" s="322">
        <f>Q3387*J3387</f>
        <v>65.400000000000006</v>
      </c>
      <c r="S3387" s="7">
        <v>690</v>
      </c>
      <c r="T3387" s="7">
        <f>S3387*J3387</f>
        <v>6900</v>
      </c>
      <c r="U3387" s="21"/>
      <c r="V3387" s="260">
        <v>120</v>
      </c>
      <c r="W3387" s="1136">
        <f>(((K3387*V3387)-S3387)/(K3387*V3387))</f>
        <v>0.40041710114702811</v>
      </c>
    </row>
    <row r="3388" spans="2:23" s="7" customFormat="1" ht="18" customHeight="1">
      <c r="B3388" s="12"/>
      <c r="C3388" s="965" t="s">
        <v>4654</v>
      </c>
      <c r="D3388" s="14" t="s">
        <v>3112</v>
      </c>
      <c r="E3388" s="22"/>
      <c r="F3388" s="102"/>
      <c r="G3388" s="22" t="s">
        <v>4329</v>
      </c>
      <c r="H3388" s="8"/>
      <c r="I3388" s="35"/>
      <c r="J3388" s="131">
        <v>40</v>
      </c>
      <c r="K3388" s="39">
        <v>4.17</v>
      </c>
      <c r="L3388" s="39">
        <f>K3388*J3388</f>
        <v>166.8</v>
      </c>
      <c r="M3388" s="91"/>
      <c r="N3388" s="33">
        <v>45250</v>
      </c>
      <c r="O3388" s="32">
        <v>5676</v>
      </c>
      <c r="P3388" s="6" t="s">
        <v>3</v>
      </c>
      <c r="Q3388" s="39">
        <v>4.17</v>
      </c>
      <c r="R3388" s="322">
        <f>Q3388*J3388</f>
        <v>166.8</v>
      </c>
      <c r="S3388" s="7">
        <v>400</v>
      </c>
      <c r="T3388" s="7">
        <f>S3388*J3388</f>
        <v>16000</v>
      </c>
      <c r="U3388" s="21"/>
      <c r="V3388" s="260">
        <v>120</v>
      </c>
      <c r="W3388" s="1136">
        <f>(((K3388*V3388)-S3388)/(K3388*V3388))</f>
        <v>0.20063948840927254</v>
      </c>
    </row>
    <row r="3389" spans="2:23" ht="18" customHeight="1">
      <c r="C3389" s="965" t="s">
        <v>4654</v>
      </c>
      <c r="D3389" s="14" t="s">
        <v>3112</v>
      </c>
      <c r="E3389" s="19" t="s">
        <v>4643</v>
      </c>
      <c r="F3389" s="107"/>
      <c r="G3389" s="22"/>
      <c r="H3389" s="108"/>
      <c r="I3389" s="109"/>
      <c r="J3389" s="108"/>
      <c r="K3389" s="29" t="s">
        <v>5</v>
      </c>
      <c r="L3389" s="33"/>
      <c r="M3389" s="33"/>
      <c r="N3389" s="33">
        <v>45250</v>
      </c>
      <c r="O3389" s="32">
        <v>5676</v>
      </c>
      <c r="P3389" s="14"/>
      <c r="Q3389" s="254"/>
      <c r="R3389" s="7"/>
      <c r="S3389" s="257"/>
      <c r="T3389" s="92"/>
      <c r="U3389" s="268"/>
      <c r="V3389" s="260">
        <v>120</v>
      </c>
    </row>
    <row r="3390" spans="2:23" ht="18" customHeight="1">
      <c r="B3390" s="12" t="s">
        <v>302</v>
      </c>
      <c r="C3390" s="965" t="s">
        <v>4654</v>
      </c>
      <c r="D3390" s="14" t="s">
        <v>3112</v>
      </c>
      <c r="E3390" s="22" t="s">
        <v>4282</v>
      </c>
      <c r="F3390" s="107">
        <v>152</v>
      </c>
      <c r="G3390" s="22" t="s">
        <v>4644</v>
      </c>
      <c r="H3390" s="108">
        <v>10</v>
      </c>
      <c r="I3390" s="109">
        <v>1</v>
      </c>
      <c r="J3390" s="8">
        <f>H3390*I3390</f>
        <v>10</v>
      </c>
      <c r="K3390" s="39">
        <v>5.28</v>
      </c>
      <c r="L3390" s="39">
        <f>K3390*J3390</f>
        <v>52.800000000000004</v>
      </c>
      <c r="M3390" s="117" t="s">
        <v>323</v>
      </c>
      <c r="N3390" s="33">
        <v>45250</v>
      </c>
      <c r="O3390" s="32">
        <v>5676</v>
      </c>
      <c r="P3390" s="391">
        <f>ROUNDUP(S3390/V3390/VLOOKUP(B3390,$C$2:$F$6,3,FALSE),2)</f>
        <v>3.5999999999999996</v>
      </c>
      <c r="Q3390" s="322">
        <v>3.6</v>
      </c>
      <c r="R3390" s="322">
        <f>Q3390*J3390</f>
        <v>36</v>
      </c>
      <c r="S3390" s="7">
        <v>380</v>
      </c>
      <c r="T3390" s="7">
        <f>S3390*J3390</f>
        <v>3800</v>
      </c>
      <c r="U3390" s="21"/>
      <c r="V3390" s="260">
        <v>120</v>
      </c>
      <c r="W3390" s="1136">
        <f>(((K3390*V3390)-S3390)/(K3390*V3390))</f>
        <v>0.40025252525252525</v>
      </c>
    </row>
    <row r="3391" spans="2:23" s="7" customFormat="1" ht="18" customHeight="1">
      <c r="B3391" s="12"/>
      <c r="C3391" s="965" t="s">
        <v>4654</v>
      </c>
      <c r="D3391" s="14" t="s">
        <v>3112</v>
      </c>
      <c r="E3391" s="22"/>
      <c r="F3391" s="102"/>
      <c r="G3391" s="22" t="s">
        <v>4329</v>
      </c>
      <c r="H3391" s="8"/>
      <c r="I3391" s="35"/>
      <c r="J3391" s="38">
        <v>1</v>
      </c>
      <c r="K3391" s="39">
        <v>15</v>
      </c>
      <c r="L3391" s="39">
        <f>K3391*J3391</f>
        <v>15</v>
      </c>
      <c r="M3391" s="91"/>
      <c r="N3391" s="33">
        <v>45250</v>
      </c>
      <c r="O3391" s="32">
        <v>5676</v>
      </c>
      <c r="P3391" s="6" t="s">
        <v>3</v>
      </c>
      <c r="Q3391" s="39">
        <v>15</v>
      </c>
      <c r="R3391" s="322">
        <f>Q3391*J3391</f>
        <v>15</v>
      </c>
      <c r="S3391" s="7">
        <v>1000</v>
      </c>
      <c r="T3391" s="7">
        <f>S3391*J3391</f>
        <v>1000</v>
      </c>
      <c r="U3391" s="21"/>
      <c r="V3391" s="260">
        <v>120</v>
      </c>
      <c r="W3391" s="1136">
        <f>(((K3391*V3391)-S3391)/(K3391*V3391))</f>
        <v>0.44444444444444442</v>
      </c>
    </row>
    <row r="3392" spans="2:23" s="7" customFormat="1" ht="18" customHeight="1">
      <c r="B3392" s="12"/>
      <c r="C3392" s="965" t="s">
        <v>4654</v>
      </c>
      <c r="D3392" s="14" t="s">
        <v>3112</v>
      </c>
      <c r="E3392" s="19" t="s">
        <v>4645</v>
      </c>
      <c r="F3392" s="22"/>
      <c r="G3392" s="37"/>
      <c r="H3392" s="108"/>
      <c r="I3392" s="108"/>
      <c r="J3392" s="108"/>
      <c r="K3392" s="110" t="s">
        <v>5</v>
      </c>
      <c r="L3392" s="33"/>
      <c r="M3392" s="33"/>
      <c r="N3392" s="33">
        <v>45250</v>
      </c>
      <c r="O3392" s="32">
        <v>5676</v>
      </c>
      <c r="P3392" s="6"/>
      <c r="Q3392" s="223"/>
      <c r="S3392" s="1174" t="s">
        <v>330</v>
      </c>
      <c r="T3392" s="92"/>
      <c r="U3392" s="266"/>
      <c r="V3392" s="260">
        <v>120</v>
      </c>
    </row>
    <row r="3393" spans="1:23" s="7" customFormat="1" ht="15.95" customHeight="1">
      <c r="B3393" s="12" t="s">
        <v>300</v>
      </c>
      <c r="C3393" s="965" t="s">
        <v>4654</v>
      </c>
      <c r="D3393" s="14" t="s">
        <v>3112</v>
      </c>
      <c r="E3393" s="22">
        <v>3703</v>
      </c>
      <c r="F3393" s="37">
        <v>9</v>
      </c>
      <c r="G3393" s="37" t="s">
        <v>350</v>
      </c>
      <c r="H3393" s="60">
        <v>30</v>
      </c>
      <c r="I3393" s="61">
        <v>1</v>
      </c>
      <c r="J3393" s="60">
        <f>H3393*I3393</f>
        <v>30</v>
      </c>
      <c r="K3393" s="39">
        <v>0.36</v>
      </c>
      <c r="L3393" s="39">
        <f>K3393*J3393</f>
        <v>10.799999999999999</v>
      </c>
      <c r="M3393" s="117" t="s">
        <v>323</v>
      </c>
      <c r="N3393" s="33">
        <v>45250</v>
      </c>
      <c r="O3393" s="32">
        <v>5676</v>
      </c>
      <c r="P3393" s="391">
        <f>ROUNDUP(S3393/V3393/VLOOKUP(B3393,$C$2:$F$6,3,FALSE),2)</f>
        <v>0.21000000000000002</v>
      </c>
      <c r="Q3393" s="254">
        <v>0.24</v>
      </c>
      <c r="R3393" s="323">
        <f>Q3393*J3393</f>
        <v>7.1999999999999993</v>
      </c>
      <c r="S3393" s="1200">
        <v>17.600000000000001</v>
      </c>
      <c r="T3393" s="92">
        <f>S3393*J3393</f>
        <v>528</v>
      </c>
      <c r="U3393" s="1200">
        <v>19.366</v>
      </c>
      <c r="V3393" s="260">
        <v>120</v>
      </c>
      <c r="W3393" s="1136">
        <f>(((K3393*V3393)-S3393)/(K3393*V3393))</f>
        <v>0.59259259259259256</v>
      </c>
    </row>
    <row r="3394" spans="1:23" s="7" customFormat="1" ht="15.95" customHeight="1">
      <c r="B3394" s="12" t="s">
        <v>300</v>
      </c>
      <c r="C3394" s="965" t="s">
        <v>4654</v>
      </c>
      <c r="D3394" s="14" t="s">
        <v>3112</v>
      </c>
      <c r="E3394" s="22">
        <v>3703</v>
      </c>
      <c r="F3394" s="37">
        <v>12</v>
      </c>
      <c r="G3394" s="37" t="s">
        <v>350</v>
      </c>
      <c r="H3394" s="60">
        <v>30</v>
      </c>
      <c r="I3394" s="61">
        <v>1</v>
      </c>
      <c r="J3394" s="60">
        <f>H3394*I3394</f>
        <v>30</v>
      </c>
      <c r="K3394" s="39">
        <v>0.41</v>
      </c>
      <c r="L3394" s="39">
        <f>K3394*J3394</f>
        <v>12.299999999999999</v>
      </c>
      <c r="M3394" s="117" t="s">
        <v>323</v>
      </c>
      <c r="N3394" s="33">
        <v>45250</v>
      </c>
      <c r="O3394" s="32">
        <v>5676</v>
      </c>
      <c r="P3394" s="391">
        <f>ROUNDUP(S3394/V3394/VLOOKUP(B3394,$C$2:$F$6,3,FALSE),2)</f>
        <v>0.24000000000000002</v>
      </c>
      <c r="Q3394" s="254">
        <v>0.27</v>
      </c>
      <c r="R3394" s="323">
        <f>Q3394*J3394</f>
        <v>8.1000000000000014</v>
      </c>
      <c r="S3394" s="1200">
        <v>20.03</v>
      </c>
      <c r="T3394" s="92">
        <f>S3394*J3394</f>
        <v>600.90000000000009</v>
      </c>
      <c r="U3394" s="1200">
        <v>22.033000000000001</v>
      </c>
      <c r="V3394" s="260">
        <v>120</v>
      </c>
      <c r="W3394" s="1136">
        <f>(((K3394*V3394)-S3394)/(K3394*V3394))</f>
        <v>0.59288617886178852</v>
      </c>
    </row>
    <row r="3395" spans="1:23" s="7" customFormat="1" ht="15.95" customHeight="1">
      <c r="B3395" s="12" t="s">
        <v>300</v>
      </c>
      <c r="C3395" s="965" t="s">
        <v>4654</v>
      </c>
      <c r="D3395" s="14" t="s">
        <v>3112</v>
      </c>
      <c r="E3395" s="22">
        <v>3703</v>
      </c>
      <c r="F3395" s="37">
        <v>19</v>
      </c>
      <c r="G3395" s="37" t="s">
        <v>350</v>
      </c>
      <c r="H3395" s="60">
        <v>30</v>
      </c>
      <c r="I3395" s="61">
        <v>1</v>
      </c>
      <c r="J3395" s="60">
        <f>H3395*I3395</f>
        <v>30</v>
      </c>
      <c r="K3395" s="39">
        <v>0.56999999999999995</v>
      </c>
      <c r="L3395" s="39">
        <f>K3395*J3395</f>
        <v>17.099999999999998</v>
      </c>
      <c r="M3395" s="117" t="s">
        <v>323</v>
      </c>
      <c r="N3395" s="33">
        <v>45250</v>
      </c>
      <c r="O3395" s="32">
        <v>5676</v>
      </c>
      <c r="P3395" s="391">
        <f>ROUNDUP(S3395/V3395/VLOOKUP(B3395,$C$2:$F$6,3,FALSE),2)</f>
        <v>0.33</v>
      </c>
      <c r="Q3395" s="254">
        <v>0.37</v>
      </c>
      <c r="R3395" s="323">
        <f>Q3395*J3395</f>
        <v>11.1</v>
      </c>
      <c r="S3395" s="1200">
        <v>27.565999999999999</v>
      </c>
      <c r="T3395" s="92">
        <f>S3395*J3395</f>
        <v>826.98</v>
      </c>
      <c r="U3395" s="1200">
        <v>30.332999999999998</v>
      </c>
      <c r="V3395" s="260">
        <v>120</v>
      </c>
      <c r="W3395" s="1136">
        <f>(((K3395*V3395)-S3395)/(K3395*V3395))</f>
        <v>0.59698830409356718</v>
      </c>
    </row>
    <row r="3396" spans="1:23" s="7" customFormat="1" ht="15.95" customHeight="1">
      <c r="B3396" s="12" t="s">
        <v>300</v>
      </c>
      <c r="C3396" s="965" t="s">
        <v>4654</v>
      </c>
      <c r="D3396" s="14" t="s">
        <v>3112</v>
      </c>
      <c r="E3396" s="22">
        <v>3703</v>
      </c>
      <c r="F3396" s="37">
        <v>38</v>
      </c>
      <c r="G3396" s="37" t="s">
        <v>350</v>
      </c>
      <c r="H3396" s="60">
        <v>30</v>
      </c>
      <c r="I3396" s="61">
        <v>1</v>
      </c>
      <c r="J3396" s="60">
        <f>H3396*I3396</f>
        <v>30</v>
      </c>
      <c r="K3396" s="39">
        <v>1.08</v>
      </c>
      <c r="L3396" s="39">
        <f>K3396*J3396</f>
        <v>32.400000000000006</v>
      </c>
      <c r="M3396" s="117" t="s">
        <v>323</v>
      </c>
      <c r="N3396" s="33">
        <v>45250</v>
      </c>
      <c r="O3396" s="32">
        <v>5676</v>
      </c>
      <c r="P3396" s="391">
        <f>ROUNDUP(S3396/V3396/VLOOKUP(B3396,$C$2:$F$6,3,FALSE),2)</f>
        <v>0.63</v>
      </c>
      <c r="Q3396" s="254">
        <v>0.69</v>
      </c>
      <c r="R3396" s="323">
        <f>Q3396*J3396</f>
        <v>20.7</v>
      </c>
      <c r="S3396" s="1200">
        <v>52.665999999999997</v>
      </c>
      <c r="T3396" s="92">
        <f>S3396*J3396</f>
        <v>1579.98</v>
      </c>
      <c r="U3396" s="1200">
        <v>57.933</v>
      </c>
      <c r="V3396" s="260">
        <v>120</v>
      </c>
      <c r="W3396" s="1136">
        <f>(((K3396*V3396)-S3396)/(K3396*V3396))</f>
        <v>0.59362654320987662</v>
      </c>
    </row>
    <row r="3397" spans="1:23" s="1168" customFormat="1" ht="17.25" customHeight="1">
      <c r="B3397" s="1169"/>
      <c r="C3397" s="965" t="s">
        <v>4654</v>
      </c>
      <c r="D3397" s="14" t="s">
        <v>3112</v>
      </c>
      <c r="E3397" s="19" t="s">
        <v>4485</v>
      </c>
      <c r="F3397" s="1171"/>
      <c r="G3397" s="22"/>
      <c r="H3397" s="108"/>
      <c r="I3397" s="109"/>
      <c r="J3397" s="8"/>
      <c r="K3397" s="110" t="s">
        <v>5</v>
      </c>
      <c r="L3397" s="900"/>
      <c r="M3397" s="403"/>
      <c r="N3397" s="33">
        <v>45250</v>
      </c>
      <c r="O3397" s="32">
        <v>5676</v>
      </c>
      <c r="P3397" s="1173"/>
      <c r="Q3397" s="899"/>
      <c r="R3397" s="899"/>
      <c r="S3397" s="1174" t="s">
        <v>330</v>
      </c>
      <c r="T3397" s="92"/>
      <c r="U3397" s="1174" t="s">
        <v>4494</v>
      </c>
      <c r="V3397" s="901"/>
    </row>
    <row r="3398" spans="1:23" s="1168" customFormat="1" ht="17.25" customHeight="1">
      <c r="B3398" s="1169" t="s">
        <v>300</v>
      </c>
      <c r="C3398" s="965" t="s">
        <v>4654</v>
      </c>
      <c r="D3398" s="14" t="s">
        <v>3112</v>
      </c>
      <c r="E3398" s="22">
        <v>2200</v>
      </c>
      <c r="F3398" s="1171">
        <v>9</v>
      </c>
      <c r="G3398" s="22" t="s">
        <v>350</v>
      </c>
      <c r="H3398" s="108">
        <v>15</v>
      </c>
      <c r="I3398" s="109">
        <v>1</v>
      </c>
      <c r="J3398" s="8">
        <f>H3398*I3398</f>
        <v>15</v>
      </c>
      <c r="K3398" s="39">
        <v>0.82</v>
      </c>
      <c r="L3398" s="39">
        <f>K3398*J3398</f>
        <v>12.299999999999999</v>
      </c>
      <c r="M3398" s="403" t="s">
        <v>323</v>
      </c>
      <c r="N3398" s="33">
        <v>45250</v>
      </c>
      <c r="O3398" s="32">
        <v>5676</v>
      </c>
      <c r="P3398" s="391">
        <f>ROUNDUP(S3398/V3398/VLOOKUP(B3398,$C$2:$F$6,3,FALSE),2)</f>
        <v>0.48</v>
      </c>
      <c r="Q3398" s="899">
        <v>0.48</v>
      </c>
      <c r="R3398" s="322">
        <f>Q3398*J3398</f>
        <v>7.1999999999999993</v>
      </c>
      <c r="S3398" s="7">
        <v>40.299999999999997</v>
      </c>
      <c r="T3398" s="7">
        <f>S3398*J3398</f>
        <v>604.5</v>
      </c>
      <c r="U3398" s="7">
        <v>44.27</v>
      </c>
      <c r="V3398" s="901">
        <v>120</v>
      </c>
      <c r="W3398" s="1136">
        <f>(((K3398*V3398)-S3398)/(K3398*V3398))</f>
        <v>0.59044715447154472</v>
      </c>
    </row>
    <row r="3399" spans="1:23" s="1168" customFormat="1" ht="17.25" customHeight="1">
      <c r="B3399" s="1169" t="s">
        <v>300</v>
      </c>
      <c r="C3399" s="965" t="s">
        <v>4654</v>
      </c>
      <c r="D3399" s="14" t="s">
        <v>3112</v>
      </c>
      <c r="E3399" s="22">
        <v>2200</v>
      </c>
      <c r="F3399" s="1171">
        <v>12</v>
      </c>
      <c r="G3399" s="22" t="s">
        <v>350</v>
      </c>
      <c r="H3399" s="108">
        <v>15</v>
      </c>
      <c r="I3399" s="109">
        <v>1</v>
      </c>
      <c r="J3399" s="8">
        <f>H3399*I3399</f>
        <v>15</v>
      </c>
      <c r="K3399" s="39">
        <v>1.02</v>
      </c>
      <c r="L3399" s="39">
        <f>K3399*J3399</f>
        <v>15.3</v>
      </c>
      <c r="M3399" s="403" t="s">
        <v>323</v>
      </c>
      <c r="N3399" s="33">
        <v>45250</v>
      </c>
      <c r="O3399" s="32">
        <v>5676</v>
      </c>
      <c r="P3399" s="391">
        <f>ROUNDUP(S3399/V3399/VLOOKUP(B3399,$C$2:$F$6,3,FALSE),2)</f>
        <v>0.6</v>
      </c>
      <c r="Q3399" s="899">
        <v>0.6</v>
      </c>
      <c r="R3399" s="322">
        <f>Q3399*J3399</f>
        <v>9</v>
      </c>
      <c r="S3399" s="7">
        <v>50</v>
      </c>
      <c r="T3399" s="7">
        <f>S3399*J3399</f>
        <v>750</v>
      </c>
      <c r="U3399" s="7">
        <v>55.07</v>
      </c>
      <c r="V3399" s="901">
        <v>120</v>
      </c>
      <c r="W3399" s="1136">
        <f>(((K3399*V3399)-S3399)/(K3399*V3399))</f>
        <v>0.59150326797385622</v>
      </c>
    </row>
    <row r="3400" spans="1:23" s="7" customFormat="1" ht="18" customHeight="1">
      <c r="B3400" s="12"/>
      <c r="C3400" s="965" t="s">
        <v>4654</v>
      </c>
      <c r="D3400" s="14" t="s">
        <v>3112</v>
      </c>
      <c r="E3400" s="22"/>
      <c r="F3400" s="102"/>
      <c r="G3400" s="22" t="s">
        <v>316</v>
      </c>
      <c r="H3400" s="8"/>
      <c r="I3400" s="35"/>
      <c r="J3400" s="38">
        <v>1</v>
      </c>
      <c r="K3400" s="39">
        <f>20+20+12</f>
        <v>52</v>
      </c>
      <c r="L3400" s="39">
        <f>K3400*J3400</f>
        <v>52</v>
      </c>
      <c r="M3400" s="91"/>
      <c r="N3400" s="33">
        <v>45250</v>
      </c>
      <c r="O3400" s="32">
        <v>5676</v>
      </c>
      <c r="P3400" s="6" t="s">
        <v>3</v>
      </c>
      <c r="Q3400" s="39">
        <f>20+20+12</f>
        <v>52</v>
      </c>
      <c r="R3400" s="322">
        <f>Q3400*J3400</f>
        <v>52</v>
      </c>
      <c r="S3400" s="7">
        <v>1000</v>
      </c>
      <c r="T3400" s="7">
        <f>S3400*J3400</f>
        <v>1000</v>
      </c>
      <c r="U3400" s="21"/>
      <c r="V3400" s="260">
        <v>120</v>
      </c>
      <c r="W3400" s="1136">
        <f>(((K3400*V3400)-S3400)/(K3400*V3400))</f>
        <v>0.83974358974358976</v>
      </c>
    </row>
    <row r="3401" spans="1:23" s="191" customFormat="1" ht="18" customHeight="1">
      <c r="B3401" s="190"/>
      <c r="C3401" s="966" t="s">
        <v>4654</v>
      </c>
      <c r="D3401" s="180" t="s">
        <v>3112</v>
      </c>
      <c r="E3401" s="217"/>
      <c r="F3401" s="182"/>
      <c r="G3401" s="182" t="s">
        <v>250</v>
      </c>
      <c r="H3401" s="184" t="s">
        <v>251</v>
      </c>
      <c r="I3401" s="185"/>
      <c r="J3401" s="183"/>
      <c r="K3401" s="192">
        <v>0</v>
      </c>
      <c r="L3401" s="187"/>
      <c r="M3401" s="187"/>
      <c r="N3401" s="187">
        <v>45250</v>
      </c>
      <c r="O3401" s="186">
        <v>5676</v>
      </c>
      <c r="P3401" s="179"/>
      <c r="Q3401" s="255">
        <v>0</v>
      </c>
      <c r="R3401" s="322">
        <v>0</v>
      </c>
      <c r="S3401" s="275">
        <v>0</v>
      </c>
      <c r="T3401" s="198">
        <v>0</v>
      </c>
      <c r="U3401" s="271"/>
      <c r="V3401" s="260">
        <v>120</v>
      </c>
      <c r="W3401" s="1136" t="e">
        <f>(((K3401*V3401)-S3401)/(K3401*V3401))</f>
        <v>#DIV/0!</v>
      </c>
    </row>
    <row r="3402" spans="1:23" customFormat="1" ht="18" customHeight="1">
      <c r="A3402" s="1"/>
      <c r="B3402" s="26"/>
      <c r="C3402" s="6" t="s">
        <v>4653</v>
      </c>
      <c r="D3402" s="14" t="s">
        <v>3202</v>
      </c>
      <c r="E3402" s="19" t="s">
        <v>59</v>
      </c>
      <c r="F3402" s="107"/>
      <c r="G3402" s="22"/>
      <c r="H3402" s="108"/>
      <c r="I3402" s="109"/>
      <c r="J3402" s="108"/>
      <c r="K3402" s="110" t="s">
        <v>5</v>
      </c>
      <c r="L3402" s="33"/>
      <c r="M3402" s="33"/>
      <c r="N3402" s="33">
        <v>45247</v>
      </c>
      <c r="O3402" s="32">
        <v>5675</v>
      </c>
      <c r="P3402" s="14"/>
      <c r="Q3402" s="254"/>
      <c r="R3402" s="1"/>
      <c r="S3402" s="261"/>
      <c r="T3402" s="92"/>
      <c r="U3402" s="264"/>
      <c r="V3402" s="260">
        <v>120</v>
      </c>
    </row>
    <row r="3403" spans="1:23" customFormat="1" ht="18" customHeight="1">
      <c r="A3403" s="1"/>
      <c r="B3403" s="12" t="s">
        <v>302</v>
      </c>
      <c r="C3403" s="6" t="s">
        <v>4653</v>
      </c>
      <c r="D3403" s="14" t="s">
        <v>3202</v>
      </c>
      <c r="E3403" s="22">
        <v>5521</v>
      </c>
      <c r="F3403" s="107">
        <v>148</v>
      </c>
      <c r="G3403" s="22" t="s">
        <v>212</v>
      </c>
      <c r="H3403" s="60">
        <v>57</v>
      </c>
      <c r="I3403" s="61">
        <v>2</v>
      </c>
      <c r="J3403" s="60">
        <f>H3403*I3403</f>
        <v>114</v>
      </c>
      <c r="K3403" s="39">
        <v>6.15</v>
      </c>
      <c r="L3403" s="39">
        <f>K3403*J3403</f>
        <v>701.1</v>
      </c>
      <c r="M3403" s="117" t="s">
        <v>323</v>
      </c>
      <c r="N3403" s="33">
        <v>45247</v>
      </c>
      <c r="O3403" s="32">
        <v>5675</v>
      </c>
      <c r="P3403" s="391">
        <f>ROUNDUP(S3403/V3403/VLOOKUP(B3403,$C$2:$F$6,3,FALSE),2)</f>
        <v>5.59</v>
      </c>
      <c r="Q3403" s="254">
        <v>5.59</v>
      </c>
      <c r="R3403" s="323">
        <f>Q3403*J3403</f>
        <v>637.26</v>
      </c>
      <c r="S3403" s="273">
        <v>590</v>
      </c>
      <c r="T3403" s="287">
        <f>S3403*J3403</f>
        <v>67260</v>
      </c>
      <c r="U3403" s="264"/>
      <c r="V3403" s="260">
        <v>120</v>
      </c>
      <c r="W3403" s="1136">
        <f>(((K3403*V3403)-S3403)/(K3403*V3403))</f>
        <v>0.20054200542005421</v>
      </c>
    </row>
    <row r="3404" spans="1:23" customFormat="1" ht="18" customHeight="1">
      <c r="A3404" s="1"/>
      <c r="B3404" s="12" t="s">
        <v>302</v>
      </c>
      <c r="C3404" s="6" t="s">
        <v>4653</v>
      </c>
      <c r="D3404" s="14" t="s">
        <v>3202</v>
      </c>
      <c r="E3404" s="22">
        <v>5521</v>
      </c>
      <c r="F3404" s="107">
        <v>148</v>
      </c>
      <c r="G3404" s="22" t="s">
        <v>212</v>
      </c>
      <c r="H3404" s="60">
        <v>58</v>
      </c>
      <c r="I3404" s="61">
        <v>11</v>
      </c>
      <c r="J3404" s="60">
        <f>H3404*I3404</f>
        <v>638</v>
      </c>
      <c r="K3404" s="39">
        <v>6.15</v>
      </c>
      <c r="L3404" s="39">
        <f>K3404*J3404</f>
        <v>3923.7000000000003</v>
      </c>
      <c r="M3404" s="117" t="s">
        <v>323</v>
      </c>
      <c r="N3404" s="33">
        <v>45247</v>
      </c>
      <c r="O3404" s="32">
        <v>5675</v>
      </c>
      <c r="P3404" s="391">
        <f>ROUNDUP(S3404/V3404/VLOOKUP(B3404,$C$2:$F$6,3,FALSE),2)</f>
        <v>5.59</v>
      </c>
      <c r="Q3404" s="254">
        <v>5.59</v>
      </c>
      <c r="R3404" s="323">
        <f>Q3404*J3404</f>
        <v>3566.42</v>
      </c>
      <c r="S3404" s="273">
        <v>590</v>
      </c>
      <c r="T3404" s="287">
        <f>S3404*J3404</f>
        <v>376420</v>
      </c>
      <c r="U3404" s="264"/>
      <c r="V3404" s="260">
        <v>120</v>
      </c>
      <c r="W3404" s="1136">
        <f>(((K3404*V3404)-S3404)/(K3404*V3404))</f>
        <v>0.20054200542005421</v>
      </c>
    </row>
    <row r="3405" spans="1:23" s="7" customFormat="1" ht="18" customHeight="1">
      <c r="B3405" s="12"/>
      <c r="C3405" s="6" t="s">
        <v>4653</v>
      </c>
      <c r="D3405" s="14" t="s">
        <v>3202</v>
      </c>
      <c r="E3405" s="159"/>
      <c r="F3405" s="37"/>
      <c r="G3405" s="22" t="s">
        <v>363</v>
      </c>
      <c r="H3405" s="8"/>
      <c r="I3405" s="109" ph="1"/>
      <c r="J3405" s="38">
        <v>1</v>
      </c>
      <c r="K3405" s="39">
        <v>20</v>
      </c>
      <c r="L3405" s="39">
        <f>K3405*J3405</f>
        <v>20</v>
      </c>
      <c r="M3405" s="91"/>
      <c r="N3405" s="33">
        <v>45247</v>
      </c>
      <c r="O3405" s="32">
        <v>5675</v>
      </c>
      <c r="P3405" s="6"/>
      <c r="Q3405" s="322">
        <v>20</v>
      </c>
      <c r="R3405" s="322">
        <f>Q3405*J3405</f>
        <v>20</v>
      </c>
      <c r="S3405" s="7">
        <v>1800</v>
      </c>
      <c r="T3405" s="7">
        <v>1800</v>
      </c>
      <c r="U3405" s="21"/>
      <c r="V3405" s="260">
        <v>120</v>
      </c>
    </row>
    <row r="3406" spans="1:23" s="191" customFormat="1" ht="18" customHeight="1">
      <c r="B3406" s="190"/>
      <c r="C3406" s="179" t="s">
        <v>4653</v>
      </c>
      <c r="D3406" s="180" t="s">
        <v>3202</v>
      </c>
      <c r="E3406" s="217"/>
      <c r="F3406" s="182"/>
      <c r="G3406" s="182" t="s">
        <v>250</v>
      </c>
      <c r="H3406" s="184" t="s">
        <v>251</v>
      </c>
      <c r="I3406" s="185"/>
      <c r="J3406" s="183"/>
      <c r="K3406" s="192">
        <v>0</v>
      </c>
      <c r="L3406" s="187"/>
      <c r="M3406" s="187"/>
      <c r="N3406" s="187">
        <v>45247</v>
      </c>
      <c r="O3406" s="186">
        <v>5675</v>
      </c>
      <c r="P3406" s="179"/>
      <c r="Q3406" s="255">
        <v>0</v>
      </c>
      <c r="R3406" s="322">
        <v>0</v>
      </c>
      <c r="S3406" s="275">
        <v>0</v>
      </c>
      <c r="T3406" s="198">
        <v>0</v>
      </c>
      <c r="U3406" s="271"/>
      <c r="V3406" s="260">
        <v>120</v>
      </c>
      <c r="W3406" s="1136" t="e">
        <f>(((K3406*V3406)-S3406)/(K3406*V3406))</f>
        <v>#DIV/0!</v>
      </c>
    </row>
    <row r="3407" spans="1:23" s="7" customFormat="1" ht="18" customHeight="1">
      <c r="B3407" s="12"/>
      <c r="C3407" s="6" t="s">
        <v>4656</v>
      </c>
      <c r="D3407" s="14" t="s">
        <v>2116</v>
      </c>
      <c r="E3407" s="19" t="s">
        <v>361</v>
      </c>
      <c r="F3407" s="22"/>
      <c r="G3407" s="37"/>
      <c r="H3407" s="108"/>
      <c r="I3407" s="108"/>
      <c r="J3407" s="108"/>
      <c r="K3407" s="110" t="s">
        <v>5</v>
      </c>
      <c r="L3407" s="33"/>
      <c r="M3407" s="33"/>
      <c r="N3407" s="33">
        <v>45250</v>
      </c>
      <c r="O3407" s="32">
        <v>5677</v>
      </c>
      <c r="P3407" s="6"/>
      <c r="Q3407" s="223"/>
      <c r="S3407" s="257"/>
      <c r="T3407" s="92"/>
      <c r="U3407" s="266"/>
      <c r="V3407" s="260">
        <v>120</v>
      </c>
    </row>
    <row r="3408" spans="1:23" s="7" customFormat="1" ht="15.95" customHeight="1">
      <c r="B3408" s="12" t="s">
        <v>300</v>
      </c>
      <c r="C3408" s="6" t="s">
        <v>4656</v>
      </c>
      <c r="D3408" s="14" t="s">
        <v>2116</v>
      </c>
      <c r="E3408" s="22">
        <v>12720</v>
      </c>
      <c r="F3408" s="37">
        <v>25</v>
      </c>
      <c r="G3408" s="37" t="s">
        <v>4631</v>
      </c>
      <c r="H3408" s="60">
        <v>10</v>
      </c>
      <c r="I3408" s="61">
        <v>1</v>
      </c>
      <c r="J3408" s="60">
        <f>H3408*I3408</f>
        <v>10</v>
      </c>
      <c r="K3408" s="39">
        <v>1.79</v>
      </c>
      <c r="L3408" s="39">
        <f>K3408*J3408</f>
        <v>17.899999999999999</v>
      </c>
      <c r="M3408" s="117" t="s">
        <v>323</v>
      </c>
      <c r="N3408" s="33">
        <v>45250</v>
      </c>
      <c r="O3408" s="32">
        <v>5677</v>
      </c>
      <c r="P3408" s="391">
        <f>ROUNDUP(S3408/V3408/VLOOKUP(B3408,$C$2:$F$6,3,FALSE),2)</f>
        <v>1.1499999999999999</v>
      </c>
      <c r="Q3408" s="254">
        <v>1.1499999999999999</v>
      </c>
      <c r="R3408" s="323">
        <f>Q3408*J3408</f>
        <v>11.5</v>
      </c>
      <c r="S3408" s="257">
        <v>96.5</v>
      </c>
      <c r="T3408" s="92">
        <f>S3408*J3408</f>
        <v>965</v>
      </c>
      <c r="U3408" s="376"/>
      <c r="V3408" s="260">
        <v>120</v>
      </c>
      <c r="W3408" s="1136">
        <f t="shared" ref="W3408:W3420" si="242">(((K3408*V3408)-S3408)/(K3408*V3408))</f>
        <v>0.5507448789571695</v>
      </c>
    </row>
    <row r="3409" spans="1:51" s="7" customFormat="1" ht="18" customHeight="1">
      <c r="B3409" s="12"/>
      <c r="C3409" s="6" t="s">
        <v>4656</v>
      </c>
      <c r="D3409" s="14" t="s">
        <v>2116</v>
      </c>
      <c r="E3409" s="159"/>
      <c r="F3409" s="37"/>
      <c r="G3409" s="22" t="s">
        <v>363</v>
      </c>
      <c r="H3409" s="8"/>
      <c r="I3409" s="109" ph="1"/>
      <c r="J3409" s="38">
        <v>1</v>
      </c>
      <c r="K3409" s="39">
        <v>12</v>
      </c>
      <c r="L3409" s="39">
        <f>K3409*J3409</f>
        <v>12</v>
      </c>
      <c r="M3409" s="91"/>
      <c r="N3409" s="33">
        <v>45250</v>
      </c>
      <c r="O3409" s="32">
        <v>5677</v>
      </c>
      <c r="P3409" s="6"/>
      <c r="Q3409" s="322">
        <v>12</v>
      </c>
      <c r="R3409" s="322">
        <f>Q3409*J3409</f>
        <v>12</v>
      </c>
      <c r="S3409" s="7">
        <v>0</v>
      </c>
      <c r="T3409" s="7">
        <v>0</v>
      </c>
      <c r="U3409" s="21"/>
      <c r="V3409" s="260">
        <v>120</v>
      </c>
    </row>
    <row r="3410" spans="1:51" s="191" customFormat="1" ht="15">
      <c r="B3410" s="190"/>
      <c r="C3410" s="179" t="s">
        <v>4656</v>
      </c>
      <c r="D3410" s="180" t="s">
        <v>2116</v>
      </c>
      <c r="E3410" s="181"/>
      <c r="F3410" s="182"/>
      <c r="G3410" s="182" t="s">
        <v>250</v>
      </c>
      <c r="H3410" s="184" t="s">
        <v>374</v>
      </c>
      <c r="I3410" s="185"/>
      <c r="J3410" s="183"/>
      <c r="K3410" s="192">
        <v>24</v>
      </c>
      <c r="L3410" s="192">
        <v>24</v>
      </c>
      <c r="M3410" s="187"/>
      <c r="N3410" s="187">
        <v>45250</v>
      </c>
      <c r="O3410" s="186">
        <v>5677</v>
      </c>
      <c r="P3410" s="179"/>
      <c r="Q3410" s="192">
        <v>24</v>
      </c>
      <c r="R3410" s="192">
        <v>24</v>
      </c>
      <c r="S3410" s="275">
        <v>2644</v>
      </c>
      <c r="T3410" s="275">
        <v>2644</v>
      </c>
      <c r="U3410" s="271"/>
      <c r="V3410" s="260">
        <v>120</v>
      </c>
      <c r="W3410" s="1136">
        <f t="shared" si="242"/>
        <v>8.1944444444444445E-2</v>
      </c>
    </row>
    <row r="3411" spans="1:51" s="7" customFormat="1" ht="18" customHeight="1">
      <c r="B3411" s="12"/>
      <c r="C3411" s="965" t="s">
        <v>4657</v>
      </c>
      <c r="D3411" s="14" t="s">
        <v>2162</v>
      </c>
      <c r="E3411" s="19" t="s">
        <v>2163</v>
      </c>
      <c r="F3411" s="37"/>
      <c r="G3411" s="37"/>
      <c r="H3411" s="108"/>
      <c r="I3411" s="108"/>
      <c r="J3411" s="108"/>
      <c r="K3411" s="110" t="s">
        <v>5</v>
      </c>
      <c r="L3411" s="139"/>
      <c r="M3411" s="33"/>
      <c r="N3411" s="33">
        <v>45251</v>
      </c>
      <c r="O3411" s="32">
        <v>5679</v>
      </c>
      <c r="P3411" s="6"/>
      <c r="Q3411" s="339"/>
      <c r="U3411" s="21"/>
      <c r="V3411" s="260">
        <v>120</v>
      </c>
      <c r="W3411" s="1136" t="e">
        <f t="shared" si="242"/>
        <v>#VALUE!</v>
      </c>
    </row>
    <row r="3412" spans="1:51" s="7" customFormat="1" ht="18" customHeight="1">
      <c r="B3412" s="12" t="s">
        <v>300</v>
      </c>
      <c r="C3412" s="965" t="s">
        <v>4657</v>
      </c>
      <c r="D3412" s="14" t="s">
        <v>2162</v>
      </c>
      <c r="E3412" s="22">
        <v>5603</v>
      </c>
      <c r="F3412" s="37"/>
      <c r="G3412" s="22" t="s">
        <v>12</v>
      </c>
      <c r="H3412" s="108">
        <v>50</v>
      </c>
      <c r="I3412" s="950">
        <v>8</v>
      </c>
      <c r="J3412" s="8">
        <f>I3412*H3412</f>
        <v>400</v>
      </c>
      <c r="K3412" s="39">
        <v>0.34</v>
      </c>
      <c r="L3412" s="39">
        <f>K3412*J3412</f>
        <v>136</v>
      </c>
      <c r="M3412" s="117" t="s">
        <v>349</v>
      </c>
      <c r="N3412" s="33">
        <v>45251</v>
      </c>
      <c r="O3412" s="32">
        <v>5679</v>
      </c>
      <c r="P3412" s="391">
        <f>ROUNDUP(S3412/V3412/VLOOKUP(B3412,$C$2:$F$6,3,FALSE),2)</f>
        <v>0.22</v>
      </c>
      <c r="Q3412" s="322">
        <v>0.22</v>
      </c>
      <c r="R3412" s="322">
        <f>Q3412*J3412</f>
        <v>88</v>
      </c>
      <c r="S3412" s="7">
        <v>18.3</v>
      </c>
      <c r="T3412" s="7">
        <f>S3412*J3412</f>
        <v>7320</v>
      </c>
      <c r="U3412" s="21"/>
      <c r="V3412" s="260">
        <v>120</v>
      </c>
      <c r="W3412" s="1136">
        <f t="shared" si="242"/>
        <v>0.55147058823529416</v>
      </c>
    </row>
    <row r="3413" spans="1:51" s="7" customFormat="1" ht="18" customHeight="1">
      <c r="B3413" s="12"/>
      <c r="C3413" s="965" t="s">
        <v>4657</v>
      </c>
      <c r="D3413" s="14" t="s">
        <v>2162</v>
      </c>
      <c r="E3413" s="19" t="s">
        <v>200</v>
      </c>
      <c r="F3413" s="37"/>
      <c r="G3413" s="37"/>
      <c r="H3413" s="108"/>
      <c r="I3413" s="108"/>
      <c r="J3413" s="108"/>
      <c r="K3413" s="29" t="s">
        <v>5</v>
      </c>
      <c r="L3413" s="139"/>
      <c r="M3413" s="33"/>
      <c r="N3413" s="33">
        <v>45251</v>
      </c>
      <c r="O3413" s="32">
        <v>5679</v>
      </c>
      <c r="P3413" s="6"/>
      <c r="Q3413" s="339"/>
      <c r="U3413" s="21"/>
      <c r="V3413" s="260">
        <v>120</v>
      </c>
      <c r="W3413" s="1136" t="e">
        <f t="shared" si="242"/>
        <v>#VALUE!</v>
      </c>
    </row>
    <row r="3414" spans="1:51" s="7" customFormat="1" ht="18" customHeight="1">
      <c r="B3414" s="12" t="s">
        <v>300</v>
      </c>
      <c r="C3414" s="965" t="s">
        <v>4657</v>
      </c>
      <c r="D3414" s="14" t="s">
        <v>2162</v>
      </c>
      <c r="E3414" s="22" t="s">
        <v>2950</v>
      </c>
      <c r="F3414" s="37"/>
      <c r="G3414" s="839" t="s">
        <v>4658</v>
      </c>
      <c r="H3414" s="108">
        <v>30</v>
      </c>
      <c r="I3414" s="109">
        <v>8</v>
      </c>
      <c r="J3414" s="8">
        <f>H3414*I3414</f>
        <v>240</v>
      </c>
      <c r="K3414" s="39">
        <v>0.84</v>
      </c>
      <c r="L3414" s="39">
        <f>K3414*J3414</f>
        <v>201.6</v>
      </c>
      <c r="M3414" s="117" t="s">
        <v>349</v>
      </c>
      <c r="N3414" s="33">
        <v>45251</v>
      </c>
      <c r="O3414" s="32">
        <v>5679</v>
      </c>
      <c r="P3414" s="391">
        <f>ROUNDUP(S3414/V3414/VLOOKUP(B3414,$C$2:$F$6,3,FALSE),2)</f>
        <v>0.54</v>
      </c>
      <c r="Q3414" s="322">
        <v>0.54</v>
      </c>
      <c r="R3414" s="322">
        <f>Q3414*J3414</f>
        <v>129.60000000000002</v>
      </c>
      <c r="S3414" s="7">
        <v>45</v>
      </c>
      <c r="T3414" s="7">
        <f>S3414*J3414</f>
        <v>10800</v>
      </c>
      <c r="U3414" s="778"/>
      <c r="V3414" s="260">
        <v>120</v>
      </c>
      <c r="W3414" s="1136">
        <f t="shared" si="242"/>
        <v>0.5535714285714286</v>
      </c>
    </row>
    <row r="3415" spans="1:51" s="7" customFormat="1" ht="18" customHeight="1">
      <c r="B3415" s="12"/>
      <c r="C3415" s="965" t="s">
        <v>4657</v>
      </c>
      <c r="D3415" s="14" t="s">
        <v>2162</v>
      </c>
      <c r="E3415" s="22"/>
      <c r="F3415" s="102"/>
      <c r="G3415" s="22" t="s">
        <v>316</v>
      </c>
      <c r="H3415" s="8"/>
      <c r="I3415" s="35"/>
      <c r="J3415" s="38">
        <v>1</v>
      </c>
      <c r="K3415" s="39">
        <v>24</v>
      </c>
      <c r="L3415" s="39">
        <f>K3415*J3415</f>
        <v>24</v>
      </c>
      <c r="M3415" s="91"/>
      <c r="N3415" s="33">
        <v>45251</v>
      </c>
      <c r="O3415" s="32">
        <v>5679</v>
      </c>
      <c r="P3415" s="6" t="s">
        <v>3</v>
      </c>
      <c r="Q3415" s="39">
        <v>24</v>
      </c>
      <c r="R3415" s="322">
        <f>Q3415*J3415</f>
        <v>24</v>
      </c>
      <c r="S3415" s="7">
        <f>1100+900</f>
        <v>2000</v>
      </c>
      <c r="T3415" s="7">
        <f>S3415*J3415</f>
        <v>2000</v>
      </c>
      <c r="U3415" s="21"/>
      <c r="V3415" s="260">
        <v>120</v>
      </c>
      <c r="W3415" s="1136">
        <f t="shared" si="242"/>
        <v>0.30555555555555558</v>
      </c>
    </row>
    <row r="3416" spans="1:51" s="191" customFormat="1" ht="18" customHeight="1">
      <c r="B3416" s="190"/>
      <c r="C3416" s="966" t="s">
        <v>4657</v>
      </c>
      <c r="D3416" s="180" t="s">
        <v>2162</v>
      </c>
      <c r="E3416" s="217"/>
      <c r="F3416" s="182"/>
      <c r="G3416" s="182" t="s">
        <v>250</v>
      </c>
      <c r="H3416" s="184" t="s">
        <v>251</v>
      </c>
      <c r="I3416" s="185"/>
      <c r="J3416" s="183"/>
      <c r="K3416" s="192">
        <v>0</v>
      </c>
      <c r="L3416" s="192">
        <v>0</v>
      </c>
      <c r="M3416" s="187"/>
      <c r="N3416" s="187">
        <v>45251</v>
      </c>
      <c r="O3416" s="186">
        <v>5679</v>
      </c>
      <c r="P3416" s="179"/>
      <c r="Q3416" s="334">
        <v>0</v>
      </c>
      <c r="R3416" s="334">
        <v>0</v>
      </c>
      <c r="S3416" s="197">
        <v>0</v>
      </c>
      <c r="T3416" s="197">
        <v>0</v>
      </c>
      <c r="U3416" s="335"/>
      <c r="V3416" s="260">
        <v>120</v>
      </c>
      <c r="W3416" s="1136" t="e">
        <f t="shared" si="242"/>
        <v>#DIV/0!</v>
      </c>
    </row>
    <row r="3417" spans="1:51" customFormat="1" ht="18" customHeight="1">
      <c r="A3417" s="1"/>
      <c r="B3417" s="26"/>
      <c r="C3417" s="6" t="s">
        <v>4659</v>
      </c>
      <c r="D3417" s="14" t="s">
        <v>3067</v>
      </c>
      <c r="E3417" s="19" t="s">
        <v>59</v>
      </c>
      <c r="F3417" s="107"/>
      <c r="G3417" s="22"/>
      <c r="H3417" s="108"/>
      <c r="I3417" s="109"/>
      <c r="J3417" s="108"/>
      <c r="K3417" s="110" t="s">
        <v>5</v>
      </c>
      <c r="L3417" s="33"/>
      <c r="M3417" s="33"/>
      <c r="N3417" s="33">
        <v>45251</v>
      </c>
      <c r="O3417" s="32">
        <v>5686</v>
      </c>
      <c r="P3417" s="14"/>
      <c r="Q3417" s="254"/>
      <c r="R3417" s="1"/>
      <c r="S3417" s="261"/>
      <c r="T3417" s="92"/>
      <c r="U3417" s="264"/>
      <c r="V3417" s="260">
        <v>120</v>
      </c>
      <c r="W3417" s="1136" t="e">
        <f t="shared" si="242"/>
        <v>#VALUE!</v>
      </c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1"/>
      <c r="AI3417" s="1"/>
      <c r="AJ3417" s="1"/>
      <c r="AK3417" s="1"/>
      <c r="AL3417" s="1"/>
      <c r="AM3417" s="1"/>
      <c r="AN3417" s="1"/>
      <c r="AO3417" s="1"/>
      <c r="AP3417" s="1"/>
      <c r="AQ3417" s="1"/>
      <c r="AR3417" s="1"/>
      <c r="AS3417" s="1"/>
      <c r="AT3417" s="1"/>
      <c r="AU3417" s="1"/>
      <c r="AV3417" s="1"/>
      <c r="AW3417" s="1"/>
      <c r="AX3417" s="1"/>
      <c r="AY3417" s="1"/>
    </row>
    <row r="3418" spans="1:51" customFormat="1" ht="18" customHeight="1">
      <c r="B3418" s="12" t="s">
        <v>302</v>
      </c>
      <c r="C3418" s="6" t="s">
        <v>4659</v>
      </c>
      <c r="D3418" s="14" t="s">
        <v>3067</v>
      </c>
      <c r="E3418" s="22">
        <v>2440</v>
      </c>
      <c r="F3418" s="107">
        <v>140</v>
      </c>
      <c r="G3418" s="22" t="s">
        <v>13</v>
      </c>
      <c r="H3418" s="108">
        <v>58</v>
      </c>
      <c r="I3418" s="109">
        <v>1</v>
      </c>
      <c r="J3418" s="8">
        <f>H3418*I3418</f>
        <v>58</v>
      </c>
      <c r="K3418" s="39">
        <v>4.17</v>
      </c>
      <c r="L3418" s="39">
        <f>K3418*J3418</f>
        <v>241.85999999999999</v>
      </c>
      <c r="M3418" s="117" t="s">
        <v>323</v>
      </c>
      <c r="N3418" s="33">
        <v>45251</v>
      </c>
      <c r="O3418" s="32">
        <v>5686</v>
      </c>
      <c r="P3418" s="391">
        <f>ROUNDUP(S3418/V3418/VLOOKUP(B3418,$C$2:$F$6,3,FALSE),2)</f>
        <v>2.8499999999999996</v>
      </c>
      <c r="Q3418" s="254">
        <v>2.85</v>
      </c>
      <c r="R3418" s="323">
        <f>Q3418*J3418</f>
        <v>165.3</v>
      </c>
      <c r="S3418" s="257">
        <v>300</v>
      </c>
      <c r="T3418" s="287">
        <f>S3418*J3418</f>
        <v>17400</v>
      </c>
      <c r="U3418" s="264"/>
      <c r="V3418" s="260">
        <v>120</v>
      </c>
      <c r="W3418" s="1136">
        <f t="shared" si="242"/>
        <v>0.40047961630695439</v>
      </c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1"/>
      <c r="AI3418" s="1"/>
      <c r="AJ3418" s="1"/>
      <c r="AK3418" s="1"/>
      <c r="AL3418" s="1"/>
      <c r="AM3418" s="1"/>
      <c r="AN3418" s="1"/>
      <c r="AO3418" s="1"/>
      <c r="AP3418" s="1"/>
      <c r="AQ3418" s="1"/>
      <c r="AR3418" s="1"/>
      <c r="AS3418" s="1"/>
      <c r="AT3418" s="1"/>
      <c r="AU3418" s="1"/>
      <c r="AV3418" s="1"/>
      <c r="AW3418" s="1"/>
      <c r="AX3418" s="1"/>
      <c r="AY3418" s="1"/>
    </row>
    <row r="3419" spans="1:51" s="7" customFormat="1" ht="15">
      <c r="B3419" s="12"/>
      <c r="C3419" s="6" t="s">
        <v>4659</v>
      </c>
      <c r="D3419" s="14" t="s">
        <v>3067</v>
      </c>
      <c r="E3419" s="49"/>
      <c r="F3419" s="102"/>
      <c r="G3419" s="22" t="s">
        <v>316</v>
      </c>
      <c r="H3419" s="38"/>
      <c r="I3419" s="35"/>
      <c r="J3419" s="38">
        <v>1</v>
      </c>
      <c r="K3419" s="39">
        <v>20</v>
      </c>
      <c r="L3419" s="39">
        <f>K3419*J3419</f>
        <v>20</v>
      </c>
      <c r="M3419" s="91"/>
      <c r="N3419" s="33">
        <v>45251</v>
      </c>
      <c r="O3419" s="32">
        <v>5686</v>
      </c>
      <c r="P3419" s="722"/>
      <c r="Q3419" s="322">
        <v>20</v>
      </c>
      <c r="R3419" s="322">
        <f>Q3419*J3419</f>
        <v>20</v>
      </c>
      <c r="S3419" s="7">
        <v>1800</v>
      </c>
      <c r="T3419" s="7">
        <f>S3419*J3419</f>
        <v>1800</v>
      </c>
      <c r="U3419" s="21"/>
      <c r="V3419" s="260">
        <v>120</v>
      </c>
      <c r="W3419" s="1136">
        <f t="shared" si="242"/>
        <v>0.25</v>
      </c>
    </row>
    <row r="3420" spans="1:51" s="191" customFormat="1" ht="15">
      <c r="B3420" s="190"/>
      <c r="C3420" s="179" t="s">
        <v>4659</v>
      </c>
      <c r="D3420" s="180" t="s">
        <v>3067</v>
      </c>
      <c r="E3420" s="181"/>
      <c r="F3420" s="182"/>
      <c r="G3420" s="182" t="s">
        <v>2738</v>
      </c>
      <c r="H3420" s="184" t="s">
        <v>251</v>
      </c>
      <c r="I3420" s="185"/>
      <c r="J3420" s="183"/>
      <c r="K3420" s="192">
        <v>0</v>
      </c>
      <c r="L3420" s="187"/>
      <c r="M3420" s="187"/>
      <c r="N3420" s="187">
        <v>45251</v>
      </c>
      <c r="O3420" s="186">
        <v>5686</v>
      </c>
      <c r="P3420" s="179"/>
      <c r="Q3420" s="203"/>
      <c r="R3420" s="203"/>
      <c r="S3420" s="203"/>
      <c r="T3420" s="203"/>
      <c r="U3420" s="271"/>
      <c r="V3420" s="260">
        <v>120</v>
      </c>
      <c r="W3420" s="1136" t="e">
        <f t="shared" si="242"/>
        <v>#DIV/0!</v>
      </c>
    </row>
    <row r="3421" spans="1:51" s="7" customFormat="1" ht="18" customHeight="1">
      <c r="B3421" s="12"/>
      <c r="C3421" s="965" t="s">
        <v>4660</v>
      </c>
      <c r="D3421" s="14" t="s">
        <v>4661</v>
      </c>
      <c r="E3421" s="19" t="s">
        <v>2163</v>
      </c>
      <c r="F3421" s="37"/>
      <c r="G3421" s="37"/>
      <c r="H3421" s="108"/>
      <c r="I3421" s="108"/>
      <c r="J3421" s="108"/>
      <c r="K3421" s="110" t="s">
        <v>5</v>
      </c>
      <c r="L3421" s="139"/>
      <c r="M3421" s="33"/>
      <c r="N3421" s="33">
        <v>45273</v>
      </c>
      <c r="O3421" s="32">
        <v>5712</v>
      </c>
      <c r="P3421" s="6"/>
      <c r="Q3421" s="339"/>
      <c r="U3421" s="21"/>
      <c r="V3421" s="260">
        <v>120</v>
      </c>
      <c r="W3421" s="1136" t="e">
        <f t="shared" ref="W3421:W3442" si="243">(((K3421*V3421)-S3421)/(K3421*V3421))</f>
        <v>#VALUE!</v>
      </c>
    </row>
    <row r="3422" spans="1:51" s="7" customFormat="1" ht="18" customHeight="1">
      <c r="B3422" s="12" t="s">
        <v>300</v>
      </c>
      <c r="C3422" s="965" t="s">
        <v>4660</v>
      </c>
      <c r="D3422" s="14" t="s">
        <v>4661</v>
      </c>
      <c r="E3422" s="22">
        <v>5603</v>
      </c>
      <c r="F3422" s="37"/>
      <c r="G3422" s="22" t="s">
        <v>4291</v>
      </c>
      <c r="H3422" s="108">
        <v>50</v>
      </c>
      <c r="I3422" s="950">
        <v>8</v>
      </c>
      <c r="J3422" s="8">
        <f>I3422*H3422</f>
        <v>400</v>
      </c>
      <c r="K3422" s="39">
        <v>0.34</v>
      </c>
      <c r="L3422" s="39">
        <f>K3422*J3422</f>
        <v>136</v>
      </c>
      <c r="M3422" s="117" t="s">
        <v>349</v>
      </c>
      <c r="N3422" s="33">
        <v>45273</v>
      </c>
      <c r="O3422" s="32">
        <v>5712</v>
      </c>
      <c r="P3422" s="391">
        <f>ROUNDUP(S3422/V3422/VLOOKUP(B3422,$C$2:$F$6,3,FALSE),2)</f>
        <v>0.22</v>
      </c>
      <c r="Q3422" s="322">
        <v>0.22</v>
      </c>
      <c r="R3422" s="322">
        <f>Q3422*J3422</f>
        <v>88</v>
      </c>
      <c r="S3422" s="7">
        <v>18.3</v>
      </c>
      <c r="T3422" s="7">
        <f>S3422*J3422</f>
        <v>7320</v>
      </c>
      <c r="U3422" s="21"/>
      <c r="V3422" s="260">
        <v>120</v>
      </c>
      <c r="W3422" s="1136">
        <f t="shared" si="243"/>
        <v>0.55147058823529416</v>
      </c>
    </row>
    <row r="3423" spans="1:51" s="7" customFormat="1" ht="18" customHeight="1">
      <c r="B3423" s="12"/>
      <c r="C3423" s="965" t="s">
        <v>4660</v>
      </c>
      <c r="D3423" s="14" t="s">
        <v>4661</v>
      </c>
      <c r="E3423" s="22"/>
      <c r="F3423" s="102"/>
      <c r="G3423" s="22" t="s">
        <v>316</v>
      </c>
      <c r="H3423" s="8"/>
      <c r="I3423" s="35"/>
      <c r="J3423" s="38">
        <v>1</v>
      </c>
      <c r="K3423" s="39">
        <v>12</v>
      </c>
      <c r="L3423" s="39">
        <f>K3423*J3423</f>
        <v>12</v>
      </c>
      <c r="M3423" s="91"/>
      <c r="N3423" s="33">
        <v>45273</v>
      </c>
      <c r="O3423" s="32">
        <v>5712</v>
      </c>
      <c r="P3423" s="6" t="s">
        <v>3</v>
      </c>
      <c r="Q3423" s="39">
        <v>12</v>
      </c>
      <c r="R3423" s="322">
        <f>Q3423*J3423</f>
        <v>12</v>
      </c>
      <c r="S3423" s="7">
        <v>1100</v>
      </c>
      <c r="T3423" s="7">
        <f>S3423*J3423</f>
        <v>1100</v>
      </c>
      <c r="U3423" s="21"/>
      <c r="V3423" s="260">
        <v>120</v>
      </c>
      <c r="W3423" s="1136">
        <f t="shared" si="243"/>
        <v>0.2361111111111111</v>
      </c>
    </row>
    <row r="3424" spans="1:51" s="191" customFormat="1" ht="18" customHeight="1">
      <c r="B3424" s="190"/>
      <c r="C3424" s="966" t="s">
        <v>4660</v>
      </c>
      <c r="D3424" s="180" t="s">
        <v>4661</v>
      </c>
      <c r="E3424" s="217"/>
      <c r="F3424" s="182"/>
      <c r="G3424" s="182" t="s">
        <v>250</v>
      </c>
      <c r="H3424" s="184" t="s">
        <v>374</v>
      </c>
      <c r="I3424" s="185"/>
      <c r="J3424" s="183"/>
      <c r="K3424" s="192">
        <v>97</v>
      </c>
      <c r="L3424" s="192">
        <v>97</v>
      </c>
      <c r="M3424" s="187"/>
      <c r="N3424" s="187">
        <v>45273</v>
      </c>
      <c r="O3424" s="186">
        <v>5712</v>
      </c>
      <c r="P3424" s="179"/>
      <c r="Q3424" s="192">
        <v>97</v>
      </c>
      <c r="R3424" s="192">
        <v>97</v>
      </c>
      <c r="S3424" s="7">
        <v>6921</v>
      </c>
      <c r="T3424" s="7">
        <v>6921</v>
      </c>
      <c r="U3424" s="335"/>
      <c r="V3424" s="260">
        <v>120</v>
      </c>
      <c r="W3424" s="1136">
        <f t="shared" si="243"/>
        <v>0.40541237113402062</v>
      </c>
    </row>
    <row r="3425" spans="2:23" s="7" customFormat="1" ht="18" customHeight="1">
      <c r="B3425" s="12"/>
      <c r="C3425" s="6" t="s">
        <v>4662</v>
      </c>
      <c r="D3425" s="14" t="s">
        <v>2004</v>
      </c>
      <c r="E3425" s="19" t="s">
        <v>1950</v>
      </c>
      <c r="F3425" s="37"/>
      <c r="G3425" s="37"/>
      <c r="H3425" s="108"/>
      <c r="I3425" s="108"/>
      <c r="J3425" s="108"/>
      <c r="K3425" s="29" t="s">
        <v>5</v>
      </c>
      <c r="L3425" s="139"/>
      <c r="M3425" s="33"/>
      <c r="N3425" s="33">
        <v>45278</v>
      </c>
      <c r="O3425" s="32">
        <v>5713</v>
      </c>
      <c r="P3425" s="6"/>
      <c r="Q3425" s="339"/>
      <c r="U3425" s="21"/>
      <c r="V3425" s="260">
        <v>120</v>
      </c>
    </row>
    <row r="3426" spans="2:23" s="7" customFormat="1" ht="17.25" customHeight="1">
      <c r="B3426" s="12" t="s">
        <v>300</v>
      </c>
      <c r="C3426" s="6" t="s">
        <v>4662</v>
      </c>
      <c r="D3426" s="14" t="s">
        <v>2004</v>
      </c>
      <c r="E3426" s="22">
        <v>3808</v>
      </c>
      <c r="F3426" s="37">
        <v>9</v>
      </c>
      <c r="G3426" s="812" t="s">
        <v>12</v>
      </c>
      <c r="H3426" s="108">
        <v>50</v>
      </c>
      <c r="I3426" s="814">
        <v>4</v>
      </c>
      <c r="J3426" s="60">
        <f>H3426*I3426</f>
        <v>200</v>
      </c>
      <c r="K3426" s="39">
        <v>0.38</v>
      </c>
      <c r="L3426" s="39">
        <f>K3426*J3426</f>
        <v>76</v>
      </c>
      <c r="M3426" s="117" t="s">
        <v>349</v>
      </c>
      <c r="N3426" s="33">
        <v>45278</v>
      </c>
      <c r="O3426" s="32">
        <v>5713</v>
      </c>
      <c r="P3426" s="391">
        <f>ROUNDUP(S3426/V3426/VLOOKUP(B3426,$C$2:$F$6,3,FALSE),2)</f>
        <v>0.27</v>
      </c>
      <c r="Q3426" s="725">
        <v>0.27</v>
      </c>
      <c r="R3426" s="322">
        <f>Q3426*J3426</f>
        <v>54</v>
      </c>
      <c r="S3426" s="7">
        <v>22.3</v>
      </c>
      <c r="T3426" s="7">
        <f>S3426*J3426</f>
        <v>4460</v>
      </c>
      <c r="U3426" s="267"/>
      <c r="V3426" s="260">
        <v>120</v>
      </c>
      <c r="W3426" s="1136">
        <f t="shared" si="243"/>
        <v>0.51096491228070173</v>
      </c>
    </row>
    <row r="3427" spans="2:23" s="7" customFormat="1" ht="15">
      <c r="B3427" s="12"/>
      <c r="C3427" s="6" t="s">
        <v>4662</v>
      </c>
      <c r="D3427" s="14" t="s">
        <v>2004</v>
      </c>
      <c r="E3427" s="22"/>
      <c r="F3427" s="102"/>
      <c r="G3427" s="22" t="s">
        <v>316</v>
      </c>
      <c r="H3427" s="8"/>
      <c r="I3427" s="35"/>
      <c r="J3427" s="38">
        <v>1</v>
      </c>
      <c r="K3427" s="39">
        <v>12</v>
      </c>
      <c r="L3427" s="39">
        <f>K3427*J3427</f>
        <v>12</v>
      </c>
      <c r="M3427" s="91"/>
      <c r="N3427" s="33">
        <v>45278</v>
      </c>
      <c r="O3427" s="32">
        <v>5713</v>
      </c>
      <c r="P3427" s="391" t="e">
        <f>ROUNDUP(S3427/V3427/VLOOKUP(B3427,$C$2:$F$6,3,FALSE),2)</f>
        <v>#N/A</v>
      </c>
      <c r="Q3427" s="322">
        <v>12</v>
      </c>
      <c r="R3427" s="322">
        <f>Q3427*J3427</f>
        <v>12</v>
      </c>
      <c r="S3427" s="7">
        <v>1000</v>
      </c>
      <c r="T3427" s="7">
        <f>S3427*J3427</f>
        <v>1000</v>
      </c>
      <c r="U3427" s="21"/>
      <c r="V3427" s="260">
        <v>120</v>
      </c>
      <c r="W3427" s="1136">
        <f t="shared" si="243"/>
        <v>0.30555555555555558</v>
      </c>
    </row>
    <row r="3428" spans="2:23" s="191" customFormat="1" ht="18" customHeight="1">
      <c r="B3428" s="190"/>
      <c r="C3428" s="179" t="s">
        <v>4662</v>
      </c>
      <c r="D3428" s="180" t="s">
        <v>2004</v>
      </c>
      <c r="E3428" s="736"/>
      <c r="F3428" s="737"/>
      <c r="G3428" s="182" t="s">
        <v>1955</v>
      </c>
      <c r="H3428" s="184" t="s">
        <v>251</v>
      </c>
      <c r="I3428" s="185"/>
      <c r="J3428" s="183"/>
      <c r="K3428" s="192">
        <v>0</v>
      </c>
      <c r="L3428" s="187"/>
      <c r="M3428" s="187"/>
      <c r="N3428" s="187">
        <v>45278</v>
      </c>
      <c r="O3428" s="186">
        <v>5713</v>
      </c>
      <c r="P3428" s="179"/>
      <c r="Q3428" s="203"/>
      <c r="R3428" s="203"/>
      <c r="S3428" s="203"/>
      <c r="T3428" s="203"/>
      <c r="U3428" s="271"/>
      <c r="V3428" s="260">
        <v>120</v>
      </c>
      <c r="W3428" s="1136" t="e">
        <f t="shared" si="243"/>
        <v>#DIV/0!</v>
      </c>
    </row>
    <row r="3429" spans="2:23" s="7" customFormat="1" ht="15">
      <c r="B3429" s="12"/>
      <c r="C3429" s="965" t="s">
        <v>4663</v>
      </c>
      <c r="D3429" s="14" t="s">
        <v>3150</v>
      </c>
      <c r="E3429" s="19" t="s">
        <v>2244</v>
      </c>
      <c r="F3429" s="24"/>
      <c r="G3429" s="22"/>
      <c r="H3429" s="60"/>
      <c r="I3429" s="61"/>
      <c r="J3429" s="8"/>
      <c r="K3429" s="110" t="s">
        <v>5</v>
      </c>
      <c r="L3429" s="139"/>
      <c r="M3429" s="33"/>
      <c r="N3429" s="33">
        <v>45273</v>
      </c>
      <c r="O3429" s="32">
        <v>5745</v>
      </c>
      <c r="P3429" s="6" t="s">
        <v>8</v>
      </c>
      <c r="Q3429" s="358"/>
      <c r="U3429" s="120"/>
      <c r="V3429" s="260">
        <v>120</v>
      </c>
      <c r="W3429" s="1136" t="e">
        <f t="shared" si="243"/>
        <v>#VALUE!</v>
      </c>
    </row>
    <row r="3430" spans="2:23" s="7" customFormat="1" ht="18" customHeight="1">
      <c r="B3430" s="12" t="s">
        <v>300</v>
      </c>
      <c r="C3430" s="965" t="s">
        <v>4663</v>
      </c>
      <c r="D3430" s="14" t="s">
        <v>3150</v>
      </c>
      <c r="E3430" s="22">
        <v>11700</v>
      </c>
      <c r="F3430" s="37">
        <v>9</v>
      </c>
      <c r="G3430" s="22" t="s">
        <v>118</v>
      </c>
      <c r="H3430" s="8">
        <v>10</v>
      </c>
      <c r="I3430" s="35">
        <v>3</v>
      </c>
      <c r="J3430" s="108">
        <f>H3430*I3430</f>
        <v>30</v>
      </c>
      <c r="K3430" s="958">
        <v>1.49</v>
      </c>
      <c r="L3430" s="39">
        <f>K3430*J3430</f>
        <v>44.7</v>
      </c>
      <c r="M3430" s="117" t="s">
        <v>349</v>
      </c>
      <c r="N3430" s="33">
        <v>45273</v>
      </c>
      <c r="O3430" s="32">
        <v>5745</v>
      </c>
      <c r="P3430" s="391">
        <f>ROUNDUP(S3430/V3430/VLOOKUP(B3430,$C$2:$F$6,3,FALSE),2)</f>
        <v>0.96</v>
      </c>
      <c r="Q3430" s="322">
        <v>0.96</v>
      </c>
      <c r="R3430" s="322">
        <f>Q3430*J3430</f>
        <v>28.799999999999997</v>
      </c>
      <c r="S3430" s="7">
        <v>80.3</v>
      </c>
      <c r="T3430" s="7">
        <f>S3430*J3430</f>
        <v>2409</v>
      </c>
      <c r="U3430" s="39"/>
      <c r="V3430" s="260">
        <v>120</v>
      </c>
      <c r="W3430" s="1136">
        <f t="shared" si="243"/>
        <v>0.55089485458612975</v>
      </c>
    </row>
    <row r="3431" spans="2:23" s="7" customFormat="1" ht="18" customHeight="1">
      <c r="B3431" s="12"/>
      <c r="C3431" s="965" t="s">
        <v>4663</v>
      </c>
      <c r="D3431" s="14" t="s">
        <v>3150</v>
      </c>
      <c r="E3431" s="82"/>
      <c r="F3431" s="102"/>
      <c r="G3431" s="22" t="s">
        <v>316</v>
      </c>
      <c r="H3431" s="8"/>
      <c r="I3431" s="35"/>
      <c r="J3431" s="38">
        <v>1</v>
      </c>
      <c r="K3431" s="39">
        <v>12</v>
      </c>
      <c r="L3431" s="39">
        <f>K3431*J3431</f>
        <v>12</v>
      </c>
      <c r="M3431" s="91"/>
      <c r="N3431" s="33">
        <v>45273</v>
      </c>
      <c r="O3431" s="32">
        <v>5745</v>
      </c>
      <c r="P3431" s="6"/>
      <c r="Q3431" s="322">
        <v>12</v>
      </c>
      <c r="R3431" s="322">
        <v>12</v>
      </c>
      <c r="S3431" s="7">
        <v>0</v>
      </c>
      <c r="T3431" s="7">
        <f>S3431*J3431</f>
        <v>0</v>
      </c>
      <c r="U3431" s="21"/>
      <c r="V3431" s="260">
        <v>120</v>
      </c>
      <c r="W3431" s="1136">
        <f t="shared" si="243"/>
        <v>1</v>
      </c>
    </row>
    <row r="3432" spans="2:23" s="191" customFormat="1" ht="15">
      <c r="B3432" s="190"/>
      <c r="C3432" s="966" t="s">
        <v>4663</v>
      </c>
      <c r="D3432" s="180" t="s">
        <v>3150</v>
      </c>
      <c r="E3432" s="181"/>
      <c r="F3432" s="182"/>
      <c r="G3432" s="182" t="s">
        <v>2738</v>
      </c>
      <c r="H3432" s="184" t="s">
        <v>251</v>
      </c>
      <c r="I3432" s="185"/>
      <c r="J3432" s="183"/>
      <c r="K3432" s="192">
        <v>0</v>
      </c>
      <c r="L3432" s="187"/>
      <c r="M3432" s="187"/>
      <c r="N3432" s="187">
        <v>45273</v>
      </c>
      <c r="O3432" s="186">
        <v>5745</v>
      </c>
      <c r="P3432" s="179"/>
      <c r="Q3432" s="255">
        <v>0</v>
      </c>
      <c r="S3432" s="274">
        <v>0</v>
      </c>
      <c r="T3432" s="198">
        <v>0</v>
      </c>
      <c r="U3432" s="271"/>
      <c r="V3432" s="260">
        <v>120</v>
      </c>
      <c r="W3432" s="1136" t="e">
        <f t="shared" si="243"/>
        <v>#DIV/0!</v>
      </c>
    </row>
    <row r="3433" spans="2:23" s="7" customFormat="1" ht="18" customHeight="1">
      <c r="B3433" s="12"/>
      <c r="C3433" s="6" t="s">
        <v>4665</v>
      </c>
      <c r="D3433" s="14" t="s">
        <v>2059</v>
      </c>
      <c r="E3433" s="19" t="s">
        <v>2358</v>
      </c>
      <c r="F3433" s="24"/>
      <c r="G3433" s="22"/>
      <c r="H3433" s="60"/>
      <c r="I3433" s="61"/>
      <c r="J3433" s="60"/>
      <c r="K3433" s="16" t="s">
        <v>5</v>
      </c>
      <c r="L3433" s="139"/>
      <c r="M3433" s="33"/>
      <c r="N3433" s="33">
        <v>45285</v>
      </c>
      <c r="O3433" s="32">
        <v>5779</v>
      </c>
      <c r="P3433" s="6" t="s">
        <v>3</v>
      </c>
      <c r="Q3433" s="358"/>
      <c r="U3433" s="120"/>
      <c r="V3433" s="260">
        <v>120</v>
      </c>
      <c r="W3433" s="1136" t="e">
        <f t="shared" si="243"/>
        <v>#VALUE!</v>
      </c>
    </row>
    <row r="3434" spans="2:23" s="7" customFormat="1" ht="18" customHeight="1">
      <c r="B3434" s="12" t="s">
        <v>300</v>
      </c>
      <c r="C3434" s="6" t="s">
        <v>4665</v>
      </c>
      <c r="D3434" s="14" t="s">
        <v>2059</v>
      </c>
      <c r="E3434" s="22" t="s">
        <v>4664</v>
      </c>
      <c r="F3434" s="102"/>
      <c r="G3434" s="22" t="s">
        <v>4572</v>
      </c>
      <c r="H3434" s="8"/>
      <c r="I3434" s="35"/>
      <c r="J3434" s="8">
        <v>10</v>
      </c>
      <c r="K3434" s="39">
        <v>5.54</v>
      </c>
      <c r="L3434" s="39">
        <f>K3434*J3434</f>
        <v>55.4</v>
      </c>
      <c r="M3434" s="117" t="s">
        <v>323</v>
      </c>
      <c r="N3434" s="33">
        <v>45285</v>
      </c>
      <c r="O3434" s="32">
        <v>5779</v>
      </c>
      <c r="P3434" s="391">
        <f>ROUNDUP(S3434/V3434/VLOOKUP(B3434,$C$2:$F$6,3,FALSE),2)</f>
        <v>3.5599999999999996</v>
      </c>
      <c r="Q3434" s="322">
        <v>3.56</v>
      </c>
      <c r="R3434" s="322">
        <f>Q3434*J3434</f>
        <v>35.6</v>
      </c>
      <c r="S3434" s="7">
        <v>299</v>
      </c>
      <c r="T3434" s="7">
        <f>S3434*J3434</f>
        <v>2990</v>
      </c>
      <c r="U3434" s="386"/>
      <c r="V3434" s="260">
        <v>120</v>
      </c>
      <c r="W3434" s="1136">
        <f>(((K3434*V3434)-S3434)/(K3434*V3434))</f>
        <v>0.55024067388688325</v>
      </c>
    </row>
    <row r="3435" spans="2:23" s="7" customFormat="1" ht="18" customHeight="1">
      <c r="B3435" s="12" t="s">
        <v>300</v>
      </c>
      <c r="C3435" s="6" t="s">
        <v>4665</v>
      </c>
      <c r="D3435" s="14" t="s">
        <v>2059</v>
      </c>
      <c r="E3435" s="22" t="s">
        <v>4664</v>
      </c>
      <c r="F3435" s="102"/>
      <c r="G3435" s="22" t="s">
        <v>4666</v>
      </c>
      <c r="H3435" s="8"/>
      <c r="I3435" s="35"/>
      <c r="J3435" s="8">
        <v>10</v>
      </c>
      <c r="K3435" s="39">
        <v>5.54</v>
      </c>
      <c r="L3435" s="39">
        <f>K3435*J3435</f>
        <v>55.4</v>
      </c>
      <c r="M3435" s="117" t="s">
        <v>323</v>
      </c>
      <c r="N3435" s="33">
        <v>45285</v>
      </c>
      <c r="O3435" s="32">
        <v>5779</v>
      </c>
      <c r="P3435" s="391">
        <f>ROUNDUP(S3435/V3435/VLOOKUP(B3435,$C$2:$F$6,3,FALSE),2)</f>
        <v>3.5599999999999996</v>
      </c>
      <c r="Q3435" s="322">
        <v>3.56</v>
      </c>
      <c r="R3435" s="322">
        <f>Q3435*J3435</f>
        <v>35.6</v>
      </c>
      <c r="S3435" s="7">
        <v>299</v>
      </c>
      <c r="T3435" s="7">
        <f>S3435*J3435</f>
        <v>2990</v>
      </c>
      <c r="U3435" s="386"/>
      <c r="V3435" s="260">
        <v>120</v>
      </c>
      <c r="W3435" s="1136">
        <f t="shared" si="243"/>
        <v>0.55024067388688325</v>
      </c>
    </row>
    <row r="3436" spans="2:23" s="7" customFormat="1" ht="18" customHeight="1">
      <c r="B3436" s="12" t="s">
        <v>306</v>
      </c>
      <c r="C3436" s="6" t="s">
        <v>4665</v>
      </c>
      <c r="D3436" s="14" t="s">
        <v>2059</v>
      </c>
      <c r="E3436" s="22"/>
      <c r="F3436" s="102"/>
      <c r="G3436" s="22" t="s">
        <v>167</v>
      </c>
      <c r="H3436" s="8"/>
      <c r="I3436" s="35"/>
      <c r="J3436" s="38">
        <v>2</v>
      </c>
      <c r="K3436" s="39">
        <v>125</v>
      </c>
      <c r="L3436" s="39">
        <f>K3436*J3436</f>
        <v>250</v>
      </c>
      <c r="M3436" s="91"/>
      <c r="N3436" s="33">
        <v>45285</v>
      </c>
      <c r="O3436" s="32">
        <v>5779</v>
      </c>
      <c r="P3436" s="391">
        <f>ROUNDUP(S3436/V3436/VLOOKUP(B3436,$C$2:$F$6,3,FALSE),2)</f>
        <v>113.64</v>
      </c>
      <c r="Q3436" s="322">
        <v>113.64</v>
      </c>
      <c r="R3436" s="322">
        <f>Q3436*J3436</f>
        <v>227.28</v>
      </c>
      <c r="S3436" s="7">
        <v>12000</v>
      </c>
      <c r="T3436" s="7">
        <f>S3436*J3436</f>
        <v>24000</v>
      </c>
      <c r="U3436" s="21"/>
      <c r="V3436" s="260">
        <v>120</v>
      </c>
      <c r="W3436" s="1136">
        <f t="shared" si="243"/>
        <v>0.2</v>
      </c>
    </row>
    <row r="3437" spans="2:23" s="7" customFormat="1" ht="18" customHeight="1">
      <c r="B3437" s="12"/>
      <c r="C3437" s="6" t="s">
        <v>4665</v>
      </c>
      <c r="D3437" s="14" t="s">
        <v>2059</v>
      </c>
      <c r="E3437" s="49"/>
      <c r="F3437" s="102"/>
      <c r="G3437" s="22" t="s">
        <v>316</v>
      </c>
      <c r="H3437" s="8"/>
      <c r="I3437" s="35"/>
      <c r="J3437" s="38">
        <v>1</v>
      </c>
      <c r="K3437" s="39">
        <v>12</v>
      </c>
      <c r="L3437" s="39">
        <f>K3437*J3437</f>
        <v>12</v>
      </c>
      <c r="M3437" s="91"/>
      <c r="N3437" s="33">
        <v>45285</v>
      </c>
      <c r="O3437" s="32">
        <v>5779</v>
      </c>
      <c r="P3437" s="6" t="s">
        <v>3</v>
      </c>
      <c r="Q3437" s="322">
        <v>12</v>
      </c>
      <c r="R3437" s="322">
        <v>12</v>
      </c>
      <c r="S3437" s="7">
        <v>0</v>
      </c>
      <c r="T3437" s="7">
        <f>S3437*J3437</f>
        <v>0</v>
      </c>
      <c r="U3437" s="21"/>
      <c r="V3437" s="260">
        <v>120</v>
      </c>
      <c r="W3437" s="1136">
        <f t="shared" si="243"/>
        <v>1</v>
      </c>
    </row>
    <row r="3438" spans="2:23" s="191" customFormat="1" ht="18" customHeight="1">
      <c r="B3438" s="190"/>
      <c r="C3438" s="179" t="s">
        <v>4665</v>
      </c>
      <c r="D3438" s="180" t="s">
        <v>2059</v>
      </c>
      <c r="E3438" s="217"/>
      <c r="F3438" s="182"/>
      <c r="G3438" s="182" t="s">
        <v>250</v>
      </c>
      <c r="H3438" s="184" t="s">
        <v>251</v>
      </c>
      <c r="I3438" s="185"/>
      <c r="J3438" s="183"/>
      <c r="K3438" s="192">
        <v>0</v>
      </c>
      <c r="L3438" s="187"/>
      <c r="M3438" s="187"/>
      <c r="N3438" s="187">
        <v>45285</v>
      </c>
      <c r="O3438" s="186">
        <v>5779</v>
      </c>
      <c r="P3438" s="179"/>
      <c r="Q3438" s="255">
        <v>0</v>
      </c>
      <c r="R3438" s="322">
        <v>0</v>
      </c>
      <c r="S3438" s="275">
        <v>0</v>
      </c>
      <c r="T3438" s="198">
        <v>0</v>
      </c>
      <c r="U3438" s="271"/>
      <c r="V3438" s="260">
        <v>120</v>
      </c>
      <c r="W3438" s="1136" t="e">
        <f t="shared" si="243"/>
        <v>#DIV/0!</v>
      </c>
    </row>
    <row r="3439" spans="2:23" s="7" customFormat="1" ht="18" customHeight="1">
      <c r="B3439" s="12"/>
      <c r="C3439" s="6" t="s">
        <v>4667</v>
      </c>
      <c r="D3439" s="14" t="s">
        <v>1970</v>
      </c>
      <c r="E3439" s="17" t="s">
        <v>2968</v>
      </c>
      <c r="F3439" s="319"/>
      <c r="G3439" s="299"/>
      <c r="H3439" s="300" t="s">
        <v>355</v>
      </c>
      <c r="I3439" s="320"/>
      <c r="J3439" s="321"/>
      <c r="K3439" s="110" t="s">
        <v>101</v>
      </c>
      <c r="L3439" s="139"/>
      <c r="M3439" s="33"/>
      <c r="N3439" s="33">
        <v>45278</v>
      </c>
      <c r="O3439" s="32">
        <v>5753</v>
      </c>
      <c r="P3439" s="6"/>
      <c r="Q3439" s="322"/>
      <c r="U3439" s="39"/>
      <c r="V3439" s="260">
        <v>120</v>
      </c>
      <c r="W3439" s="1136" t="e">
        <f t="shared" si="243"/>
        <v>#VALUE!</v>
      </c>
    </row>
    <row r="3440" spans="2:23" s="7" customFormat="1" ht="18" customHeight="1">
      <c r="B3440" s="12" t="s">
        <v>300</v>
      </c>
      <c r="C3440" s="6" t="s">
        <v>4667</v>
      </c>
      <c r="D3440" s="14" t="s">
        <v>1970</v>
      </c>
      <c r="E3440" s="22">
        <v>4063</v>
      </c>
      <c r="F3440" s="24">
        <v>15</v>
      </c>
      <c r="G3440" s="22" t="s">
        <v>2969</v>
      </c>
      <c r="H3440" s="108">
        <v>30</v>
      </c>
      <c r="I3440" s="109">
        <v>4</v>
      </c>
      <c r="J3440" s="8">
        <f>H3440*I3440</f>
        <v>120</v>
      </c>
      <c r="K3440" s="39">
        <v>1.1499999999999999</v>
      </c>
      <c r="L3440" s="39">
        <f>K3440*J3440</f>
        <v>138</v>
      </c>
      <c r="M3440" s="117" t="s">
        <v>349</v>
      </c>
      <c r="N3440" s="33">
        <v>45278</v>
      </c>
      <c r="O3440" s="32">
        <v>5753</v>
      </c>
      <c r="P3440" s="391">
        <f>ROUNDUP(S3440/V3440/VLOOKUP(B3440,$C$2:$F$6,3,FALSE),2)</f>
        <v>0.74</v>
      </c>
      <c r="Q3440" s="358">
        <v>0.74</v>
      </c>
      <c r="R3440" s="322">
        <f>Q3440*J3440</f>
        <v>88.8</v>
      </c>
      <c r="S3440" s="7">
        <v>62</v>
      </c>
      <c r="T3440" s="7">
        <f>S3440*J3440</f>
        <v>7440</v>
      </c>
      <c r="U3440" s="267"/>
      <c r="V3440" s="260">
        <v>120</v>
      </c>
      <c r="W3440" s="1136">
        <f t="shared" si="243"/>
        <v>0.55072463768115942</v>
      </c>
    </row>
    <row r="3441" spans="2:23" s="7" customFormat="1" ht="18" customHeight="1">
      <c r="B3441" s="12"/>
      <c r="C3441" s="6" t="s">
        <v>4667</v>
      </c>
      <c r="D3441" s="14" t="s">
        <v>1970</v>
      </c>
      <c r="E3441" s="82"/>
      <c r="F3441" s="102"/>
      <c r="G3441" s="22" t="s">
        <v>316</v>
      </c>
      <c r="H3441" s="8"/>
      <c r="I3441" s="35"/>
      <c r="J3441" s="38">
        <v>1</v>
      </c>
      <c r="K3441" s="39">
        <v>12</v>
      </c>
      <c r="L3441" s="39">
        <f>K3441*J3441</f>
        <v>12</v>
      </c>
      <c r="M3441" s="91"/>
      <c r="N3441" s="33">
        <v>45278</v>
      </c>
      <c r="O3441" s="32">
        <v>5753</v>
      </c>
      <c r="P3441" s="6"/>
      <c r="Q3441" s="322">
        <v>12</v>
      </c>
      <c r="R3441" s="322">
        <v>12</v>
      </c>
      <c r="S3441" s="7">
        <v>1100</v>
      </c>
      <c r="T3441" s="7">
        <f>S3441*J3441</f>
        <v>1100</v>
      </c>
      <c r="U3441" s="21"/>
      <c r="V3441" s="260">
        <v>120</v>
      </c>
      <c r="W3441" s="1136">
        <f t="shared" si="243"/>
        <v>0.2361111111111111</v>
      </c>
    </row>
    <row r="3442" spans="2:23" s="191" customFormat="1" ht="18" customHeight="1">
      <c r="B3442" s="190"/>
      <c r="C3442" s="179" t="s">
        <v>4667</v>
      </c>
      <c r="D3442" s="180" t="s">
        <v>1970</v>
      </c>
      <c r="E3442" s="181"/>
      <c r="F3442" s="622"/>
      <c r="G3442" s="182" t="s">
        <v>250</v>
      </c>
      <c r="H3442" s="184" t="s">
        <v>251</v>
      </c>
      <c r="I3442" s="185"/>
      <c r="J3442" s="183"/>
      <c r="K3442" s="192">
        <v>0</v>
      </c>
      <c r="L3442" s="188"/>
      <c r="M3442" s="187"/>
      <c r="N3442" s="187">
        <v>45278</v>
      </c>
      <c r="O3442" s="186">
        <v>5753</v>
      </c>
      <c r="P3442" s="179"/>
      <c r="Q3442" s="725">
        <v>0</v>
      </c>
      <c r="S3442" s="197">
        <v>0</v>
      </c>
      <c r="T3442" s="198">
        <v>0</v>
      </c>
      <c r="U3442" s="335"/>
      <c r="V3442" s="260">
        <v>120</v>
      </c>
      <c r="W3442" s="1136" t="e">
        <f t="shared" si="243"/>
        <v>#DIV/0!</v>
      </c>
    </row>
    <row r="3443" spans="2:23" s="1168" customFormat="1" ht="17.25" customHeight="1">
      <c r="B3443" s="1169"/>
      <c r="C3443" s="965" t="s">
        <v>4668</v>
      </c>
      <c r="D3443" s="14" t="s">
        <v>3150</v>
      </c>
      <c r="E3443" s="19" t="s">
        <v>4485</v>
      </c>
      <c r="F3443" s="1171"/>
      <c r="G3443" s="22"/>
      <c r="H3443" s="108"/>
      <c r="I3443" s="109"/>
      <c r="J3443" s="8"/>
      <c r="K3443" s="110" t="s">
        <v>5</v>
      </c>
      <c r="L3443" s="900"/>
      <c r="M3443" s="403"/>
      <c r="N3443" s="33">
        <v>45280</v>
      </c>
      <c r="O3443" s="32">
        <v>5763</v>
      </c>
      <c r="P3443" s="1173"/>
      <c r="Q3443" s="899"/>
      <c r="R3443" s="899"/>
      <c r="S3443" s="1174" t="s">
        <v>330</v>
      </c>
      <c r="T3443" s="92"/>
      <c r="U3443" s="1174" t="s">
        <v>4494</v>
      </c>
      <c r="V3443" s="901"/>
    </row>
    <row r="3444" spans="2:23" s="1168" customFormat="1" ht="17.25" customHeight="1">
      <c r="B3444" s="1169" t="s">
        <v>300</v>
      </c>
      <c r="C3444" s="965" t="s">
        <v>4668</v>
      </c>
      <c r="D3444" s="14" t="s">
        <v>3150</v>
      </c>
      <c r="E3444" s="22">
        <v>2200</v>
      </c>
      <c r="F3444" s="1171">
        <v>36</v>
      </c>
      <c r="G3444" s="22" t="s">
        <v>4669</v>
      </c>
      <c r="H3444" s="108">
        <v>15</v>
      </c>
      <c r="I3444" s="109">
        <v>3</v>
      </c>
      <c r="J3444" s="8">
        <f>H3444*I3444</f>
        <v>45</v>
      </c>
      <c r="K3444" s="39">
        <v>3.35</v>
      </c>
      <c r="L3444" s="39">
        <f>K3444*J3444</f>
        <v>150.75</v>
      </c>
      <c r="M3444" s="403" t="s">
        <v>323</v>
      </c>
      <c r="N3444" s="33">
        <v>45280</v>
      </c>
      <c r="O3444" s="32">
        <v>5763</v>
      </c>
      <c r="P3444" s="391">
        <f>ROUNDUP(S3444/V3444/VLOOKUP(B3444,$C$2:$F$6,3,FALSE),2)</f>
        <v>1.79</v>
      </c>
      <c r="Q3444" s="899">
        <v>1.78</v>
      </c>
      <c r="R3444" s="322">
        <f>Q3444*J3444</f>
        <v>80.099999999999994</v>
      </c>
      <c r="S3444" s="7">
        <v>149.53299999999999</v>
      </c>
      <c r="T3444" s="7">
        <v>6729</v>
      </c>
      <c r="U3444" s="7">
        <v>164.47</v>
      </c>
      <c r="V3444" s="901">
        <v>120</v>
      </c>
      <c r="W3444" s="1136">
        <f t="shared" ref="W3444:W3450" si="244">(((K3444*V3444)-S3444)/(K3444*V3444))</f>
        <v>0.62802736318407959</v>
      </c>
    </row>
    <row r="3445" spans="2:23" s="7" customFormat="1" ht="18" customHeight="1">
      <c r="B3445" s="12"/>
      <c r="C3445" s="965" t="s">
        <v>4668</v>
      </c>
      <c r="D3445" s="14" t="s">
        <v>3150</v>
      </c>
      <c r="E3445" s="82"/>
      <c r="F3445" s="102"/>
      <c r="G3445" s="22" t="s">
        <v>316</v>
      </c>
      <c r="H3445" s="8"/>
      <c r="I3445" s="35"/>
      <c r="J3445" s="38">
        <v>1</v>
      </c>
      <c r="K3445" s="39">
        <v>12</v>
      </c>
      <c r="L3445" s="39">
        <f>K3445*J3445</f>
        <v>12</v>
      </c>
      <c r="M3445" s="91"/>
      <c r="N3445" s="33">
        <v>45280</v>
      </c>
      <c r="O3445" s="32">
        <v>5763</v>
      </c>
      <c r="P3445" s="6"/>
      <c r="Q3445" s="322">
        <v>12</v>
      </c>
      <c r="R3445" s="322">
        <v>12</v>
      </c>
      <c r="S3445" s="7">
        <v>0</v>
      </c>
      <c r="T3445" s="7">
        <f>S3445*J3445</f>
        <v>0</v>
      </c>
      <c r="U3445" s="21"/>
      <c r="V3445" s="260">
        <v>120</v>
      </c>
      <c r="W3445" s="1136">
        <f t="shared" si="244"/>
        <v>1</v>
      </c>
    </row>
    <row r="3446" spans="2:23" s="191" customFormat="1" ht="18" customHeight="1">
      <c r="B3446" s="190"/>
      <c r="C3446" s="966" t="s">
        <v>4668</v>
      </c>
      <c r="D3446" s="180" t="s">
        <v>3150</v>
      </c>
      <c r="E3446" s="181"/>
      <c r="F3446" s="622"/>
      <c r="G3446" s="182" t="s">
        <v>250</v>
      </c>
      <c r="H3446" s="184" t="s">
        <v>251</v>
      </c>
      <c r="I3446" s="185"/>
      <c r="J3446" s="183"/>
      <c r="K3446" s="192">
        <v>0</v>
      </c>
      <c r="L3446" s="188"/>
      <c r="M3446" s="187"/>
      <c r="N3446" s="187">
        <v>45280</v>
      </c>
      <c r="O3446" s="186">
        <v>5763</v>
      </c>
      <c r="P3446" s="179"/>
      <c r="Q3446" s="725">
        <v>0</v>
      </c>
      <c r="S3446" s="197">
        <v>0</v>
      </c>
      <c r="T3446" s="198">
        <v>0</v>
      </c>
      <c r="U3446" s="335"/>
      <c r="V3446" s="260">
        <v>120</v>
      </c>
      <c r="W3446" s="1136" t="e">
        <f t="shared" si="244"/>
        <v>#DIV/0!</v>
      </c>
    </row>
    <row r="3447" spans="2:23" s="7" customFormat="1" ht="18" customHeight="1">
      <c r="B3447" s="12"/>
      <c r="C3447" s="6" t="s">
        <v>4670</v>
      </c>
      <c r="D3447" s="14" t="s">
        <v>2171</v>
      </c>
      <c r="E3447" s="19" t="s">
        <v>10</v>
      </c>
      <c r="F3447" s="107"/>
      <c r="G3447" s="22"/>
      <c r="H3447" s="108"/>
      <c r="I3447" s="109"/>
      <c r="J3447" s="108"/>
      <c r="K3447" s="29" t="s">
        <v>5</v>
      </c>
      <c r="L3447" s="139"/>
      <c r="M3447" s="33"/>
      <c r="N3447" s="33">
        <v>45279</v>
      </c>
      <c r="O3447" s="32">
        <v>5744</v>
      </c>
      <c r="P3447" s="14"/>
      <c r="Q3447" s="322"/>
      <c r="U3447" s="14"/>
      <c r="V3447" s="260">
        <v>120</v>
      </c>
      <c r="W3447" s="1136" t="e">
        <f t="shared" si="244"/>
        <v>#VALUE!</v>
      </c>
    </row>
    <row r="3448" spans="2:23" s="7" customFormat="1" ht="18" customHeight="1">
      <c r="B3448" s="12" t="s">
        <v>302</v>
      </c>
      <c r="C3448" s="6" t="s">
        <v>4670</v>
      </c>
      <c r="D3448" s="14" t="s">
        <v>2171</v>
      </c>
      <c r="E3448" s="22" t="s">
        <v>207</v>
      </c>
      <c r="F3448" s="107">
        <v>152</v>
      </c>
      <c r="G3448" s="396" t="s">
        <v>4526</v>
      </c>
      <c r="H3448" s="108">
        <v>50</v>
      </c>
      <c r="I3448" s="109">
        <v>1</v>
      </c>
      <c r="J3448" s="8">
        <f>I3448*H3448</f>
        <v>50</v>
      </c>
      <c r="K3448" s="39">
        <v>4.7300000000000004</v>
      </c>
      <c r="L3448" s="39">
        <f>K3448*J3448</f>
        <v>236.50000000000003</v>
      </c>
      <c r="M3448" s="403" t="s">
        <v>322</v>
      </c>
      <c r="N3448" s="33">
        <v>45279</v>
      </c>
      <c r="O3448" s="32">
        <v>5744</v>
      </c>
      <c r="P3448" s="391">
        <f>ROUNDUP(S3448/V3448/VLOOKUP(B3448,$C$2:$F$6,3,FALSE),2)</f>
        <v>3.2199999999999998</v>
      </c>
      <c r="Q3448" s="322">
        <v>3.22</v>
      </c>
      <c r="R3448" s="322">
        <f>Q3448*J3448</f>
        <v>161</v>
      </c>
      <c r="S3448" s="7">
        <v>340</v>
      </c>
      <c r="T3448" s="7">
        <f>S3448*J3448</f>
        <v>17000</v>
      </c>
      <c r="U3448" s="21"/>
      <c r="V3448" s="260">
        <v>120</v>
      </c>
      <c r="W3448" s="1136">
        <f>(((K3448*V3448)-S3448)/(K3448*V3448))</f>
        <v>0.4009866102889359</v>
      </c>
    </row>
    <row r="3449" spans="2:23" s="7" customFormat="1" ht="18" customHeight="1">
      <c r="B3449" s="12" t="s">
        <v>302</v>
      </c>
      <c r="C3449" s="6" t="s">
        <v>4670</v>
      </c>
      <c r="D3449" s="14" t="s">
        <v>2171</v>
      </c>
      <c r="E3449" s="22" t="s">
        <v>207</v>
      </c>
      <c r="F3449" s="107">
        <v>152</v>
      </c>
      <c r="G3449" s="396" t="s">
        <v>2173</v>
      </c>
      <c r="H3449" s="108">
        <v>50</v>
      </c>
      <c r="I3449" s="109">
        <v>1</v>
      </c>
      <c r="J3449" s="8">
        <f>I3449*H3449</f>
        <v>50</v>
      </c>
      <c r="K3449" s="39">
        <v>4.7300000000000004</v>
      </c>
      <c r="L3449" s="39">
        <f>K3449*J3449</f>
        <v>236.50000000000003</v>
      </c>
      <c r="M3449" s="403" t="s">
        <v>322</v>
      </c>
      <c r="N3449" s="33">
        <v>45279</v>
      </c>
      <c r="O3449" s="32">
        <v>5744</v>
      </c>
      <c r="P3449" s="391">
        <f>ROUNDUP(S3449/V3449/VLOOKUP(B3449,$C$2:$F$6,3,FALSE),2)</f>
        <v>3.2199999999999998</v>
      </c>
      <c r="Q3449" s="322">
        <v>3.22</v>
      </c>
      <c r="R3449" s="322">
        <f>Q3449*J3449</f>
        <v>161</v>
      </c>
      <c r="S3449" s="7">
        <v>340</v>
      </c>
      <c r="T3449" s="7">
        <f>S3449*J3449</f>
        <v>17000</v>
      </c>
      <c r="U3449" s="21"/>
      <c r="V3449" s="260">
        <v>120</v>
      </c>
      <c r="W3449" s="1136">
        <f t="shared" si="244"/>
        <v>0.4009866102889359</v>
      </c>
    </row>
    <row r="3450" spans="2:23" s="7" customFormat="1" ht="18" customHeight="1">
      <c r="B3450" s="12" t="s">
        <v>302</v>
      </c>
      <c r="C3450" s="6" t="s">
        <v>4670</v>
      </c>
      <c r="D3450" s="14" t="s">
        <v>2171</v>
      </c>
      <c r="E3450" s="22" t="s">
        <v>207</v>
      </c>
      <c r="F3450" s="107">
        <v>152</v>
      </c>
      <c r="G3450" s="396" t="s">
        <v>3351</v>
      </c>
      <c r="H3450" s="108">
        <v>50</v>
      </c>
      <c r="I3450" s="109">
        <v>1</v>
      </c>
      <c r="J3450" s="8">
        <f>I3450*H3450</f>
        <v>50</v>
      </c>
      <c r="K3450" s="39">
        <v>4.7300000000000004</v>
      </c>
      <c r="L3450" s="39">
        <f>K3450*J3450</f>
        <v>236.50000000000003</v>
      </c>
      <c r="M3450" s="403" t="s">
        <v>322</v>
      </c>
      <c r="N3450" s="33">
        <v>45279</v>
      </c>
      <c r="O3450" s="32">
        <v>5744</v>
      </c>
      <c r="P3450" s="391">
        <f>ROUNDUP(S3450/V3450/VLOOKUP(B3450,$C$2:$F$6,3,FALSE),2)</f>
        <v>3.2199999999999998</v>
      </c>
      <c r="Q3450" s="322">
        <v>3.22</v>
      </c>
      <c r="R3450" s="322">
        <f>Q3450*J3450</f>
        <v>161</v>
      </c>
      <c r="S3450" s="7">
        <v>340</v>
      </c>
      <c r="T3450" s="7">
        <f>S3450*J3450</f>
        <v>17000</v>
      </c>
      <c r="U3450" s="21"/>
      <c r="V3450" s="260">
        <v>120</v>
      </c>
      <c r="W3450" s="1136">
        <f t="shared" si="244"/>
        <v>0.4009866102889359</v>
      </c>
    </row>
    <row r="3451" spans="2:23" s="7" customFormat="1" ht="18" customHeight="1">
      <c r="B3451" s="12" t="s">
        <v>302</v>
      </c>
      <c r="C3451" s="6" t="s">
        <v>4670</v>
      </c>
      <c r="D3451" s="14" t="s">
        <v>2171</v>
      </c>
      <c r="E3451" s="22" t="s">
        <v>207</v>
      </c>
      <c r="F3451" s="107">
        <v>152</v>
      </c>
      <c r="G3451" s="396" t="s">
        <v>4671</v>
      </c>
      <c r="H3451" s="108">
        <v>50</v>
      </c>
      <c r="I3451" s="109">
        <v>1</v>
      </c>
      <c r="J3451" s="8">
        <f>I3451*H3451</f>
        <v>50</v>
      </c>
      <c r="K3451" s="39">
        <v>4.7300000000000004</v>
      </c>
      <c r="L3451" s="39">
        <f>K3451*J3451</f>
        <v>236.50000000000003</v>
      </c>
      <c r="M3451" s="403" t="s">
        <v>322</v>
      </c>
      <c r="N3451" s="33">
        <v>45279</v>
      </c>
      <c r="O3451" s="32">
        <v>5744</v>
      </c>
      <c r="P3451" s="391">
        <f>ROUNDUP(S3451/V3451/VLOOKUP(B3451,$C$2:$F$6,3,FALSE),2)</f>
        <v>3.2199999999999998</v>
      </c>
      <c r="Q3451" s="322">
        <v>3.22</v>
      </c>
      <c r="R3451" s="322">
        <f>Q3451*J3451</f>
        <v>161</v>
      </c>
      <c r="S3451" s="7">
        <v>340</v>
      </c>
      <c r="T3451" s="7">
        <f>S3451*J3451</f>
        <v>17000</v>
      </c>
      <c r="U3451" s="21"/>
      <c r="V3451" s="260">
        <v>120</v>
      </c>
      <c r="W3451" s="1136">
        <f>(((K3451*V3451)-S3451)/(K3451*V3451))</f>
        <v>0.4009866102889359</v>
      </c>
    </row>
    <row r="3452" spans="2:23" s="7" customFormat="1" ht="18" customHeight="1">
      <c r="B3452" s="12"/>
      <c r="C3452" s="6" t="s">
        <v>4670</v>
      </c>
      <c r="D3452" s="14" t="s">
        <v>2171</v>
      </c>
      <c r="E3452" s="22"/>
      <c r="F3452" s="102"/>
      <c r="G3452" s="22" t="s">
        <v>316</v>
      </c>
      <c r="H3452" s="8"/>
      <c r="I3452" s="35"/>
      <c r="J3452" s="38">
        <v>1</v>
      </c>
      <c r="K3452" s="39">
        <v>20</v>
      </c>
      <c r="L3452" s="39">
        <f>K3452*J3452</f>
        <v>20</v>
      </c>
      <c r="M3452" s="91"/>
      <c r="N3452" s="33">
        <v>45279</v>
      </c>
      <c r="O3452" s="32">
        <v>5744</v>
      </c>
      <c r="P3452" s="6" t="s">
        <v>3</v>
      </c>
      <c r="Q3452" s="39">
        <v>20</v>
      </c>
      <c r="R3452" s="322">
        <f>Q3452*J3452</f>
        <v>20</v>
      </c>
      <c r="S3452" s="7">
        <v>1800</v>
      </c>
      <c r="T3452" s="7">
        <f>S3452*J3452</f>
        <v>1800</v>
      </c>
      <c r="U3452" s="21"/>
      <c r="V3452" s="260">
        <v>120</v>
      </c>
      <c r="W3452" s="1136">
        <f>(((K3452*V3452)-S3452)/(K3452*V3452))</f>
        <v>0.25</v>
      </c>
    </row>
    <row r="3453" spans="2:23" s="191" customFormat="1" ht="15.75">
      <c r="B3453" s="190"/>
      <c r="C3453" s="179" t="s">
        <v>4670</v>
      </c>
      <c r="D3453" s="180" t="s">
        <v>2171</v>
      </c>
      <c r="E3453" s="181"/>
      <c r="F3453" s="182"/>
      <c r="G3453" s="309" t="s">
        <v>324</v>
      </c>
      <c r="H3453" s="184" t="s">
        <v>252</v>
      </c>
      <c r="I3453" s="185"/>
      <c r="J3453" s="183"/>
      <c r="K3453" s="203">
        <v>230</v>
      </c>
      <c r="L3453" s="203">
        <v>230</v>
      </c>
      <c r="M3453" s="187"/>
      <c r="N3453" s="187">
        <v>45279</v>
      </c>
      <c r="O3453" s="186">
        <v>5744</v>
      </c>
      <c r="P3453" s="179"/>
      <c r="Q3453" s="203">
        <v>230</v>
      </c>
      <c r="R3453" s="203">
        <v>230</v>
      </c>
      <c r="S3453" s="838">
        <v>29300</v>
      </c>
      <c r="T3453" s="838">
        <v>29300</v>
      </c>
      <c r="U3453" s="271"/>
      <c r="V3453" s="260">
        <v>120</v>
      </c>
      <c r="W3453" s="1136">
        <f>(((K3453*V3453)-S3453)/(K3453*V3453))</f>
        <v>-6.1594202898550728E-2</v>
      </c>
    </row>
    <row r="3454" spans="2:23" s="7" customFormat="1" ht="18" customHeight="1">
      <c r="B3454" s="12"/>
      <c r="C3454" s="6" t="s">
        <v>4672</v>
      </c>
      <c r="D3454" s="14" t="s">
        <v>3391</v>
      </c>
      <c r="E3454" s="19" t="s">
        <v>10</v>
      </c>
      <c r="F3454" s="107"/>
      <c r="G3454" s="22"/>
      <c r="H3454" s="108"/>
      <c r="I3454" s="109"/>
      <c r="J3454" s="108"/>
      <c r="K3454" s="29" t="s">
        <v>5</v>
      </c>
      <c r="L3454" s="39"/>
      <c r="M3454" s="91"/>
      <c r="N3454" s="33">
        <v>45279</v>
      </c>
      <c r="O3454" s="32">
        <v>5761</v>
      </c>
      <c r="P3454" s="14"/>
      <c r="Q3454" s="322"/>
      <c r="U3454" s="14"/>
      <c r="V3454" s="384">
        <v>120</v>
      </c>
    </row>
    <row r="3455" spans="2:23" s="7" customFormat="1" ht="18" customHeight="1">
      <c r="B3455" s="12" t="s">
        <v>302</v>
      </c>
      <c r="C3455" s="6" t="s">
        <v>4672</v>
      </c>
      <c r="D3455" s="14" t="s">
        <v>3391</v>
      </c>
      <c r="E3455" s="22" t="s">
        <v>190</v>
      </c>
      <c r="F3455" s="107">
        <v>160</v>
      </c>
      <c r="G3455" s="396" t="s">
        <v>4673</v>
      </c>
      <c r="H3455" s="108"/>
      <c r="I3455" s="109"/>
      <c r="J3455" s="8">
        <v>5</v>
      </c>
      <c r="K3455" s="39">
        <v>5.28</v>
      </c>
      <c r="L3455" s="39">
        <f>K3455*J3455</f>
        <v>26.400000000000002</v>
      </c>
      <c r="M3455" s="117" t="s">
        <v>322</v>
      </c>
      <c r="N3455" s="33">
        <v>45279</v>
      </c>
      <c r="O3455" s="32">
        <v>5761</v>
      </c>
      <c r="P3455" s="391">
        <f>ROUNDUP(S3455/V3455/VLOOKUP(B3455,$C$2:$F$6,3,FALSE),2)</f>
        <v>3.5999999999999996</v>
      </c>
      <c r="Q3455" s="322">
        <v>3.6</v>
      </c>
      <c r="R3455" s="322">
        <f>Q3455*J3455</f>
        <v>18</v>
      </c>
      <c r="S3455" s="7">
        <v>380</v>
      </c>
      <c r="T3455" s="7">
        <f>S3455*J3455</f>
        <v>1900</v>
      </c>
      <c r="U3455" s="21"/>
      <c r="V3455" s="260">
        <v>120</v>
      </c>
      <c r="W3455" s="1136">
        <f>(((K3455*V3455)-S3455)/(K3455*V3455))</f>
        <v>0.40025252525252525</v>
      </c>
    </row>
    <row r="3456" spans="2:23" s="7" customFormat="1" ht="18" customHeight="1">
      <c r="B3456" s="12"/>
      <c r="C3456" s="6" t="s">
        <v>4672</v>
      </c>
      <c r="D3456" s="14" t="s">
        <v>3391</v>
      </c>
      <c r="E3456" s="49"/>
      <c r="F3456" s="102"/>
      <c r="G3456" s="22" t="s">
        <v>4329</v>
      </c>
      <c r="H3456" s="8"/>
      <c r="I3456" s="35"/>
      <c r="J3456" s="38">
        <v>1</v>
      </c>
      <c r="K3456" s="39">
        <v>15</v>
      </c>
      <c r="L3456" s="39">
        <f>K3456*J3456</f>
        <v>15</v>
      </c>
      <c r="M3456" s="91"/>
      <c r="N3456" s="33">
        <v>45279</v>
      </c>
      <c r="O3456" s="32">
        <v>5761</v>
      </c>
      <c r="P3456" s="6" t="s">
        <v>3</v>
      </c>
      <c r="Q3456" s="39">
        <v>15</v>
      </c>
      <c r="R3456" s="322">
        <f>Q3456*J3456</f>
        <v>15</v>
      </c>
      <c r="S3456" s="7">
        <v>1000</v>
      </c>
      <c r="T3456" s="7">
        <f>S3456*J3456</f>
        <v>1000</v>
      </c>
      <c r="U3456" s="21"/>
      <c r="V3456" s="260">
        <v>120</v>
      </c>
      <c r="W3456" s="1136">
        <f>(((K3456*V3456)-S3456)/(K3456*V3456))</f>
        <v>0.44444444444444442</v>
      </c>
    </row>
    <row r="3457" spans="2:23" s="7" customFormat="1" ht="18" customHeight="1">
      <c r="B3457" s="12"/>
      <c r="C3457" s="6" t="s">
        <v>4672</v>
      </c>
      <c r="D3457" s="14" t="s">
        <v>3391</v>
      </c>
      <c r="E3457" s="49"/>
      <c r="F3457" s="102"/>
      <c r="G3457" s="22" t="s">
        <v>316</v>
      </c>
      <c r="H3457" s="8"/>
      <c r="I3457" s="35"/>
      <c r="J3457" s="38">
        <v>1</v>
      </c>
      <c r="K3457" s="39">
        <v>15</v>
      </c>
      <c r="L3457" s="39">
        <f>K3457*J3457</f>
        <v>15</v>
      </c>
      <c r="M3457" s="91"/>
      <c r="N3457" s="33">
        <v>45279</v>
      </c>
      <c r="O3457" s="32">
        <v>5761</v>
      </c>
      <c r="P3457" s="6" t="s">
        <v>3</v>
      </c>
      <c r="Q3457" s="39">
        <v>15</v>
      </c>
      <c r="R3457" s="322">
        <f>Q3457*J3457</f>
        <v>15</v>
      </c>
      <c r="S3457" s="7">
        <v>1000</v>
      </c>
      <c r="T3457" s="7">
        <f>S3457*J3457</f>
        <v>1000</v>
      </c>
      <c r="U3457" s="21"/>
      <c r="V3457" s="260">
        <v>120</v>
      </c>
      <c r="W3457" s="1136">
        <f>(((K3457*V3457)-S3457)/(K3457*V3457))</f>
        <v>0.44444444444444442</v>
      </c>
    </row>
    <row r="3458" spans="2:23" s="191" customFormat="1" ht="18" customHeight="1">
      <c r="B3458" s="190"/>
      <c r="C3458" s="179" t="s">
        <v>4672</v>
      </c>
      <c r="D3458" s="180" t="s">
        <v>3391</v>
      </c>
      <c r="E3458" s="181"/>
      <c r="F3458" s="622"/>
      <c r="G3458" s="182" t="s">
        <v>250</v>
      </c>
      <c r="H3458" s="184" t="s">
        <v>251</v>
      </c>
      <c r="I3458" s="185"/>
      <c r="J3458" s="183"/>
      <c r="K3458" s="192">
        <v>0</v>
      </c>
      <c r="L3458" s="188"/>
      <c r="M3458" s="187"/>
      <c r="N3458" s="187">
        <v>45279</v>
      </c>
      <c r="O3458" s="186">
        <v>5761</v>
      </c>
      <c r="P3458" s="179"/>
      <c r="Q3458" s="725">
        <v>0</v>
      </c>
      <c r="S3458" s="197">
        <v>0</v>
      </c>
      <c r="T3458" s="198">
        <v>0</v>
      </c>
      <c r="U3458" s="335"/>
      <c r="V3458" s="260">
        <v>120</v>
      </c>
      <c r="W3458" s="1136" t="e">
        <f>(((K3458*V3458)-S3458)/(K3458*V3458))</f>
        <v>#DIV/0!</v>
      </c>
    </row>
    <row r="3459" spans="2:23" s="7" customFormat="1" ht="18" customHeight="1">
      <c r="B3459" s="12"/>
      <c r="C3459" s="6" t="s">
        <v>4674</v>
      </c>
      <c r="D3459" s="14" t="s">
        <v>2034</v>
      </c>
      <c r="E3459" s="19" t="s">
        <v>4675</v>
      </c>
      <c r="F3459" s="107"/>
      <c r="G3459" s="22"/>
      <c r="H3459" s="108"/>
      <c r="I3459" s="109"/>
      <c r="J3459" s="108"/>
      <c r="K3459" s="29" t="s">
        <v>5</v>
      </c>
      <c r="L3459" s="39"/>
      <c r="M3459" s="91"/>
      <c r="N3459" s="33">
        <v>45282</v>
      </c>
      <c r="O3459" s="32">
        <v>5772</v>
      </c>
      <c r="P3459" s="14"/>
      <c r="Q3459" s="322"/>
      <c r="U3459" s="14"/>
      <c r="V3459" s="384">
        <v>120</v>
      </c>
    </row>
    <row r="3460" spans="2:23" s="7" customFormat="1" ht="18" customHeight="1">
      <c r="B3460" s="12" t="s">
        <v>302</v>
      </c>
      <c r="C3460" s="6" t="s">
        <v>4674</v>
      </c>
      <c r="D3460" s="14" t="s">
        <v>2034</v>
      </c>
      <c r="E3460" s="22" t="s">
        <v>4676</v>
      </c>
      <c r="F3460" s="107" t="s">
        <v>4677</v>
      </c>
      <c r="G3460" s="396" t="s">
        <v>4678</v>
      </c>
      <c r="H3460" s="108">
        <v>44</v>
      </c>
      <c r="I3460" s="109">
        <v>1</v>
      </c>
      <c r="J3460" s="8">
        <f>I3460*H3460</f>
        <v>44</v>
      </c>
      <c r="K3460" s="39">
        <v>7.86</v>
      </c>
      <c r="L3460" s="39">
        <f>K3460*J3460</f>
        <v>345.84000000000003</v>
      </c>
      <c r="M3460" s="117" t="s">
        <v>323</v>
      </c>
      <c r="N3460" s="33">
        <v>45282</v>
      </c>
      <c r="O3460" s="32">
        <v>5772</v>
      </c>
      <c r="P3460" s="391">
        <f>ROUNDUP(S3460/V3460/VLOOKUP(B3460,$C$2:$F$6,3,FALSE),2)</f>
        <v>6.25</v>
      </c>
      <c r="Q3460" s="322">
        <v>6.25</v>
      </c>
      <c r="R3460" s="322">
        <f>Q3460*J3460</f>
        <v>275</v>
      </c>
      <c r="S3460" s="92">
        <v>660</v>
      </c>
      <c r="T3460" s="7">
        <f>S3460*J3460</f>
        <v>29040</v>
      </c>
      <c r="U3460" s="21"/>
      <c r="V3460" s="260">
        <v>120</v>
      </c>
      <c r="W3460" s="1136">
        <f>(((K3460*V3460)-S3460)/(K3460*V3460))</f>
        <v>0.30025445292620867</v>
      </c>
    </row>
    <row r="3461" spans="2:23" s="7" customFormat="1" ht="18" customHeight="1">
      <c r="B3461" s="12"/>
      <c r="C3461" s="6" t="s">
        <v>4674</v>
      </c>
      <c r="D3461" s="14" t="s">
        <v>2034</v>
      </c>
      <c r="E3461" s="49"/>
      <c r="F3461" s="102"/>
      <c r="G3461" s="22" t="s">
        <v>316</v>
      </c>
      <c r="H3461" s="8"/>
      <c r="I3461" s="35"/>
      <c r="J3461" s="38">
        <v>1</v>
      </c>
      <c r="K3461" s="39">
        <v>20</v>
      </c>
      <c r="L3461" s="39">
        <f>K3461*J3461</f>
        <v>20</v>
      </c>
      <c r="M3461" s="91"/>
      <c r="N3461" s="33">
        <v>45282</v>
      </c>
      <c r="O3461" s="32">
        <v>5772</v>
      </c>
      <c r="P3461" s="6" t="s">
        <v>3</v>
      </c>
      <c r="Q3461" s="39">
        <v>20</v>
      </c>
      <c r="R3461" s="322">
        <f>Q3461*J3461</f>
        <v>20</v>
      </c>
      <c r="S3461" s="7">
        <v>0</v>
      </c>
      <c r="T3461" s="7">
        <f>S3461*J3461</f>
        <v>0</v>
      </c>
      <c r="U3461" s="21"/>
      <c r="V3461" s="260">
        <v>120</v>
      </c>
      <c r="W3461" s="1136">
        <f>(((K3461*V3461)-S3461)/(K3461*V3461))</f>
        <v>1</v>
      </c>
    </row>
    <row r="3462" spans="2:23" s="191" customFormat="1" ht="18" customHeight="1">
      <c r="B3462" s="190"/>
      <c r="C3462" s="179" t="s">
        <v>4674</v>
      </c>
      <c r="D3462" s="180" t="s">
        <v>2034</v>
      </c>
      <c r="E3462" s="181"/>
      <c r="F3462" s="622"/>
      <c r="G3462" s="182" t="s">
        <v>250</v>
      </c>
      <c r="H3462" s="184" t="s">
        <v>374</v>
      </c>
      <c r="I3462" s="185"/>
      <c r="J3462" s="183"/>
      <c r="K3462" s="203">
        <v>169</v>
      </c>
      <c r="L3462" s="203">
        <v>169</v>
      </c>
      <c r="M3462" s="187"/>
      <c r="N3462" s="187">
        <v>45282</v>
      </c>
      <c r="O3462" s="186">
        <v>5772</v>
      </c>
      <c r="P3462" s="179"/>
      <c r="Q3462" s="203">
        <v>169</v>
      </c>
      <c r="R3462" s="203">
        <v>169</v>
      </c>
      <c r="S3462" s="92">
        <v>20189</v>
      </c>
      <c r="T3462" s="92">
        <v>20189</v>
      </c>
      <c r="U3462" s="335"/>
      <c r="V3462" s="260">
        <v>120</v>
      </c>
      <c r="W3462" s="1136">
        <f>(((K3462*V3462)-S3462)/(K3462*V3462))</f>
        <v>4.4871794871794869E-3</v>
      </c>
    </row>
    <row r="3463" spans="2:23" s="7" customFormat="1" ht="18" customHeight="1">
      <c r="B3463" s="12"/>
      <c r="C3463" s="6" t="s">
        <v>4679</v>
      </c>
      <c r="D3463" s="14" t="s">
        <v>2608</v>
      </c>
      <c r="E3463" s="17" t="s">
        <v>2687</v>
      </c>
      <c r="F3463" s="319"/>
      <c r="G3463" s="299"/>
      <c r="H3463" s="300"/>
      <c r="I3463" s="320"/>
      <c r="J3463" s="321"/>
      <c r="K3463" s="110" t="s">
        <v>5</v>
      </c>
      <c r="L3463" s="139"/>
      <c r="M3463" s="33"/>
      <c r="N3463" s="33">
        <v>45300</v>
      </c>
      <c r="O3463" s="32">
        <v>5781</v>
      </c>
      <c r="P3463" s="6"/>
      <c r="Q3463" s="322"/>
      <c r="U3463" s="39"/>
      <c r="V3463" s="260">
        <v>120</v>
      </c>
    </row>
    <row r="3464" spans="2:23" s="7" customFormat="1" ht="18" customHeight="1">
      <c r="B3464" s="12" t="s">
        <v>300</v>
      </c>
      <c r="C3464" s="6" t="s">
        <v>4679</v>
      </c>
      <c r="D3464" s="14" t="s">
        <v>2608</v>
      </c>
      <c r="E3464" s="22">
        <v>5637</v>
      </c>
      <c r="F3464" s="24" t="s">
        <v>311</v>
      </c>
      <c r="G3464" s="22" t="s">
        <v>2232</v>
      </c>
      <c r="H3464" s="813">
        <v>50</v>
      </c>
      <c r="I3464" s="814">
        <v>2</v>
      </c>
      <c r="J3464" s="8">
        <f>H3464*I3464</f>
        <v>100</v>
      </c>
      <c r="K3464" s="137">
        <v>0.24</v>
      </c>
      <c r="L3464" s="39">
        <f>K3464*J3464</f>
        <v>24</v>
      </c>
      <c r="M3464" s="117" t="s">
        <v>349</v>
      </c>
      <c r="N3464" s="33">
        <v>45300</v>
      </c>
      <c r="O3464" s="32">
        <v>5781</v>
      </c>
      <c r="P3464" s="391">
        <f>ROUNDUP(S3464/V3464/VLOOKUP(B3464,$C$2:$F$6,3,FALSE),2)</f>
        <v>0.13</v>
      </c>
      <c r="Q3464" s="322">
        <v>0.13</v>
      </c>
      <c r="R3464" s="322">
        <f>Q3464*J3464</f>
        <v>13</v>
      </c>
      <c r="S3464" s="752">
        <v>10.6</v>
      </c>
      <c r="T3464" s="7">
        <f>S3464*J3464</f>
        <v>1060</v>
      </c>
      <c r="U3464" s="778"/>
      <c r="V3464" s="260">
        <v>120</v>
      </c>
      <c r="W3464" s="1136">
        <f t="shared" ref="W3464:W3471" si="245">(((K3464*V3464)-S3464)/(K3464*V3464))</f>
        <v>0.63194444444444431</v>
      </c>
    </row>
    <row r="3465" spans="2:23" s="7" customFormat="1" ht="18" customHeight="1">
      <c r="B3465" s="12" t="s">
        <v>300</v>
      </c>
      <c r="C3465" s="6" t="s">
        <v>4679</v>
      </c>
      <c r="D3465" s="14" t="s">
        <v>2608</v>
      </c>
      <c r="E3465" s="22">
        <v>5637</v>
      </c>
      <c r="F3465" s="24" t="s">
        <v>311</v>
      </c>
      <c r="G3465" s="22" t="s">
        <v>3184</v>
      </c>
      <c r="H3465" s="813">
        <v>50</v>
      </c>
      <c r="I3465" s="814">
        <v>2</v>
      </c>
      <c r="J3465" s="8">
        <f>H3465*I3465</f>
        <v>100</v>
      </c>
      <c r="K3465" s="137">
        <v>0.24</v>
      </c>
      <c r="L3465" s="39">
        <f>K3465*J3465</f>
        <v>24</v>
      </c>
      <c r="M3465" s="117" t="s">
        <v>349</v>
      </c>
      <c r="N3465" s="33">
        <v>45300</v>
      </c>
      <c r="O3465" s="32">
        <v>5781</v>
      </c>
      <c r="P3465" s="391">
        <f>ROUNDUP(S3465/V3465/VLOOKUP(B3465,$C$2:$F$6,3,FALSE),2)</f>
        <v>0.16</v>
      </c>
      <c r="Q3465" s="322">
        <v>0.16</v>
      </c>
      <c r="R3465" s="322">
        <f>Q3465*J3465</f>
        <v>16</v>
      </c>
      <c r="S3465" s="752">
        <v>12.8</v>
      </c>
      <c r="T3465" s="7">
        <f>S3465*J3465</f>
        <v>1280</v>
      </c>
      <c r="U3465" s="778"/>
      <c r="V3465" s="260">
        <v>120</v>
      </c>
      <c r="W3465" s="1136">
        <f t="shared" si="245"/>
        <v>0.55555555555555547</v>
      </c>
    </row>
    <row r="3466" spans="2:23" s="7" customFormat="1" ht="15">
      <c r="B3466" s="12"/>
      <c r="C3466" s="6" t="s">
        <v>4679</v>
      </c>
      <c r="D3466" s="14" t="s">
        <v>2608</v>
      </c>
      <c r="E3466" s="22"/>
      <c r="F3466" s="102"/>
      <c r="G3466" s="22" t="s">
        <v>316</v>
      </c>
      <c r="H3466" s="8"/>
      <c r="I3466" s="35"/>
      <c r="J3466" s="38">
        <v>1</v>
      </c>
      <c r="K3466" s="39">
        <v>12</v>
      </c>
      <c r="L3466" s="39">
        <f>K3466*J3466</f>
        <v>12</v>
      </c>
      <c r="M3466" s="91"/>
      <c r="N3466" s="33">
        <v>45300</v>
      </c>
      <c r="O3466" s="32">
        <v>5781</v>
      </c>
      <c r="P3466" s="6"/>
      <c r="Q3466" s="322">
        <v>12</v>
      </c>
      <c r="R3466" s="322">
        <f>Q3466*J3466</f>
        <v>12</v>
      </c>
      <c r="S3466" s="7">
        <v>1100</v>
      </c>
      <c r="T3466" s="7">
        <f>S3466*J3466</f>
        <v>1100</v>
      </c>
      <c r="U3466" s="21"/>
      <c r="V3466" s="260">
        <v>120</v>
      </c>
      <c r="W3466" s="1136">
        <f t="shared" si="245"/>
        <v>0.2361111111111111</v>
      </c>
    </row>
    <row r="3467" spans="2:23" s="191" customFormat="1" ht="15">
      <c r="B3467" s="190"/>
      <c r="C3467" s="179" t="s">
        <v>4679</v>
      </c>
      <c r="D3467" s="180" t="s">
        <v>2608</v>
      </c>
      <c r="E3467" s="181"/>
      <c r="F3467" s="622"/>
      <c r="G3467" s="182" t="s">
        <v>250</v>
      </c>
      <c r="H3467" s="184" t="s">
        <v>251</v>
      </c>
      <c r="I3467" s="185"/>
      <c r="J3467" s="183"/>
      <c r="K3467" s="192">
        <v>0</v>
      </c>
      <c r="L3467" s="188"/>
      <c r="M3467" s="187"/>
      <c r="N3467" s="187">
        <v>45300</v>
      </c>
      <c r="O3467" s="186">
        <v>5781</v>
      </c>
      <c r="P3467" s="179"/>
      <c r="Q3467" s="725">
        <v>0</v>
      </c>
      <c r="S3467" s="197">
        <v>0</v>
      </c>
      <c r="T3467" s="198">
        <v>0</v>
      </c>
      <c r="U3467" s="335"/>
      <c r="V3467" s="260">
        <v>120</v>
      </c>
      <c r="W3467" s="1136" t="e">
        <f t="shared" si="245"/>
        <v>#DIV/0!</v>
      </c>
    </row>
    <row r="3468" spans="2:23" s="7" customFormat="1" ht="18" customHeight="1">
      <c r="B3468" s="12"/>
      <c r="C3468" s="965" t="s">
        <v>4680</v>
      </c>
      <c r="D3468" s="14" t="s">
        <v>2162</v>
      </c>
      <c r="E3468" s="19" t="s">
        <v>2163</v>
      </c>
      <c r="F3468" s="37"/>
      <c r="G3468" s="37"/>
      <c r="H3468" s="108"/>
      <c r="I3468" s="108"/>
      <c r="J3468" s="108"/>
      <c r="K3468" s="110" t="s">
        <v>5</v>
      </c>
      <c r="L3468" s="139"/>
      <c r="M3468" s="33"/>
      <c r="N3468" s="33">
        <v>45287</v>
      </c>
      <c r="O3468" s="32">
        <v>5783</v>
      </c>
      <c r="P3468" s="6"/>
      <c r="Q3468" s="339"/>
      <c r="U3468" s="21"/>
      <c r="V3468" s="260">
        <v>120</v>
      </c>
      <c r="W3468" s="1136" t="e">
        <f t="shared" si="245"/>
        <v>#VALUE!</v>
      </c>
    </row>
    <row r="3469" spans="2:23" s="7" customFormat="1" ht="18" customHeight="1">
      <c r="B3469" s="12" t="s">
        <v>300</v>
      </c>
      <c r="C3469" s="965" t="s">
        <v>4680</v>
      </c>
      <c r="D3469" s="14" t="s">
        <v>2162</v>
      </c>
      <c r="E3469" s="22">
        <v>5603</v>
      </c>
      <c r="F3469" s="37"/>
      <c r="G3469" s="22" t="s">
        <v>4291</v>
      </c>
      <c r="H3469" s="108">
        <v>50</v>
      </c>
      <c r="I3469" s="950">
        <v>10</v>
      </c>
      <c r="J3469" s="8">
        <f>I3469*H3469</f>
        <v>500</v>
      </c>
      <c r="K3469" s="39">
        <v>0.34</v>
      </c>
      <c r="L3469" s="39">
        <f>K3469*J3469</f>
        <v>170</v>
      </c>
      <c r="M3469" s="117" t="s">
        <v>349</v>
      </c>
      <c r="N3469" s="33">
        <v>45287</v>
      </c>
      <c r="O3469" s="32">
        <v>5783</v>
      </c>
      <c r="P3469" s="391">
        <f>ROUNDUP(S3469/V3469/VLOOKUP(B3469,$C$2:$F$6,3,FALSE),2)</f>
        <v>0.22</v>
      </c>
      <c r="Q3469" s="322">
        <v>0.22</v>
      </c>
      <c r="R3469" s="322">
        <f>Q3469*J3469</f>
        <v>110</v>
      </c>
      <c r="S3469" s="7">
        <v>18.3</v>
      </c>
      <c r="T3469" s="7">
        <f>S3469*J3469</f>
        <v>9150</v>
      </c>
      <c r="U3469" s="21"/>
      <c r="V3469" s="260">
        <v>120</v>
      </c>
      <c r="W3469" s="1136">
        <f t="shared" si="245"/>
        <v>0.55147058823529416</v>
      </c>
    </row>
    <row r="3470" spans="2:23" s="7" customFormat="1" ht="18" customHeight="1">
      <c r="B3470" s="12"/>
      <c r="C3470" s="965" t="s">
        <v>4680</v>
      </c>
      <c r="D3470" s="14" t="s">
        <v>2162</v>
      </c>
      <c r="E3470" s="22"/>
      <c r="F3470" s="102"/>
      <c r="G3470" s="22" t="s">
        <v>316</v>
      </c>
      <c r="H3470" s="8"/>
      <c r="I3470" s="35"/>
      <c r="J3470" s="38">
        <v>1</v>
      </c>
      <c r="K3470" s="39">
        <v>12</v>
      </c>
      <c r="L3470" s="39">
        <f>K3470*J3470</f>
        <v>12</v>
      </c>
      <c r="M3470" s="91"/>
      <c r="N3470" s="33">
        <v>45287</v>
      </c>
      <c r="O3470" s="32">
        <v>5783</v>
      </c>
      <c r="P3470" s="6" t="s">
        <v>3</v>
      </c>
      <c r="Q3470" s="39">
        <v>12</v>
      </c>
      <c r="R3470" s="322">
        <f>Q3470*J3470</f>
        <v>12</v>
      </c>
      <c r="S3470" s="7">
        <v>1100</v>
      </c>
      <c r="T3470" s="7">
        <f>S3470*J3470</f>
        <v>1100</v>
      </c>
      <c r="U3470" s="21"/>
      <c r="V3470" s="260">
        <v>120</v>
      </c>
      <c r="W3470" s="1136">
        <f t="shared" si="245"/>
        <v>0.2361111111111111</v>
      </c>
    </row>
    <row r="3471" spans="2:23" s="191" customFormat="1" ht="18" customHeight="1">
      <c r="B3471" s="190"/>
      <c r="C3471" s="966" t="s">
        <v>4680</v>
      </c>
      <c r="D3471" s="180" t="s">
        <v>2162</v>
      </c>
      <c r="E3471" s="217"/>
      <c r="F3471" s="182"/>
      <c r="G3471" s="182" t="s">
        <v>250</v>
      </c>
      <c r="H3471" s="184" t="s">
        <v>251</v>
      </c>
      <c r="I3471" s="185"/>
      <c r="J3471" s="183"/>
      <c r="K3471" s="192">
        <v>0</v>
      </c>
      <c r="L3471" s="192">
        <v>0</v>
      </c>
      <c r="M3471" s="187"/>
      <c r="N3471" s="187">
        <v>45287</v>
      </c>
      <c r="O3471" s="186">
        <v>5783</v>
      </c>
      <c r="P3471" s="179"/>
      <c r="Q3471" s="334">
        <v>0</v>
      </c>
      <c r="R3471" s="334">
        <v>0</v>
      </c>
      <c r="S3471" s="197">
        <v>0</v>
      </c>
      <c r="T3471" s="197">
        <v>0</v>
      </c>
      <c r="U3471" s="335"/>
      <c r="V3471" s="260">
        <v>120</v>
      </c>
      <c r="W3471" s="1136" t="e">
        <f t="shared" si="245"/>
        <v>#DIV/0!</v>
      </c>
    </row>
    <row r="3472" spans="2:23" s="7" customFormat="1" ht="18" customHeight="1">
      <c r="B3472" s="12"/>
      <c r="C3472" s="965" t="s">
        <v>4681</v>
      </c>
      <c r="D3472" s="14" t="s">
        <v>2162</v>
      </c>
      <c r="E3472" s="19" t="s">
        <v>2163</v>
      </c>
      <c r="F3472" s="37"/>
      <c r="G3472" s="37"/>
      <c r="H3472" s="108"/>
      <c r="I3472" s="108"/>
      <c r="J3472" s="108"/>
      <c r="K3472" s="110" t="s">
        <v>5</v>
      </c>
      <c r="L3472" s="139"/>
      <c r="M3472" s="33"/>
      <c r="N3472" s="33">
        <v>45301</v>
      </c>
      <c r="O3472" s="32">
        <v>5803</v>
      </c>
      <c r="P3472" s="6"/>
      <c r="Q3472" s="339"/>
      <c r="U3472" s="21"/>
      <c r="V3472" s="260">
        <v>120</v>
      </c>
      <c r="W3472" s="1136" t="e">
        <f t="shared" ref="W3472:W3477" si="246">(((K3472*V3472)-S3472)/(K3472*V3472))</f>
        <v>#VALUE!</v>
      </c>
    </row>
    <row r="3473" spans="1:23" s="7" customFormat="1" ht="18" customHeight="1">
      <c r="B3473" s="12" t="s">
        <v>300</v>
      </c>
      <c r="C3473" s="965" t="s">
        <v>4681</v>
      </c>
      <c r="D3473" s="14" t="s">
        <v>2162</v>
      </c>
      <c r="E3473" s="22">
        <v>5603</v>
      </c>
      <c r="F3473" s="37"/>
      <c r="G3473" s="22" t="s">
        <v>4682</v>
      </c>
      <c r="H3473" s="108">
        <v>50</v>
      </c>
      <c r="I3473" s="950">
        <v>8</v>
      </c>
      <c r="J3473" s="8">
        <f>I3473*H3473</f>
        <v>400</v>
      </c>
      <c r="K3473" s="39">
        <v>0.34</v>
      </c>
      <c r="L3473" s="39">
        <f>K3473*J3473</f>
        <v>136</v>
      </c>
      <c r="M3473" s="117" t="s">
        <v>349</v>
      </c>
      <c r="N3473" s="33">
        <v>45301</v>
      </c>
      <c r="O3473" s="32">
        <v>5803</v>
      </c>
      <c r="P3473" s="391">
        <f>ROUNDUP(S3473/V3473/VLOOKUP(B3473,$C$2:$F$6,3,FALSE),2)</f>
        <v>0.22</v>
      </c>
      <c r="Q3473" s="322">
        <v>0.22</v>
      </c>
      <c r="R3473" s="322">
        <f>Q3473*J3473</f>
        <v>88</v>
      </c>
      <c r="S3473" s="7">
        <v>18.3</v>
      </c>
      <c r="T3473" s="7">
        <f>S3473*J3473</f>
        <v>7320</v>
      </c>
      <c r="U3473" s="21"/>
      <c r="V3473" s="260">
        <v>120</v>
      </c>
      <c r="W3473" s="1136">
        <f t="shared" si="246"/>
        <v>0.55147058823529416</v>
      </c>
    </row>
    <row r="3474" spans="1:23" s="7" customFormat="1" ht="18" customHeight="1">
      <c r="B3474" s="12"/>
      <c r="C3474" s="965" t="s">
        <v>4681</v>
      </c>
      <c r="D3474" s="14" t="s">
        <v>2162</v>
      </c>
      <c r="E3474" s="22"/>
      <c r="F3474" s="102"/>
      <c r="G3474" s="22" t="s">
        <v>316</v>
      </c>
      <c r="H3474" s="8"/>
      <c r="I3474" s="35"/>
      <c r="J3474" s="38">
        <v>1</v>
      </c>
      <c r="K3474" s="39">
        <v>12</v>
      </c>
      <c r="L3474" s="39">
        <f>K3474*J3474</f>
        <v>12</v>
      </c>
      <c r="M3474" s="91"/>
      <c r="N3474" s="33">
        <v>45301</v>
      </c>
      <c r="O3474" s="32">
        <v>5803</v>
      </c>
      <c r="P3474" s="6" t="s">
        <v>3</v>
      </c>
      <c r="Q3474" s="39">
        <v>12</v>
      </c>
      <c r="R3474" s="322">
        <f>Q3474*J3474</f>
        <v>12</v>
      </c>
      <c r="S3474" s="7">
        <v>1100</v>
      </c>
      <c r="T3474" s="7">
        <f>S3474*J3474</f>
        <v>1100</v>
      </c>
      <c r="U3474" s="21"/>
      <c r="V3474" s="260">
        <v>120</v>
      </c>
      <c r="W3474" s="1136">
        <f t="shared" si="246"/>
        <v>0.2361111111111111</v>
      </c>
    </row>
    <row r="3475" spans="1:23" s="191" customFormat="1" ht="18" customHeight="1">
      <c r="B3475" s="190"/>
      <c r="C3475" s="966" t="s">
        <v>4681</v>
      </c>
      <c r="D3475" s="180" t="s">
        <v>2162</v>
      </c>
      <c r="E3475" s="217"/>
      <c r="F3475" s="182"/>
      <c r="G3475" s="182" t="s">
        <v>250</v>
      </c>
      <c r="H3475" s="184" t="s">
        <v>251</v>
      </c>
      <c r="I3475" s="185"/>
      <c r="J3475" s="183"/>
      <c r="K3475" s="192">
        <v>0</v>
      </c>
      <c r="L3475" s="192">
        <v>0</v>
      </c>
      <c r="M3475" s="187"/>
      <c r="N3475" s="187">
        <v>45301</v>
      </c>
      <c r="O3475" s="186">
        <v>5803</v>
      </c>
      <c r="P3475" s="179"/>
      <c r="Q3475" s="334">
        <v>0</v>
      </c>
      <c r="R3475" s="334">
        <v>0</v>
      </c>
      <c r="S3475" s="197">
        <v>0</v>
      </c>
      <c r="T3475" s="197">
        <v>0</v>
      </c>
      <c r="U3475" s="335"/>
      <c r="V3475" s="260">
        <v>120</v>
      </c>
      <c r="W3475" s="1136" t="e">
        <f t="shared" si="246"/>
        <v>#DIV/0!</v>
      </c>
    </row>
    <row r="3476" spans="1:23" s="7" customFormat="1" ht="15">
      <c r="B3476" s="12"/>
      <c r="C3476" s="6" t="s">
        <v>4683</v>
      </c>
      <c r="D3476" s="14" t="s">
        <v>2416</v>
      </c>
      <c r="E3476" s="19" t="s">
        <v>3261</v>
      </c>
      <c r="F3476" s="24"/>
      <c r="G3476" s="22"/>
      <c r="H3476" s="8"/>
      <c r="I3476" s="35"/>
      <c r="J3476" s="8"/>
      <c r="K3476" s="110" t="s">
        <v>5</v>
      </c>
      <c r="L3476" s="139"/>
      <c r="M3476" s="33"/>
      <c r="N3476" s="33">
        <v>45356</v>
      </c>
      <c r="O3476" s="32">
        <v>5792</v>
      </c>
      <c r="P3476" s="6" t="s">
        <v>8</v>
      </c>
      <c r="Q3476" s="358"/>
      <c r="U3476" s="120"/>
      <c r="V3476" s="260">
        <v>120</v>
      </c>
      <c r="W3476" s="1136" t="e">
        <f t="shared" si="246"/>
        <v>#VALUE!</v>
      </c>
    </row>
    <row r="3477" spans="1:23" s="7" customFormat="1" ht="18" customHeight="1">
      <c r="B3477" s="12" t="s">
        <v>300</v>
      </c>
      <c r="C3477" s="6" t="s">
        <v>4683</v>
      </c>
      <c r="D3477" s="14" t="s">
        <v>2416</v>
      </c>
      <c r="E3477" s="22" t="s">
        <v>3262</v>
      </c>
      <c r="F3477" s="37" t="s">
        <v>359</v>
      </c>
      <c r="G3477" s="396" t="s">
        <v>3263</v>
      </c>
      <c r="H3477" s="8">
        <v>50</v>
      </c>
      <c r="I3477" s="35">
        <v>34</v>
      </c>
      <c r="J3477" s="108">
        <f>H3477*I3477</f>
        <v>1700</v>
      </c>
      <c r="K3477" s="958">
        <v>0.23</v>
      </c>
      <c r="L3477" s="39">
        <f>K3477*J3477</f>
        <v>391</v>
      </c>
      <c r="M3477" s="117" t="s">
        <v>349</v>
      </c>
      <c r="N3477" s="33">
        <v>45356</v>
      </c>
      <c r="O3477" s="32">
        <v>5792</v>
      </c>
      <c r="P3477" s="391">
        <f>ROUNDUP(S3477/V3477/VLOOKUP(B3477,$C$2:$F$6,3,FALSE),2)</f>
        <v>0.11</v>
      </c>
      <c r="Q3477" s="322">
        <v>0.11</v>
      </c>
      <c r="R3477" s="322">
        <f>Q3477*J3477</f>
        <v>187</v>
      </c>
      <c r="S3477" s="7">
        <v>8.8000000000000007</v>
      </c>
      <c r="T3477" s="7">
        <f>S3477*J3477</f>
        <v>14960.000000000002</v>
      </c>
      <c r="U3477" s="39"/>
      <c r="V3477" s="260">
        <v>120</v>
      </c>
      <c r="W3477" s="1136">
        <f t="shared" si="246"/>
        <v>0.6811594202898551</v>
      </c>
    </row>
    <row r="3478" spans="1:23" s="7" customFormat="1" ht="18" customHeight="1">
      <c r="B3478" s="12"/>
      <c r="C3478" s="6" t="s">
        <v>4683</v>
      </c>
      <c r="D3478" s="14" t="s">
        <v>2416</v>
      </c>
      <c r="E3478" s="22"/>
      <c r="F3478" s="102"/>
      <c r="G3478" s="22" t="s">
        <v>316</v>
      </c>
      <c r="H3478" s="8"/>
      <c r="I3478" s="35"/>
      <c r="J3478" s="38">
        <v>1</v>
      </c>
      <c r="K3478" s="39">
        <v>12</v>
      </c>
      <c r="L3478" s="39">
        <f>K3478*J3478</f>
        <v>12</v>
      </c>
      <c r="M3478" s="91"/>
      <c r="N3478" s="33">
        <v>45356</v>
      </c>
      <c r="O3478" s="32">
        <v>5792</v>
      </c>
      <c r="P3478" s="6"/>
      <c r="Q3478" s="322">
        <v>12</v>
      </c>
      <c r="R3478" s="322">
        <f>Q3478*J3478</f>
        <v>12</v>
      </c>
      <c r="S3478" s="7">
        <v>0</v>
      </c>
      <c r="T3478" s="7">
        <f>S3478*J3478</f>
        <v>0</v>
      </c>
      <c r="U3478" s="21"/>
      <c r="V3478" s="260">
        <v>120</v>
      </c>
    </row>
    <row r="3479" spans="1:23" s="218" customFormat="1" ht="18" customHeight="1">
      <c r="A3479" s="7"/>
      <c r="B3479" s="189"/>
      <c r="C3479" s="179" t="s">
        <v>4683</v>
      </c>
      <c r="D3479" s="180" t="s">
        <v>2416</v>
      </c>
      <c r="E3479" s="217"/>
      <c r="F3479" s="182"/>
      <c r="G3479" s="182" t="s">
        <v>250</v>
      </c>
      <c r="H3479" s="184" t="s">
        <v>251</v>
      </c>
      <c r="I3479" s="185"/>
      <c r="J3479" s="183"/>
      <c r="K3479" s="192">
        <v>0</v>
      </c>
      <c r="L3479" s="946"/>
      <c r="M3479" s="947"/>
      <c r="N3479" s="187">
        <v>45356</v>
      </c>
      <c r="O3479" s="186">
        <v>5792</v>
      </c>
      <c r="P3479" s="179"/>
      <c r="Q3479" s="725">
        <v>0</v>
      </c>
      <c r="S3479" s="197">
        <v>0</v>
      </c>
      <c r="T3479" s="197">
        <v>0</v>
      </c>
      <c r="U3479" s="335"/>
      <c r="V3479" s="260">
        <v>120</v>
      </c>
    </row>
    <row r="3480" spans="1:23" s="7" customFormat="1" ht="15">
      <c r="B3480" s="12"/>
      <c r="C3480" s="6" t="s">
        <v>4685</v>
      </c>
      <c r="D3480" s="14" t="s">
        <v>2416</v>
      </c>
      <c r="E3480" s="19" t="s">
        <v>3261</v>
      </c>
      <c r="F3480" s="24"/>
      <c r="G3480" s="22"/>
      <c r="H3480" s="8"/>
      <c r="I3480" s="35"/>
      <c r="J3480" s="8"/>
      <c r="K3480" s="110" t="s">
        <v>5</v>
      </c>
      <c r="L3480" s="139"/>
      <c r="M3480" s="33"/>
      <c r="N3480" s="33">
        <v>45380</v>
      </c>
      <c r="O3480" s="32">
        <v>5793</v>
      </c>
      <c r="P3480" s="6" t="s">
        <v>8</v>
      </c>
      <c r="Q3480" s="358"/>
      <c r="U3480" s="120"/>
      <c r="V3480" s="260">
        <v>120</v>
      </c>
      <c r="W3480" s="1136" t="e">
        <f>(((K3480*V3480)-S3480)/(K3480*V3480))</f>
        <v>#VALUE!</v>
      </c>
    </row>
    <row r="3481" spans="1:23" s="7" customFormat="1" ht="18" customHeight="1">
      <c r="B3481" s="12" t="s">
        <v>300</v>
      </c>
      <c r="C3481" s="6" t="s">
        <v>4685</v>
      </c>
      <c r="D3481" s="14" t="s">
        <v>2416</v>
      </c>
      <c r="E3481" s="22" t="s">
        <v>3262</v>
      </c>
      <c r="F3481" s="37" t="s">
        <v>359</v>
      </c>
      <c r="G3481" s="396" t="s">
        <v>3263</v>
      </c>
      <c r="H3481" s="8">
        <v>50</v>
      </c>
      <c r="I3481" s="35">
        <v>4</v>
      </c>
      <c r="J3481" s="108">
        <f>H3481*I3481</f>
        <v>200</v>
      </c>
      <c r="K3481" s="958">
        <v>0.23</v>
      </c>
      <c r="L3481" s="39">
        <f>K3481*J3481</f>
        <v>46</v>
      </c>
      <c r="M3481" s="117" t="s">
        <v>349</v>
      </c>
      <c r="N3481" s="33">
        <v>45380</v>
      </c>
      <c r="O3481" s="32">
        <v>5793</v>
      </c>
      <c r="P3481" s="391">
        <f>ROUNDUP(S3481/V3481/VLOOKUP(B3481,$C$2:$F$6,3,FALSE),2)</f>
        <v>0.11</v>
      </c>
      <c r="Q3481" s="322">
        <v>0.11</v>
      </c>
      <c r="R3481" s="322">
        <f>Q3481*J3481</f>
        <v>22</v>
      </c>
      <c r="S3481" s="7">
        <v>8.8000000000000007</v>
      </c>
      <c r="T3481" s="7">
        <f>S3481*J3481</f>
        <v>1760.0000000000002</v>
      </c>
      <c r="U3481" s="39"/>
      <c r="V3481" s="260">
        <v>120</v>
      </c>
      <c r="W3481" s="1136">
        <f>(((K3481*V3481)-S3481)/(K3481*V3481))</f>
        <v>0.6811594202898551</v>
      </c>
    </row>
    <row r="3482" spans="1:23" s="7" customFormat="1" ht="18" customHeight="1">
      <c r="B3482" s="12" t="s">
        <v>300</v>
      </c>
      <c r="C3482" s="6" t="s">
        <v>4685</v>
      </c>
      <c r="D3482" s="14" t="s">
        <v>2416</v>
      </c>
      <c r="E3482" s="22" t="s">
        <v>3262</v>
      </c>
      <c r="F3482" s="37" t="s">
        <v>359</v>
      </c>
      <c r="G3482" s="396" t="s">
        <v>4447</v>
      </c>
      <c r="H3482" s="8">
        <v>50</v>
      </c>
      <c r="I3482" s="35">
        <v>30</v>
      </c>
      <c r="J3482" s="108">
        <f>H3482*I3482</f>
        <v>1500</v>
      </c>
      <c r="K3482" s="958">
        <v>0.33</v>
      </c>
      <c r="L3482" s="39">
        <f>K3482*J3482</f>
        <v>495</v>
      </c>
      <c r="M3482" s="117" t="s">
        <v>349</v>
      </c>
      <c r="N3482" s="33">
        <v>45380</v>
      </c>
      <c r="O3482" s="32">
        <v>5793</v>
      </c>
      <c r="P3482" s="391">
        <f>ROUNDUP(S3482/V3482/VLOOKUP(B3482,$C$2:$F$6,3,FALSE),2)</f>
        <v>0.14000000000000001</v>
      </c>
      <c r="Q3482" s="322">
        <v>0.14000000000000001</v>
      </c>
      <c r="R3482" s="322">
        <f>Q3482*J3482</f>
        <v>210.00000000000003</v>
      </c>
      <c r="S3482" s="7">
        <v>11.7</v>
      </c>
      <c r="T3482" s="7">
        <f>S3482*J3482</f>
        <v>17550</v>
      </c>
      <c r="U3482" s="39"/>
      <c r="V3482" s="260">
        <v>120</v>
      </c>
      <c r="W3482" s="1136">
        <f>(((K3482*V3482)-S3482)/(K3482*V3482))</f>
        <v>0.70454545454545459</v>
      </c>
    </row>
    <row r="3483" spans="1:23" s="7" customFormat="1" ht="17.45" customHeight="1">
      <c r="B3483" s="12" t="s">
        <v>306</v>
      </c>
      <c r="C3483" s="6" t="s">
        <v>4685</v>
      </c>
      <c r="D3483" s="14" t="s">
        <v>2416</v>
      </c>
      <c r="E3483" s="22"/>
      <c r="F3483" s="37"/>
      <c r="G3483" s="221" t="s">
        <v>4448</v>
      </c>
      <c r="H3483" s="8"/>
      <c r="I3483" s="35"/>
      <c r="J3483" s="38">
        <v>1</v>
      </c>
      <c r="K3483" s="958">
        <v>153</v>
      </c>
      <c r="L3483" s="39">
        <f>K3483*J3483</f>
        <v>153</v>
      </c>
      <c r="M3483" s="117" t="s">
        <v>349</v>
      </c>
      <c r="N3483" s="33">
        <v>45380</v>
      </c>
      <c r="O3483" s="32">
        <v>5793</v>
      </c>
      <c r="P3483" s="391">
        <f>ROUNDUP(S3483/V3483/VLOOKUP(B3483,$C$2:$F$6,3,FALSE),2)</f>
        <v>75.760000000000005</v>
      </c>
      <c r="Q3483" s="322">
        <v>75.760000000000005</v>
      </c>
      <c r="R3483" s="322">
        <f>Q3483*J3483</f>
        <v>75.760000000000005</v>
      </c>
      <c r="S3483" s="7">
        <v>8000</v>
      </c>
      <c r="T3483" s="7">
        <f>S3483*J3483</f>
        <v>8000</v>
      </c>
      <c r="U3483" s="39"/>
      <c r="V3483" s="260">
        <v>120</v>
      </c>
      <c r="W3483" s="1136">
        <f>(((K3483*V3483)-S3483)/(K3483*V3483))</f>
        <v>0.56427015250544665</v>
      </c>
    </row>
    <row r="3484" spans="1:23" s="7" customFormat="1" ht="18" customHeight="1">
      <c r="B3484" s="12"/>
      <c r="C3484" s="6" t="s">
        <v>4685</v>
      </c>
      <c r="D3484" s="14" t="s">
        <v>2416</v>
      </c>
      <c r="E3484" s="22"/>
      <c r="F3484" s="102"/>
      <c r="G3484" s="22" t="s">
        <v>316</v>
      </c>
      <c r="H3484" s="8"/>
      <c r="I3484" s="35"/>
      <c r="J3484" s="38">
        <v>1</v>
      </c>
      <c r="K3484" s="39">
        <v>12</v>
      </c>
      <c r="L3484" s="39">
        <f>K3484*J3484</f>
        <v>12</v>
      </c>
      <c r="M3484" s="91"/>
      <c r="N3484" s="33">
        <v>45380</v>
      </c>
      <c r="O3484" s="32">
        <v>5793</v>
      </c>
      <c r="P3484" s="6"/>
      <c r="Q3484" s="322">
        <v>12</v>
      </c>
      <c r="R3484" s="322">
        <f>Q3484*J3484</f>
        <v>12</v>
      </c>
      <c r="S3484" s="7">
        <v>0</v>
      </c>
      <c r="T3484" s="7">
        <f>S3484*J3484</f>
        <v>0</v>
      </c>
      <c r="U3484" s="21"/>
      <c r="V3484" s="260">
        <v>120</v>
      </c>
      <c r="W3484" s="1136">
        <f>(((K3484*V3484)-S3484)/(K3484*V3484))</f>
        <v>1</v>
      </c>
    </row>
    <row r="3485" spans="1:23" s="218" customFormat="1" ht="18" customHeight="1">
      <c r="A3485" s="7"/>
      <c r="B3485" s="189"/>
      <c r="C3485" s="179" t="s">
        <v>4685</v>
      </c>
      <c r="D3485" s="180" t="s">
        <v>2416</v>
      </c>
      <c r="E3485" s="217"/>
      <c r="F3485" s="182"/>
      <c r="G3485" s="182" t="s">
        <v>250</v>
      </c>
      <c r="H3485" s="184" t="s">
        <v>251</v>
      </c>
      <c r="I3485" s="185"/>
      <c r="J3485" s="183"/>
      <c r="K3485" s="192">
        <v>0</v>
      </c>
      <c r="L3485" s="946"/>
      <c r="M3485" s="947"/>
      <c r="N3485" s="187">
        <v>45380</v>
      </c>
      <c r="O3485" s="186">
        <v>5793</v>
      </c>
      <c r="P3485" s="179"/>
      <c r="Q3485" s="725">
        <v>0</v>
      </c>
      <c r="S3485" s="197">
        <v>0</v>
      </c>
      <c r="T3485" s="197">
        <v>0</v>
      </c>
      <c r="U3485" s="335"/>
      <c r="V3485" s="260">
        <v>120</v>
      </c>
    </row>
    <row r="3486" spans="1:23" s="7" customFormat="1" ht="15">
      <c r="B3486" s="12"/>
      <c r="C3486" s="6" t="s">
        <v>4684</v>
      </c>
      <c r="D3486" s="14" t="s">
        <v>2416</v>
      </c>
      <c r="E3486" s="19" t="s">
        <v>3261</v>
      </c>
      <c r="F3486" s="24"/>
      <c r="G3486" s="22"/>
      <c r="H3486" s="8"/>
      <c r="I3486" s="35"/>
      <c r="J3486" s="8"/>
      <c r="K3486" s="110" t="s">
        <v>5</v>
      </c>
      <c r="L3486" s="139"/>
      <c r="M3486" s="33"/>
      <c r="N3486" s="33">
        <v>45314</v>
      </c>
      <c r="O3486" s="32">
        <v>5794</v>
      </c>
      <c r="P3486" s="6" t="s">
        <v>8</v>
      </c>
      <c r="Q3486" s="358"/>
      <c r="U3486" s="120"/>
      <c r="V3486" s="260">
        <v>120</v>
      </c>
      <c r="W3486" s="1136" t="e">
        <f>(((K3486*V3486)-S3486)/(K3486*V3486))</f>
        <v>#VALUE!</v>
      </c>
    </row>
    <row r="3487" spans="1:23" s="7" customFormat="1" ht="18" customHeight="1">
      <c r="B3487" s="12" t="s">
        <v>300</v>
      </c>
      <c r="C3487" s="6" t="s">
        <v>4684</v>
      </c>
      <c r="D3487" s="14" t="s">
        <v>2416</v>
      </c>
      <c r="E3487" s="22" t="s">
        <v>3262</v>
      </c>
      <c r="F3487" s="37" t="s">
        <v>359</v>
      </c>
      <c r="G3487" s="396" t="s">
        <v>4447</v>
      </c>
      <c r="H3487" s="8">
        <v>50</v>
      </c>
      <c r="I3487" s="35">
        <v>6</v>
      </c>
      <c r="J3487" s="108">
        <f>H3487*I3487</f>
        <v>300</v>
      </c>
      <c r="K3487" s="958">
        <v>0.33</v>
      </c>
      <c r="L3487" s="39">
        <f>K3487*J3487</f>
        <v>99</v>
      </c>
      <c r="M3487" s="117" t="s">
        <v>349</v>
      </c>
      <c r="N3487" s="33">
        <v>45314</v>
      </c>
      <c r="O3487" s="32">
        <v>5794</v>
      </c>
      <c r="P3487" s="391">
        <f>ROUNDUP(S3487/V3487/VLOOKUP(B3487,$C$2:$F$6,3,FALSE),2)</f>
        <v>0.14000000000000001</v>
      </c>
      <c r="Q3487" s="322">
        <v>0.14000000000000001</v>
      </c>
      <c r="R3487" s="322">
        <f>Q3487*J3487</f>
        <v>42.000000000000007</v>
      </c>
      <c r="S3487" s="7">
        <v>11.7</v>
      </c>
      <c r="T3487" s="7">
        <f>S3487*J3487</f>
        <v>3510</v>
      </c>
      <c r="U3487" s="39"/>
      <c r="V3487" s="260">
        <v>120</v>
      </c>
      <c r="W3487" s="1136">
        <f>(((K3487*V3487)-S3487)/(K3487*V3487))</f>
        <v>0.70454545454545459</v>
      </c>
    </row>
    <row r="3488" spans="1:23" s="7" customFormat="1" ht="17.45" customHeight="1">
      <c r="B3488" s="12" t="s">
        <v>306</v>
      </c>
      <c r="C3488" s="6" t="s">
        <v>4684</v>
      </c>
      <c r="D3488" s="14" t="s">
        <v>2416</v>
      </c>
      <c r="E3488" s="22"/>
      <c r="F3488" s="37"/>
      <c r="G3488" s="221" t="s">
        <v>4448</v>
      </c>
      <c r="H3488" s="8"/>
      <c r="I3488" s="35"/>
      <c r="J3488" s="38">
        <v>1</v>
      </c>
      <c r="K3488" s="958">
        <v>0</v>
      </c>
      <c r="L3488" s="39">
        <f>K3488*J3488</f>
        <v>0</v>
      </c>
      <c r="M3488" s="117" t="s">
        <v>349</v>
      </c>
      <c r="N3488" s="33">
        <v>45314</v>
      </c>
      <c r="O3488" s="32">
        <v>5794</v>
      </c>
      <c r="P3488" s="391">
        <f>ROUNDUP(S3488/V3488/VLOOKUP(B3488,$C$2:$F$6,3,FALSE),2)</f>
        <v>0</v>
      </c>
      <c r="Q3488" s="322">
        <v>0</v>
      </c>
      <c r="R3488" s="322">
        <f>Q3488*J3488</f>
        <v>0</v>
      </c>
      <c r="S3488" s="7">
        <v>0</v>
      </c>
      <c r="T3488" s="7">
        <f>S3488*J3488</f>
        <v>0</v>
      </c>
      <c r="U3488" s="39"/>
      <c r="V3488" s="260">
        <v>120</v>
      </c>
      <c r="W3488" s="1136" t="e">
        <f>(((K3488*V3488)-S3488)/(K3488*V3488))</f>
        <v>#DIV/0!</v>
      </c>
    </row>
    <row r="3489" spans="1:23" s="7" customFormat="1" ht="18" customHeight="1">
      <c r="B3489" s="12"/>
      <c r="C3489" s="6" t="s">
        <v>4684</v>
      </c>
      <c r="D3489" s="14" t="s">
        <v>2416</v>
      </c>
      <c r="E3489" s="22"/>
      <c r="F3489" s="102"/>
      <c r="G3489" s="22" t="s">
        <v>316</v>
      </c>
      <c r="H3489" s="8"/>
      <c r="I3489" s="35"/>
      <c r="J3489" s="38">
        <v>1</v>
      </c>
      <c r="K3489" s="39">
        <v>12</v>
      </c>
      <c r="L3489" s="39">
        <f>K3489*J3489</f>
        <v>12</v>
      </c>
      <c r="M3489" s="91"/>
      <c r="N3489" s="33">
        <v>45314</v>
      </c>
      <c r="O3489" s="32">
        <v>5794</v>
      </c>
      <c r="P3489" s="6"/>
      <c r="Q3489" s="322">
        <v>12</v>
      </c>
      <c r="R3489" s="322">
        <f>Q3489*J3489</f>
        <v>12</v>
      </c>
      <c r="S3489" s="7">
        <v>1100</v>
      </c>
      <c r="T3489" s="7">
        <f>S3489*J3489</f>
        <v>1100</v>
      </c>
      <c r="U3489" s="21"/>
      <c r="V3489" s="260">
        <v>120</v>
      </c>
      <c r="W3489" s="1136">
        <f>(((K3489*V3489)-S3489)/(K3489*V3489))</f>
        <v>0.2361111111111111</v>
      </c>
    </row>
    <row r="3490" spans="1:23" s="7" customFormat="1" ht="18" customHeight="1">
      <c r="B3490" s="12"/>
      <c r="C3490" s="6" t="s">
        <v>4684</v>
      </c>
      <c r="D3490" s="14" t="s">
        <v>2416</v>
      </c>
      <c r="E3490" s="22"/>
      <c r="F3490" s="102"/>
      <c r="G3490" s="114" t="s">
        <v>4701</v>
      </c>
      <c r="H3490" s="8"/>
      <c r="I3490" s="35"/>
      <c r="J3490" s="38">
        <v>1</v>
      </c>
      <c r="K3490" s="39">
        <v>0</v>
      </c>
      <c r="L3490" s="39">
        <f>K3490*J3490</f>
        <v>0</v>
      </c>
      <c r="M3490" s="91"/>
      <c r="N3490" s="33">
        <v>45314</v>
      </c>
      <c r="O3490" s="32">
        <v>5794</v>
      </c>
      <c r="P3490" s="6"/>
      <c r="Q3490" s="322">
        <v>0</v>
      </c>
      <c r="R3490" s="322">
        <f>Q3490*J3490</f>
        <v>0</v>
      </c>
      <c r="S3490" s="7">
        <v>500</v>
      </c>
      <c r="T3490" s="7">
        <f>S3490*J3490</f>
        <v>500</v>
      </c>
      <c r="U3490" s="21"/>
      <c r="V3490" s="260">
        <v>120</v>
      </c>
      <c r="W3490" s="1136" t="e">
        <f>(((K3490*V3490)-S3490)/(K3490*V3490))</f>
        <v>#DIV/0!</v>
      </c>
    </row>
    <row r="3491" spans="1:23" s="218" customFormat="1" ht="18" customHeight="1">
      <c r="A3491" s="7"/>
      <c r="B3491" s="189"/>
      <c r="C3491" s="179" t="s">
        <v>4684</v>
      </c>
      <c r="D3491" s="180" t="s">
        <v>2416</v>
      </c>
      <c r="E3491" s="217"/>
      <c r="F3491" s="182"/>
      <c r="G3491" s="182" t="s">
        <v>250</v>
      </c>
      <c r="H3491" s="184" t="s">
        <v>251</v>
      </c>
      <c r="I3491" s="185"/>
      <c r="J3491" s="183"/>
      <c r="K3491" s="192">
        <v>0</v>
      </c>
      <c r="L3491" s="946"/>
      <c r="M3491" s="947"/>
      <c r="N3491" s="187">
        <v>45314</v>
      </c>
      <c r="O3491" s="186">
        <v>5794</v>
      </c>
      <c r="P3491" s="179"/>
      <c r="Q3491" s="725">
        <v>0</v>
      </c>
      <c r="S3491" s="197">
        <v>0</v>
      </c>
      <c r="T3491" s="197">
        <v>0</v>
      </c>
      <c r="U3491" s="335"/>
      <c r="V3491" s="260">
        <v>120</v>
      </c>
    </row>
    <row r="3492" spans="1:23" s="7" customFormat="1" ht="15">
      <c r="B3492" s="12"/>
      <c r="C3492" s="965" t="s">
        <v>4698</v>
      </c>
      <c r="D3492" s="14" t="s">
        <v>2034</v>
      </c>
      <c r="E3492" s="19" t="s">
        <v>4406</v>
      </c>
      <c r="F3492" s="24"/>
      <c r="G3492" s="22"/>
      <c r="H3492" s="60"/>
      <c r="I3492" s="61"/>
      <c r="J3492" s="60"/>
      <c r="K3492" s="16" t="s">
        <v>101</v>
      </c>
      <c r="L3492" s="33"/>
      <c r="M3492" s="33"/>
      <c r="N3492" s="33">
        <v>45317</v>
      </c>
      <c r="O3492" s="32">
        <v>5854</v>
      </c>
      <c r="P3492" s="6" t="s">
        <v>8</v>
      </c>
      <c r="Q3492" s="252"/>
      <c r="S3492" s="257"/>
      <c r="T3492" s="92"/>
      <c r="U3492" s="265"/>
      <c r="V3492" s="260">
        <v>120</v>
      </c>
      <c r="W3492" s="1136" t="e">
        <f t="shared" ref="W3492:W3499" si="247">(((K3492*V3492)-S3492)/(K3492*V3492))</f>
        <v>#VALUE!</v>
      </c>
    </row>
    <row r="3493" spans="1:23" s="7" customFormat="1" ht="17.25" customHeight="1">
      <c r="B3493" s="12" t="s">
        <v>300</v>
      </c>
      <c r="C3493" s="965" t="s">
        <v>4698</v>
      </c>
      <c r="D3493" s="14" t="s">
        <v>2034</v>
      </c>
      <c r="E3493" s="22" t="s">
        <v>4686</v>
      </c>
      <c r="F3493" s="37"/>
      <c r="G3493" s="37" t="s">
        <v>58</v>
      </c>
      <c r="H3493" s="108">
        <v>13.7</v>
      </c>
      <c r="I3493" s="109">
        <v>1</v>
      </c>
      <c r="J3493" s="131">
        <f>H3493*I3493</f>
        <v>13.7</v>
      </c>
      <c r="K3493" s="39">
        <v>10.84</v>
      </c>
      <c r="L3493" s="39">
        <f t="shared" ref="L3493:L3498" si="248">K3493*J3493</f>
        <v>148.50799999999998</v>
      </c>
      <c r="M3493" s="117" t="s">
        <v>349</v>
      </c>
      <c r="N3493" s="33">
        <v>45317</v>
      </c>
      <c r="O3493" s="32">
        <v>5854</v>
      </c>
      <c r="P3493" s="391">
        <f>ROUNDUP(S3493/V3493/VLOOKUP(B3493,$C$2:$F$6,3,FALSE),2)</f>
        <v>9.2899999999999991</v>
      </c>
      <c r="Q3493" s="358">
        <v>9.2899999999999991</v>
      </c>
      <c r="R3493" s="322">
        <f t="shared" ref="R3493:R3498" si="249">Q3493*J3493</f>
        <v>127.27299999999998</v>
      </c>
      <c r="S3493" s="7">
        <v>780</v>
      </c>
      <c r="T3493" s="7">
        <f>S3493*J3493</f>
        <v>10686</v>
      </c>
      <c r="U3493" s="267"/>
      <c r="V3493" s="260">
        <v>120</v>
      </c>
      <c r="W3493" s="1136">
        <f t="shared" si="247"/>
        <v>0.40036900369003686</v>
      </c>
    </row>
    <row r="3494" spans="1:23" s="7" customFormat="1" ht="17.25" customHeight="1">
      <c r="B3494" s="12" t="s">
        <v>300</v>
      </c>
      <c r="C3494" s="965" t="s">
        <v>4698</v>
      </c>
      <c r="D3494" s="14" t="s">
        <v>2034</v>
      </c>
      <c r="E3494" s="22" t="s">
        <v>4687</v>
      </c>
      <c r="F3494" s="37"/>
      <c r="G3494" s="37" t="s">
        <v>58</v>
      </c>
      <c r="H3494" s="108">
        <v>13.7</v>
      </c>
      <c r="I3494" s="109">
        <v>1</v>
      </c>
      <c r="J3494" s="131">
        <f>H3494*I3494</f>
        <v>13.7</v>
      </c>
      <c r="K3494" s="39">
        <v>23.89</v>
      </c>
      <c r="L3494" s="39">
        <f t="shared" si="248"/>
        <v>327.29300000000001</v>
      </c>
      <c r="M3494" s="117" t="s">
        <v>349</v>
      </c>
      <c r="N3494" s="33">
        <v>45317</v>
      </c>
      <c r="O3494" s="32">
        <v>5854</v>
      </c>
      <c r="P3494" s="391">
        <f>ROUNDUP(S3494/V3494/VLOOKUP(B3494,$C$2:$F$6,3,FALSE),2)</f>
        <v>20.48</v>
      </c>
      <c r="Q3494" s="358">
        <v>20.48</v>
      </c>
      <c r="R3494" s="322">
        <f t="shared" si="249"/>
        <v>280.57599999999996</v>
      </c>
      <c r="S3494" s="7">
        <v>1720</v>
      </c>
      <c r="T3494" s="7">
        <f>S3494*J3494</f>
        <v>23564</v>
      </c>
      <c r="U3494" s="267"/>
      <c r="V3494" s="260">
        <v>120</v>
      </c>
      <c r="W3494" s="1136">
        <f t="shared" si="247"/>
        <v>0.4000279056788057</v>
      </c>
    </row>
    <row r="3495" spans="1:23" s="7" customFormat="1" ht="17.25" customHeight="1">
      <c r="B3495" s="12" t="s">
        <v>300</v>
      </c>
      <c r="C3495" s="965" t="s">
        <v>4698</v>
      </c>
      <c r="D3495" s="14" t="s">
        <v>2034</v>
      </c>
      <c r="E3495" s="22" t="s">
        <v>4688</v>
      </c>
      <c r="F3495" s="37"/>
      <c r="G3495" s="37" t="s">
        <v>58</v>
      </c>
      <c r="H3495" s="108">
        <v>13.7</v>
      </c>
      <c r="I3495" s="109">
        <v>1</v>
      </c>
      <c r="J3495" s="131">
        <f>H3495*I3495</f>
        <v>13.7</v>
      </c>
      <c r="K3495" s="39">
        <v>17.5</v>
      </c>
      <c r="L3495" s="39">
        <f t="shared" si="248"/>
        <v>239.75</v>
      </c>
      <c r="M3495" s="117" t="s">
        <v>349</v>
      </c>
      <c r="N3495" s="33">
        <v>45317</v>
      </c>
      <c r="O3495" s="32">
        <v>5854</v>
      </c>
      <c r="P3495" s="391">
        <f>ROUNDUP(S3495/V3495/VLOOKUP(B3495,$C$2:$F$6,3,FALSE),2)</f>
        <v>15</v>
      </c>
      <c r="Q3495" s="358">
        <v>15</v>
      </c>
      <c r="R3495" s="322">
        <f t="shared" si="249"/>
        <v>205.5</v>
      </c>
      <c r="S3495" s="7">
        <v>1260</v>
      </c>
      <c r="T3495" s="7">
        <f>S3495*J3495</f>
        <v>17262</v>
      </c>
      <c r="U3495" s="267"/>
      <c r="V3495" s="260">
        <v>120</v>
      </c>
      <c r="W3495" s="1136">
        <f>(((K3495*V3495)-S3495)/(K3495*V3495))</f>
        <v>0.4</v>
      </c>
    </row>
    <row r="3496" spans="1:23" s="7" customFormat="1" ht="17.25" customHeight="1">
      <c r="B3496" s="12" t="s">
        <v>300</v>
      </c>
      <c r="C3496" s="965" t="s">
        <v>4698</v>
      </c>
      <c r="D3496" s="14" t="s">
        <v>2034</v>
      </c>
      <c r="E3496" s="22" t="s">
        <v>4689</v>
      </c>
      <c r="F3496" s="37"/>
      <c r="G3496" s="37" t="s">
        <v>58</v>
      </c>
      <c r="H3496" s="108">
        <v>13.7</v>
      </c>
      <c r="I3496" s="109">
        <v>1</v>
      </c>
      <c r="J3496" s="131">
        <f>H3496*I3496</f>
        <v>13.7</v>
      </c>
      <c r="K3496" s="39">
        <v>22.09</v>
      </c>
      <c r="L3496" s="39">
        <f t="shared" si="248"/>
        <v>302.63299999999998</v>
      </c>
      <c r="M3496" s="117" t="s">
        <v>349</v>
      </c>
      <c r="N3496" s="33">
        <v>45317</v>
      </c>
      <c r="O3496" s="32">
        <v>5854</v>
      </c>
      <c r="P3496" s="391">
        <f>ROUNDUP(S3496/V3496/VLOOKUP(B3496,$C$2:$F$6,3,FALSE),2)</f>
        <v>18.930000000000003</v>
      </c>
      <c r="Q3496" s="358">
        <v>18.93</v>
      </c>
      <c r="R3496" s="322">
        <f t="shared" si="249"/>
        <v>259.34100000000001</v>
      </c>
      <c r="S3496" s="7">
        <v>1590</v>
      </c>
      <c r="T3496" s="7">
        <f>S3496*J3496</f>
        <v>21783</v>
      </c>
      <c r="U3496" s="267"/>
      <c r="V3496" s="260">
        <v>120</v>
      </c>
      <c r="W3496" s="1136">
        <f>(((K3496*V3496)-S3496)/(K3496*V3496))</f>
        <v>0.40018107741059306</v>
      </c>
    </row>
    <row r="3497" spans="1:23" s="7" customFormat="1" ht="17.25" customHeight="1">
      <c r="B3497" s="12" t="s">
        <v>300</v>
      </c>
      <c r="C3497" s="965" t="s">
        <v>4698</v>
      </c>
      <c r="D3497" s="14" t="s">
        <v>2034</v>
      </c>
      <c r="E3497" s="22" t="s">
        <v>4690</v>
      </c>
      <c r="F3497" s="37"/>
      <c r="G3497" s="37" t="s">
        <v>58</v>
      </c>
      <c r="H3497" s="108">
        <v>13.7</v>
      </c>
      <c r="I3497" s="109">
        <v>1</v>
      </c>
      <c r="J3497" s="131">
        <f>H3497*I3497</f>
        <v>13.7</v>
      </c>
      <c r="K3497" s="39">
        <v>18.059999999999999</v>
      </c>
      <c r="L3497" s="39">
        <f t="shared" si="248"/>
        <v>247.42199999999997</v>
      </c>
      <c r="M3497" s="117" t="s">
        <v>349</v>
      </c>
      <c r="N3497" s="33">
        <v>45317</v>
      </c>
      <c r="O3497" s="32">
        <v>5854</v>
      </c>
      <c r="P3497" s="391">
        <f>ROUNDUP(S3497/V3497/VLOOKUP(B3497,$C$2:$F$6,3,FALSE),2)</f>
        <v>15.48</v>
      </c>
      <c r="Q3497" s="358">
        <v>15.48</v>
      </c>
      <c r="R3497" s="322">
        <f t="shared" si="249"/>
        <v>212.07599999999999</v>
      </c>
      <c r="S3497" s="7">
        <v>1300</v>
      </c>
      <c r="T3497" s="7">
        <f>S3497*J3497</f>
        <v>17810</v>
      </c>
      <c r="U3497" s="267"/>
      <c r="V3497" s="260">
        <v>120</v>
      </c>
      <c r="W3497" s="1136">
        <f>(((K3497*V3497)-S3497)/(K3497*V3497))</f>
        <v>0.40014765596160939</v>
      </c>
    </row>
    <row r="3498" spans="1:23" s="7" customFormat="1" ht="18" customHeight="1">
      <c r="B3498" s="12"/>
      <c r="C3498" s="965" t="s">
        <v>4698</v>
      </c>
      <c r="D3498" s="14" t="s">
        <v>2034</v>
      </c>
      <c r="E3498" s="82"/>
      <c r="F3498" s="102"/>
      <c r="G3498" s="22" t="s">
        <v>316</v>
      </c>
      <c r="H3498" s="8"/>
      <c r="I3498" s="35"/>
      <c r="J3498" s="38">
        <v>2</v>
      </c>
      <c r="K3498" s="39">
        <v>12</v>
      </c>
      <c r="L3498" s="39">
        <f t="shared" si="248"/>
        <v>24</v>
      </c>
      <c r="M3498" s="91"/>
      <c r="N3498" s="33">
        <v>45317</v>
      </c>
      <c r="O3498" s="32">
        <v>5854</v>
      </c>
      <c r="P3498" s="6"/>
      <c r="Q3498" s="322">
        <v>12</v>
      </c>
      <c r="R3498" s="322">
        <f t="shared" si="249"/>
        <v>24</v>
      </c>
      <c r="S3498" s="7">
        <v>1000</v>
      </c>
      <c r="T3498" s="7">
        <v>1000</v>
      </c>
      <c r="U3498" s="21"/>
      <c r="V3498" s="260">
        <v>120</v>
      </c>
      <c r="W3498" s="1136">
        <f t="shared" si="247"/>
        <v>0.30555555555555558</v>
      </c>
    </row>
    <row r="3499" spans="1:23" s="191" customFormat="1" ht="15.75">
      <c r="B3499" s="190"/>
      <c r="C3499" s="966" t="s">
        <v>4698</v>
      </c>
      <c r="D3499" s="180" t="s">
        <v>2034</v>
      </c>
      <c r="E3499" s="181"/>
      <c r="F3499" s="182"/>
      <c r="G3499" s="309" t="s">
        <v>324</v>
      </c>
      <c r="H3499" s="184"/>
      <c r="I3499" s="185"/>
      <c r="J3499" s="183"/>
      <c r="K3499" s="203">
        <v>77</v>
      </c>
      <c r="L3499" s="203">
        <v>77</v>
      </c>
      <c r="M3499" s="187"/>
      <c r="N3499" s="187">
        <v>45317</v>
      </c>
      <c r="O3499" s="186">
        <v>5854</v>
      </c>
      <c r="P3499" s="179"/>
      <c r="Q3499" s="203">
        <v>77</v>
      </c>
      <c r="R3499" s="203">
        <v>77</v>
      </c>
      <c r="S3499" s="1201">
        <v>9222</v>
      </c>
      <c r="T3499" s="1201">
        <v>9222</v>
      </c>
      <c r="U3499" s="271"/>
      <c r="V3499" s="260">
        <v>120</v>
      </c>
      <c r="W3499" s="1136">
        <f t="shared" si="247"/>
        <v>1.9480519480519481E-3</v>
      </c>
    </row>
    <row r="3500" spans="1:23" s="7" customFormat="1" ht="18" customHeight="1">
      <c r="B3500" s="12"/>
      <c r="C3500" s="965" t="s">
        <v>4691</v>
      </c>
      <c r="D3500" s="14" t="s">
        <v>3112</v>
      </c>
      <c r="E3500" s="19" t="s">
        <v>4645</v>
      </c>
      <c r="F3500" s="22"/>
      <c r="G3500" s="37"/>
      <c r="H3500" s="108"/>
      <c r="I3500" s="108"/>
      <c r="J3500" s="108"/>
      <c r="K3500" s="110" t="s">
        <v>5</v>
      </c>
      <c r="L3500" s="33"/>
      <c r="M3500" s="33"/>
      <c r="N3500" s="33">
        <v>45310</v>
      </c>
      <c r="O3500" s="32">
        <v>5727</v>
      </c>
      <c r="P3500" s="6"/>
      <c r="Q3500" s="223"/>
      <c r="S3500" s="1174" t="s">
        <v>330</v>
      </c>
      <c r="T3500" s="92"/>
      <c r="U3500" s="324" t="s">
        <v>4494</v>
      </c>
      <c r="V3500" s="260">
        <v>120</v>
      </c>
    </row>
    <row r="3501" spans="1:23" s="7" customFormat="1" ht="15.95" customHeight="1">
      <c r="B3501" s="12" t="s">
        <v>300</v>
      </c>
      <c r="C3501" s="965" t="s">
        <v>4691</v>
      </c>
      <c r="D3501" s="14" t="s">
        <v>3112</v>
      </c>
      <c r="E3501" s="22">
        <v>3703</v>
      </c>
      <c r="F3501" s="37">
        <v>25</v>
      </c>
      <c r="G3501" s="37" t="s">
        <v>277</v>
      </c>
      <c r="H3501" s="60">
        <v>30</v>
      </c>
      <c r="I3501" s="61">
        <v>1</v>
      </c>
      <c r="J3501" s="60">
        <f>H3501*I3501</f>
        <v>30</v>
      </c>
      <c r="K3501" s="39">
        <v>0.72</v>
      </c>
      <c r="L3501" s="39">
        <f>K3501*J3501</f>
        <v>21.599999999999998</v>
      </c>
      <c r="M3501" s="117" t="s">
        <v>323</v>
      </c>
      <c r="N3501" s="33">
        <v>45310</v>
      </c>
      <c r="O3501" s="32">
        <v>5727</v>
      </c>
      <c r="P3501" s="391">
        <f>ROUNDUP(S3501/V3501/VLOOKUP(B3501,$C$2:$F$6,3,FALSE),2)</f>
        <v>0.42</v>
      </c>
      <c r="Q3501" s="254">
        <v>0.42</v>
      </c>
      <c r="R3501" s="323">
        <f>Q3501*J3501</f>
        <v>12.6</v>
      </c>
      <c r="S3501" s="1200">
        <v>35.165999999999997</v>
      </c>
      <c r="T3501" s="92">
        <f>S3501*J3501</f>
        <v>1054.98</v>
      </c>
      <c r="U3501" s="1200">
        <v>38.700000000000003</v>
      </c>
      <c r="V3501" s="260">
        <v>120</v>
      </c>
      <c r="W3501" s="1136">
        <f>(((K3501*V3501)-S3501)/(K3501*V3501))</f>
        <v>0.5929861111111111</v>
      </c>
    </row>
    <row r="3502" spans="1:23" s="7" customFormat="1" ht="18" customHeight="1">
      <c r="B3502" s="12"/>
      <c r="C3502" s="965" t="s">
        <v>4691</v>
      </c>
      <c r="D3502" s="14" t="s">
        <v>3112</v>
      </c>
      <c r="E3502" s="22"/>
      <c r="F3502" s="102"/>
      <c r="G3502" s="22" t="s">
        <v>316</v>
      </c>
      <c r="H3502" s="8"/>
      <c r="I3502" s="35"/>
      <c r="J3502" s="38">
        <v>1</v>
      </c>
      <c r="K3502" s="39">
        <v>12</v>
      </c>
      <c r="L3502" s="39">
        <f>K3502*J3502</f>
        <v>12</v>
      </c>
      <c r="M3502" s="91"/>
      <c r="N3502" s="33">
        <v>45310</v>
      </c>
      <c r="O3502" s="32">
        <v>5727</v>
      </c>
      <c r="P3502" s="6" t="s">
        <v>3</v>
      </c>
      <c r="Q3502" s="39">
        <v>12</v>
      </c>
      <c r="R3502" s="322">
        <f>Q3502*J3502</f>
        <v>12</v>
      </c>
      <c r="S3502" s="7">
        <v>0</v>
      </c>
      <c r="T3502" s="7">
        <f>S3502*J3502</f>
        <v>0</v>
      </c>
      <c r="U3502" s="21"/>
      <c r="V3502" s="260">
        <v>120</v>
      </c>
      <c r="W3502" s="1136">
        <f>(((K3502*V3502)-S3502)/(K3502*V3502))</f>
        <v>1</v>
      </c>
    </row>
    <row r="3503" spans="1:23" s="191" customFormat="1" ht="18" customHeight="1">
      <c r="B3503" s="190"/>
      <c r="C3503" s="966" t="s">
        <v>4691</v>
      </c>
      <c r="D3503" s="180" t="s">
        <v>3112</v>
      </c>
      <c r="E3503" s="217"/>
      <c r="F3503" s="182"/>
      <c r="G3503" s="182" t="s">
        <v>250</v>
      </c>
      <c r="H3503" s="184" t="s">
        <v>251</v>
      </c>
      <c r="I3503" s="185"/>
      <c r="J3503" s="183"/>
      <c r="K3503" s="192">
        <v>0</v>
      </c>
      <c r="L3503" s="187"/>
      <c r="M3503" s="187"/>
      <c r="N3503" s="187">
        <v>45310</v>
      </c>
      <c r="O3503" s="186">
        <v>5727</v>
      </c>
      <c r="P3503" s="179"/>
      <c r="Q3503" s="255">
        <v>0</v>
      </c>
      <c r="R3503" s="322">
        <v>0</v>
      </c>
      <c r="S3503" s="275">
        <v>0</v>
      </c>
      <c r="T3503" s="198">
        <v>0</v>
      </c>
      <c r="U3503" s="271"/>
      <c r="V3503" s="260">
        <v>120</v>
      </c>
      <c r="W3503" s="1136" t="e">
        <f>(((K3503*V3503)-S3503)/(K3503*V3503))</f>
        <v>#DIV/0!</v>
      </c>
    </row>
    <row r="3504" spans="1:23" s="7" customFormat="1" ht="18" customHeight="1">
      <c r="B3504" s="12"/>
      <c r="C3504" s="6" t="s">
        <v>4692</v>
      </c>
      <c r="D3504" s="14" t="s">
        <v>4693</v>
      </c>
      <c r="E3504" s="19" t="s">
        <v>4694</v>
      </c>
      <c r="F3504" s="107"/>
      <c r="G3504" s="22"/>
      <c r="H3504" s="108"/>
      <c r="I3504" s="109"/>
      <c r="J3504" s="108"/>
      <c r="K3504" s="29" t="s">
        <v>5</v>
      </c>
      <c r="L3504" s="39"/>
      <c r="M3504" s="91"/>
      <c r="N3504" s="33">
        <v>45313</v>
      </c>
      <c r="O3504" s="32">
        <v>5840</v>
      </c>
      <c r="P3504" s="14"/>
      <c r="Q3504" s="322"/>
      <c r="U3504" s="14"/>
      <c r="V3504" s="384">
        <v>120</v>
      </c>
    </row>
    <row r="3505" spans="1:23" s="7" customFormat="1" ht="18" customHeight="1">
      <c r="B3505" s="12" t="s">
        <v>302</v>
      </c>
      <c r="C3505" s="6" t="s">
        <v>4692</v>
      </c>
      <c r="D3505" s="14" t="s">
        <v>4693</v>
      </c>
      <c r="E3505" s="22" t="s">
        <v>4695</v>
      </c>
      <c r="F3505" s="107" t="s">
        <v>4696</v>
      </c>
      <c r="G3505" s="396" t="s">
        <v>4697</v>
      </c>
      <c r="H3505" s="108">
        <v>51.8</v>
      </c>
      <c r="I3505" s="109">
        <v>1</v>
      </c>
      <c r="J3505" s="131">
        <f>I3505*H3505</f>
        <v>51.8</v>
      </c>
      <c r="K3505" s="39">
        <v>8.65</v>
      </c>
      <c r="L3505" s="39">
        <f>K3505*J3505</f>
        <v>448.07</v>
      </c>
      <c r="M3505" s="117" t="s">
        <v>323</v>
      </c>
      <c r="N3505" s="33">
        <v>45313</v>
      </c>
      <c r="O3505" s="32">
        <v>5840</v>
      </c>
      <c r="P3505" s="391">
        <f>ROUNDUP(S3505/V3505/VLOOKUP(B3505,$C$2:$F$6,3,FALSE),2)</f>
        <v>7.8599999999999994</v>
      </c>
      <c r="Q3505" s="322">
        <v>7.86</v>
      </c>
      <c r="R3505" s="322">
        <f>Q3505*J3505</f>
        <v>407.14799999999997</v>
      </c>
      <c r="S3505" s="92">
        <v>830</v>
      </c>
      <c r="T3505" s="7">
        <f>S3505*J3505</f>
        <v>42994</v>
      </c>
      <c r="U3505" s="21"/>
      <c r="V3505" s="260">
        <v>120</v>
      </c>
      <c r="W3505" s="1136">
        <f>(((K3505*V3505)-S3505)/(K3505*V3505))</f>
        <v>0.20038535645472061</v>
      </c>
    </row>
    <row r="3506" spans="1:23" s="7" customFormat="1" ht="18" customHeight="1">
      <c r="B3506" s="12"/>
      <c r="C3506" s="6" t="s">
        <v>4692</v>
      </c>
      <c r="D3506" s="14" t="s">
        <v>4693</v>
      </c>
      <c r="E3506" s="49"/>
      <c r="F3506" s="102"/>
      <c r="G3506" s="22" t="s">
        <v>316</v>
      </c>
      <c r="H3506" s="8"/>
      <c r="I3506" s="35"/>
      <c r="J3506" s="38">
        <v>1</v>
      </c>
      <c r="K3506" s="39">
        <v>20</v>
      </c>
      <c r="L3506" s="39">
        <f>K3506*J3506</f>
        <v>20</v>
      </c>
      <c r="M3506" s="91"/>
      <c r="N3506" s="33">
        <v>45313</v>
      </c>
      <c r="O3506" s="32">
        <v>5840</v>
      </c>
      <c r="P3506" s="6" t="s">
        <v>3</v>
      </c>
      <c r="Q3506" s="39">
        <v>20</v>
      </c>
      <c r="R3506" s="322">
        <f>Q3506*J3506</f>
        <v>20</v>
      </c>
      <c r="S3506" s="7">
        <v>0</v>
      </c>
      <c r="T3506" s="7">
        <f>S3506*J3506</f>
        <v>0</v>
      </c>
      <c r="U3506" s="21"/>
      <c r="V3506" s="260">
        <v>120</v>
      </c>
      <c r="W3506" s="1136">
        <f>(((K3506*V3506)-S3506)/(K3506*V3506))</f>
        <v>1</v>
      </c>
    </row>
    <row r="3507" spans="1:23" s="7" customFormat="1" ht="18" customHeight="1">
      <c r="B3507" s="12"/>
      <c r="C3507" s="6" t="s">
        <v>4692</v>
      </c>
      <c r="D3507" s="14" t="s">
        <v>4693</v>
      </c>
      <c r="E3507" s="49"/>
      <c r="F3507" s="102"/>
      <c r="G3507" s="22" t="s">
        <v>4702</v>
      </c>
      <c r="H3507" s="8"/>
      <c r="I3507" s="35"/>
      <c r="J3507" s="38">
        <v>1</v>
      </c>
      <c r="K3507" s="39">
        <v>81.400000000000006</v>
      </c>
      <c r="L3507" s="39">
        <f>K3507*J3507</f>
        <v>81.400000000000006</v>
      </c>
      <c r="M3507" s="91"/>
      <c r="N3507" s="33">
        <v>45313</v>
      </c>
      <c r="O3507" s="32">
        <v>5840</v>
      </c>
      <c r="P3507" s="6" t="s">
        <v>3</v>
      </c>
      <c r="Q3507" s="39">
        <v>0</v>
      </c>
      <c r="R3507" s="322">
        <v>0</v>
      </c>
      <c r="S3507" s="7">
        <v>0</v>
      </c>
      <c r="T3507" s="7">
        <f>S3507*J3507</f>
        <v>0</v>
      </c>
      <c r="U3507" s="21"/>
      <c r="V3507" s="260">
        <v>120</v>
      </c>
      <c r="W3507" s="1136">
        <f>(((K3507*V3507)-S3507)/(K3507*V3507))</f>
        <v>1</v>
      </c>
    </row>
    <row r="3508" spans="1:23" s="191" customFormat="1" ht="18" customHeight="1">
      <c r="B3508" s="190"/>
      <c r="C3508" s="179" t="s">
        <v>4692</v>
      </c>
      <c r="D3508" s="180" t="s">
        <v>4693</v>
      </c>
      <c r="E3508" s="181"/>
      <c r="F3508" s="622"/>
      <c r="G3508" s="182" t="s">
        <v>250</v>
      </c>
      <c r="H3508" s="184" t="s">
        <v>251</v>
      </c>
      <c r="I3508" s="185"/>
      <c r="J3508" s="183"/>
      <c r="K3508" s="192">
        <v>0</v>
      </c>
      <c r="L3508" s="187"/>
      <c r="M3508" s="187"/>
      <c r="N3508" s="187">
        <v>45313</v>
      </c>
      <c r="O3508" s="186">
        <v>5840</v>
      </c>
      <c r="P3508" s="179"/>
      <c r="Q3508" s="255">
        <v>0</v>
      </c>
      <c r="R3508" s="322">
        <v>0</v>
      </c>
      <c r="S3508" s="275">
        <v>0</v>
      </c>
      <c r="T3508" s="198">
        <v>0</v>
      </c>
      <c r="U3508" s="271"/>
      <c r="V3508" s="260">
        <v>120</v>
      </c>
      <c r="W3508" s="1136" t="e">
        <f>(((K3508*V3508)-S3508)/(K3508*V3508))</f>
        <v>#DIV/0!</v>
      </c>
    </row>
    <row r="3509" spans="1:23" s="7" customFormat="1" ht="15" customHeight="1">
      <c r="A3509" s="1"/>
      <c r="B3509" s="12"/>
      <c r="C3509" s="6" t="s">
        <v>4699</v>
      </c>
      <c r="D3509" s="14" t="s">
        <v>1970</v>
      </c>
      <c r="E3509" s="19" t="s">
        <v>4518</v>
      </c>
      <c r="F3509" s="24"/>
      <c r="G3509" s="22"/>
      <c r="H3509" s="38"/>
      <c r="I3509" s="61"/>
      <c r="J3509" s="60"/>
      <c r="K3509" s="16" t="s">
        <v>5</v>
      </c>
      <c r="L3509" s="33"/>
      <c r="M3509" s="33"/>
      <c r="N3509" s="33">
        <v>45321</v>
      </c>
      <c r="O3509" s="32">
        <v>5855</v>
      </c>
      <c r="P3509" s="6"/>
      <c r="Q3509" s="253"/>
      <c r="S3509" s="325"/>
      <c r="T3509" s="92"/>
      <c r="U3509" s="1181"/>
      <c r="V3509" s="260">
        <v>120</v>
      </c>
    </row>
    <row r="3510" spans="1:23" s="7" customFormat="1" ht="15.75">
      <c r="A3510" s="1"/>
      <c r="B3510" s="12" t="s">
        <v>300</v>
      </c>
      <c r="C3510" s="6" t="s">
        <v>4699</v>
      </c>
      <c r="D3510" s="14" t="s">
        <v>1970</v>
      </c>
      <c r="E3510" s="22">
        <v>4069</v>
      </c>
      <c r="F3510" s="24"/>
      <c r="G3510" s="22" t="s">
        <v>4519</v>
      </c>
      <c r="H3510" s="108">
        <v>30</v>
      </c>
      <c r="I3510" s="109">
        <v>5</v>
      </c>
      <c r="J3510" s="60">
        <f>H3510*I3510</f>
        <v>150</v>
      </c>
      <c r="K3510" s="39">
        <v>1.99</v>
      </c>
      <c r="L3510" s="39">
        <f>K3510*J3510</f>
        <v>298.5</v>
      </c>
      <c r="M3510" s="117" t="s">
        <v>323</v>
      </c>
      <c r="N3510" s="33">
        <v>45321</v>
      </c>
      <c r="O3510" s="32">
        <v>5855</v>
      </c>
      <c r="P3510" s="391">
        <f>ROUNDUP(S3510/V3510/VLOOKUP(B3510,$C$2:$F$6,3,FALSE),2)</f>
        <v>1.28</v>
      </c>
      <c r="Q3510" s="253">
        <v>1.28</v>
      </c>
      <c r="R3510" s="323">
        <f>Q3510*J3510</f>
        <v>192</v>
      </c>
      <c r="S3510" s="257">
        <v>107</v>
      </c>
      <c r="T3510" s="287">
        <f>S3510*J3510</f>
        <v>16050</v>
      </c>
      <c r="U3510" s="257"/>
      <c r="V3510" s="260">
        <v>120</v>
      </c>
      <c r="W3510" s="1136">
        <f>(((K3510*V3510)-S3510)/(K3510*V3510))</f>
        <v>0.55192629815745398</v>
      </c>
    </row>
    <row r="3511" spans="1:23" ht="15.95" customHeight="1">
      <c r="B3511" s="26" t="s">
        <v>306</v>
      </c>
      <c r="C3511" s="6" t="s">
        <v>4699</v>
      </c>
      <c r="D3511" s="14" t="s">
        <v>1970</v>
      </c>
      <c r="E3511" s="22"/>
      <c r="F3511" s="102"/>
      <c r="G3511" s="37" t="s">
        <v>316</v>
      </c>
      <c r="H3511" s="8"/>
      <c r="I3511" s="35"/>
      <c r="J3511" s="38">
        <v>1</v>
      </c>
      <c r="K3511" s="39">
        <v>12</v>
      </c>
      <c r="L3511" s="39">
        <f>K3511*J3511</f>
        <v>12</v>
      </c>
      <c r="M3511" s="91"/>
      <c r="N3511" s="33">
        <v>45321</v>
      </c>
      <c r="O3511" s="32">
        <v>5855</v>
      </c>
      <c r="P3511" s="39"/>
      <c r="Q3511" s="124">
        <v>12</v>
      </c>
      <c r="R3511" s="323">
        <f>Q3511*J3511</f>
        <v>12</v>
      </c>
      <c r="S3511" s="263">
        <v>1100</v>
      </c>
      <c r="T3511" s="287">
        <f>S3511*J3511</f>
        <v>1100</v>
      </c>
      <c r="U3511" s="270"/>
      <c r="V3511" s="260">
        <v>120</v>
      </c>
      <c r="W3511" s="1"/>
    </row>
    <row r="3512" spans="1:23" s="191" customFormat="1" ht="15" customHeight="1">
      <c r="A3512" s="1"/>
      <c r="B3512" s="190"/>
      <c r="C3512" s="179" t="s">
        <v>4699</v>
      </c>
      <c r="D3512" s="180" t="s">
        <v>1970</v>
      </c>
      <c r="E3512" s="181"/>
      <c r="F3512" s="182"/>
      <c r="G3512" s="182" t="s">
        <v>250</v>
      </c>
      <c r="H3512" s="184" t="s">
        <v>251</v>
      </c>
      <c r="I3512" s="185"/>
      <c r="J3512" s="183"/>
      <c r="K3512" s="192">
        <v>0</v>
      </c>
      <c r="L3512" s="187"/>
      <c r="M3512" s="187"/>
      <c r="N3512" s="187">
        <v>45321</v>
      </c>
      <c r="O3512" s="186">
        <v>5855</v>
      </c>
      <c r="P3512" s="179"/>
      <c r="Q3512" s="255">
        <v>0</v>
      </c>
      <c r="S3512" s="274">
        <v>0</v>
      </c>
      <c r="T3512" s="198">
        <v>0</v>
      </c>
      <c r="U3512" s="271"/>
      <c r="V3512" s="260">
        <v>120</v>
      </c>
      <c r="W3512" s="1136" t="e">
        <f>(((K3512*V3512)-S3512)/(K3512*V3512))</f>
        <v>#DIV/0!</v>
      </c>
    </row>
    <row r="3513" spans="1:23" s="7" customFormat="1" ht="18" customHeight="1">
      <c r="B3513" s="12"/>
      <c r="C3513" s="6" t="s">
        <v>4700</v>
      </c>
      <c r="D3513" s="14" t="s">
        <v>2211</v>
      </c>
      <c r="E3513" s="19" t="s">
        <v>1950</v>
      </c>
      <c r="F3513" s="37"/>
      <c r="G3513" s="37"/>
      <c r="H3513" s="108"/>
      <c r="I3513" s="108"/>
      <c r="J3513" s="108"/>
      <c r="K3513" s="29" t="s">
        <v>5</v>
      </c>
      <c r="L3513" s="139"/>
      <c r="M3513" s="33"/>
      <c r="N3513" s="33">
        <v>45362</v>
      </c>
      <c r="O3513" s="32">
        <v>5861</v>
      </c>
      <c r="P3513" s="6"/>
      <c r="Q3513" s="339"/>
      <c r="U3513" s="21"/>
      <c r="V3513" s="260">
        <v>120</v>
      </c>
    </row>
    <row r="3514" spans="1:23" s="7" customFormat="1" ht="17.25" customHeight="1">
      <c r="B3514" s="12" t="s">
        <v>300</v>
      </c>
      <c r="C3514" s="6" t="s">
        <v>4700</v>
      </c>
      <c r="D3514" s="14" t="s">
        <v>2211</v>
      </c>
      <c r="E3514" s="22">
        <v>3808</v>
      </c>
      <c r="F3514" s="37">
        <v>9</v>
      </c>
      <c r="G3514" s="812" t="s">
        <v>3236</v>
      </c>
      <c r="H3514" s="108">
        <v>50</v>
      </c>
      <c r="I3514" s="814">
        <v>4</v>
      </c>
      <c r="J3514" s="60">
        <f>H3514*I3514</f>
        <v>200</v>
      </c>
      <c r="K3514" s="39">
        <v>0.42</v>
      </c>
      <c r="L3514" s="39">
        <f>K3514*J3514</f>
        <v>84</v>
      </c>
      <c r="M3514" s="117" t="s">
        <v>349</v>
      </c>
      <c r="N3514" s="33">
        <v>45362</v>
      </c>
      <c r="O3514" s="32">
        <v>5861</v>
      </c>
      <c r="P3514" s="391">
        <f>ROUNDUP(S3514/V3514/VLOOKUP(B3514,$C$2:$F$6,3,FALSE),2)</f>
        <v>0.27</v>
      </c>
      <c r="Q3514" s="725">
        <v>0.27</v>
      </c>
      <c r="R3514" s="322">
        <f>Q3514*J3514</f>
        <v>54</v>
      </c>
      <c r="S3514" s="7">
        <v>22.3</v>
      </c>
      <c r="T3514" s="7">
        <f>S3514*J3514</f>
        <v>4460</v>
      </c>
      <c r="U3514" s="267"/>
      <c r="V3514" s="260">
        <v>120</v>
      </c>
      <c r="W3514" s="1136">
        <f>(((K3514*V3514)-S3514)/(K3514*V3514))</f>
        <v>0.55753968253968256</v>
      </c>
    </row>
    <row r="3515" spans="1:23" s="7" customFormat="1" ht="17.25" customHeight="1">
      <c r="B3515" s="12" t="s">
        <v>300</v>
      </c>
      <c r="C3515" s="6" t="s">
        <v>4700</v>
      </c>
      <c r="D3515" s="14" t="s">
        <v>2211</v>
      </c>
      <c r="E3515" s="22">
        <v>3808</v>
      </c>
      <c r="F3515" s="37">
        <v>9</v>
      </c>
      <c r="G3515" s="812" t="s">
        <v>3235</v>
      </c>
      <c r="H3515" s="108">
        <v>50</v>
      </c>
      <c r="I3515" s="814">
        <v>2</v>
      </c>
      <c r="J3515" s="60">
        <f>H3515*I3515</f>
        <v>100</v>
      </c>
      <c r="K3515" s="39">
        <v>0.42</v>
      </c>
      <c r="L3515" s="39">
        <f>K3515*J3515</f>
        <v>42</v>
      </c>
      <c r="M3515" s="117" t="s">
        <v>349</v>
      </c>
      <c r="N3515" s="33">
        <v>45362</v>
      </c>
      <c r="O3515" s="32">
        <v>5861</v>
      </c>
      <c r="P3515" s="391">
        <f>ROUNDUP(S3515/V3515/VLOOKUP(B3515,$C$2:$F$6,3,FALSE),2)</f>
        <v>0.27</v>
      </c>
      <c r="Q3515" s="725">
        <v>0.27</v>
      </c>
      <c r="R3515" s="322">
        <f>Q3515*J3515</f>
        <v>27</v>
      </c>
      <c r="S3515" s="7">
        <v>22.3</v>
      </c>
      <c r="T3515" s="7">
        <f>S3515*J3515</f>
        <v>2230</v>
      </c>
      <c r="U3515" s="267"/>
      <c r="V3515" s="260">
        <v>120</v>
      </c>
      <c r="W3515" s="1136">
        <f>(((K3515*V3515)-S3515)/(K3515*V3515))</f>
        <v>0.55753968253968256</v>
      </c>
    </row>
    <row r="3516" spans="1:23" s="7" customFormat="1" ht="15">
      <c r="B3516" s="12"/>
      <c r="C3516" s="6" t="s">
        <v>4700</v>
      </c>
      <c r="D3516" s="14" t="s">
        <v>2211</v>
      </c>
      <c r="E3516" s="22"/>
      <c r="F3516" s="102"/>
      <c r="G3516" s="22" t="s">
        <v>316</v>
      </c>
      <c r="H3516" s="8"/>
      <c r="I3516" s="35"/>
      <c r="J3516" s="38">
        <v>1</v>
      </c>
      <c r="K3516" s="39">
        <v>12</v>
      </c>
      <c r="L3516" s="39">
        <f>K3516*J3516</f>
        <v>12</v>
      </c>
      <c r="M3516" s="91"/>
      <c r="N3516" s="33">
        <v>45362</v>
      </c>
      <c r="O3516" s="32">
        <v>5861</v>
      </c>
      <c r="P3516" s="391" t="e">
        <f>ROUNDUP(S3516/V3516/VLOOKUP(B3516,$C$2:$F$6,3,FALSE),2)</f>
        <v>#N/A</v>
      </c>
      <c r="Q3516" s="322">
        <v>12</v>
      </c>
      <c r="R3516" s="322">
        <f>Q3516*J3516</f>
        <v>12</v>
      </c>
      <c r="S3516" s="7">
        <v>1000</v>
      </c>
      <c r="T3516" s="7">
        <f>S3516*J3516</f>
        <v>1000</v>
      </c>
      <c r="U3516" s="21"/>
      <c r="V3516" s="260">
        <v>120</v>
      </c>
      <c r="W3516" s="1136">
        <f>(((K3516*V3516)-S3516)/(K3516*V3516))</f>
        <v>0.30555555555555558</v>
      </c>
    </row>
    <row r="3517" spans="1:23" s="191" customFormat="1" ht="18" customHeight="1">
      <c r="B3517" s="190"/>
      <c r="C3517" s="179" t="s">
        <v>4700</v>
      </c>
      <c r="D3517" s="180" t="s">
        <v>2211</v>
      </c>
      <c r="E3517" s="736"/>
      <c r="F3517" s="737"/>
      <c r="G3517" s="182" t="s">
        <v>1955</v>
      </c>
      <c r="H3517" s="222"/>
      <c r="I3517" s="222"/>
      <c r="J3517" s="222"/>
      <c r="K3517" s="192">
        <v>30</v>
      </c>
      <c r="L3517" s="192">
        <v>30</v>
      </c>
      <c r="M3517" s="331"/>
      <c r="N3517" s="187">
        <v>45362</v>
      </c>
      <c r="O3517" s="186">
        <v>5861</v>
      </c>
      <c r="P3517" s="327"/>
      <c r="Q3517" s="192">
        <v>30</v>
      </c>
      <c r="R3517" s="192">
        <v>30</v>
      </c>
      <c r="S3517" s="786">
        <v>2480</v>
      </c>
      <c r="T3517" s="786">
        <v>2480</v>
      </c>
      <c r="U3517" s="267"/>
      <c r="V3517" s="260">
        <v>120</v>
      </c>
      <c r="W3517" s="1136"/>
    </row>
    <row r="3518" spans="1:23" s="7" customFormat="1" ht="18" customHeight="1">
      <c r="B3518" s="12"/>
      <c r="C3518" s="6" t="s">
        <v>4704</v>
      </c>
      <c r="D3518" s="14" t="s">
        <v>2416</v>
      </c>
      <c r="E3518" s="19" t="s">
        <v>4599</v>
      </c>
      <c r="F3518" s="107"/>
      <c r="G3518" s="22"/>
      <c r="H3518" s="108"/>
      <c r="I3518" s="109"/>
      <c r="J3518" s="108"/>
      <c r="K3518" s="29" t="s">
        <v>5</v>
      </c>
      <c r="L3518" s="139"/>
      <c r="M3518" s="33"/>
      <c r="N3518" s="33">
        <v>45390</v>
      </c>
      <c r="O3518" s="32">
        <v>5886</v>
      </c>
      <c r="P3518" s="14"/>
      <c r="Q3518" s="322"/>
      <c r="S3518" s="308"/>
      <c r="T3518" s="308"/>
      <c r="U3518" s="14"/>
      <c r="V3518" s="260">
        <v>120</v>
      </c>
    </row>
    <row r="3519" spans="1:23" customFormat="1" ht="18" customHeight="1">
      <c r="B3519" s="26" t="s">
        <v>300</v>
      </c>
      <c r="C3519" s="6" t="s">
        <v>4704</v>
      </c>
      <c r="D3519" s="14" t="s">
        <v>2416</v>
      </c>
      <c r="E3519" s="19" t="s">
        <v>2418</v>
      </c>
      <c r="F3519" s="37">
        <v>30</v>
      </c>
      <c r="G3519" s="37" t="s">
        <v>2419</v>
      </c>
      <c r="H3519" s="108">
        <v>30</v>
      </c>
      <c r="I3519" s="814">
        <v>14</v>
      </c>
      <c r="J3519" s="8">
        <f>H3519*I3519</f>
        <v>420</v>
      </c>
      <c r="K3519" s="39">
        <v>2.5</v>
      </c>
      <c r="L3519" s="39">
        <f>K3519*J3519</f>
        <v>1050</v>
      </c>
      <c r="M3519" s="117" t="s">
        <v>349</v>
      </c>
      <c r="N3519" s="33">
        <v>45390</v>
      </c>
      <c r="O3519" s="32">
        <v>5886</v>
      </c>
      <c r="P3519" s="391">
        <f>ROUNDUP(S3519/V3519/VLOOKUP(B3519,$C$2:$F$6,3,FALSE),2)</f>
        <v>1.61</v>
      </c>
      <c r="Q3519" s="725">
        <v>1.61</v>
      </c>
      <c r="R3519" s="322">
        <f>Q3519*J3519</f>
        <v>676.2</v>
      </c>
      <c r="S3519" s="7">
        <v>135</v>
      </c>
      <c r="T3519" s="7">
        <f>S3519*J3519</f>
        <v>56700</v>
      </c>
      <c r="U3519" s="267"/>
      <c r="V3519" s="260">
        <v>120</v>
      </c>
      <c r="W3519" s="1136">
        <f>(((K3519*V3519)-S3519)/(K3519*V3519))</f>
        <v>0.55000000000000004</v>
      </c>
    </row>
    <row r="3520" spans="1:23" customFormat="1" ht="18" customHeight="1">
      <c r="B3520" s="26" t="s">
        <v>300</v>
      </c>
      <c r="C3520" s="6" t="s">
        <v>4704</v>
      </c>
      <c r="D3520" s="14" t="s">
        <v>2416</v>
      </c>
      <c r="E3520" s="19" t="s">
        <v>2418</v>
      </c>
      <c r="F3520" s="37">
        <v>30</v>
      </c>
      <c r="G3520" s="37" t="s">
        <v>4703</v>
      </c>
      <c r="H3520" s="108">
        <v>30</v>
      </c>
      <c r="I3520" s="814">
        <v>27</v>
      </c>
      <c r="J3520" s="8">
        <f>H3520*I3520</f>
        <v>810</v>
      </c>
      <c r="K3520" s="39">
        <v>2.5</v>
      </c>
      <c r="L3520" s="39">
        <f>K3520*J3520</f>
        <v>2025</v>
      </c>
      <c r="M3520" s="117" t="s">
        <v>349</v>
      </c>
      <c r="N3520" s="33">
        <v>45390</v>
      </c>
      <c r="O3520" s="32">
        <v>5886</v>
      </c>
      <c r="P3520" s="391">
        <f>ROUNDUP(S3520/V3520/VLOOKUP(B3520,$C$2:$F$6,3,FALSE),2)</f>
        <v>1.55</v>
      </c>
      <c r="Q3520" s="725">
        <v>1.55</v>
      </c>
      <c r="R3520" s="322">
        <f>Q3520*J3520</f>
        <v>1255.5</v>
      </c>
      <c r="S3520" s="7">
        <v>130</v>
      </c>
      <c r="T3520" s="7">
        <f>S3520*J3520</f>
        <v>105300</v>
      </c>
      <c r="U3520" s="267"/>
      <c r="V3520" s="260">
        <v>120</v>
      </c>
      <c r="W3520" s="1136">
        <f>(((K3520*V3520)-S3520)/(K3520*V3520))</f>
        <v>0.56666666666666665</v>
      </c>
    </row>
    <row r="3521" spans="1:51" s="7" customFormat="1" ht="18" customHeight="1">
      <c r="B3521" s="12"/>
      <c r="C3521" s="6" t="s">
        <v>4704</v>
      </c>
      <c r="D3521" s="14" t="s">
        <v>2416</v>
      </c>
      <c r="E3521" s="22"/>
      <c r="F3521" s="102"/>
      <c r="G3521" s="22" t="s">
        <v>316</v>
      </c>
      <c r="H3521" s="38"/>
      <c r="I3521" s="35"/>
      <c r="J3521" s="38">
        <v>1</v>
      </c>
      <c r="K3521" s="39">
        <v>12</v>
      </c>
      <c r="L3521" s="39">
        <f>K3521*J3521</f>
        <v>12</v>
      </c>
      <c r="M3521" s="91"/>
      <c r="N3521" s="33">
        <v>45390</v>
      </c>
      <c r="O3521" s="32">
        <v>5886</v>
      </c>
      <c r="P3521" s="722"/>
      <c r="Q3521" s="322">
        <v>12</v>
      </c>
      <c r="R3521" s="322">
        <f>Q3521*J3521</f>
        <v>12</v>
      </c>
      <c r="S3521" s="7">
        <v>0</v>
      </c>
      <c r="T3521" s="7">
        <f>S3521*J3521</f>
        <v>0</v>
      </c>
      <c r="U3521" s="21"/>
      <c r="V3521" s="260">
        <v>120</v>
      </c>
      <c r="W3521" s="1136">
        <f>(((K3521*V3521)-S3521)/(K3521*V3521))</f>
        <v>1</v>
      </c>
    </row>
    <row r="3522" spans="1:51" s="191" customFormat="1" ht="15">
      <c r="B3522" s="190"/>
      <c r="C3522" s="179" t="s">
        <v>4704</v>
      </c>
      <c r="D3522" s="180" t="s">
        <v>2416</v>
      </c>
      <c r="E3522" s="217"/>
      <c r="F3522" s="182"/>
      <c r="G3522" s="182" t="s">
        <v>250</v>
      </c>
      <c r="H3522" s="184" t="s">
        <v>251</v>
      </c>
      <c r="I3522" s="185"/>
      <c r="J3522" s="183"/>
      <c r="K3522" s="192">
        <v>0</v>
      </c>
      <c r="L3522" s="188"/>
      <c r="M3522" s="187"/>
      <c r="N3522" s="187">
        <v>45390</v>
      </c>
      <c r="O3522" s="186">
        <v>5886</v>
      </c>
      <c r="P3522" s="179"/>
      <c r="Q3522" s="725"/>
      <c r="S3522" s="197">
        <v>0</v>
      </c>
      <c r="T3522" s="198">
        <v>0</v>
      </c>
      <c r="U3522" s="335"/>
      <c r="V3522" s="260">
        <v>120</v>
      </c>
    </row>
    <row r="3523" spans="1:51" s="7" customFormat="1" ht="18" customHeight="1">
      <c r="B3523" s="12"/>
      <c r="C3523" s="6" t="s">
        <v>4705</v>
      </c>
      <c r="D3523" s="14" t="s">
        <v>2416</v>
      </c>
      <c r="E3523" s="19" t="s">
        <v>4599</v>
      </c>
      <c r="F3523" s="107"/>
      <c r="G3523" s="22"/>
      <c r="H3523" s="108"/>
      <c r="I3523" s="109"/>
      <c r="J3523" s="108"/>
      <c r="K3523" s="29" t="s">
        <v>5</v>
      </c>
      <c r="L3523" s="139"/>
      <c r="M3523" s="33"/>
      <c r="N3523" s="33">
        <v>45380</v>
      </c>
      <c r="O3523" s="32">
        <v>5887</v>
      </c>
      <c r="P3523" s="14"/>
      <c r="Q3523" s="322"/>
      <c r="S3523" s="308"/>
      <c r="T3523" s="308"/>
      <c r="U3523" s="14"/>
      <c r="V3523" s="260">
        <v>120</v>
      </c>
    </row>
    <row r="3524" spans="1:51" customFormat="1" ht="18" customHeight="1">
      <c r="B3524" s="26" t="s">
        <v>300</v>
      </c>
      <c r="C3524" s="6" t="s">
        <v>4705</v>
      </c>
      <c r="D3524" s="14" t="s">
        <v>2416</v>
      </c>
      <c r="E3524" s="19" t="s">
        <v>2418</v>
      </c>
      <c r="F3524" s="37">
        <v>30</v>
      </c>
      <c r="G3524" s="37" t="s">
        <v>2419</v>
      </c>
      <c r="H3524" s="108">
        <v>30</v>
      </c>
      <c r="I3524" s="814">
        <v>24</v>
      </c>
      <c r="J3524" s="8">
        <f>H3524*I3524</f>
        <v>720</v>
      </c>
      <c r="K3524" s="39">
        <v>2.5</v>
      </c>
      <c r="L3524" s="39">
        <f>K3524*J3524</f>
        <v>1800</v>
      </c>
      <c r="M3524" s="117" t="s">
        <v>349</v>
      </c>
      <c r="N3524" s="33">
        <v>45380</v>
      </c>
      <c r="O3524" s="32">
        <v>5887</v>
      </c>
      <c r="P3524" s="391">
        <f>ROUNDUP(S3524/V3524/VLOOKUP(B3524,$C$2:$F$6,3,FALSE),2)</f>
        <v>1.61</v>
      </c>
      <c r="Q3524" s="725">
        <v>1.61</v>
      </c>
      <c r="R3524" s="322">
        <f>Q3524*J3524</f>
        <v>1159.2</v>
      </c>
      <c r="S3524" s="7">
        <v>135</v>
      </c>
      <c r="T3524" s="7">
        <f>S3524*J3524</f>
        <v>97200</v>
      </c>
      <c r="U3524" s="267"/>
      <c r="V3524" s="260">
        <v>120</v>
      </c>
      <c r="W3524" s="1136">
        <f>(((K3524*V3524)-S3524)/(K3524*V3524))</f>
        <v>0.55000000000000004</v>
      </c>
    </row>
    <row r="3525" spans="1:51" customFormat="1" ht="18" customHeight="1">
      <c r="B3525" s="26" t="s">
        <v>300</v>
      </c>
      <c r="C3525" s="6" t="s">
        <v>4705</v>
      </c>
      <c r="D3525" s="14" t="s">
        <v>2416</v>
      </c>
      <c r="E3525" s="19" t="s">
        <v>2418</v>
      </c>
      <c r="F3525" s="37">
        <v>30</v>
      </c>
      <c r="G3525" s="37" t="s">
        <v>4703</v>
      </c>
      <c r="H3525" s="108">
        <v>30</v>
      </c>
      <c r="I3525" s="814">
        <v>30</v>
      </c>
      <c r="J3525" s="8">
        <f>H3525*I3525</f>
        <v>900</v>
      </c>
      <c r="K3525" s="39">
        <v>2.5</v>
      </c>
      <c r="L3525" s="39">
        <f>K3525*J3525</f>
        <v>2250</v>
      </c>
      <c r="M3525" s="117" t="s">
        <v>349</v>
      </c>
      <c r="N3525" s="33">
        <v>45380</v>
      </c>
      <c r="O3525" s="32">
        <v>5887</v>
      </c>
      <c r="P3525" s="391">
        <f>ROUNDUP(S3525/V3525/VLOOKUP(B3525,$C$2:$F$6,3,FALSE),2)</f>
        <v>1.55</v>
      </c>
      <c r="Q3525" s="725">
        <v>1.55</v>
      </c>
      <c r="R3525" s="322">
        <f>Q3525*J3525</f>
        <v>1395</v>
      </c>
      <c r="S3525" s="7">
        <v>130</v>
      </c>
      <c r="T3525" s="7">
        <f>S3525*J3525</f>
        <v>117000</v>
      </c>
      <c r="U3525" s="267"/>
      <c r="V3525" s="260">
        <v>120</v>
      </c>
      <c r="W3525" s="1136">
        <f>(((K3525*V3525)-S3525)/(K3525*V3525))</f>
        <v>0.56666666666666665</v>
      </c>
    </row>
    <row r="3526" spans="1:51" s="7" customFormat="1" ht="18" customHeight="1">
      <c r="B3526" s="12"/>
      <c r="C3526" s="6" t="s">
        <v>4705</v>
      </c>
      <c r="D3526" s="14" t="s">
        <v>2416</v>
      </c>
      <c r="E3526" s="22"/>
      <c r="F3526" s="102"/>
      <c r="G3526" s="22" t="s">
        <v>316</v>
      </c>
      <c r="H3526" s="38"/>
      <c r="I3526" s="35"/>
      <c r="J3526" s="38">
        <v>1</v>
      </c>
      <c r="K3526" s="39">
        <v>12</v>
      </c>
      <c r="L3526" s="39">
        <f>K3526*J3526</f>
        <v>12</v>
      </c>
      <c r="M3526" s="91"/>
      <c r="N3526" s="33">
        <v>45380</v>
      </c>
      <c r="O3526" s="32">
        <v>5887</v>
      </c>
      <c r="P3526" s="722"/>
      <c r="Q3526" s="322">
        <v>12</v>
      </c>
      <c r="R3526" s="322">
        <f>Q3526*J3526</f>
        <v>12</v>
      </c>
      <c r="S3526" s="7">
        <v>0</v>
      </c>
      <c r="T3526" s="7">
        <f>S3526*J3526</f>
        <v>0</v>
      </c>
      <c r="U3526" s="21"/>
      <c r="V3526" s="260">
        <v>120</v>
      </c>
      <c r="W3526" s="1136">
        <f>(((K3526*V3526)-S3526)/(K3526*V3526))</f>
        <v>1</v>
      </c>
    </row>
    <row r="3527" spans="1:51" s="191" customFormat="1" ht="15">
      <c r="B3527" s="190"/>
      <c r="C3527" s="179" t="s">
        <v>4705</v>
      </c>
      <c r="D3527" s="180" t="s">
        <v>2416</v>
      </c>
      <c r="E3527" s="217"/>
      <c r="F3527" s="182"/>
      <c r="G3527" s="182" t="s">
        <v>250</v>
      </c>
      <c r="H3527" s="184" t="s">
        <v>251</v>
      </c>
      <c r="I3527" s="185"/>
      <c r="J3527" s="183"/>
      <c r="K3527" s="192">
        <v>0</v>
      </c>
      <c r="L3527" s="188"/>
      <c r="M3527" s="187"/>
      <c r="N3527" s="187">
        <v>45380</v>
      </c>
      <c r="O3527" s="186">
        <v>5887</v>
      </c>
      <c r="P3527" s="179"/>
      <c r="Q3527" s="725"/>
      <c r="S3527" s="197">
        <v>0</v>
      </c>
      <c r="T3527" s="198">
        <v>0</v>
      </c>
      <c r="U3527" s="335"/>
      <c r="V3527" s="260">
        <v>120</v>
      </c>
    </row>
    <row r="3528" spans="1:51" customFormat="1" ht="18" customHeight="1">
      <c r="A3528" s="1"/>
      <c r="B3528" s="26"/>
      <c r="C3528" s="6" t="s">
        <v>4745</v>
      </c>
      <c r="D3528" s="14" t="s">
        <v>3238</v>
      </c>
      <c r="E3528" s="19" t="s">
        <v>59</v>
      </c>
      <c r="F3528" s="107"/>
      <c r="G3528" s="22"/>
      <c r="H3528" s="108"/>
      <c r="I3528" s="109"/>
      <c r="J3528" s="108"/>
      <c r="K3528" s="110" t="s">
        <v>5</v>
      </c>
      <c r="L3528" s="33"/>
      <c r="M3528" s="33"/>
      <c r="N3528" s="33">
        <v>45369</v>
      </c>
      <c r="O3528" s="32">
        <v>5890</v>
      </c>
      <c r="P3528" s="14"/>
      <c r="Q3528" s="254"/>
      <c r="R3528" s="1"/>
      <c r="S3528" s="261"/>
      <c r="T3528" s="92"/>
      <c r="U3528" s="264"/>
      <c r="V3528" s="260">
        <v>120</v>
      </c>
      <c r="W3528" s="1136" t="e">
        <f t="shared" ref="W3528:W3537" si="250">(((K3528*V3528)-S3528)/(K3528*V3528))</f>
        <v>#VALUE!</v>
      </c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1"/>
      <c r="AI3528" s="1"/>
      <c r="AJ3528" s="1"/>
      <c r="AK3528" s="1"/>
      <c r="AL3528" s="1"/>
      <c r="AM3528" s="1"/>
      <c r="AN3528" s="1"/>
      <c r="AO3528" s="1"/>
      <c r="AP3528" s="1"/>
      <c r="AQ3528" s="1"/>
      <c r="AR3528" s="1"/>
      <c r="AS3528" s="1"/>
      <c r="AT3528" s="1"/>
      <c r="AU3528" s="1"/>
      <c r="AV3528" s="1"/>
      <c r="AW3528" s="1"/>
      <c r="AX3528" s="1"/>
      <c r="AY3528" s="1"/>
    </row>
    <row r="3529" spans="1:51" customFormat="1" ht="18" customHeight="1">
      <c r="B3529" s="12" t="s">
        <v>302</v>
      </c>
      <c r="C3529" s="6" t="s">
        <v>4745</v>
      </c>
      <c r="D3529" s="14" t="s">
        <v>3238</v>
      </c>
      <c r="E3529" s="22">
        <v>2440</v>
      </c>
      <c r="F3529" s="107">
        <v>140</v>
      </c>
      <c r="G3529" s="22" t="s">
        <v>4746</v>
      </c>
      <c r="H3529" s="108">
        <v>49</v>
      </c>
      <c r="I3529" s="109">
        <v>1</v>
      </c>
      <c r="J3529" s="8">
        <f t="shared" ref="J3529:J3535" si="251">H3529*I3529</f>
        <v>49</v>
      </c>
      <c r="K3529" s="39">
        <v>3.19</v>
      </c>
      <c r="L3529" s="39">
        <f t="shared" ref="L3529:L3536" si="252">K3529*J3529</f>
        <v>156.31</v>
      </c>
      <c r="M3529" s="117" t="s">
        <v>323</v>
      </c>
      <c r="N3529" s="33">
        <v>45369</v>
      </c>
      <c r="O3529" s="32">
        <v>5890</v>
      </c>
      <c r="P3529" s="391">
        <f t="shared" ref="P3529:P3535" si="253">ROUNDUP(S3529/V3529/VLOOKUP(B3529,$C$2:$F$6,3,FALSE),2)</f>
        <v>2.8499999999999996</v>
      </c>
      <c r="Q3529" s="254">
        <v>2.85</v>
      </c>
      <c r="R3529" s="323">
        <f t="shared" ref="R3529:R3536" si="254">Q3529*J3529</f>
        <v>139.65</v>
      </c>
      <c r="S3529" s="257">
        <v>300</v>
      </c>
      <c r="T3529" s="287">
        <f t="shared" ref="T3529:T3536" si="255">S3529*J3529</f>
        <v>14700</v>
      </c>
      <c r="U3529" s="264"/>
      <c r="V3529" s="260">
        <v>120</v>
      </c>
      <c r="W3529" s="1136">
        <f t="shared" si="250"/>
        <v>0.21630094043887149</v>
      </c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1"/>
      <c r="AI3529" s="1"/>
      <c r="AJ3529" s="1"/>
      <c r="AK3529" s="1"/>
      <c r="AL3529" s="1"/>
      <c r="AM3529" s="1"/>
      <c r="AN3529" s="1"/>
      <c r="AO3529" s="1"/>
      <c r="AP3529" s="1"/>
      <c r="AQ3529" s="1"/>
      <c r="AR3529" s="1"/>
      <c r="AS3529" s="1"/>
      <c r="AT3529" s="1"/>
      <c r="AU3529" s="1"/>
      <c r="AV3529" s="1"/>
      <c r="AW3529" s="1"/>
      <c r="AX3529" s="1"/>
      <c r="AY3529" s="1"/>
    </row>
    <row r="3530" spans="1:51" customFormat="1" ht="18" customHeight="1">
      <c r="B3530" s="12" t="s">
        <v>302</v>
      </c>
      <c r="C3530" s="6" t="s">
        <v>4745</v>
      </c>
      <c r="D3530" s="14" t="s">
        <v>3238</v>
      </c>
      <c r="E3530" s="22">
        <v>2440</v>
      </c>
      <c r="F3530" s="107">
        <v>140</v>
      </c>
      <c r="G3530" s="22" t="s">
        <v>4746</v>
      </c>
      <c r="H3530" s="108">
        <v>52</v>
      </c>
      <c r="I3530" s="109">
        <v>1</v>
      </c>
      <c r="J3530" s="8">
        <f t="shared" si="251"/>
        <v>52</v>
      </c>
      <c r="K3530" s="39">
        <v>3.19</v>
      </c>
      <c r="L3530" s="39">
        <f t="shared" si="252"/>
        <v>165.88</v>
      </c>
      <c r="M3530" s="117" t="s">
        <v>323</v>
      </c>
      <c r="N3530" s="33">
        <v>45369</v>
      </c>
      <c r="O3530" s="32">
        <v>5890</v>
      </c>
      <c r="P3530" s="391">
        <f t="shared" si="253"/>
        <v>2.8499999999999996</v>
      </c>
      <c r="Q3530" s="254">
        <v>2.85</v>
      </c>
      <c r="R3530" s="323">
        <f t="shared" si="254"/>
        <v>148.20000000000002</v>
      </c>
      <c r="S3530" s="257">
        <v>300</v>
      </c>
      <c r="T3530" s="287">
        <f t="shared" si="255"/>
        <v>15600</v>
      </c>
      <c r="U3530" s="264"/>
      <c r="V3530" s="260">
        <v>120</v>
      </c>
      <c r="W3530" s="1136">
        <f t="shared" si="250"/>
        <v>0.21630094043887149</v>
      </c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1"/>
      <c r="AI3530" s="1"/>
      <c r="AJ3530" s="1"/>
      <c r="AK3530" s="1"/>
      <c r="AL3530" s="1"/>
      <c r="AM3530" s="1"/>
      <c r="AN3530" s="1"/>
      <c r="AO3530" s="1"/>
      <c r="AP3530" s="1"/>
      <c r="AQ3530" s="1"/>
      <c r="AR3530" s="1"/>
      <c r="AS3530" s="1"/>
      <c r="AT3530" s="1"/>
      <c r="AU3530" s="1"/>
      <c r="AV3530" s="1"/>
      <c r="AW3530" s="1"/>
      <c r="AX3530" s="1"/>
      <c r="AY3530" s="1"/>
    </row>
    <row r="3531" spans="1:51" customFormat="1" ht="18" customHeight="1">
      <c r="B3531" s="12" t="s">
        <v>302</v>
      </c>
      <c r="C3531" s="6" t="s">
        <v>4745</v>
      </c>
      <c r="D3531" s="14" t="s">
        <v>3238</v>
      </c>
      <c r="E3531" s="22">
        <v>2440</v>
      </c>
      <c r="F3531" s="107">
        <v>140</v>
      </c>
      <c r="G3531" s="22" t="s">
        <v>4746</v>
      </c>
      <c r="H3531" s="108">
        <v>58</v>
      </c>
      <c r="I3531" s="109">
        <v>2</v>
      </c>
      <c r="J3531" s="8">
        <f t="shared" si="251"/>
        <v>116</v>
      </c>
      <c r="K3531" s="39">
        <v>3.19</v>
      </c>
      <c r="L3531" s="39">
        <f t="shared" si="252"/>
        <v>370.04</v>
      </c>
      <c r="M3531" s="117" t="s">
        <v>323</v>
      </c>
      <c r="N3531" s="33">
        <v>45369</v>
      </c>
      <c r="O3531" s="32">
        <v>5890</v>
      </c>
      <c r="P3531" s="391">
        <f t="shared" si="253"/>
        <v>2.8499999999999996</v>
      </c>
      <c r="Q3531" s="254">
        <v>2.85</v>
      </c>
      <c r="R3531" s="323">
        <f t="shared" si="254"/>
        <v>330.6</v>
      </c>
      <c r="S3531" s="257">
        <v>300</v>
      </c>
      <c r="T3531" s="287">
        <f t="shared" si="255"/>
        <v>34800</v>
      </c>
      <c r="U3531" s="264"/>
      <c r="V3531" s="260">
        <v>120</v>
      </c>
      <c r="W3531" s="1136">
        <f t="shared" si="250"/>
        <v>0.21630094043887149</v>
      </c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1"/>
      <c r="AI3531" s="1"/>
      <c r="AJ3531" s="1"/>
      <c r="AK3531" s="1"/>
      <c r="AL3531" s="1"/>
      <c r="AM3531" s="1"/>
      <c r="AN3531" s="1"/>
      <c r="AO3531" s="1"/>
      <c r="AP3531" s="1"/>
      <c r="AQ3531" s="1"/>
      <c r="AR3531" s="1"/>
      <c r="AS3531" s="1"/>
      <c r="AT3531" s="1"/>
      <c r="AU3531" s="1"/>
      <c r="AV3531" s="1"/>
      <c r="AW3531" s="1"/>
      <c r="AX3531" s="1"/>
      <c r="AY3531" s="1"/>
    </row>
    <row r="3532" spans="1:51" customFormat="1" ht="18" customHeight="1">
      <c r="B3532" s="12" t="s">
        <v>302</v>
      </c>
      <c r="C3532" s="6" t="s">
        <v>4745</v>
      </c>
      <c r="D3532" s="14" t="s">
        <v>3238</v>
      </c>
      <c r="E3532" s="22">
        <v>2440</v>
      </c>
      <c r="F3532" s="107">
        <v>140</v>
      </c>
      <c r="G3532" s="22" t="s">
        <v>4747</v>
      </c>
      <c r="H3532" s="108">
        <v>58</v>
      </c>
      <c r="I3532" s="109">
        <v>7</v>
      </c>
      <c r="J3532" s="8">
        <f t="shared" si="251"/>
        <v>406</v>
      </c>
      <c r="K3532" s="39">
        <v>3.19</v>
      </c>
      <c r="L3532" s="39">
        <f t="shared" si="252"/>
        <v>1295.1399999999999</v>
      </c>
      <c r="M3532" s="117" t="s">
        <v>323</v>
      </c>
      <c r="N3532" s="33">
        <v>45369</v>
      </c>
      <c r="O3532" s="32">
        <v>5890</v>
      </c>
      <c r="P3532" s="391">
        <f t="shared" si="253"/>
        <v>2.8499999999999996</v>
      </c>
      <c r="Q3532" s="254">
        <v>2.85</v>
      </c>
      <c r="R3532" s="323">
        <f t="shared" si="254"/>
        <v>1157.1000000000001</v>
      </c>
      <c r="S3532" s="257">
        <v>300</v>
      </c>
      <c r="T3532" s="287">
        <f t="shared" si="255"/>
        <v>121800</v>
      </c>
      <c r="U3532" s="264"/>
      <c r="V3532" s="260">
        <v>120</v>
      </c>
      <c r="W3532" s="1136">
        <f t="shared" si="250"/>
        <v>0.21630094043887149</v>
      </c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1"/>
      <c r="AI3532" s="1"/>
      <c r="AJ3532" s="1"/>
      <c r="AK3532" s="1"/>
      <c r="AL3532" s="1"/>
      <c r="AM3532" s="1"/>
      <c r="AN3532" s="1"/>
      <c r="AO3532" s="1"/>
      <c r="AP3532" s="1"/>
      <c r="AQ3532" s="1"/>
      <c r="AR3532" s="1"/>
      <c r="AS3532" s="1"/>
      <c r="AT3532" s="1"/>
      <c r="AU3532" s="1"/>
      <c r="AV3532" s="1"/>
      <c r="AW3532" s="1"/>
      <c r="AX3532" s="1"/>
      <c r="AY3532" s="1"/>
    </row>
    <row r="3533" spans="1:51" customFormat="1" ht="18" customHeight="1">
      <c r="B3533" s="12" t="s">
        <v>302</v>
      </c>
      <c r="C3533" s="6" t="s">
        <v>4745</v>
      </c>
      <c r="D3533" s="14" t="s">
        <v>3238</v>
      </c>
      <c r="E3533" s="22">
        <v>2440</v>
      </c>
      <c r="F3533" s="107">
        <v>140</v>
      </c>
      <c r="G3533" s="22" t="s">
        <v>4748</v>
      </c>
      <c r="H3533" s="108">
        <v>51</v>
      </c>
      <c r="I3533" s="109">
        <v>1</v>
      </c>
      <c r="J3533" s="8">
        <f t="shared" si="251"/>
        <v>51</v>
      </c>
      <c r="K3533" s="39">
        <v>3.19</v>
      </c>
      <c r="L3533" s="39">
        <f t="shared" si="252"/>
        <v>162.69</v>
      </c>
      <c r="M3533" s="117" t="s">
        <v>323</v>
      </c>
      <c r="N3533" s="33">
        <v>45369</v>
      </c>
      <c r="O3533" s="32">
        <v>5890</v>
      </c>
      <c r="P3533" s="391">
        <f t="shared" si="253"/>
        <v>2.8499999999999996</v>
      </c>
      <c r="Q3533" s="254">
        <v>2.85</v>
      </c>
      <c r="R3533" s="323">
        <f t="shared" si="254"/>
        <v>145.35</v>
      </c>
      <c r="S3533" s="257">
        <v>300</v>
      </c>
      <c r="T3533" s="287">
        <f t="shared" si="255"/>
        <v>15300</v>
      </c>
      <c r="U3533" s="264"/>
      <c r="V3533" s="260">
        <v>120</v>
      </c>
      <c r="W3533" s="1136">
        <f t="shared" si="250"/>
        <v>0.21630094043887149</v>
      </c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1"/>
      <c r="AI3533" s="1"/>
      <c r="AJ3533" s="1"/>
      <c r="AK3533" s="1"/>
      <c r="AL3533" s="1"/>
      <c r="AM3533" s="1"/>
      <c r="AN3533" s="1"/>
      <c r="AO3533" s="1"/>
      <c r="AP3533" s="1"/>
      <c r="AQ3533" s="1"/>
      <c r="AR3533" s="1"/>
      <c r="AS3533" s="1"/>
      <c r="AT3533" s="1"/>
      <c r="AU3533" s="1"/>
      <c r="AV3533" s="1"/>
      <c r="AW3533" s="1"/>
      <c r="AX3533" s="1"/>
      <c r="AY3533" s="1"/>
    </row>
    <row r="3534" spans="1:51" customFormat="1" ht="18" customHeight="1">
      <c r="B3534" s="12" t="s">
        <v>302</v>
      </c>
      <c r="C3534" s="6" t="s">
        <v>4745</v>
      </c>
      <c r="D3534" s="14" t="s">
        <v>3238</v>
      </c>
      <c r="E3534" s="22">
        <v>2440</v>
      </c>
      <c r="F3534" s="107">
        <v>140</v>
      </c>
      <c r="G3534" s="22" t="s">
        <v>4748</v>
      </c>
      <c r="H3534" s="108">
        <v>52</v>
      </c>
      <c r="I3534" s="109">
        <v>1</v>
      </c>
      <c r="J3534" s="8">
        <f t="shared" si="251"/>
        <v>52</v>
      </c>
      <c r="K3534" s="39">
        <v>3.19</v>
      </c>
      <c r="L3534" s="39">
        <f t="shared" si="252"/>
        <v>165.88</v>
      </c>
      <c r="M3534" s="117" t="s">
        <v>323</v>
      </c>
      <c r="N3534" s="33">
        <v>45369</v>
      </c>
      <c r="O3534" s="32">
        <v>5890</v>
      </c>
      <c r="P3534" s="391">
        <f t="shared" si="253"/>
        <v>2.8499999999999996</v>
      </c>
      <c r="Q3534" s="254">
        <v>2.85</v>
      </c>
      <c r="R3534" s="323">
        <f t="shared" si="254"/>
        <v>148.20000000000002</v>
      </c>
      <c r="S3534" s="257">
        <v>300</v>
      </c>
      <c r="T3534" s="287">
        <f t="shared" si="255"/>
        <v>15600</v>
      </c>
      <c r="U3534" s="264"/>
      <c r="V3534" s="260">
        <v>120</v>
      </c>
      <c r="W3534" s="1136">
        <f t="shared" si="250"/>
        <v>0.21630094043887149</v>
      </c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1"/>
      <c r="AI3534" s="1"/>
      <c r="AJ3534" s="1"/>
      <c r="AK3534" s="1"/>
      <c r="AL3534" s="1"/>
      <c r="AM3534" s="1"/>
      <c r="AN3534" s="1"/>
      <c r="AO3534" s="1"/>
      <c r="AP3534" s="1"/>
      <c r="AQ3534" s="1"/>
      <c r="AR3534" s="1"/>
      <c r="AS3534" s="1"/>
      <c r="AT3534" s="1"/>
      <c r="AU3534" s="1"/>
      <c r="AV3534" s="1"/>
      <c r="AW3534" s="1"/>
      <c r="AX3534" s="1"/>
      <c r="AY3534" s="1"/>
    </row>
    <row r="3535" spans="1:51" customFormat="1" ht="18" customHeight="1">
      <c r="B3535" s="12" t="s">
        <v>302</v>
      </c>
      <c r="C3535" s="6" t="s">
        <v>4745</v>
      </c>
      <c r="D3535" s="14" t="s">
        <v>3238</v>
      </c>
      <c r="E3535" s="22">
        <v>2440</v>
      </c>
      <c r="F3535" s="107">
        <v>140</v>
      </c>
      <c r="G3535" s="22" t="s">
        <v>4748</v>
      </c>
      <c r="H3535" s="108">
        <v>58</v>
      </c>
      <c r="I3535" s="109">
        <v>3</v>
      </c>
      <c r="J3535" s="8">
        <f t="shared" si="251"/>
        <v>174</v>
      </c>
      <c r="K3535" s="39">
        <v>3.19</v>
      </c>
      <c r="L3535" s="39">
        <f t="shared" si="252"/>
        <v>555.05999999999995</v>
      </c>
      <c r="M3535" s="117" t="s">
        <v>323</v>
      </c>
      <c r="N3535" s="33">
        <v>45369</v>
      </c>
      <c r="O3535" s="32">
        <v>5890</v>
      </c>
      <c r="P3535" s="391">
        <f t="shared" si="253"/>
        <v>2.8499999999999996</v>
      </c>
      <c r="Q3535" s="254">
        <v>2.85</v>
      </c>
      <c r="R3535" s="323">
        <f t="shared" si="254"/>
        <v>495.90000000000003</v>
      </c>
      <c r="S3535" s="257">
        <v>300</v>
      </c>
      <c r="T3535" s="287">
        <f t="shared" si="255"/>
        <v>52200</v>
      </c>
      <c r="U3535" s="264"/>
      <c r="V3535" s="260">
        <v>120</v>
      </c>
      <c r="W3535" s="1136">
        <f t="shared" si="250"/>
        <v>0.21630094043887149</v>
      </c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1"/>
      <c r="AI3535" s="1"/>
      <c r="AJ3535" s="1"/>
      <c r="AK3535" s="1"/>
      <c r="AL3535" s="1"/>
      <c r="AM3535" s="1"/>
      <c r="AN3535" s="1"/>
      <c r="AO3535" s="1"/>
      <c r="AP3535" s="1"/>
      <c r="AQ3535" s="1"/>
      <c r="AR3535" s="1"/>
      <c r="AS3535" s="1"/>
      <c r="AT3535" s="1"/>
      <c r="AU3535" s="1"/>
      <c r="AV3535" s="1"/>
      <c r="AW3535" s="1"/>
      <c r="AX3535" s="1"/>
      <c r="AY3535" s="1"/>
    </row>
    <row r="3536" spans="1:51" s="7" customFormat="1" ht="15">
      <c r="B3536" s="12"/>
      <c r="C3536" s="6" t="s">
        <v>4745</v>
      </c>
      <c r="D3536" s="14" t="s">
        <v>3238</v>
      </c>
      <c r="E3536" s="49"/>
      <c r="F3536" s="102"/>
      <c r="G3536" s="22" t="s">
        <v>316</v>
      </c>
      <c r="H3536" s="38"/>
      <c r="I3536" s="35"/>
      <c r="J3536" s="38">
        <v>1</v>
      </c>
      <c r="K3536" s="39">
        <v>20</v>
      </c>
      <c r="L3536" s="39">
        <f t="shared" si="252"/>
        <v>20</v>
      </c>
      <c r="M3536" s="91"/>
      <c r="N3536" s="33">
        <v>45369</v>
      </c>
      <c r="O3536" s="32">
        <v>5890</v>
      </c>
      <c r="P3536" s="722"/>
      <c r="Q3536" s="322">
        <v>20</v>
      </c>
      <c r="R3536" s="322">
        <f t="shared" si="254"/>
        <v>20</v>
      </c>
      <c r="S3536" s="7">
        <v>1800</v>
      </c>
      <c r="T3536" s="7">
        <f t="shared" si="255"/>
        <v>1800</v>
      </c>
      <c r="U3536" s="21"/>
      <c r="V3536" s="260">
        <v>120</v>
      </c>
      <c r="W3536" s="1136">
        <f t="shared" si="250"/>
        <v>0.25</v>
      </c>
    </row>
    <row r="3537" spans="1:51" s="191" customFormat="1" ht="15">
      <c r="B3537" s="190"/>
      <c r="C3537" s="179" t="s">
        <v>4745</v>
      </c>
      <c r="D3537" s="180" t="s">
        <v>3238</v>
      </c>
      <c r="E3537" s="181"/>
      <c r="F3537" s="182"/>
      <c r="G3537" s="182" t="s">
        <v>2738</v>
      </c>
      <c r="H3537" s="184" t="s">
        <v>251</v>
      </c>
      <c r="I3537" s="185"/>
      <c r="J3537" s="183"/>
      <c r="K3537" s="192">
        <v>0</v>
      </c>
      <c r="L3537" s="187"/>
      <c r="M3537" s="187"/>
      <c r="N3537" s="187">
        <v>45369</v>
      </c>
      <c r="O3537" s="186">
        <v>5890</v>
      </c>
      <c r="P3537" s="179"/>
      <c r="Q3537" s="203"/>
      <c r="R3537" s="203"/>
      <c r="S3537" s="203"/>
      <c r="T3537" s="203"/>
      <c r="U3537" s="271"/>
      <c r="V3537" s="260">
        <v>120</v>
      </c>
      <c r="W3537" s="1136" t="e">
        <f t="shared" si="250"/>
        <v>#DIV/0!</v>
      </c>
    </row>
    <row r="3538" spans="1:51" s="7" customFormat="1" ht="18" customHeight="1">
      <c r="B3538" s="12"/>
      <c r="C3538" s="6" t="s">
        <v>4759</v>
      </c>
      <c r="D3538" s="14" t="s">
        <v>3391</v>
      </c>
      <c r="E3538" s="19" t="s">
        <v>10</v>
      </c>
      <c r="F3538" s="107"/>
      <c r="G3538" s="22"/>
      <c r="H3538" s="108"/>
      <c r="I3538" s="109"/>
      <c r="J3538" s="108"/>
      <c r="K3538" s="29" t="s">
        <v>5</v>
      </c>
      <c r="L3538" s="39"/>
      <c r="M3538" s="91"/>
      <c r="N3538" s="33">
        <v>45338</v>
      </c>
      <c r="O3538" s="32">
        <v>5898</v>
      </c>
      <c r="P3538" s="14"/>
      <c r="Q3538" s="322"/>
      <c r="U3538" s="14"/>
      <c r="V3538" s="384">
        <v>120</v>
      </c>
    </row>
    <row r="3539" spans="1:51" s="7" customFormat="1" ht="18" customHeight="1">
      <c r="B3539" s="12" t="s">
        <v>302</v>
      </c>
      <c r="C3539" s="6" t="s">
        <v>4759</v>
      </c>
      <c r="D3539" s="14" t="s">
        <v>3391</v>
      </c>
      <c r="E3539" s="22" t="s">
        <v>190</v>
      </c>
      <c r="F3539" s="107">
        <v>160</v>
      </c>
      <c r="G3539" s="396" t="s">
        <v>4760</v>
      </c>
      <c r="H3539" s="108"/>
      <c r="I3539" s="109"/>
      <c r="J3539" s="8">
        <v>10</v>
      </c>
      <c r="K3539" s="39">
        <v>5.28</v>
      </c>
      <c r="L3539" s="39">
        <f>K3539*J3539</f>
        <v>52.800000000000004</v>
      </c>
      <c r="M3539" s="117" t="s">
        <v>322</v>
      </c>
      <c r="N3539" s="33">
        <v>45338</v>
      </c>
      <c r="O3539" s="32">
        <v>5898</v>
      </c>
      <c r="P3539" s="391">
        <f>ROUNDUP(S3539/V3539/VLOOKUP(B3539,$C$2:$F$6,3,FALSE),2)</f>
        <v>3.7899999999999996</v>
      </c>
      <c r="Q3539" s="322">
        <v>3.79</v>
      </c>
      <c r="R3539" s="322">
        <f>Q3539*J3539</f>
        <v>37.9</v>
      </c>
      <c r="S3539" s="7">
        <v>400</v>
      </c>
      <c r="T3539" s="7">
        <f>S3539*J3539</f>
        <v>4000</v>
      </c>
      <c r="U3539" s="21"/>
      <c r="V3539" s="260">
        <v>120</v>
      </c>
      <c r="W3539" s="1136">
        <f t="shared" ref="W3539:W3553" si="256">(((K3539*V3539)-S3539)/(K3539*V3539))</f>
        <v>0.36868686868686873</v>
      </c>
    </row>
    <row r="3540" spans="1:51" s="7" customFormat="1" ht="18" customHeight="1">
      <c r="B3540" s="12"/>
      <c r="C3540" s="6" t="s">
        <v>4759</v>
      </c>
      <c r="D3540" s="14" t="s">
        <v>3391</v>
      </c>
      <c r="E3540" s="49"/>
      <c r="F3540" s="102"/>
      <c r="G3540" s="22" t="s">
        <v>4329</v>
      </c>
      <c r="H3540" s="8"/>
      <c r="I3540" s="35"/>
      <c r="J3540" s="38">
        <v>1</v>
      </c>
      <c r="K3540" s="39">
        <v>15</v>
      </c>
      <c r="L3540" s="39">
        <f>K3540*J3540</f>
        <v>15</v>
      </c>
      <c r="M3540" s="91"/>
      <c r="N3540" s="33">
        <v>45338</v>
      </c>
      <c r="O3540" s="32">
        <v>5898</v>
      </c>
      <c r="P3540" s="6" t="s">
        <v>3</v>
      </c>
      <c r="Q3540" s="39">
        <v>15</v>
      </c>
      <c r="R3540" s="322">
        <f>Q3540*J3540</f>
        <v>15</v>
      </c>
      <c r="S3540" s="7">
        <v>1000</v>
      </c>
      <c r="T3540" s="7">
        <f>S3540*J3540</f>
        <v>1000</v>
      </c>
      <c r="U3540" s="21"/>
      <c r="V3540" s="260">
        <v>120</v>
      </c>
      <c r="W3540" s="1136">
        <f t="shared" si="256"/>
        <v>0.44444444444444442</v>
      </c>
    </row>
    <row r="3541" spans="1:51" s="7" customFormat="1" ht="18" customHeight="1">
      <c r="B3541" s="12"/>
      <c r="C3541" s="6" t="s">
        <v>4759</v>
      </c>
      <c r="D3541" s="14" t="s">
        <v>3391</v>
      </c>
      <c r="E3541" s="49"/>
      <c r="F3541" s="102"/>
      <c r="G3541" s="22" t="s">
        <v>316</v>
      </c>
      <c r="H3541" s="8"/>
      <c r="I3541" s="35"/>
      <c r="J3541" s="38">
        <v>1</v>
      </c>
      <c r="K3541" s="39">
        <v>20</v>
      </c>
      <c r="L3541" s="39">
        <f>K3541*J3541</f>
        <v>20</v>
      </c>
      <c r="M3541" s="91"/>
      <c r="N3541" s="33">
        <v>45338</v>
      </c>
      <c r="O3541" s="32">
        <v>5898</v>
      </c>
      <c r="P3541" s="6" t="s">
        <v>3</v>
      </c>
      <c r="Q3541" s="39">
        <v>20</v>
      </c>
      <c r="R3541" s="322">
        <f>Q3541*J3541</f>
        <v>20</v>
      </c>
      <c r="S3541" s="7">
        <v>1000</v>
      </c>
      <c r="T3541" s="7">
        <f>S3541*J3541</f>
        <v>1000</v>
      </c>
      <c r="U3541" s="21"/>
      <c r="V3541" s="260">
        <v>120</v>
      </c>
      <c r="W3541" s="1136">
        <f t="shared" si="256"/>
        <v>0.58333333333333337</v>
      </c>
    </row>
    <row r="3542" spans="1:51" s="191" customFormat="1" ht="18" customHeight="1">
      <c r="B3542" s="190"/>
      <c r="C3542" s="179" t="s">
        <v>4759</v>
      </c>
      <c r="D3542" s="180" t="s">
        <v>3391</v>
      </c>
      <c r="E3542" s="181"/>
      <c r="F3542" s="622"/>
      <c r="G3542" s="182" t="s">
        <v>250</v>
      </c>
      <c r="H3542" s="184" t="s">
        <v>251</v>
      </c>
      <c r="I3542" s="185"/>
      <c r="J3542" s="183"/>
      <c r="K3542" s="192">
        <v>0</v>
      </c>
      <c r="L3542" s="188"/>
      <c r="M3542" s="187"/>
      <c r="N3542" s="187">
        <v>45338</v>
      </c>
      <c r="O3542" s="186">
        <v>5898</v>
      </c>
      <c r="P3542" s="179"/>
      <c r="Q3542" s="725">
        <v>0</v>
      </c>
      <c r="S3542" s="197">
        <v>0</v>
      </c>
      <c r="T3542" s="198">
        <v>0</v>
      </c>
      <c r="U3542" s="335"/>
      <c r="V3542" s="260">
        <v>120</v>
      </c>
      <c r="W3542" s="1136" t="e">
        <f t="shared" si="256"/>
        <v>#DIV/0!</v>
      </c>
    </row>
    <row r="3543" spans="1:51" customFormat="1" ht="18" customHeight="1">
      <c r="A3543" s="1"/>
      <c r="B3543" s="26"/>
      <c r="C3543" s="6" t="s">
        <v>4761</v>
      </c>
      <c r="D3543" s="14" t="s">
        <v>4693</v>
      </c>
      <c r="E3543" s="19" t="s">
        <v>59</v>
      </c>
      <c r="F3543" s="107"/>
      <c r="G3543" s="22"/>
      <c r="H3543" s="108"/>
      <c r="I3543" s="109"/>
      <c r="J3543" s="108"/>
      <c r="K3543" s="110" t="s">
        <v>5</v>
      </c>
      <c r="L3543" s="33"/>
      <c r="M3543" s="33"/>
      <c r="N3543" s="33">
        <v>45341</v>
      </c>
      <c r="O3543" s="32">
        <v>5901</v>
      </c>
      <c r="P3543" s="14"/>
      <c r="Q3543" s="254"/>
      <c r="R3543" s="1"/>
      <c r="S3543" s="261"/>
      <c r="T3543" s="92"/>
      <c r="U3543" s="264"/>
      <c r="V3543" s="260">
        <v>120</v>
      </c>
      <c r="W3543" s="1136" t="e">
        <f t="shared" si="256"/>
        <v>#VALUE!</v>
      </c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1"/>
      <c r="AI3543" s="1"/>
      <c r="AJ3543" s="1"/>
      <c r="AK3543" s="1"/>
      <c r="AL3543" s="1"/>
      <c r="AM3543" s="1"/>
      <c r="AN3543" s="1"/>
      <c r="AO3543" s="1"/>
      <c r="AP3543" s="1"/>
      <c r="AQ3543" s="1"/>
      <c r="AR3543" s="1"/>
      <c r="AS3543" s="1"/>
      <c r="AT3543" s="1"/>
      <c r="AU3543" s="1"/>
      <c r="AV3543" s="1"/>
      <c r="AW3543" s="1"/>
      <c r="AX3543" s="1"/>
      <c r="AY3543" s="1"/>
    </row>
    <row r="3544" spans="1:51" customFormat="1" ht="18" customHeight="1">
      <c r="B3544" s="12" t="s">
        <v>302</v>
      </c>
      <c r="C3544" s="6" t="s">
        <v>4761</v>
      </c>
      <c r="D3544" s="14" t="s">
        <v>4693</v>
      </c>
      <c r="E3544" s="22">
        <v>2440</v>
      </c>
      <c r="F3544" s="107">
        <v>140</v>
      </c>
      <c r="G3544" s="22" t="s">
        <v>4765</v>
      </c>
      <c r="H3544" s="108">
        <v>58</v>
      </c>
      <c r="I3544" s="109">
        <v>1</v>
      </c>
      <c r="J3544" s="8">
        <f>H3544*I3544</f>
        <v>58</v>
      </c>
      <c r="K3544" s="39">
        <v>3.13</v>
      </c>
      <c r="L3544" s="39">
        <f>K3544*J3544</f>
        <v>181.54</v>
      </c>
      <c r="M3544" s="117" t="s">
        <v>323</v>
      </c>
      <c r="N3544" s="33">
        <v>45341</v>
      </c>
      <c r="O3544" s="32">
        <v>5901</v>
      </c>
      <c r="P3544" s="391">
        <f>ROUNDUP(S3544/V3544/VLOOKUP(B3544,$C$2:$F$6,3,FALSE),2)</f>
        <v>2.8499999999999996</v>
      </c>
      <c r="Q3544" s="254">
        <v>2.85</v>
      </c>
      <c r="R3544" s="323">
        <f>Q3544*J3544</f>
        <v>165.3</v>
      </c>
      <c r="S3544" s="257">
        <v>300</v>
      </c>
      <c r="T3544" s="287">
        <f>S3544*J3544</f>
        <v>17400</v>
      </c>
      <c r="U3544" s="264"/>
      <c r="V3544" s="260">
        <v>120</v>
      </c>
      <c r="W3544" s="1136">
        <f t="shared" si="256"/>
        <v>0.20127795527156542</v>
      </c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1"/>
      <c r="AI3544" s="1"/>
      <c r="AJ3544" s="1"/>
      <c r="AK3544" s="1"/>
      <c r="AL3544" s="1"/>
      <c r="AM3544" s="1"/>
      <c r="AN3544" s="1"/>
      <c r="AO3544" s="1"/>
      <c r="AP3544" s="1"/>
      <c r="AQ3544" s="1"/>
      <c r="AR3544" s="1"/>
      <c r="AS3544" s="1"/>
      <c r="AT3544" s="1"/>
      <c r="AU3544" s="1"/>
      <c r="AV3544" s="1"/>
      <c r="AW3544" s="1"/>
      <c r="AX3544" s="1"/>
      <c r="AY3544" s="1"/>
    </row>
    <row r="3545" spans="1:51" s="7" customFormat="1" ht="15">
      <c r="B3545" s="12"/>
      <c r="C3545" s="6" t="s">
        <v>4761</v>
      </c>
      <c r="D3545" s="14" t="s">
        <v>4693</v>
      </c>
      <c r="E3545" s="49"/>
      <c r="F3545" s="102"/>
      <c r="G3545" s="22" t="s">
        <v>316</v>
      </c>
      <c r="H3545" s="38"/>
      <c r="I3545" s="35"/>
      <c r="J3545" s="38">
        <v>1</v>
      </c>
      <c r="K3545" s="39">
        <v>20</v>
      </c>
      <c r="L3545" s="39">
        <f>K3545*J3545</f>
        <v>20</v>
      </c>
      <c r="M3545" s="91"/>
      <c r="N3545" s="33">
        <v>45341</v>
      </c>
      <c r="O3545" s="32">
        <v>5901</v>
      </c>
      <c r="P3545" s="722"/>
      <c r="Q3545" s="322">
        <v>20</v>
      </c>
      <c r="R3545" s="322">
        <f>Q3545*J3545</f>
        <v>20</v>
      </c>
      <c r="S3545" s="7">
        <v>1800</v>
      </c>
      <c r="T3545" s="7">
        <f>S3545*J3545</f>
        <v>1800</v>
      </c>
      <c r="U3545" s="21"/>
      <c r="V3545" s="260">
        <v>120</v>
      </c>
      <c r="W3545" s="1136">
        <f t="shared" si="256"/>
        <v>0.25</v>
      </c>
    </row>
    <row r="3546" spans="1:51" s="191" customFormat="1" ht="15">
      <c r="B3546" s="190"/>
      <c r="C3546" s="179" t="s">
        <v>4761</v>
      </c>
      <c r="D3546" s="180" t="s">
        <v>4693</v>
      </c>
      <c r="E3546" s="181"/>
      <c r="F3546" s="182"/>
      <c r="G3546" s="182" t="s">
        <v>2738</v>
      </c>
      <c r="H3546" s="184" t="s">
        <v>251</v>
      </c>
      <c r="I3546" s="185"/>
      <c r="J3546" s="183"/>
      <c r="K3546" s="192">
        <v>0</v>
      </c>
      <c r="L3546" s="187"/>
      <c r="M3546" s="187"/>
      <c r="N3546" s="187">
        <v>45341</v>
      </c>
      <c r="O3546" s="186">
        <v>5901</v>
      </c>
      <c r="P3546" s="179"/>
      <c r="Q3546" s="203"/>
      <c r="R3546" s="203"/>
      <c r="S3546" s="203"/>
      <c r="T3546" s="203"/>
      <c r="U3546" s="271"/>
      <c r="V3546" s="260">
        <v>120</v>
      </c>
      <c r="W3546" s="1136" t="e">
        <f t="shared" si="256"/>
        <v>#DIV/0!</v>
      </c>
    </row>
    <row r="3547" spans="1:51" customFormat="1" ht="18" customHeight="1">
      <c r="A3547" s="1"/>
      <c r="B3547" s="26"/>
      <c r="C3547" s="6" t="s">
        <v>4767</v>
      </c>
      <c r="D3547" s="14" t="s">
        <v>4762</v>
      </c>
      <c r="E3547" s="19" t="s">
        <v>4763</v>
      </c>
      <c r="F3547" s="107"/>
      <c r="G3547" s="22"/>
      <c r="H3547" s="108"/>
      <c r="I3547" s="109"/>
      <c r="J3547" s="108"/>
      <c r="K3547" s="110" t="s">
        <v>5</v>
      </c>
      <c r="L3547" s="33"/>
      <c r="M3547" s="33"/>
      <c r="N3547" s="33">
        <v>45341</v>
      </c>
      <c r="O3547" s="32">
        <v>5902</v>
      </c>
      <c r="P3547" s="14"/>
      <c r="Q3547" s="254"/>
      <c r="R3547" s="1"/>
      <c r="S3547" s="261"/>
      <c r="T3547" s="92"/>
      <c r="U3547" s="264"/>
      <c r="V3547" s="260">
        <v>120</v>
      </c>
      <c r="W3547" s="1136" t="e">
        <f t="shared" si="256"/>
        <v>#VALUE!</v>
      </c>
      <c r="X3547" s="1"/>
      <c r="Y3547" s="1"/>
      <c r="Z3547" s="1"/>
      <c r="AA3547" s="1"/>
      <c r="AB3547" s="1"/>
      <c r="AC3547" s="1"/>
      <c r="AD3547" s="1"/>
      <c r="AE3547" s="1"/>
      <c r="AF3547" s="1"/>
      <c r="AG3547" s="1"/>
      <c r="AH3547" s="1"/>
      <c r="AI3547" s="1"/>
      <c r="AJ3547" s="1"/>
      <c r="AK3547" s="1"/>
      <c r="AL3547" s="1"/>
      <c r="AM3547" s="1"/>
      <c r="AN3547" s="1"/>
      <c r="AO3547" s="1"/>
      <c r="AP3547" s="1"/>
      <c r="AQ3547" s="1"/>
      <c r="AR3547" s="1"/>
      <c r="AS3547" s="1"/>
      <c r="AT3547" s="1"/>
      <c r="AU3547" s="1"/>
      <c r="AV3547" s="1"/>
      <c r="AW3547" s="1"/>
      <c r="AX3547" s="1"/>
      <c r="AY3547" s="1"/>
    </row>
    <row r="3548" spans="1:51" customFormat="1" ht="18" customHeight="1">
      <c r="B3548" s="12" t="s">
        <v>302</v>
      </c>
      <c r="C3548" s="6" t="s">
        <v>4767</v>
      </c>
      <c r="D3548" s="14" t="s">
        <v>4762</v>
      </c>
      <c r="E3548" s="22" t="s">
        <v>4764</v>
      </c>
      <c r="F3548" s="107">
        <v>155</v>
      </c>
      <c r="G3548" s="22" t="s">
        <v>4766</v>
      </c>
      <c r="H3548" s="108">
        <v>15</v>
      </c>
      <c r="I3548" s="109">
        <v>1</v>
      </c>
      <c r="J3548" s="8">
        <f>H3548*I3548</f>
        <v>15</v>
      </c>
      <c r="K3548" s="39">
        <v>51.05</v>
      </c>
      <c r="L3548" s="39">
        <f>K3548*J3548</f>
        <v>765.75</v>
      </c>
      <c r="M3548" s="117" t="s">
        <v>323</v>
      </c>
      <c r="N3548" s="33">
        <v>45341</v>
      </c>
      <c r="O3548" s="32">
        <v>5902</v>
      </c>
      <c r="P3548" s="391">
        <f>ROUNDUP(S3548/V3548/VLOOKUP(B3548,$C$2:$F$6,3,FALSE),2)</f>
        <v>46.41</v>
      </c>
      <c r="Q3548" s="254">
        <v>46.41</v>
      </c>
      <c r="R3548" s="323">
        <f>Q3548*J3548</f>
        <v>696.15</v>
      </c>
      <c r="S3548" s="257">
        <v>4900</v>
      </c>
      <c r="T3548" s="287">
        <f>S3548*J3548</f>
        <v>73500</v>
      </c>
      <c r="U3548" s="264"/>
      <c r="V3548" s="260">
        <v>120</v>
      </c>
      <c r="W3548" s="1136">
        <f t="shared" si="256"/>
        <v>0.20013059092393079</v>
      </c>
      <c r="X3548" s="1"/>
      <c r="Y3548" s="1"/>
      <c r="Z3548" s="1"/>
      <c r="AA3548" s="1"/>
      <c r="AB3548" s="1"/>
      <c r="AC3548" s="1"/>
      <c r="AD3548" s="1"/>
      <c r="AE3548" s="1"/>
      <c r="AF3548" s="1"/>
      <c r="AG3548" s="1"/>
      <c r="AH3548" s="1"/>
      <c r="AI3548" s="1"/>
      <c r="AJ3548" s="1"/>
      <c r="AK3548" s="1"/>
      <c r="AL3548" s="1"/>
      <c r="AM3548" s="1"/>
      <c r="AN3548" s="1"/>
      <c r="AO3548" s="1"/>
      <c r="AP3548" s="1"/>
      <c r="AQ3548" s="1"/>
      <c r="AR3548" s="1"/>
      <c r="AS3548" s="1"/>
      <c r="AT3548" s="1"/>
      <c r="AU3548" s="1"/>
      <c r="AV3548" s="1"/>
      <c r="AW3548" s="1"/>
      <c r="AX3548" s="1"/>
      <c r="AY3548" s="1"/>
    </row>
    <row r="3549" spans="1:51" s="7" customFormat="1" ht="18" customHeight="1">
      <c r="B3549" s="12"/>
      <c r="C3549" s="6" t="s">
        <v>4767</v>
      </c>
      <c r="D3549" s="14" t="s">
        <v>4762</v>
      </c>
      <c r="E3549" s="49"/>
      <c r="F3549" s="102"/>
      <c r="G3549" s="22" t="s">
        <v>4329</v>
      </c>
      <c r="H3549" s="8"/>
      <c r="I3549" s="35"/>
      <c r="J3549" s="38">
        <v>1</v>
      </c>
      <c r="K3549" s="39">
        <v>15</v>
      </c>
      <c r="L3549" s="39">
        <f>K3549*J3549</f>
        <v>15</v>
      </c>
      <c r="M3549" s="91"/>
      <c r="N3549" s="33">
        <v>45341</v>
      </c>
      <c r="O3549" s="32">
        <v>5902</v>
      </c>
      <c r="P3549" s="6" t="s">
        <v>3</v>
      </c>
      <c r="Q3549" s="39">
        <v>15</v>
      </c>
      <c r="R3549" s="322">
        <f>Q3549*J3549</f>
        <v>15</v>
      </c>
      <c r="S3549" s="7">
        <v>1000</v>
      </c>
      <c r="T3549" s="7">
        <f>S3549*J3549</f>
        <v>1000</v>
      </c>
      <c r="U3549" s="21"/>
      <c r="V3549" s="260">
        <v>120</v>
      </c>
      <c r="W3549" s="1136">
        <f t="shared" si="256"/>
        <v>0.44444444444444442</v>
      </c>
    </row>
    <row r="3550" spans="1:51" s="7" customFormat="1" ht="18" customHeight="1">
      <c r="B3550" s="12"/>
      <c r="C3550" s="6" t="s">
        <v>4767</v>
      </c>
      <c r="D3550" s="14" t="s">
        <v>4762</v>
      </c>
      <c r="E3550" s="49"/>
      <c r="F3550" s="102"/>
      <c r="G3550" s="22" t="s">
        <v>316</v>
      </c>
      <c r="H3550" s="8"/>
      <c r="I3550" s="35"/>
      <c r="J3550" s="38">
        <v>1</v>
      </c>
      <c r="K3550" s="39">
        <v>20</v>
      </c>
      <c r="L3550" s="39">
        <f>K3550*J3550</f>
        <v>20</v>
      </c>
      <c r="M3550" s="91"/>
      <c r="N3550" s="33">
        <v>45341</v>
      </c>
      <c r="O3550" s="32">
        <v>5902</v>
      </c>
      <c r="P3550" s="6" t="s">
        <v>3</v>
      </c>
      <c r="Q3550" s="39">
        <v>20</v>
      </c>
      <c r="R3550" s="322">
        <f>Q3550*J3550</f>
        <v>20</v>
      </c>
      <c r="S3550" s="7">
        <v>1000</v>
      </c>
      <c r="T3550" s="7">
        <f>S3550*J3550</f>
        <v>1000</v>
      </c>
      <c r="U3550" s="21"/>
      <c r="V3550" s="260">
        <v>120</v>
      </c>
      <c r="W3550" s="1136">
        <f t="shared" si="256"/>
        <v>0.58333333333333337</v>
      </c>
    </row>
    <row r="3551" spans="1:51" s="191" customFormat="1" ht="18" customHeight="1">
      <c r="B3551" s="190"/>
      <c r="C3551" s="179" t="s">
        <v>4767</v>
      </c>
      <c r="D3551" s="180" t="s">
        <v>4762</v>
      </c>
      <c r="E3551" s="181"/>
      <c r="F3551" s="622"/>
      <c r="G3551" s="182" t="s">
        <v>250</v>
      </c>
      <c r="H3551" s="184" t="s">
        <v>251</v>
      </c>
      <c r="I3551" s="185"/>
      <c r="J3551" s="183"/>
      <c r="K3551" s="192">
        <v>0</v>
      </c>
      <c r="L3551" s="188"/>
      <c r="M3551" s="187"/>
      <c r="N3551" s="187">
        <v>45341</v>
      </c>
      <c r="O3551" s="186">
        <v>5902</v>
      </c>
      <c r="P3551" s="179"/>
      <c r="Q3551" s="725">
        <v>0</v>
      </c>
      <c r="S3551" s="197">
        <v>0</v>
      </c>
      <c r="T3551" s="198">
        <v>0</v>
      </c>
      <c r="U3551" s="335"/>
      <c r="V3551" s="260">
        <v>120</v>
      </c>
      <c r="W3551" s="1136" t="e">
        <f t="shared" si="256"/>
        <v>#DIV/0!</v>
      </c>
    </row>
    <row r="3552" spans="1:51" ht="15">
      <c r="C3552" s="6" t="s">
        <v>4778</v>
      </c>
      <c r="D3552" s="14" t="s">
        <v>3067</v>
      </c>
      <c r="E3552" s="19" t="s">
        <v>4626</v>
      </c>
      <c r="F3552" s="107"/>
      <c r="G3552" s="22"/>
      <c r="H3552" s="108"/>
      <c r="I3552" s="109"/>
      <c r="J3552" s="108"/>
      <c r="K3552" s="110" t="s">
        <v>5</v>
      </c>
      <c r="L3552" s="33"/>
      <c r="M3552" s="33"/>
      <c r="N3552" s="33">
        <v>45475</v>
      </c>
      <c r="O3552" s="32">
        <v>6245</v>
      </c>
      <c r="P3552" s="14"/>
      <c r="Q3552" s="254"/>
      <c r="S3552" s="1196"/>
      <c r="T3552" s="92"/>
      <c r="U3552" s="264"/>
      <c r="V3552" s="260">
        <v>120</v>
      </c>
      <c r="W3552" s="1136" t="e">
        <f t="shared" si="256"/>
        <v>#VALUE!</v>
      </c>
    </row>
    <row r="3553" spans="2:23" ht="15.75">
      <c r="B3553" s="12" t="s">
        <v>302</v>
      </c>
      <c r="C3553" s="6" t="s">
        <v>4778</v>
      </c>
      <c r="D3553" s="14" t="s">
        <v>3067</v>
      </c>
      <c r="E3553" s="221" t="s">
        <v>4622</v>
      </c>
      <c r="F3553" s="133" t="s">
        <v>3061</v>
      </c>
      <c r="G3553" s="396" t="s">
        <v>4625</v>
      </c>
      <c r="H3553" s="18">
        <v>42.8</v>
      </c>
      <c r="I3553" s="61">
        <v>1</v>
      </c>
      <c r="J3553" s="131">
        <f>H3553*I3553</f>
        <v>42.8</v>
      </c>
      <c r="K3553" s="322">
        <v>23.36</v>
      </c>
      <c r="L3553" s="39">
        <f>K3553*J3553</f>
        <v>999.80799999999988</v>
      </c>
      <c r="M3553" s="117" t="s">
        <v>323</v>
      </c>
      <c r="N3553" s="33">
        <v>45475</v>
      </c>
      <c r="O3553" s="32">
        <v>6245</v>
      </c>
      <c r="P3553" s="391">
        <f t="shared" ref="P3553:P3567" si="257">ROUNDUP(S3553/V3553/VLOOKUP(B3553,$C$2:$F$6,3,FALSE),2)</f>
        <v>18.580000000000002</v>
      </c>
      <c r="Q3553" s="254">
        <v>18.579999999999998</v>
      </c>
      <c r="R3553" s="323">
        <f t="shared" ref="R3553:R3567" si="258">ROUND(Q3553*J3553,2)</f>
        <v>795.22</v>
      </c>
      <c r="S3553" s="273">
        <v>1880</v>
      </c>
      <c r="T3553" s="287">
        <f>S3553*J3553</f>
        <v>80464</v>
      </c>
      <c r="U3553" s="264"/>
      <c r="V3553" s="260">
        <v>115</v>
      </c>
      <c r="W3553" s="1136">
        <f t="shared" si="256"/>
        <v>0.3001786777843955</v>
      </c>
    </row>
    <row r="3554" spans="2:23" ht="15.75">
      <c r="B3554" s="12" t="s">
        <v>302</v>
      </c>
      <c r="C3554" s="6" t="s">
        <v>4778</v>
      </c>
      <c r="D3554" s="14" t="s">
        <v>3067</v>
      </c>
      <c r="E3554" s="221" t="s">
        <v>4622</v>
      </c>
      <c r="F3554" s="133" t="s">
        <v>3061</v>
      </c>
      <c r="G3554" s="396" t="s">
        <v>4625</v>
      </c>
      <c r="H3554" s="18">
        <v>44.7</v>
      </c>
      <c r="I3554" s="61">
        <v>2</v>
      </c>
      <c r="J3554" s="131">
        <f t="shared" ref="J3554:J3567" si="259">H3554*I3554</f>
        <v>89.4</v>
      </c>
      <c r="K3554" s="322">
        <v>23.36</v>
      </c>
      <c r="L3554" s="39">
        <f t="shared" ref="L3554:L3567" si="260">K3554*J3554</f>
        <v>2088.384</v>
      </c>
      <c r="M3554" s="117" t="s">
        <v>323</v>
      </c>
      <c r="N3554" s="33">
        <v>45475</v>
      </c>
      <c r="O3554" s="32">
        <v>6245</v>
      </c>
      <c r="P3554" s="391">
        <f t="shared" si="257"/>
        <v>18.580000000000002</v>
      </c>
      <c r="Q3554" s="254">
        <v>18.579999999999998</v>
      </c>
      <c r="R3554" s="323">
        <f t="shared" si="258"/>
        <v>1661.05</v>
      </c>
      <c r="S3554" s="273">
        <v>1880</v>
      </c>
      <c r="T3554" s="287">
        <f t="shared" ref="T3554:T3567" si="261">S3554*J3554</f>
        <v>168072</v>
      </c>
      <c r="U3554" s="264"/>
      <c r="V3554" s="260">
        <v>115</v>
      </c>
      <c r="W3554" s="1136">
        <f t="shared" ref="W3554:W3567" si="262">(((K3554*V3554)-S3554)/(K3554*V3554))</f>
        <v>0.3001786777843955</v>
      </c>
    </row>
    <row r="3555" spans="2:23" ht="15.75">
      <c r="B3555" s="12" t="s">
        <v>302</v>
      </c>
      <c r="C3555" s="6" t="s">
        <v>4778</v>
      </c>
      <c r="D3555" s="14" t="s">
        <v>3067</v>
      </c>
      <c r="E3555" s="221" t="s">
        <v>4622</v>
      </c>
      <c r="F3555" s="133" t="s">
        <v>3061</v>
      </c>
      <c r="G3555" s="396" t="s">
        <v>4625</v>
      </c>
      <c r="H3555" s="18">
        <v>44.9</v>
      </c>
      <c r="I3555" s="61">
        <v>4</v>
      </c>
      <c r="J3555" s="131">
        <f t="shared" si="259"/>
        <v>179.6</v>
      </c>
      <c r="K3555" s="322">
        <v>23.36</v>
      </c>
      <c r="L3555" s="39">
        <f t="shared" si="260"/>
        <v>4195.4560000000001</v>
      </c>
      <c r="M3555" s="117" t="s">
        <v>323</v>
      </c>
      <c r="N3555" s="33">
        <v>45475</v>
      </c>
      <c r="O3555" s="32">
        <v>6245</v>
      </c>
      <c r="P3555" s="391">
        <f t="shared" si="257"/>
        <v>18.580000000000002</v>
      </c>
      <c r="Q3555" s="254">
        <v>18.579999999999998</v>
      </c>
      <c r="R3555" s="323">
        <f t="shared" si="258"/>
        <v>3336.97</v>
      </c>
      <c r="S3555" s="273">
        <v>1880</v>
      </c>
      <c r="T3555" s="287">
        <f t="shared" si="261"/>
        <v>337648</v>
      </c>
      <c r="U3555" s="264"/>
      <c r="V3555" s="260">
        <v>115</v>
      </c>
      <c r="W3555" s="1136">
        <f t="shared" si="262"/>
        <v>0.3001786777843955</v>
      </c>
    </row>
    <row r="3556" spans="2:23" ht="15.75">
      <c r="B3556" s="12" t="s">
        <v>302</v>
      </c>
      <c r="C3556" s="6" t="s">
        <v>4778</v>
      </c>
      <c r="D3556" s="14" t="s">
        <v>3067</v>
      </c>
      <c r="E3556" s="221" t="s">
        <v>4622</v>
      </c>
      <c r="F3556" s="133" t="s">
        <v>3061</v>
      </c>
      <c r="G3556" s="396" t="s">
        <v>4625</v>
      </c>
      <c r="H3556" s="18">
        <v>42.7</v>
      </c>
      <c r="I3556" s="61">
        <v>1</v>
      </c>
      <c r="J3556" s="131">
        <f t="shared" si="259"/>
        <v>42.7</v>
      </c>
      <c r="K3556" s="322">
        <v>23.36</v>
      </c>
      <c r="L3556" s="39">
        <f t="shared" si="260"/>
        <v>997.47200000000009</v>
      </c>
      <c r="M3556" s="117" t="s">
        <v>323</v>
      </c>
      <c r="N3556" s="33">
        <v>45475</v>
      </c>
      <c r="O3556" s="32">
        <v>6245</v>
      </c>
      <c r="P3556" s="391">
        <f t="shared" si="257"/>
        <v>18.580000000000002</v>
      </c>
      <c r="Q3556" s="254">
        <v>18.579999999999998</v>
      </c>
      <c r="R3556" s="323">
        <f t="shared" si="258"/>
        <v>793.37</v>
      </c>
      <c r="S3556" s="273">
        <v>1880</v>
      </c>
      <c r="T3556" s="287">
        <f t="shared" si="261"/>
        <v>80276</v>
      </c>
      <c r="U3556" s="264"/>
      <c r="V3556" s="260">
        <v>115</v>
      </c>
      <c r="W3556" s="1136">
        <f t="shared" si="262"/>
        <v>0.3001786777843955</v>
      </c>
    </row>
    <row r="3557" spans="2:23" ht="15.75">
      <c r="B3557" s="12" t="s">
        <v>302</v>
      </c>
      <c r="C3557" s="6" t="s">
        <v>4778</v>
      </c>
      <c r="D3557" s="14" t="s">
        <v>3067</v>
      </c>
      <c r="E3557" s="221" t="s">
        <v>4622</v>
      </c>
      <c r="F3557" s="133" t="s">
        <v>3061</v>
      </c>
      <c r="G3557" s="396" t="s">
        <v>4625</v>
      </c>
      <c r="H3557" s="18">
        <v>44</v>
      </c>
      <c r="I3557" s="61">
        <v>1</v>
      </c>
      <c r="J3557" s="131">
        <f t="shared" si="259"/>
        <v>44</v>
      </c>
      <c r="K3557" s="322">
        <v>23.36</v>
      </c>
      <c r="L3557" s="39">
        <f t="shared" si="260"/>
        <v>1027.8399999999999</v>
      </c>
      <c r="M3557" s="117" t="s">
        <v>323</v>
      </c>
      <c r="N3557" s="33">
        <v>45475</v>
      </c>
      <c r="O3557" s="32">
        <v>6245</v>
      </c>
      <c r="P3557" s="391">
        <f t="shared" si="257"/>
        <v>18.580000000000002</v>
      </c>
      <c r="Q3557" s="254">
        <v>18.579999999999998</v>
      </c>
      <c r="R3557" s="323">
        <f t="shared" si="258"/>
        <v>817.52</v>
      </c>
      <c r="S3557" s="273">
        <v>1880</v>
      </c>
      <c r="T3557" s="287">
        <f t="shared" si="261"/>
        <v>82720</v>
      </c>
      <c r="U3557" s="264"/>
      <c r="V3557" s="260">
        <v>115</v>
      </c>
      <c r="W3557" s="1136">
        <f t="shared" si="262"/>
        <v>0.3001786777843955</v>
      </c>
    </row>
    <row r="3558" spans="2:23" ht="15.75">
      <c r="B3558" s="12" t="s">
        <v>302</v>
      </c>
      <c r="C3558" s="6" t="s">
        <v>4778</v>
      </c>
      <c r="D3558" s="14" t="s">
        <v>3067</v>
      </c>
      <c r="E3558" s="221" t="s">
        <v>4622</v>
      </c>
      <c r="F3558" s="133" t="s">
        <v>3061</v>
      </c>
      <c r="G3558" s="396" t="s">
        <v>4625</v>
      </c>
      <c r="H3558" s="18">
        <v>45</v>
      </c>
      <c r="I3558" s="61">
        <v>4</v>
      </c>
      <c r="J3558" s="131">
        <f t="shared" si="259"/>
        <v>180</v>
      </c>
      <c r="K3558" s="322">
        <v>23.36</v>
      </c>
      <c r="L3558" s="39">
        <f t="shared" si="260"/>
        <v>4204.8</v>
      </c>
      <c r="M3558" s="117" t="s">
        <v>323</v>
      </c>
      <c r="N3558" s="33">
        <v>45475</v>
      </c>
      <c r="O3558" s="32">
        <v>6245</v>
      </c>
      <c r="P3558" s="391">
        <f t="shared" si="257"/>
        <v>18.580000000000002</v>
      </c>
      <c r="Q3558" s="254">
        <v>18.579999999999998</v>
      </c>
      <c r="R3558" s="323">
        <f t="shared" si="258"/>
        <v>3344.4</v>
      </c>
      <c r="S3558" s="273">
        <v>1880</v>
      </c>
      <c r="T3558" s="287">
        <f t="shared" si="261"/>
        <v>338400</v>
      </c>
      <c r="U3558" s="264"/>
      <c r="V3558" s="260">
        <v>115</v>
      </c>
      <c r="W3558" s="1136">
        <f t="shared" si="262"/>
        <v>0.3001786777843955</v>
      </c>
    </row>
    <row r="3559" spans="2:23" ht="15.75">
      <c r="B3559" s="12" t="s">
        <v>302</v>
      </c>
      <c r="C3559" s="6" t="s">
        <v>4778</v>
      </c>
      <c r="D3559" s="14" t="s">
        <v>3067</v>
      </c>
      <c r="E3559" s="221" t="s">
        <v>4622</v>
      </c>
      <c r="F3559" s="133" t="s">
        <v>3061</v>
      </c>
      <c r="G3559" s="396" t="s">
        <v>4625</v>
      </c>
      <c r="H3559" s="18">
        <v>44.6</v>
      </c>
      <c r="I3559" s="61">
        <v>2</v>
      </c>
      <c r="J3559" s="131">
        <f t="shared" si="259"/>
        <v>89.2</v>
      </c>
      <c r="K3559" s="322">
        <v>23.36</v>
      </c>
      <c r="L3559" s="39">
        <f t="shared" si="260"/>
        <v>2083.712</v>
      </c>
      <c r="M3559" s="117" t="s">
        <v>323</v>
      </c>
      <c r="N3559" s="33">
        <v>45475</v>
      </c>
      <c r="O3559" s="32">
        <v>6245</v>
      </c>
      <c r="P3559" s="391">
        <f t="shared" si="257"/>
        <v>18.580000000000002</v>
      </c>
      <c r="Q3559" s="254">
        <v>18.579999999999998</v>
      </c>
      <c r="R3559" s="323">
        <f t="shared" si="258"/>
        <v>1657.34</v>
      </c>
      <c r="S3559" s="273">
        <v>1880</v>
      </c>
      <c r="T3559" s="287">
        <f t="shared" si="261"/>
        <v>167696</v>
      </c>
      <c r="U3559" s="264"/>
      <c r="V3559" s="260">
        <v>115</v>
      </c>
      <c r="W3559" s="1136">
        <f t="shared" si="262"/>
        <v>0.3001786777843955</v>
      </c>
    </row>
    <row r="3560" spans="2:23" ht="15.75">
      <c r="B3560" s="12" t="s">
        <v>302</v>
      </c>
      <c r="C3560" s="6" t="s">
        <v>4778</v>
      </c>
      <c r="D3560" s="14" t="s">
        <v>3067</v>
      </c>
      <c r="E3560" s="221" t="s">
        <v>4622</v>
      </c>
      <c r="F3560" s="133" t="s">
        <v>3061</v>
      </c>
      <c r="G3560" s="396" t="s">
        <v>4625</v>
      </c>
      <c r="H3560" s="18">
        <v>43.6</v>
      </c>
      <c r="I3560" s="61">
        <v>1</v>
      </c>
      <c r="J3560" s="131">
        <f t="shared" si="259"/>
        <v>43.6</v>
      </c>
      <c r="K3560" s="322">
        <v>23.36</v>
      </c>
      <c r="L3560" s="39">
        <f t="shared" si="260"/>
        <v>1018.496</v>
      </c>
      <c r="M3560" s="117" t="s">
        <v>323</v>
      </c>
      <c r="N3560" s="33">
        <v>45475</v>
      </c>
      <c r="O3560" s="32">
        <v>6245</v>
      </c>
      <c r="P3560" s="391">
        <f t="shared" si="257"/>
        <v>18.580000000000002</v>
      </c>
      <c r="Q3560" s="254">
        <v>18.579999999999998</v>
      </c>
      <c r="R3560" s="323">
        <f t="shared" si="258"/>
        <v>810.09</v>
      </c>
      <c r="S3560" s="273">
        <v>1880</v>
      </c>
      <c r="T3560" s="287">
        <f t="shared" si="261"/>
        <v>81968</v>
      </c>
      <c r="U3560" s="264"/>
      <c r="V3560" s="260">
        <v>115</v>
      </c>
      <c r="W3560" s="1136">
        <f t="shared" si="262"/>
        <v>0.3001786777843955</v>
      </c>
    </row>
    <row r="3561" spans="2:23" ht="15.75">
      <c r="B3561" s="12" t="s">
        <v>302</v>
      </c>
      <c r="C3561" s="6" t="s">
        <v>4778</v>
      </c>
      <c r="D3561" s="14" t="s">
        <v>3067</v>
      </c>
      <c r="E3561" s="221" t="s">
        <v>4622</v>
      </c>
      <c r="F3561" s="133" t="s">
        <v>3061</v>
      </c>
      <c r="G3561" s="396" t="s">
        <v>4625</v>
      </c>
      <c r="H3561" s="18">
        <v>44.1</v>
      </c>
      <c r="I3561" s="61">
        <v>1</v>
      </c>
      <c r="J3561" s="131">
        <f t="shared" si="259"/>
        <v>44.1</v>
      </c>
      <c r="K3561" s="322">
        <v>23.36</v>
      </c>
      <c r="L3561" s="39">
        <f t="shared" si="260"/>
        <v>1030.1759999999999</v>
      </c>
      <c r="M3561" s="117" t="s">
        <v>323</v>
      </c>
      <c r="N3561" s="33">
        <v>45475</v>
      </c>
      <c r="O3561" s="32">
        <v>6245</v>
      </c>
      <c r="P3561" s="391">
        <f t="shared" si="257"/>
        <v>18.580000000000002</v>
      </c>
      <c r="Q3561" s="254">
        <v>18.579999999999998</v>
      </c>
      <c r="R3561" s="323">
        <f t="shared" si="258"/>
        <v>819.38</v>
      </c>
      <c r="S3561" s="273">
        <v>1880</v>
      </c>
      <c r="T3561" s="287">
        <f t="shared" si="261"/>
        <v>82908</v>
      </c>
      <c r="U3561" s="264"/>
      <c r="V3561" s="260">
        <v>115</v>
      </c>
      <c r="W3561" s="1136">
        <f t="shared" si="262"/>
        <v>0.3001786777843955</v>
      </c>
    </row>
    <row r="3562" spans="2:23" ht="15.75">
      <c r="B3562" s="12" t="s">
        <v>302</v>
      </c>
      <c r="C3562" s="6" t="s">
        <v>4778</v>
      </c>
      <c r="D3562" s="14" t="s">
        <v>3067</v>
      </c>
      <c r="E3562" s="221" t="s">
        <v>4622</v>
      </c>
      <c r="F3562" s="133" t="s">
        <v>3061</v>
      </c>
      <c r="G3562" s="396" t="s">
        <v>4625</v>
      </c>
      <c r="H3562" s="18">
        <v>43.5</v>
      </c>
      <c r="I3562" s="61">
        <v>1</v>
      </c>
      <c r="J3562" s="131">
        <f t="shared" si="259"/>
        <v>43.5</v>
      </c>
      <c r="K3562" s="322">
        <v>23.36</v>
      </c>
      <c r="L3562" s="39">
        <f t="shared" si="260"/>
        <v>1016.16</v>
      </c>
      <c r="M3562" s="117" t="s">
        <v>323</v>
      </c>
      <c r="N3562" s="33">
        <v>45475</v>
      </c>
      <c r="O3562" s="32">
        <v>6245</v>
      </c>
      <c r="P3562" s="391">
        <f t="shared" si="257"/>
        <v>18.580000000000002</v>
      </c>
      <c r="Q3562" s="254">
        <v>18.579999999999998</v>
      </c>
      <c r="R3562" s="323">
        <f t="shared" si="258"/>
        <v>808.23</v>
      </c>
      <c r="S3562" s="273">
        <v>1880</v>
      </c>
      <c r="T3562" s="287">
        <f t="shared" si="261"/>
        <v>81780</v>
      </c>
      <c r="U3562" s="264"/>
      <c r="V3562" s="260">
        <v>115</v>
      </c>
      <c r="W3562" s="1136">
        <f t="shared" si="262"/>
        <v>0.3001786777843955</v>
      </c>
    </row>
    <row r="3563" spans="2:23" ht="15.75">
      <c r="B3563" s="12" t="s">
        <v>302</v>
      </c>
      <c r="C3563" s="6" t="s">
        <v>4778</v>
      </c>
      <c r="D3563" s="14" t="s">
        <v>3067</v>
      </c>
      <c r="E3563" s="221" t="s">
        <v>4622</v>
      </c>
      <c r="F3563" s="133" t="s">
        <v>3061</v>
      </c>
      <c r="G3563" s="396" t="s">
        <v>4625</v>
      </c>
      <c r="H3563" s="18">
        <v>44.8</v>
      </c>
      <c r="I3563" s="61">
        <v>2</v>
      </c>
      <c r="J3563" s="131">
        <f t="shared" si="259"/>
        <v>89.6</v>
      </c>
      <c r="K3563" s="322">
        <v>23.36</v>
      </c>
      <c r="L3563" s="39">
        <f t="shared" si="260"/>
        <v>2093.056</v>
      </c>
      <c r="M3563" s="117" t="s">
        <v>323</v>
      </c>
      <c r="N3563" s="33">
        <v>45475</v>
      </c>
      <c r="O3563" s="32">
        <v>6245</v>
      </c>
      <c r="P3563" s="391">
        <f t="shared" si="257"/>
        <v>18.580000000000002</v>
      </c>
      <c r="Q3563" s="254">
        <v>18.579999999999998</v>
      </c>
      <c r="R3563" s="323">
        <f t="shared" si="258"/>
        <v>1664.77</v>
      </c>
      <c r="S3563" s="273">
        <v>1880</v>
      </c>
      <c r="T3563" s="287">
        <f t="shared" si="261"/>
        <v>168448</v>
      </c>
      <c r="U3563" s="264"/>
      <c r="V3563" s="260">
        <v>115</v>
      </c>
      <c r="W3563" s="1136">
        <f t="shared" si="262"/>
        <v>0.3001786777843955</v>
      </c>
    </row>
    <row r="3564" spans="2:23" ht="15.75">
      <c r="B3564" s="12" t="s">
        <v>302</v>
      </c>
      <c r="C3564" s="6" t="s">
        <v>4778</v>
      </c>
      <c r="D3564" s="14" t="s">
        <v>3067</v>
      </c>
      <c r="E3564" s="221" t="s">
        <v>4622</v>
      </c>
      <c r="F3564" s="133" t="s">
        <v>3061</v>
      </c>
      <c r="G3564" s="396" t="s">
        <v>4625</v>
      </c>
      <c r="H3564" s="18">
        <v>44.2</v>
      </c>
      <c r="I3564" s="61">
        <v>1</v>
      </c>
      <c r="J3564" s="131">
        <f t="shared" si="259"/>
        <v>44.2</v>
      </c>
      <c r="K3564" s="322">
        <v>23.36</v>
      </c>
      <c r="L3564" s="39">
        <f t="shared" si="260"/>
        <v>1032.5119999999999</v>
      </c>
      <c r="M3564" s="117" t="s">
        <v>323</v>
      </c>
      <c r="N3564" s="33">
        <v>45475</v>
      </c>
      <c r="O3564" s="32">
        <v>6245</v>
      </c>
      <c r="P3564" s="391">
        <f t="shared" si="257"/>
        <v>18.580000000000002</v>
      </c>
      <c r="Q3564" s="254">
        <v>18.579999999999998</v>
      </c>
      <c r="R3564" s="323">
        <f t="shared" si="258"/>
        <v>821.24</v>
      </c>
      <c r="S3564" s="273">
        <v>1880</v>
      </c>
      <c r="T3564" s="287">
        <f t="shared" si="261"/>
        <v>83096</v>
      </c>
      <c r="U3564" s="264"/>
      <c r="V3564" s="260">
        <v>115</v>
      </c>
      <c r="W3564" s="1136">
        <f t="shared" si="262"/>
        <v>0.3001786777843955</v>
      </c>
    </row>
    <row r="3565" spans="2:23" ht="15.75">
      <c r="B3565" s="12" t="s">
        <v>302</v>
      </c>
      <c r="C3565" s="6" t="s">
        <v>4778</v>
      </c>
      <c r="D3565" s="14" t="s">
        <v>3067</v>
      </c>
      <c r="E3565" s="221" t="s">
        <v>4622</v>
      </c>
      <c r="F3565" s="133" t="s">
        <v>3061</v>
      </c>
      <c r="G3565" s="396" t="s">
        <v>4625</v>
      </c>
      <c r="H3565" s="18">
        <v>44.4</v>
      </c>
      <c r="I3565" s="61">
        <v>1</v>
      </c>
      <c r="J3565" s="131">
        <f t="shared" si="259"/>
        <v>44.4</v>
      </c>
      <c r="K3565" s="322">
        <v>23.36</v>
      </c>
      <c r="L3565" s="39">
        <f t="shared" si="260"/>
        <v>1037.184</v>
      </c>
      <c r="M3565" s="117" t="s">
        <v>323</v>
      </c>
      <c r="N3565" s="33">
        <v>45475</v>
      </c>
      <c r="O3565" s="32">
        <v>6245</v>
      </c>
      <c r="P3565" s="391">
        <f t="shared" si="257"/>
        <v>18.580000000000002</v>
      </c>
      <c r="Q3565" s="254">
        <v>18.579999999999998</v>
      </c>
      <c r="R3565" s="323">
        <f t="shared" si="258"/>
        <v>824.95</v>
      </c>
      <c r="S3565" s="273">
        <v>1880</v>
      </c>
      <c r="T3565" s="287">
        <f t="shared" si="261"/>
        <v>83472</v>
      </c>
      <c r="U3565" s="264"/>
      <c r="V3565" s="260">
        <v>115</v>
      </c>
      <c r="W3565" s="1136">
        <f t="shared" si="262"/>
        <v>0.3001786777843955</v>
      </c>
    </row>
    <row r="3566" spans="2:23" ht="15.75">
      <c r="B3566" s="12" t="s">
        <v>302</v>
      </c>
      <c r="C3566" s="6" t="s">
        <v>4778</v>
      </c>
      <c r="D3566" s="14" t="s">
        <v>3067</v>
      </c>
      <c r="E3566" s="221" t="s">
        <v>4622</v>
      </c>
      <c r="F3566" s="133" t="s">
        <v>3061</v>
      </c>
      <c r="G3566" s="396" t="s">
        <v>4625</v>
      </c>
      <c r="H3566" s="18">
        <v>43.7</v>
      </c>
      <c r="I3566" s="61">
        <v>1</v>
      </c>
      <c r="J3566" s="131">
        <f t="shared" si="259"/>
        <v>43.7</v>
      </c>
      <c r="K3566" s="322">
        <v>23.36</v>
      </c>
      <c r="L3566" s="39">
        <f t="shared" si="260"/>
        <v>1020.832</v>
      </c>
      <c r="M3566" s="117" t="s">
        <v>323</v>
      </c>
      <c r="N3566" s="33">
        <v>45475</v>
      </c>
      <c r="O3566" s="32">
        <v>6245</v>
      </c>
      <c r="P3566" s="391">
        <f t="shared" si="257"/>
        <v>18.580000000000002</v>
      </c>
      <c r="Q3566" s="254">
        <v>18.579999999999998</v>
      </c>
      <c r="R3566" s="323">
        <f t="shared" si="258"/>
        <v>811.95</v>
      </c>
      <c r="S3566" s="273">
        <v>1880</v>
      </c>
      <c r="T3566" s="287">
        <f t="shared" si="261"/>
        <v>82156</v>
      </c>
      <c r="U3566" s="264"/>
      <c r="V3566" s="260">
        <v>115</v>
      </c>
      <c r="W3566" s="1136">
        <f t="shared" si="262"/>
        <v>0.3001786777843955</v>
      </c>
    </row>
    <row r="3567" spans="2:23" ht="15.75">
      <c r="B3567" s="12" t="s">
        <v>302</v>
      </c>
      <c r="C3567" s="6" t="s">
        <v>4778</v>
      </c>
      <c r="D3567" s="14" t="s">
        <v>3067</v>
      </c>
      <c r="E3567" s="221" t="s">
        <v>4622</v>
      </c>
      <c r="F3567" s="133" t="s">
        <v>3061</v>
      </c>
      <c r="G3567" s="396" t="s">
        <v>4625</v>
      </c>
      <c r="H3567" s="18">
        <v>42.5</v>
      </c>
      <c r="I3567" s="61">
        <v>1</v>
      </c>
      <c r="J3567" s="131">
        <f t="shared" si="259"/>
        <v>42.5</v>
      </c>
      <c r="K3567" s="322">
        <v>23.36</v>
      </c>
      <c r="L3567" s="39">
        <f t="shared" si="260"/>
        <v>992.8</v>
      </c>
      <c r="M3567" s="117" t="s">
        <v>323</v>
      </c>
      <c r="N3567" s="33">
        <v>45475</v>
      </c>
      <c r="O3567" s="32">
        <v>6245</v>
      </c>
      <c r="P3567" s="391">
        <f t="shared" si="257"/>
        <v>18.580000000000002</v>
      </c>
      <c r="Q3567" s="254">
        <v>18.579999999999998</v>
      </c>
      <c r="R3567" s="323">
        <f t="shared" si="258"/>
        <v>789.65</v>
      </c>
      <c r="S3567" s="273">
        <v>1880</v>
      </c>
      <c r="T3567" s="287">
        <f t="shared" si="261"/>
        <v>79900</v>
      </c>
      <c r="U3567" s="264"/>
      <c r="V3567" s="260">
        <v>115</v>
      </c>
      <c r="W3567" s="1136">
        <f t="shared" si="262"/>
        <v>0.3001786777843955</v>
      </c>
    </row>
    <row r="3568" spans="2:23" s="191" customFormat="1" ht="18" customHeight="1">
      <c r="B3568" s="190"/>
      <c r="C3568" s="179" t="s">
        <v>4778</v>
      </c>
      <c r="D3568" s="180" t="s">
        <v>3067</v>
      </c>
      <c r="E3568" s="217"/>
      <c r="F3568" s="182"/>
      <c r="G3568" s="182" t="s">
        <v>250</v>
      </c>
      <c r="H3568" s="184" t="s">
        <v>251</v>
      </c>
      <c r="I3568" s="185"/>
      <c r="J3568" s="183"/>
      <c r="K3568" s="192">
        <v>0</v>
      </c>
      <c r="L3568" s="187"/>
      <c r="M3568" s="187"/>
      <c r="N3568" s="187">
        <v>45475</v>
      </c>
      <c r="O3568" s="186">
        <v>6245</v>
      </c>
      <c r="P3568" s="179"/>
      <c r="Q3568" s="255">
        <v>0</v>
      </c>
      <c r="R3568" s="322">
        <v>0</v>
      </c>
      <c r="S3568" s="275">
        <v>0</v>
      </c>
      <c r="T3568" s="198">
        <v>0</v>
      </c>
      <c r="U3568" s="271"/>
      <c r="V3568" s="260">
        <v>120</v>
      </c>
      <c r="W3568" s="1136" t="e">
        <f t="shared" ref="W3568:W3575" si="263">(((K3568*V3568)-S3568)/(K3568*V3568))</f>
        <v>#DIV/0!</v>
      </c>
    </row>
    <row r="3569" spans="2:23" s="7" customFormat="1" ht="18" customHeight="1">
      <c r="B3569" s="12"/>
      <c r="C3569" s="6" t="s">
        <v>4789</v>
      </c>
      <c r="D3569" s="14" t="s">
        <v>2171</v>
      </c>
      <c r="E3569" s="19" t="s">
        <v>10</v>
      </c>
      <c r="F3569" s="107"/>
      <c r="G3569" s="1256"/>
      <c r="H3569" s="108"/>
      <c r="I3569" s="109"/>
      <c r="J3569" s="108"/>
      <c r="K3569" s="29" t="s">
        <v>5</v>
      </c>
      <c r="L3569" s="139"/>
      <c r="M3569" s="33"/>
      <c r="N3569" s="33">
        <v>45349</v>
      </c>
      <c r="O3569" s="32">
        <v>5885</v>
      </c>
      <c r="P3569" s="14"/>
      <c r="Q3569" s="322"/>
      <c r="U3569" s="14"/>
      <c r="V3569" s="260">
        <v>120</v>
      </c>
      <c r="W3569" s="1136" t="e">
        <f t="shared" si="263"/>
        <v>#VALUE!</v>
      </c>
    </row>
    <row r="3570" spans="2:23" s="7" customFormat="1" ht="18" customHeight="1">
      <c r="B3570" s="12" t="s">
        <v>302</v>
      </c>
      <c r="C3570" s="6" t="s">
        <v>4789</v>
      </c>
      <c r="D3570" s="14" t="s">
        <v>2171</v>
      </c>
      <c r="E3570" s="22" t="s">
        <v>207</v>
      </c>
      <c r="F3570" s="107">
        <v>152</v>
      </c>
      <c r="G3570" s="22" t="s">
        <v>13</v>
      </c>
      <c r="H3570" s="1255">
        <v>50</v>
      </c>
      <c r="I3570" s="109">
        <v>2</v>
      </c>
      <c r="J3570" s="8">
        <f>I3570*H3570</f>
        <v>100</v>
      </c>
      <c r="K3570" s="39">
        <v>4.7300000000000004</v>
      </c>
      <c r="L3570" s="39">
        <f t="shared" ref="L3570:L3575" si="264">K3570*J3570</f>
        <v>473.00000000000006</v>
      </c>
      <c r="M3570" s="403" t="s">
        <v>322</v>
      </c>
      <c r="N3570" s="33">
        <v>45349</v>
      </c>
      <c r="O3570" s="32">
        <v>5885</v>
      </c>
      <c r="P3570" s="391">
        <f>ROUNDUP(S3570/V3570/VLOOKUP(B3570,$C$2:$F$6,3,FALSE),2)</f>
        <v>3.2199999999999998</v>
      </c>
      <c r="Q3570" s="322">
        <v>3.22</v>
      </c>
      <c r="R3570" s="322">
        <f t="shared" ref="R3570:R3575" si="265">Q3570*J3570</f>
        <v>322</v>
      </c>
      <c r="S3570" s="7">
        <v>340</v>
      </c>
      <c r="T3570" s="7">
        <f t="shared" ref="T3570:T3575" si="266">S3570*J3570</f>
        <v>34000</v>
      </c>
      <c r="U3570" s="21"/>
      <c r="V3570" s="260">
        <v>120</v>
      </c>
      <c r="W3570" s="1136">
        <f t="shared" si="263"/>
        <v>0.4009866102889359</v>
      </c>
    </row>
    <row r="3571" spans="2:23" s="7" customFormat="1" ht="18" customHeight="1">
      <c r="B3571" s="12" t="s">
        <v>302</v>
      </c>
      <c r="C3571" s="6" t="s">
        <v>4789</v>
      </c>
      <c r="D3571" s="14" t="s">
        <v>2171</v>
      </c>
      <c r="E3571" s="22" t="s">
        <v>207</v>
      </c>
      <c r="F3571" s="107">
        <v>152</v>
      </c>
      <c r="G3571" s="1257" t="s">
        <v>4790</v>
      </c>
      <c r="H3571" s="1255">
        <v>50</v>
      </c>
      <c r="I3571" s="109">
        <v>1</v>
      </c>
      <c r="J3571" s="8">
        <f>I3571*H3571</f>
        <v>50</v>
      </c>
      <c r="K3571" s="39">
        <v>4.7300000000000004</v>
      </c>
      <c r="L3571" s="39">
        <f t="shared" si="264"/>
        <v>236.50000000000003</v>
      </c>
      <c r="M3571" s="403" t="s">
        <v>322</v>
      </c>
      <c r="N3571" s="33">
        <v>45349</v>
      </c>
      <c r="O3571" s="32">
        <v>5885</v>
      </c>
      <c r="P3571" s="391">
        <f>ROUNDUP(S3571/V3571/VLOOKUP(B3571,$C$2:$F$6,3,FALSE),2)</f>
        <v>3.2199999999999998</v>
      </c>
      <c r="Q3571" s="322">
        <v>3.22</v>
      </c>
      <c r="R3571" s="322">
        <f t="shared" si="265"/>
        <v>161</v>
      </c>
      <c r="S3571" s="7">
        <v>340</v>
      </c>
      <c r="T3571" s="7">
        <f t="shared" si="266"/>
        <v>17000</v>
      </c>
      <c r="U3571" s="21"/>
      <c r="V3571" s="260">
        <v>120</v>
      </c>
      <c r="W3571" s="1136">
        <f t="shared" si="263"/>
        <v>0.4009866102889359</v>
      </c>
    </row>
    <row r="3572" spans="2:23" s="7" customFormat="1" ht="18" customHeight="1">
      <c r="B3572" s="12" t="s">
        <v>302</v>
      </c>
      <c r="C3572" s="6" t="s">
        <v>4789</v>
      </c>
      <c r="D3572" s="14" t="s">
        <v>2171</v>
      </c>
      <c r="E3572" s="22" t="s">
        <v>207</v>
      </c>
      <c r="F3572" s="107">
        <v>152</v>
      </c>
      <c r="G3572" s="1257" t="s">
        <v>4791</v>
      </c>
      <c r="H3572" s="1255">
        <v>50</v>
      </c>
      <c r="I3572" s="109">
        <v>1</v>
      </c>
      <c r="J3572" s="8">
        <f>I3572*H3572</f>
        <v>50</v>
      </c>
      <c r="K3572" s="39">
        <v>4.7300000000000004</v>
      </c>
      <c r="L3572" s="39">
        <f t="shared" si="264"/>
        <v>236.50000000000003</v>
      </c>
      <c r="M3572" s="403" t="s">
        <v>322</v>
      </c>
      <c r="N3572" s="33">
        <v>45349</v>
      </c>
      <c r="O3572" s="32">
        <v>5885</v>
      </c>
      <c r="P3572" s="391">
        <f>ROUNDUP(S3572/V3572/VLOOKUP(B3572,$C$2:$F$6,3,FALSE),2)</f>
        <v>3.2199999999999998</v>
      </c>
      <c r="Q3572" s="322">
        <v>3.22</v>
      </c>
      <c r="R3572" s="322">
        <f t="shared" si="265"/>
        <v>161</v>
      </c>
      <c r="S3572" s="7">
        <v>340</v>
      </c>
      <c r="T3572" s="7">
        <f t="shared" si="266"/>
        <v>17000</v>
      </c>
      <c r="U3572" s="21"/>
      <c r="V3572" s="260">
        <v>120</v>
      </c>
      <c r="W3572" s="1136">
        <f t="shared" si="263"/>
        <v>0.4009866102889359</v>
      </c>
    </row>
    <row r="3573" spans="2:23" s="7" customFormat="1" ht="18" customHeight="1">
      <c r="B3573" s="12" t="s">
        <v>302</v>
      </c>
      <c r="C3573" s="6" t="s">
        <v>4789</v>
      </c>
      <c r="D3573" s="14" t="s">
        <v>2171</v>
      </c>
      <c r="E3573" s="22" t="s">
        <v>190</v>
      </c>
      <c r="F3573" s="107">
        <v>160</v>
      </c>
      <c r="G3573" s="1257" t="s">
        <v>4793</v>
      </c>
      <c r="H3573" s="1255">
        <v>50</v>
      </c>
      <c r="I3573" s="109">
        <v>2</v>
      </c>
      <c r="J3573" s="8">
        <f>I3573*H3573</f>
        <v>100</v>
      </c>
      <c r="K3573" s="39">
        <v>5.56</v>
      </c>
      <c r="L3573" s="39">
        <f t="shared" si="264"/>
        <v>556</v>
      </c>
      <c r="M3573" s="117" t="s">
        <v>322</v>
      </c>
      <c r="N3573" s="33">
        <v>45349</v>
      </c>
      <c r="O3573" s="32">
        <v>5885</v>
      </c>
      <c r="P3573" s="391">
        <f>ROUNDUP(S3573/V3573/VLOOKUP(B3573,$C$2:$F$6,3,FALSE),2)</f>
        <v>3.7899999999999996</v>
      </c>
      <c r="Q3573" s="322">
        <v>3.79</v>
      </c>
      <c r="R3573" s="322">
        <f t="shared" si="265"/>
        <v>379</v>
      </c>
      <c r="S3573" s="7">
        <v>400</v>
      </c>
      <c r="T3573" s="7">
        <f t="shared" si="266"/>
        <v>40000</v>
      </c>
      <c r="U3573" s="21"/>
      <c r="V3573" s="260">
        <v>120</v>
      </c>
      <c r="W3573" s="1136">
        <f t="shared" si="263"/>
        <v>0.40047961630695439</v>
      </c>
    </row>
    <row r="3574" spans="2:23" s="7" customFormat="1" ht="18" customHeight="1">
      <c r="B3574" s="12" t="s">
        <v>302</v>
      </c>
      <c r="C3574" s="6" t="s">
        <v>4789</v>
      </c>
      <c r="D3574" s="14" t="s">
        <v>2171</v>
      </c>
      <c r="E3574" s="22" t="s">
        <v>190</v>
      </c>
      <c r="F3574" s="107">
        <v>160</v>
      </c>
      <c r="G3574" s="1257" t="s">
        <v>4792</v>
      </c>
      <c r="H3574" s="1255">
        <v>50</v>
      </c>
      <c r="I3574" s="109">
        <v>1</v>
      </c>
      <c r="J3574" s="8">
        <f>I3574*H3574</f>
        <v>50</v>
      </c>
      <c r="K3574" s="39">
        <v>5.56</v>
      </c>
      <c r="L3574" s="39">
        <f t="shared" si="264"/>
        <v>278</v>
      </c>
      <c r="M3574" s="117" t="s">
        <v>322</v>
      </c>
      <c r="N3574" s="33">
        <v>45349</v>
      </c>
      <c r="O3574" s="32">
        <v>5885</v>
      </c>
      <c r="P3574" s="391">
        <f>ROUNDUP(S3574/V3574/VLOOKUP(B3574,$C$2:$F$6,3,FALSE),2)</f>
        <v>3.7899999999999996</v>
      </c>
      <c r="Q3574" s="322">
        <v>3.79</v>
      </c>
      <c r="R3574" s="322">
        <f t="shared" si="265"/>
        <v>189.5</v>
      </c>
      <c r="S3574" s="7">
        <v>400</v>
      </c>
      <c r="T3574" s="7">
        <f t="shared" si="266"/>
        <v>20000</v>
      </c>
      <c r="U3574" s="21"/>
      <c r="V3574" s="260">
        <v>120</v>
      </c>
      <c r="W3574" s="1136">
        <f t="shared" si="263"/>
        <v>0.40047961630695439</v>
      </c>
    </row>
    <row r="3575" spans="2:23" s="7" customFormat="1" ht="18" customHeight="1">
      <c r="B3575" s="12"/>
      <c r="C3575" s="6" t="s">
        <v>4789</v>
      </c>
      <c r="D3575" s="14" t="s">
        <v>2171</v>
      </c>
      <c r="E3575" s="22"/>
      <c r="F3575" s="102"/>
      <c r="G3575" s="22" t="s">
        <v>316</v>
      </c>
      <c r="H3575" s="8"/>
      <c r="I3575" s="35"/>
      <c r="J3575" s="38">
        <v>1</v>
      </c>
      <c r="K3575" s="39">
        <v>20</v>
      </c>
      <c r="L3575" s="39">
        <f t="shared" si="264"/>
        <v>20</v>
      </c>
      <c r="M3575" s="91"/>
      <c r="N3575" s="33">
        <v>45349</v>
      </c>
      <c r="O3575" s="32">
        <v>5885</v>
      </c>
      <c r="P3575" s="6" t="s">
        <v>3</v>
      </c>
      <c r="Q3575" s="39">
        <v>20</v>
      </c>
      <c r="R3575" s="322">
        <f t="shared" si="265"/>
        <v>20</v>
      </c>
      <c r="S3575" s="7">
        <v>1800</v>
      </c>
      <c r="T3575" s="7">
        <f t="shared" si="266"/>
        <v>1800</v>
      </c>
      <c r="U3575" s="21"/>
      <c r="V3575" s="260">
        <v>120</v>
      </c>
      <c r="W3575" s="1136">
        <f t="shared" si="263"/>
        <v>0.25</v>
      </c>
    </row>
    <row r="3576" spans="2:23" s="191" customFormat="1" ht="15.75">
      <c r="B3576" s="190"/>
      <c r="C3576" s="179" t="s">
        <v>4789</v>
      </c>
      <c r="D3576" s="180" t="s">
        <v>2171</v>
      </c>
      <c r="E3576" s="181"/>
      <c r="F3576" s="182"/>
      <c r="G3576" s="309" t="s">
        <v>324</v>
      </c>
      <c r="H3576" s="184" t="s">
        <v>252</v>
      </c>
      <c r="I3576" s="185"/>
      <c r="J3576" s="183"/>
      <c r="K3576" s="203">
        <v>675</v>
      </c>
      <c r="L3576" s="203">
        <v>675</v>
      </c>
      <c r="M3576" s="187"/>
      <c r="N3576" s="187">
        <v>45349</v>
      </c>
      <c r="O3576" s="186">
        <v>5885</v>
      </c>
      <c r="P3576" s="179"/>
      <c r="Q3576" s="203">
        <v>675</v>
      </c>
      <c r="R3576" s="203">
        <v>675</v>
      </c>
      <c r="S3576" s="838">
        <v>57058</v>
      </c>
      <c r="T3576" s="838">
        <v>57058</v>
      </c>
      <c r="U3576" s="271"/>
      <c r="V3576" s="260">
        <v>120</v>
      </c>
      <c r="W3576" s="1136">
        <f t="shared" ref="W3576:W3582" si="267">(((K3576*V3576)-S3576)/(K3576*V3576))</f>
        <v>0.29558024691358026</v>
      </c>
    </row>
    <row r="3577" spans="2:23" s="7" customFormat="1" ht="18" customHeight="1">
      <c r="B3577" s="12"/>
      <c r="C3577" s="965" t="s">
        <v>4794</v>
      </c>
      <c r="D3577" s="14" t="s">
        <v>2162</v>
      </c>
      <c r="E3577" s="19" t="s">
        <v>200</v>
      </c>
      <c r="F3577" s="37"/>
      <c r="G3577" s="37"/>
      <c r="H3577" s="108"/>
      <c r="I3577" s="108"/>
      <c r="J3577" s="108"/>
      <c r="K3577" s="29" t="s">
        <v>5</v>
      </c>
      <c r="L3577" s="139"/>
      <c r="M3577" s="33"/>
      <c r="N3577" s="33">
        <v>45349</v>
      </c>
      <c r="O3577" s="32">
        <v>5914</v>
      </c>
      <c r="P3577" s="6"/>
      <c r="Q3577" s="339"/>
      <c r="U3577" s="21"/>
      <c r="V3577" s="260">
        <v>120</v>
      </c>
      <c r="W3577" s="1136" t="e">
        <f t="shared" si="267"/>
        <v>#VALUE!</v>
      </c>
    </row>
    <row r="3578" spans="2:23" s="7" customFormat="1" ht="18" customHeight="1">
      <c r="B3578" s="12" t="s">
        <v>300</v>
      </c>
      <c r="C3578" s="965" t="s">
        <v>4794</v>
      </c>
      <c r="D3578" s="14" t="s">
        <v>2162</v>
      </c>
      <c r="E3578" s="22" t="s">
        <v>2950</v>
      </c>
      <c r="F3578" s="37"/>
      <c r="G3578" s="839" t="s">
        <v>4795</v>
      </c>
      <c r="H3578" s="108">
        <v>30</v>
      </c>
      <c r="I3578" s="109">
        <v>5</v>
      </c>
      <c r="J3578" s="8">
        <f>H3578*I3578</f>
        <v>150</v>
      </c>
      <c r="K3578" s="39">
        <v>0.84</v>
      </c>
      <c r="L3578" s="39">
        <f>K3578*J3578</f>
        <v>126</v>
      </c>
      <c r="M3578" s="117" t="s">
        <v>349</v>
      </c>
      <c r="N3578" s="33">
        <v>45349</v>
      </c>
      <c r="O3578" s="32">
        <v>5914</v>
      </c>
      <c r="P3578" s="391">
        <f>ROUNDUP(S3578/V3578/VLOOKUP(B3578,$C$2:$F$6,3,FALSE),2)</f>
        <v>0.54</v>
      </c>
      <c r="Q3578" s="322">
        <v>0.54</v>
      </c>
      <c r="R3578" s="322">
        <f>Q3578*J3578</f>
        <v>81</v>
      </c>
      <c r="S3578" s="7">
        <v>45</v>
      </c>
      <c r="T3578" s="7">
        <f>S3578*J3578</f>
        <v>6750</v>
      </c>
      <c r="U3578" s="778"/>
      <c r="V3578" s="260">
        <v>120</v>
      </c>
      <c r="W3578" s="1136">
        <f t="shared" si="267"/>
        <v>0.5535714285714286</v>
      </c>
    </row>
    <row r="3579" spans="2:23" s="7" customFormat="1" ht="18" customHeight="1">
      <c r="B3579" s="12"/>
      <c r="C3579" s="965" t="s">
        <v>4794</v>
      </c>
      <c r="D3579" s="14" t="s">
        <v>2162</v>
      </c>
      <c r="E3579" s="22"/>
      <c r="F3579" s="102"/>
      <c r="G3579" s="22" t="s">
        <v>316</v>
      </c>
      <c r="H3579" s="8"/>
      <c r="I3579" s="35"/>
      <c r="J3579" s="38">
        <v>1</v>
      </c>
      <c r="K3579" s="39">
        <v>12</v>
      </c>
      <c r="L3579" s="39">
        <f>K3579*J3579</f>
        <v>12</v>
      </c>
      <c r="M3579" s="91"/>
      <c r="N3579" s="33">
        <v>45349</v>
      </c>
      <c r="O3579" s="32">
        <v>5914</v>
      </c>
      <c r="P3579" s="6" t="s">
        <v>3</v>
      </c>
      <c r="Q3579" s="39">
        <v>12</v>
      </c>
      <c r="R3579" s="322">
        <f>Q3579*J3579</f>
        <v>12</v>
      </c>
      <c r="S3579" s="7">
        <v>900</v>
      </c>
      <c r="T3579" s="7">
        <f>S3579*J3579</f>
        <v>900</v>
      </c>
      <c r="U3579" s="21"/>
      <c r="V3579" s="260">
        <v>120</v>
      </c>
      <c r="W3579" s="1136">
        <f t="shared" si="267"/>
        <v>0.375</v>
      </c>
    </row>
    <row r="3580" spans="2:23" s="191" customFormat="1" ht="18" customHeight="1">
      <c r="B3580" s="190"/>
      <c r="C3580" s="966" t="s">
        <v>4794</v>
      </c>
      <c r="D3580" s="180" t="s">
        <v>2162</v>
      </c>
      <c r="E3580" s="217"/>
      <c r="F3580" s="182"/>
      <c r="G3580" s="182" t="s">
        <v>250</v>
      </c>
      <c r="H3580" s="184" t="s">
        <v>251</v>
      </c>
      <c r="I3580" s="185"/>
      <c r="J3580" s="183"/>
      <c r="K3580" s="192">
        <v>0</v>
      </c>
      <c r="L3580" s="192">
        <v>0</v>
      </c>
      <c r="M3580" s="187"/>
      <c r="N3580" s="187">
        <v>45349</v>
      </c>
      <c r="O3580" s="186">
        <v>5914</v>
      </c>
      <c r="P3580" s="179"/>
      <c r="Q3580" s="334">
        <v>0</v>
      </c>
      <c r="R3580" s="334">
        <v>0</v>
      </c>
      <c r="S3580" s="197">
        <v>0</v>
      </c>
      <c r="T3580" s="197">
        <v>0</v>
      </c>
      <c r="U3580" s="335"/>
      <c r="V3580" s="260">
        <v>120</v>
      </c>
      <c r="W3580" s="1136" t="e">
        <f t="shared" si="267"/>
        <v>#DIV/0!</v>
      </c>
    </row>
    <row r="3581" spans="2:23" s="7" customFormat="1" ht="18" customHeight="1">
      <c r="B3581" s="12"/>
      <c r="C3581" s="6" t="s">
        <v>4797</v>
      </c>
      <c r="D3581" s="14" t="s">
        <v>4796</v>
      </c>
      <c r="E3581" s="17" t="s">
        <v>1976</v>
      </c>
      <c r="F3581" s="37"/>
      <c r="G3581" s="37"/>
      <c r="H3581" s="108"/>
      <c r="I3581" s="108"/>
      <c r="J3581" s="108"/>
      <c r="K3581" s="110" t="s">
        <v>5</v>
      </c>
      <c r="L3581" s="139"/>
      <c r="M3581" s="33"/>
      <c r="N3581" s="33">
        <v>45349</v>
      </c>
      <c r="O3581" s="32">
        <v>5916</v>
      </c>
      <c r="P3581" s="6"/>
      <c r="Q3581" s="339"/>
      <c r="U3581" s="21"/>
      <c r="V3581" s="260">
        <v>120</v>
      </c>
      <c r="W3581" s="1136" t="e">
        <f t="shared" si="267"/>
        <v>#VALUE!</v>
      </c>
    </row>
    <row r="3582" spans="2:23" s="7" customFormat="1" ht="18" customHeight="1">
      <c r="B3582" s="12" t="s">
        <v>300</v>
      </c>
      <c r="C3582" s="6" t="s">
        <v>4811</v>
      </c>
      <c r="D3582" s="14" t="s">
        <v>4796</v>
      </c>
      <c r="E3582" s="22">
        <v>12701</v>
      </c>
      <c r="F3582" s="24">
        <v>12</v>
      </c>
      <c r="G3582" s="22" t="s">
        <v>4798</v>
      </c>
      <c r="H3582" s="108">
        <v>10</v>
      </c>
      <c r="I3582" s="109">
        <v>1</v>
      </c>
      <c r="J3582" s="8">
        <f>H3582*I3582</f>
        <v>10</v>
      </c>
      <c r="K3582" s="39">
        <v>1.07</v>
      </c>
      <c r="L3582" s="39">
        <f>K3582*J3582</f>
        <v>10.700000000000001</v>
      </c>
      <c r="M3582" s="117" t="s">
        <v>349</v>
      </c>
      <c r="N3582" s="33">
        <v>45349</v>
      </c>
      <c r="O3582" s="32">
        <v>5916</v>
      </c>
      <c r="P3582" s="391">
        <f>ROUNDUP(S3582/V3582/VLOOKUP(B3582,$C$2:$F$6,3,FALSE),2)</f>
        <v>0.69000000000000006</v>
      </c>
      <c r="Q3582" s="322">
        <v>0.69</v>
      </c>
      <c r="R3582" s="322">
        <f>Q3582*J3582</f>
        <v>6.8999999999999995</v>
      </c>
      <c r="S3582" s="92">
        <v>57.3</v>
      </c>
      <c r="T3582" s="7">
        <f>S3582*J3582</f>
        <v>573</v>
      </c>
      <c r="U3582" s="959"/>
      <c r="V3582" s="260">
        <v>120</v>
      </c>
      <c r="W3582" s="1136">
        <f t="shared" si="267"/>
        <v>0.55373831775700944</v>
      </c>
    </row>
    <row r="3583" spans="2:23" s="7" customFormat="1" ht="18" customHeight="1">
      <c r="B3583" s="12" t="s">
        <v>300</v>
      </c>
      <c r="C3583" s="6" t="s">
        <v>4797</v>
      </c>
      <c r="D3583" s="14" t="s">
        <v>4796</v>
      </c>
      <c r="E3583" s="22">
        <v>12701</v>
      </c>
      <c r="F3583" s="24">
        <v>12</v>
      </c>
      <c r="G3583" s="22" t="s">
        <v>4799</v>
      </c>
      <c r="H3583" s="108">
        <v>10</v>
      </c>
      <c r="I3583" s="109">
        <v>1</v>
      </c>
      <c r="J3583" s="8">
        <f>H3583*I3583</f>
        <v>10</v>
      </c>
      <c r="K3583" s="39">
        <v>1.07</v>
      </c>
      <c r="L3583" s="39">
        <f>K3583*J3583</f>
        <v>10.700000000000001</v>
      </c>
      <c r="M3583" s="117" t="s">
        <v>349</v>
      </c>
      <c r="N3583" s="33">
        <v>45349</v>
      </c>
      <c r="O3583" s="32">
        <v>5916</v>
      </c>
      <c r="P3583" s="391">
        <f>ROUNDUP(S3583/V3583/VLOOKUP(B3583,$C$2:$F$6,3,FALSE),2)</f>
        <v>0.69000000000000006</v>
      </c>
      <c r="Q3583" s="322">
        <v>0.69</v>
      </c>
      <c r="R3583" s="322">
        <f>Q3583*J3583</f>
        <v>6.8999999999999995</v>
      </c>
      <c r="S3583" s="92">
        <v>57.3</v>
      </c>
      <c r="T3583" s="7">
        <f>S3583*J3583</f>
        <v>573</v>
      </c>
      <c r="U3583" s="959"/>
      <c r="V3583" s="260">
        <v>120</v>
      </c>
      <c r="W3583" s="1136">
        <f t="shared" ref="W3583:W3592" si="268">(((K3583*V3583)-S3583)/(K3583*V3583))</f>
        <v>0.55373831775700944</v>
      </c>
    </row>
    <row r="3584" spans="2:23" s="191" customFormat="1" ht="18" customHeight="1">
      <c r="B3584" s="190"/>
      <c r="C3584" s="179" t="s">
        <v>4797</v>
      </c>
      <c r="D3584" s="180" t="s">
        <v>4796</v>
      </c>
      <c r="E3584" s="217"/>
      <c r="F3584" s="182"/>
      <c r="G3584" s="182" t="s">
        <v>250</v>
      </c>
      <c r="H3584" s="184" t="s">
        <v>251</v>
      </c>
      <c r="I3584" s="185"/>
      <c r="J3584" s="183"/>
      <c r="K3584" s="192">
        <v>0</v>
      </c>
      <c r="L3584" s="192">
        <v>0</v>
      </c>
      <c r="M3584" s="187"/>
      <c r="N3584" s="187">
        <v>45349</v>
      </c>
      <c r="O3584" s="186">
        <v>5916</v>
      </c>
      <c r="P3584" s="179"/>
      <c r="Q3584" s="334">
        <v>0</v>
      </c>
      <c r="R3584" s="334">
        <v>0</v>
      </c>
      <c r="S3584" s="197">
        <v>0</v>
      </c>
      <c r="T3584" s="197">
        <v>0</v>
      </c>
      <c r="U3584" s="335"/>
      <c r="V3584" s="260">
        <v>120</v>
      </c>
      <c r="W3584" s="1136" t="e">
        <f t="shared" si="268"/>
        <v>#DIV/0!</v>
      </c>
    </row>
    <row r="3585" spans="1:23" s="7" customFormat="1" ht="18" customHeight="1">
      <c r="B3585" s="12"/>
      <c r="C3585" s="6" t="s">
        <v>4800</v>
      </c>
      <c r="D3585" s="14" t="s">
        <v>4796</v>
      </c>
      <c r="E3585" s="17" t="s">
        <v>1976</v>
      </c>
      <c r="F3585" s="37"/>
      <c r="G3585" s="37"/>
      <c r="H3585" s="108"/>
      <c r="I3585" s="108"/>
      <c r="J3585" s="108"/>
      <c r="K3585" s="110" t="s">
        <v>5</v>
      </c>
      <c r="L3585" s="139"/>
      <c r="M3585" s="33"/>
      <c r="N3585" s="33">
        <v>45350</v>
      </c>
      <c r="O3585" s="32">
        <v>5917</v>
      </c>
      <c r="P3585" s="6"/>
      <c r="Q3585" s="339"/>
      <c r="U3585" s="21"/>
      <c r="V3585" s="260">
        <v>120</v>
      </c>
      <c r="W3585" s="1136" t="e">
        <f t="shared" si="268"/>
        <v>#VALUE!</v>
      </c>
    </row>
    <row r="3586" spans="1:23" s="7" customFormat="1" ht="18" customHeight="1">
      <c r="B3586" s="12" t="s">
        <v>300</v>
      </c>
      <c r="C3586" s="6" t="s">
        <v>4800</v>
      </c>
      <c r="D3586" s="14" t="s">
        <v>4796</v>
      </c>
      <c r="E3586" s="22">
        <v>12701</v>
      </c>
      <c r="F3586" s="24">
        <v>12</v>
      </c>
      <c r="G3586" s="22" t="s">
        <v>4798</v>
      </c>
      <c r="H3586" s="108">
        <v>10</v>
      </c>
      <c r="I3586" s="109">
        <v>1</v>
      </c>
      <c r="J3586" s="8">
        <f>H3586*I3586</f>
        <v>10</v>
      </c>
      <c r="K3586" s="39">
        <v>1.07</v>
      </c>
      <c r="L3586" s="39">
        <f>K3586*J3586</f>
        <v>10.700000000000001</v>
      </c>
      <c r="M3586" s="117" t="s">
        <v>349</v>
      </c>
      <c r="N3586" s="33">
        <v>45350</v>
      </c>
      <c r="O3586" s="32">
        <v>5917</v>
      </c>
      <c r="P3586" s="391">
        <f>ROUNDUP(S3586/V3586/VLOOKUP(B3586,$C$2:$F$6,3,FALSE),2)</f>
        <v>0.69000000000000006</v>
      </c>
      <c r="Q3586" s="322">
        <v>0.69</v>
      </c>
      <c r="R3586" s="322">
        <f>Q3586*J3586</f>
        <v>6.8999999999999995</v>
      </c>
      <c r="S3586" s="92">
        <v>57.3</v>
      </c>
      <c r="T3586" s="7">
        <f>S3586*J3586</f>
        <v>573</v>
      </c>
      <c r="U3586" s="959"/>
      <c r="V3586" s="260">
        <v>120</v>
      </c>
      <c r="W3586" s="1136">
        <f t="shared" si="268"/>
        <v>0.55373831775700944</v>
      </c>
    </row>
    <row r="3587" spans="1:23" s="7" customFormat="1" ht="18" customHeight="1">
      <c r="B3587" s="12"/>
      <c r="C3587" s="6" t="s">
        <v>4800</v>
      </c>
      <c r="D3587" s="14" t="s">
        <v>4796</v>
      </c>
      <c r="E3587" s="22"/>
      <c r="F3587" s="102"/>
      <c r="G3587" s="22" t="s">
        <v>316</v>
      </c>
      <c r="H3587" s="8"/>
      <c r="I3587" s="35"/>
      <c r="J3587" s="38">
        <v>1</v>
      </c>
      <c r="K3587" s="39">
        <v>12</v>
      </c>
      <c r="L3587" s="39">
        <f>K3587*J3587</f>
        <v>12</v>
      </c>
      <c r="M3587" s="91"/>
      <c r="N3587" s="33">
        <v>45350</v>
      </c>
      <c r="O3587" s="32">
        <v>5917</v>
      </c>
      <c r="P3587" s="6" t="s">
        <v>3</v>
      </c>
      <c r="Q3587" s="39">
        <v>12</v>
      </c>
      <c r="R3587" s="322">
        <f>Q3587*J3587</f>
        <v>12</v>
      </c>
      <c r="S3587" s="7">
        <v>0</v>
      </c>
      <c r="T3587" s="7">
        <f>S3587*J3587</f>
        <v>0</v>
      </c>
      <c r="U3587" s="21"/>
      <c r="V3587" s="260">
        <v>120</v>
      </c>
      <c r="W3587" s="1136">
        <f t="shared" si="268"/>
        <v>1</v>
      </c>
    </row>
    <row r="3588" spans="1:23" s="191" customFormat="1" ht="18" customHeight="1">
      <c r="B3588" s="190"/>
      <c r="C3588" s="179" t="s">
        <v>4800</v>
      </c>
      <c r="D3588" s="180" t="s">
        <v>4796</v>
      </c>
      <c r="E3588" s="217"/>
      <c r="F3588" s="182"/>
      <c r="G3588" s="182" t="s">
        <v>250</v>
      </c>
      <c r="H3588" s="184" t="s">
        <v>251</v>
      </c>
      <c r="I3588" s="185"/>
      <c r="J3588" s="183"/>
      <c r="K3588" s="192">
        <v>0</v>
      </c>
      <c r="L3588" s="192">
        <v>0</v>
      </c>
      <c r="M3588" s="187"/>
      <c r="N3588" s="187">
        <v>45350</v>
      </c>
      <c r="O3588" s="186">
        <v>5917</v>
      </c>
      <c r="P3588" s="179"/>
      <c r="Q3588" s="334">
        <v>0</v>
      </c>
      <c r="R3588" s="334">
        <v>0</v>
      </c>
      <c r="S3588" s="197">
        <v>0</v>
      </c>
      <c r="T3588" s="197">
        <v>0</v>
      </c>
      <c r="U3588" s="335"/>
      <c r="V3588" s="260">
        <v>120</v>
      </c>
      <c r="W3588" s="1136" t="e">
        <f t="shared" si="268"/>
        <v>#DIV/0!</v>
      </c>
    </row>
    <row r="3589" spans="1:23" s="7" customFormat="1" ht="15">
      <c r="B3589" s="12"/>
      <c r="C3589" s="6" t="s">
        <v>4801</v>
      </c>
      <c r="D3589" s="14" t="s">
        <v>2416</v>
      </c>
      <c r="E3589" s="19" t="s">
        <v>3261</v>
      </c>
      <c r="F3589" s="24"/>
      <c r="G3589" s="22"/>
      <c r="H3589" s="8"/>
      <c r="I3589" s="35"/>
      <c r="J3589" s="8"/>
      <c r="K3589" s="110" t="s">
        <v>5</v>
      </c>
      <c r="L3589" s="139"/>
      <c r="M3589" s="33"/>
      <c r="N3589" s="33">
        <v>45426</v>
      </c>
      <c r="O3589" s="32">
        <v>5932</v>
      </c>
      <c r="P3589" s="6" t="s">
        <v>8</v>
      </c>
      <c r="Q3589" s="358"/>
      <c r="U3589" s="120"/>
      <c r="V3589" s="260">
        <v>120</v>
      </c>
      <c r="W3589" s="1136" t="e">
        <f t="shared" si="268"/>
        <v>#VALUE!</v>
      </c>
    </row>
    <row r="3590" spans="1:23" s="7" customFormat="1" ht="18" customHeight="1">
      <c r="B3590" s="12" t="s">
        <v>300</v>
      </c>
      <c r="C3590" s="6" t="s">
        <v>4801</v>
      </c>
      <c r="D3590" s="14" t="s">
        <v>2416</v>
      </c>
      <c r="E3590" s="22" t="s">
        <v>3262</v>
      </c>
      <c r="F3590" s="37" t="s">
        <v>359</v>
      </c>
      <c r="G3590" s="396" t="s">
        <v>3263</v>
      </c>
      <c r="H3590" s="8">
        <v>50</v>
      </c>
      <c r="I3590" s="35">
        <v>16</v>
      </c>
      <c r="J3590" s="108">
        <f>H3590*I3590</f>
        <v>800</v>
      </c>
      <c r="K3590" s="958">
        <v>0.23</v>
      </c>
      <c r="L3590" s="39">
        <f>K3590*J3590</f>
        <v>184</v>
      </c>
      <c r="M3590" s="117" t="s">
        <v>349</v>
      </c>
      <c r="N3590" s="33">
        <v>45426</v>
      </c>
      <c r="O3590" s="32">
        <v>5932</v>
      </c>
      <c r="P3590" s="391">
        <f>ROUNDUP(S3590/V3590/VLOOKUP(B3590,$C$2:$F$6,3,FALSE),2)</f>
        <v>0.11</v>
      </c>
      <c r="Q3590" s="322">
        <v>0.11</v>
      </c>
      <c r="R3590" s="322">
        <f>Q3590*J3590</f>
        <v>88</v>
      </c>
      <c r="S3590" s="7">
        <v>8.8000000000000007</v>
      </c>
      <c r="T3590" s="7">
        <f>S3590*J3590</f>
        <v>7040.0000000000009</v>
      </c>
      <c r="U3590" s="39"/>
      <c r="V3590" s="260">
        <v>120</v>
      </c>
      <c r="W3590" s="1136">
        <f t="shared" si="268"/>
        <v>0.6811594202898551</v>
      </c>
    </row>
    <row r="3591" spans="1:23" s="7" customFormat="1" ht="18" customHeight="1">
      <c r="B3591" s="12" t="s">
        <v>300</v>
      </c>
      <c r="C3591" s="6" t="s">
        <v>4801</v>
      </c>
      <c r="D3591" s="14" t="s">
        <v>2416</v>
      </c>
      <c r="E3591" s="22" t="s">
        <v>3262</v>
      </c>
      <c r="F3591" s="37" t="s">
        <v>359</v>
      </c>
      <c r="G3591" s="396" t="s">
        <v>3409</v>
      </c>
      <c r="H3591" s="8">
        <v>50</v>
      </c>
      <c r="I3591" s="35">
        <v>5</v>
      </c>
      <c r="J3591" s="108">
        <f>H3591*I3591</f>
        <v>250</v>
      </c>
      <c r="K3591" s="958">
        <v>0.23</v>
      </c>
      <c r="L3591" s="39">
        <f>K3591*J3591</f>
        <v>57.5</v>
      </c>
      <c r="M3591" s="117" t="s">
        <v>349</v>
      </c>
      <c r="N3591" s="33">
        <v>45426</v>
      </c>
      <c r="O3591" s="32">
        <v>5932</v>
      </c>
      <c r="P3591" s="391">
        <f>ROUNDUP(S3591/V3591/VLOOKUP(B3591,$C$2:$F$6,3,FALSE),2)</f>
        <v>0.11</v>
      </c>
      <c r="Q3591" s="322">
        <v>0.11</v>
      </c>
      <c r="R3591" s="322">
        <f>Q3591*J3591</f>
        <v>27.5</v>
      </c>
      <c r="S3591" s="7">
        <v>8.8000000000000007</v>
      </c>
      <c r="T3591" s="7">
        <f>S3591*J3591</f>
        <v>2200</v>
      </c>
      <c r="U3591" s="39"/>
      <c r="V3591" s="260">
        <v>120</v>
      </c>
      <c r="W3591" s="1136">
        <f t="shared" si="268"/>
        <v>0.6811594202898551</v>
      </c>
    </row>
    <row r="3592" spans="1:23" s="7" customFormat="1" ht="18" customHeight="1">
      <c r="B3592" s="12"/>
      <c r="C3592" s="6" t="s">
        <v>4801</v>
      </c>
      <c r="D3592" s="14" t="s">
        <v>2416</v>
      </c>
      <c r="E3592" s="22"/>
      <c r="F3592" s="102"/>
      <c r="G3592" s="22" t="s">
        <v>316</v>
      </c>
      <c r="H3592" s="8"/>
      <c r="I3592" s="35"/>
      <c r="J3592" s="38">
        <v>1</v>
      </c>
      <c r="K3592" s="39">
        <v>12</v>
      </c>
      <c r="L3592" s="39">
        <f>K3592*J3592</f>
        <v>12</v>
      </c>
      <c r="M3592" s="91"/>
      <c r="N3592" s="33">
        <v>45426</v>
      </c>
      <c r="O3592" s="32">
        <v>5932</v>
      </c>
      <c r="P3592" s="6"/>
      <c r="Q3592" s="322">
        <v>12</v>
      </c>
      <c r="R3592" s="322">
        <f>Q3592*J3592</f>
        <v>12</v>
      </c>
      <c r="S3592" s="7">
        <v>1100</v>
      </c>
      <c r="T3592" s="7">
        <f>S3592*J3592</f>
        <v>1100</v>
      </c>
      <c r="U3592" s="21"/>
      <c r="V3592" s="260">
        <v>120</v>
      </c>
      <c r="W3592" s="1136">
        <f t="shared" si="268"/>
        <v>0.2361111111111111</v>
      </c>
    </row>
    <row r="3593" spans="1:23" s="218" customFormat="1" ht="18" customHeight="1">
      <c r="A3593" s="7"/>
      <c r="B3593" s="189"/>
      <c r="C3593" s="179" t="s">
        <v>4801</v>
      </c>
      <c r="D3593" s="180" t="s">
        <v>2416</v>
      </c>
      <c r="E3593" s="217"/>
      <c r="F3593" s="182"/>
      <c r="G3593" s="182" t="s">
        <v>250</v>
      </c>
      <c r="H3593" s="184" t="s">
        <v>251</v>
      </c>
      <c r="I3593" s="185"/>
      <c r="J3593" s="183"/>
      <c r="K3593" s="192">
        <v>0</v>
      </c>
      <c r="L3593" s="946"/>
      <c r="M3593" s="947"/>
      <c r="N3593" s="187">
        <v>45426</v>
      </c>
      <c r="O3593" s="186">
        <v>5932</v>
      </c>
      <c r="P3593" s="179"/>
      <c r="Q3593" s="725">
        <v>0</v>
      </c>
      <c r="S3593" s="197">
        <v>0</v>
      </c>
      <c r="T3593" s="197">
        <v>0</v>
      </c>
      <c r="U3593" s="335"/>
      <c r="V3593" s="260">
        <v>120</v>
      </c>
    </row>
    <row r="3594" spans="1:23" s="7" customFormat="1" ht="18" customHeight="1">
      <c r="B3594" s="12"/>
      <c r="C3594" s="965" t="s">
        <v>4802</v>
      </c>
      <c r="D3594" s="14" t="s">
        <v>3401</v>
      </c>
      <c r="E3594" s="19" t="s">
        <v>4823</v>
      </c>
      <c r="F3594" s="107"/>
      <c r="G3594" s="22"/>
      <c r="H3594" s="108"/>
      <c r="I3594" s="109"/>
      <c r="J3594" s="108"/>
      <c r="K3594" s="29" t="s">
        <v>5</v>
      </c>
      <c r="L3594" s="39"/>
      <c r="M3594" s="91"/>
      <c r="N3594" s="33">
        <v>45362</v>
      </c>
      <c r="O3594" s="32">
        <v>5948</v>
      </c>
      <c r="P3594" s="14"/>
      <c r="Q3594" s="322"/>
      <c r="U3594" s="14"/>
      <c r="V3594" s="384">
        <v>120</v>
      </c>
    </row>
    <row r="3595" spans="1:23" s="7" customFormat="1" ht="18" customHeight="1">
      <c r="B3595" s="12" t="s">
        <v>302</v>
      </c>
      <c r="C3595" s="965" t="s">
        <v>4802</v>
      </c>
      <c r="D3595" s="14" t="s">
        <v>3401</v>
      </c>
      <c r="E3595" s="22" t="s">
        <v>4629</v>
      </c>
      <c r="F3595" s="107" t="s">
        <v>378</v>
      </c>
      <c r="G3595" s="396" t="s">
        <v>4630</v>
      </c>
      <c r="H3595" s="8">
        <v>50</v>
      </c>
      <c r="I3595" s="35">
        <v>1</v>
      </c>
      <c r="J3595" s="108">
        <f>H3595*I3595</f>
        <v>50</v>
      </c>
      <c r="K3595" s="39">
        <v>9.8699999999999992</v>
      </c>
      <c r="L3595" s="39">
        <f>K3595*J3595</f>
        <v>493.49999999999994</v>
      </c>
      <c r="M3595" s="117" t="s">
        <v>323</v>
      </c>
      <c r="N3595" s="33">
        <v>45362</v>
      </c>
      <c r="O3595" s="32">
        <v>5948</v>
      </c>
      <c r="P3595" s="391">
        <f>ROUNDUP(S3595/V3595/VLOOKUP(B3595,$C$2:$F$6,3,FALSE),2)</f>
        <v>6.7299999999999995</v>
      </c>
      <c r="Q3595" s="322">
        <v>6.73</v>
      </c>
      <c r="R3595" s="322">
        <f>Q3595*J3595</f>
        <v>336.5</v>
      </c>
      <c r="S3595" s="7">
        <v>710</v>
      </c>
      <c r="T3595" s="7">
        <f>S3595*J3595</f>
        <v>35500</v>
      </c>
      <c r="U3595" s="21"/>
      <c r="V3595" s="260">
        <v>120</v>
      </c>
      <c r="W3595" s="1136">
        <f t="shared" ref="W3595:W3609" si="269">(((K3595*V3595)-S3595)/(K3595*V3595))</f>
        <v>0.40054035798716642</v>
      </c>
    </row>
    <row r="3596" spans="1:23" s="7" customFormat="1" ht="18" customHeight="1">
      <c r="B3596" s="12"/>
      <c r="C3596" s="965" t="s">
        <v>4802</v>
      </c>
      <c r="D3596" s="14" t="s">
        <v>3401</v>
      </c>
      <c r="E3596" s="22"/>
      <c r="F3596" s="102"/>
      <c r="G3596" s="22" t="s">
        <v>316</v>
      </c>
      <c r="H3596" s="8"/>
      <c r="I3596" s="35"/>
      <c r="J3596" s="38">
        <v>1</v>
      </c>
      <c r="K3596" s="39">
        <v>20</v>
      </c>
      <c r="L3596" s="39">
        <f>K3596*J3596</f>
        <v>20</v>
      </c>
      <c r="M3596" s="91"/>
      <c r="N3596" s="33">
        <v>45362</v>
      </c>
      <c r="O3596" s="32">
        <v>5948</v>
      </c>
      <c r="P3596" s="6" t="s">
        <v>3</v>
      </c>
      <c r="Q3596" s="39">
        <v>20</v>
      </c>
      <c r="R3596" s="322">
        <f>Q3596*J3596</f>
        <v>20</v>
      </c>
      <c r="S3596" s="7">
        <v>0</v>
      </c>
      <c r="T3596" s="7">
        <f>S3596*J3596</f>
        <v>0</v>
      </c>
      <c r="U3596" s="21"/>
      <c r="V3596" s="260">
        <v>120</v>
      </c>
      <c r="W3596" s="1136">
        <f t="shared" si="269"/>
        <v>1</v>
      </c>
    </row>
    <row r="3597" spans="1:23" s="191" customFormat="1" ht="18" customHeight="1">
      <c r="B3597" s="190"/>
      <c r="C3597" s="966" t="s">
        <v>4802</v>
      </c>
      <c r="D3597" s="180" t="s">
        <v>3401</v>
      </c>
      <c r="E3597" s="217"/>
      <c r="F3597" s="182"/>
      <c r="G3597" s="182" t="s">
        <v>250</v>
      </c>
      <c r="H3597" s="184" t="s">
        <v>374</v>
      </c>
      <c r="I3597" s="185"/>
      <c r="J3597" s="183"/>
      <c r="K3597" s="203">
        <v>90</v>
      </c>
      <c r="L3597" s="203">
        <v>90</v>
      </c>
      <c r="M3597" s="187"/>
      <c r="N3597" s="187">
        <v>45362</v>
      </c>
      <c r="O3597" s="186">
        <v>5948</v>
      </c>
      <c r="P3597" s="179"/>
      <c r="Q3597" s="203">
        <v>90</v>
      </c>
      <c r="R3597" s="203">
        <v>90</v>
      </c>
      <c r="S3597" s="7">
        <v>8680</v>
      </c>
      <c r="T3597" s="7">
        <v>8680</v>
      </c>
      <c r="U3597" s="335"/>
      <c r="V3597" s="260">
        <v>120</v>
      </c>
      <c r="W3597" s="1136">
        <f t="shared" si="269"/>
        <v>0.1962962962962963</v>
      </c>
    </row>
    <row r="3598" spans="1:23" s="7" customFormat="1" ht="18" customHeight="1">
      <c r="B3598" s="12"/>
      <c r="C3598" s="6" t="s">
        <v>4805</v>
      </c>
      <c r="D3598" s="14" t="s">
        <v>3391</v>
      </c>
      <c r="E3598" s="19" t="s">
        <v>10</v>
      </c>
      <c r="F3598" s="107"/>
      <c r="G3598" s="1256"/>
      <c r="H3598" s="108"/>
      <c r="I3598" s="109"/>
      <c r="J3598" s="108"/>
      <c r="K3598" s="29" t="s">
        <v>5</v>
      </c>
      <c r="L3598" s="139"/>
      <c r="M3598" s="33"/>
      <c r="N3598" s="33">
        <v>45356</v>
      </c>
      <c r="O3598" s="32">
        <v>5952</v>
      </c>
      <c r="P3598" s="14"/>
      <c r="Q3598" s="322"/>
      <c r="U3598" s="14"/>
      <c r="V3598" s="260">
        <v>120</v>
      </c>
      <c r="W3598" s="1136" t="e">
        <f t="shared" si="269"/>
        <v>#VALUE!</v>
      </c>
    </row>
    <row r="3599" spans="1:23" s="7" customFormat="1" ht="18" customHeight="1">
      <c r="B3599" s="12" t="s">
        <v>302</v>
      </c>
      <c r="C3599" s="6" t="s">
        <v>4805</v>
      </c>
      <c r="D3599" s="14" t="s">
        <v>3391</v>
      </c>
      <c r="E3599" s="22" t="s">
        <v>190</v>
      </c>
      <c r="F3599" s="107">
        <v>160</v>
      </c>
      <c r="G3599" s="1257" t="s">
        <v>4803</v>
      </c>
      <c r="H3599" s="1255">
        <v>50</v>
      </c>
      <c r="I3599" s="109">
        <v>1</v>
      </c>
      <c r="J3599" s="8">
        <f>I3599*H3599</f>
        <v>50</v>
      </c>
      <c r="K3599" s="39">
        <v>5.28</v>
      </c>
      <c r="L3599" s="39">
        <f>K3599*J3599</f>
        <v>264</v>
      </c>
      <c r="M3599" s="117" t="s">
        <v>322</v>
      </c>
      <c r="N3599" s="33">
        <v>45356</v>
      </c>
      <c r="O3599" s="32">
        <v>5952</v>
      </c>
      <c r="P3599" s="391">
        <f>ROUNDUP(S3599/V3599/VLOOKUP(B3599,$C$2:$F$6,3,FALSE),2)</f>
        <v>3.7899999999999996</v>
      </c>
      <c r="Q3599" s="322">
        <v>3.79</v>
      </c>
      <c r="R3599" s="322">
        <f>Q3599*J3599</f>
        <v>189.5</v>
      </c>
      <c r="S3599" s="7">
        <v>400</v>
      </c>
      <c r="T3599" s="7">
        <f>S3599*J3599</f>
        <v>20000</v>
      </c>
      <c r="U3599" s="21"/>
      <c r="V3599" s="260">
        <v>120</v>
      </c>
      <c r="W3599" s="1136">
        <f t="shared" si="269"/>
        <v>0.36868686868686873</v>
      </c>
    </row>
    <row r="3600" spans="1:23" s="7" customFormat="1" ht="18" customHeight="1">
      <c r="B3600" s="12" t="s">
        <v>302</v>
      </c>
      <c r="C3600" s="6" t="s">
        <v>4805</v>
      </c>
      <c r="D3600" s="14" t="s">
        <v>3391</v>
      </c>
      <c r="E3600" s="22" t="s">
        <v>190</v>
      </c>
      <c r="F3600" s="107">
        <v>160</v>
      </c>
      <c r="G3600" s="1257" t="s">
        <v>4760</v>
      </c>
      <c r="H3600" s="1255">
        <v>10</v>
      </c>
      <c r="I3600" s="109">
        <v>1</v>
      </c>
      <c r="J3600" s="8">
        <f>I3600*H3600</f>
        <v>10</v>
      </c>
      <c r="K3600" s="39">
        <v>5.28</v>
      </c>
      <c r="L3600" s="39">
        <f>K3600*J3600</f>
        <v>52.800000000000004</v>
      </c>
      <c r="M3600" s="117" t="s">
        <v>322</v>
      </c>
      <c r="N3600" s="33">
        <v>45356</v>
      </c>
      <c r="O3600" s="32">
        <v>5952</v>
      </c>
      <c r="P3600" s="391">
        <f>ROUNDUP(S3600/V3600/VLOOKUP(B3600,$C$2:$F$6,3,FALSE),2)</f>
        <v>3.7899999999999996</v>
      </c>
      <c r="Q3600" s="322">
        <v>3.79</v>
      </c>
      <c r="R3600" s="322">
        <f>Q3600*J3600</f>
        <v>37.9</v>
      </c>
      <c r="S3600" s="7">
        <v>400</v>
      </c>
      <c r="T3600" s="7">
        <f>S3600*J3600</f>
        <v>4000</v>
      </c>
      <c r="U3600" s="21"/>
      <c r="V3600" s="260">
        <v>120</v>
      </c>
      <c r="W3600" s="1136">
        <f t="shared" si="269"/>
        <v>0.36868686868686873</v>
      </c>
    </row>
    <row r="3601" spans="1:51" customFormat="1" ht="18" customHeight="1">
      <c r="A3601" s="1"/>
      <c r="B3601" s="26"/>
      <c r="C3601" s="6" t="s">
        <v>4805</v>
      </c>
      <c r="D3601" s="14" t="s">
        <v>3391</v>
      </c>
      <c r="E3601" s="19" t="s">
        <v>59</v>
      </c>
      <c r="F3601" s="107"/>
      <c r="G3601" s="22"/>
      <c r="H3601" s="108"/>
      <c r="I3601" s="109"/>
      <c r="J3601" s="108"/>
      <c r="K3601" s="110" t="s">
        <v>5</v>
      </c>
      <c r="L3601" s="33"/>
      <c r="M3601" s="33"/>
      <c r="N3601" s="33">
        <v>45356</v>
      </c>
      <c r="O3601" s="32">
        <v>5952</v>
      </c>
      <c r="P3601" s="14"/>
      <c r="Q3601" s="254"/>
      <c r="R3601" s="1"/>
      <c r="S3601" s="261"/>
      <c r="T3601" s="92"/>
      <c r="U3601" s="264"/>
      <c r="V3601" s="260">
        <v>120</v>
      </c>
      <c r="W3601" s="1136" t="e">
        <f t="shared" si="269"/>
        <v>#VALUE!</v>
      </c>
      <c r="X3601" s="1"/>
      <c r="Y3601" s="1"/>
      <c r="Z3601" s="1"/>
      <c r="AA3601" s="1"/>
      <c r="AB3601" s="1"/>
      <c r="AC3601" s="1"/>
      <c r="AD3601" s="1"/>
      <c r="AE3601" s="1"/>
      <c r="AF3601" s="1"/>
      <c r="AG3601" s="1"/>
      <c r="AH3601" s="1"/>
      <c r="AI3601" s="1"/>
      <c r="AJ3601" s="1"/>
      <c r="AK3601" s="1"/>
      <c r="AL3601" s="1"/>
      <c r="AM3601" s="1"/>
      <c r="AN3601" s="1"/>
      <c r="AO3601" s="1"/>
      <c r="AP3601" s="1"/>
      <c r="AQ3601" s="1"/>
      <c r="AR3601" s="1"/>
      <c r="AS3601" s="1"/>
      <c r="AT3601" s="1"/>
      <c r="AU3601" s="1"/>
      <c r="AV3601" s="1"/>
      <c r="AW3601" s="1"/>
      <c r="AX3601" s="1"/>
      <c r="AY3601" s="1"/>
    </row>
    <row r="3602" spans="1:51" customFormat="1" ht="18" customHeight="1">
      <c r="B3602" s="12" t="s">
        <v>302</v>
      </c>
      <c r="C3602" s="6" t="s">
        <v>4805</v>
      </c>
      <c r="D3602" s="14" t="s">
        <v>3391</v>
      </c>
      <c r="E3602" s="22">
        <v>2440</v>
      </c>
      <c r="F3602" s="107">
        <v>140</v>
      </c>
      <c r="G3602" s="22" t="s">
        <v>4804</v>
      </c>
      <c r="H3602" s="108">
        <v>35</v>
      </c>
      <c r="I3602" s="109">
        <v>1</v>
      </c>
      <c r="J3602" s="8">
        <f>H3602*I3602</f>
        <v>35</v>
      </c>
      <c r="K3602" s="39">
        <v>3.97</v>
      </c>
      <c r="L3602" s="39">
        <f>K3602*J3602</f>
        <v>138.95000000000002</v>
      </c>
      <c r="M3602" s="117" t="s">
        <v>323</v>
      </c>
      <c r="N3602" s="33">
        <v>45356</v>
      </c>
      <c r="O3602" s="32">
        <v>5952</v>
      </c>
      <c r="P3602" s="391">
        <f>ROUNDUP(S3602/V3602/VLOOKUP(B3602,$C$2:$F$6,3,FALSE),2)</f>
        <v>2.8499999999999996</v>
      </c>
      <c r="Q3602" s="254">
        <v>2.85</v>
      </c>
      <c r="R3602" s="323">
        <f>Q3602*J3602</f>
        <v>99.75</v>
      </c>
      <c r="S3602" s="257">
        <v>300</v>
      </c>
      <c r="T3602" s="287">
        <f>S3602*J3602</f>
        <v>10500</v>
      </c>
      <c r="U3602" s="264"/>
      <c r="V3602" s="260">
        <v>120</v>
      </c>
      <c r="W3602" s="1136">
        <f t="shared" si="269"/>
        <v>0.37027707808564236</v>
      </c>
      <c r="X3602" s="1"/>
      <c r="Y3602" s="1"/>
      <c r="Z3602" s="1"/>
      <c r="AA3602" s="1"/>
      <c r="AB3602" s="1"/>
      <c r="AC3602" s="1"/>
      <c r="AD3602" s="1"/>
      <c r="AE3602" s="1"/>
      <c r="AF3602" s="1"/>
      <c r="AG3602" s="1"/>
      <c r="AH3602" s="1"/>
      <c r="AI3602" s="1"/>
      <c r="AJ3602" s="1"/>
      <c r="AK3602" s="1"/>
      <c r="AL3602" s="1"/>
      <c r="AM3602" s="1"/>
      <c r="AN3602" s="1"/>
      <c r="AO3602" s="1"/>
      <c r="AP3602" s="1"/>
      <c r="AQ3602" s="1"/>
      <c r="AR3602" s="1"/>
      <c r="AS3602" s="1"/>
      <c r="AT3602" s="1"/>
      <c r="AU3602" s="1"/>
      <c r="AV3602" s="1"/>
      <c r="AW3602" s="1"/>
      <c r="AX3602" s="1"/>
      <c r="AY3602" s="1"/>
    </row>
    <row r="3603" spans="1:51" s="7" customFormat="1" ht="18" customHeight="1">
      <c r="B3603" s="12"/>
      <c r="C3603" s="6" t="s">
        <v>4805</v>
      </c>
      <c r="D3603" s="14" t="s">
        <v>3391</v>
      </c>
      <c r="E3603" s="22"/>
      <c r="F3603" s="102"/>
      <c r="G3603" s="22" t="s">
        <v>236</v>
      </c>
      <c r="H3603" s="8"/>
      <c r="I3603" s="35"/>
      <c r="J3603" s="38">
        <v>2</v>
      </c>
      <c r="K3603" s="39">
        <v>15</v>
      </c>
      <c r="L3603" s="39">
        <f>K3603*J3603</f>
        <v>30</v>
      </c>
      <c r="M3603" s="91"/>
      <c r="N3603" s="33">
        <v>45356</v>
      </c>
      <c r="O3603" s="32">
        <v>5952</v>
      </c>
      <c r="P3603" s="6" t="s">
        <v>3</v>
      </c>
      <c r="Q3603" s="39">
        <v>15</v>
      </c>
      <c r="R3603" s="322">
        <f>Q3603*J3603</f>
        <v>30</v>
      </c>
      <c r="S3603" s="7">
        <v>1000</v>
      </c>
      <c r="T3603" s="7">
        <f>S3603*J3603</f>
        <v>2000</v>
      </c>
      <c r="U3603" s="21"/>
      <c r="V3603" s="260">
        <v>120</v>
      </c>
      <c r="W3603" s="1136">
        <f t="shared" si="269"/>
        <v>0.44444444444444442</v>
      </c>
    </row>
    <row r="3604" spans="1:51" s="7" customFormat="1" ht="18" customHeight="1">
      <c r="B3604" s="12"/>
      <c r="C3604" s="6" t="s">
        <v>4805</v>
      </c>
      <c r="D3604" s="14" t="s">
        <v>3391</v>
      </c>
      <c r="E3604" s="22"/>
      <c r="F3604" s="102"/>
      <c r="G3604" s="22" t="s">
        <v>316</v>
      </c>
      <c r="H3604" s="8"/>
      <c r="I3604" s="35"/>
      <c r="J3604" s="38">
        <v>1</v>
      </c>
      <c r="K3604" s="39">
        <v>20</v>
      </c>
      <c r="L3604" s="39">
        <f>K3604*J3604</f>
        <v>20</v>
      </c>
      <c r="M3604" s="91"/>
      <c r="N3604" s="33">
        <v>45356</v>
      </c>
      <c r="O3604" s="32">
        <v>5952</v>
      </c>
      <c r="P3604" s="6" t="s">
        <v>3</v>
      </c>
      <c r="Q3604" s="39">
        <v>20</v>
      </c>
      <c r="R3604" s="322">
        <f>Q3604*J3604</f>
        <v>20</v>
      </c>
      <c r="S3604" s="7">
        <v>0</v>
      </c>
      <c r="T3604" s="7">
        <f>S3604*J3604</f>
        <v>0</v>
      </c>
      <c r="U3604" s="21"/>
      <c r="V3604" s="260">
        <v>120</v>
      </c>
      <c r="W3604" s="1136">
        <f t="shared" si="269"/>
        <v>1</v>
      </c>
    </row>
    <row r="3605" spans="1:51" s="7" customFormat="1" ht="18" customHeight="1">
      <c r="B3605" s="12"/>
      <c r="C3605" s="6" t="s">
        <v>4806</v>
      </c>
      <c r="D3605" s="14" t="s">
        <v>3391</v>
      </c>
      <c r="E3605" s="19" t="s">
        <v>10</v>
      </c>
      <c r="F3605" s="107"/>
      <c r="G3605" s="1256"/>
      <c r="H3605" s="108"/>
      <c r="I3605" s="109"/>
      <c r="J3605" s="108"/>
      <c r="K3605" s="29" t="s">
        <v>5</v>
      </c>
      <c r="L3605" s="139"/>
      <c r="M3605" s="33"/>
      <c r="N3605" s="33">
        <v>45356</v>
      </c>
      <c r="O3605" s="32">
        <v>5953</v>
      </c>
      <c r="P3605" s="14"/>
      <c r="Q3605" s="322"/>
      <c r="U3605" s="14"/>
      <c r="V3605" s="260">
        <v>120</v>
      </c>
      <c r="W3605" s="1136" t="e">
        <f t="shared" si="269"/>
        <v>#VALUE!</v>
      </c>
    </row>
    <row r="3606" spans="1:51" s="7" customFormat="1" ht="18" customHeight="1">
      <c r="B3606" s="12" t="s">
        <v>302</v>
      </c>
      <c r="C3606" s="6" t="s">
        <v>4806</v>
      </c>
      <c r="D3606" s="14" t="s">
        <v>3391</v>
      </c>
      <c r="E3606" s="22" t="s">
        <v>190</v>
      </c>
      <c r="F3606" s="107">
        <v>160</v>
      </c>
      <c r="G3606" s="1257" t="s">
        <v>4803</v>
      </c>
      <c r="H3606" s="1255">
        <v>20</v>
      </c>
      <c r="I3606" s="109">
        <v>1</v>
      </c>
      <c r="J3606" s="8">
        <f>I3606*H3606</f>
        <v>20</v>
      </c>
      <c r="K3606" s="39">
        <v>5.28</v>
      </c>
      <c r="L3606" s="39">
        <f>K3606*J3606</f>
        <v>105.60000000000001</v>
      </c>
      <c r="M3606" s="117" t="s">
        <v>322</v>
      </c>
      <c r="N3606" s="33">
        <v>45356</v>
      </c>
      <c r="O3606" s="32">
        <v>5953</v>
      </c>
      <c r="P3606" s="391">
        <f>ROUNDUP(S3606/V3606/VLOOKUP(B3606,$C$2:$F$6,3,FALSE),2)</f>
        <v>3.7899999999999996</v>
      </c>
      <c r="Q3606" s="322">
        <v>3.79</v>
      </c>
      <c r="R3606" s="322">
        <f>Q3606*J3606</f>
        <v>75.8</v>
      </c>
      <c r="S3606" s="7">
        <v>400</v>
      </c>
      <c r="T3606" s="7">
        <f>S3606*J3606</f>
        <v>8000</v>
      </c>
      <c r="U3606" s="21"/>
      <c r="V3606" s="260">
        <v>120</v>
      </c>
      <c r="W3606" s="1136">
        <f t="shared" si="269"/>
        <v>0.36868686868686873</v>
      </c>
    </row>
    <row r="3607" spans="1:51" s="7" customFormat="1" ht="18" customHeight="1">
      <c r="B3607" s="12"/>
      <c r="C3607" s="6" t="s">
        <v>4806</v>
      </c>
      <c r="D3607" s="14" t="s">
        <v>3391</v>
      </c>
      <c r="E3607" s="22"/>
      <c r="F3607" s="102"/>
      <c r="G3607" s="22" t="s">
        <v>236</v>
      </c>
      <c r="H3607" s="8"/>
      <c r="I3607" s="35"/>
      <c r="J3607" s="38">
        <v>1</v>
      </c>
      <c r="K3607" s="39">
        <v>15</v>
      </c>
      <c r="L3607" s="39">
        <f>K3607*J3607</f>
        <v>15</v>
      </c>
      <c r="M3607" s="91"/>
      <c r="N3607" s="33">
        <v>45356</v>
      </c>
      <c r="O3607" s="32">
        <v>5953</v>
      </c>
      <c r="P3607" s="6" t="s">
        <v>3</v>
      </c>
      <c r="Q3607" s="39">
        <v>15</v>
      </c>
      <c r="R3607" s="322">
        <f>Q3607*J3607</f>
        <v>15</v>
      </c>
      <c r="S3607" s="7">
        <v>1000</v>
      </c>
      <c r="T3607" s="7">
        <f>S3607*J3607</f>
        <v>1000</v>
      </c>
      <c r="U3607" s="21"/>
      <c r="V3607" s="260">
        <v>120</v>
      </c>
      <c r="W3607" s="1136">
        <f t="shared" si="269"/>
        <v>0.44444444444444442</v>
      </c>
    </row>
    <row r="3608" spans="1:51" s="7" customFormat="1" ht="18" customHeight="1">
      <c r="B3608" s="12"/>
      <c r="C3608" s="6" t="s">
        <v>4806</v>
      </c>
      <c r="D3608" s="14" t="s">
        <v>3391</v>
      </c>
      <c r="E3608" s="22"/>
      <c r="F3608" s="102"/>
      <c r="G3608" s="22" t="s">
        <v>316</v>
      </c>
      <c r="H3608" s="8"/>
      <c r="I3608" s="35"/>
      <c r="J3608" s="38">
        <v>1</v>
      </c>
      <c r="K3608" s="39">
        <v>20</v>
      </c>
      <c r="L3608" s="39">
        <f>K3608*J3608</f>
        <v>20</v>
      </c>
      <c r="M3608" s="91"/>
      <c r="N3608" s="33">
        <v>45356</v>
      </c>
      <c r="O3608" s="32">
        <v>5953</v>
      </c>
      <c r="P3608" s="6" t="s">
        <v>3</v>
      </c>
      <c r="Q3608" s="39">
        <v>20</v>
      </c>
      <c r="R3608" s="322">
        <f>Q3608*J3608</f>
        <v>20</v>
      </c>
      <c r="S3608" s="7">
        <v>1800</v>
      </c>
      <c r="T3608" s="7">
        <f>S3608*J3608</f>
        <v>1800</v>
      </c>
      <c r="U3608" s="21"/>
      <c r="V3608" s="260">
        <v>120</v>
      </c>
      <c r="W3608" s="1136">
        <f t="shared" si="269"/>
        <v>0.25</v>
      </c>
    </row>
    <row r="3609" spans="1:51" s="191" customFormat="1" ht="15.75">
      <c r="B3609" s="190"/>
      <c r="C3609" s="179" t="s">
        <v>4806</v>
      </c>
      <c r="D3609" s="180" t="s">
        <v>3391</v>
      </c>
      <c r="E3609" s="181"/>
      <c r="F3609" s="182"/>
      <c r="G3609" s="309" t="s">
        <v>324</v>
      </c>
      <c r="H3609" s="184" t="s">
        <v>251</v>
      </c>
      <c r="I3609" s="185"/>
      <c r="J3609" s="183"/>
      <c r="K3609" s="203">
        <v>0</v>
      </c>
      <c r="L3609" s="203">
        <v>0</v>
      </c>
      <c r="M3609" s="187"/>
      <c r="N3609" s="187">
        <v>45356</v>
      </c>
      <c r="O3609" s="186">
        <v>5953</v>
      </c>
      <c r="P3609" s="179"/>
      <c r="Q3609" s="203">
        <v>0</v>
      </c>
      <c r="R3609" s="203">
        <v>0</v>
      </c>
      <c r="S3609" s="7">
        <v>0</v>
      </c>
      <c r="T3609" s="7">
        <v>0</v>
      </c>
      <c r="U3609" s="271"/>
      <c r="V3609" s="260">
        <v>120</v>
      </c>
      <c r="W3609" s="1136" t="e">
        <f t="shared" si="269"/>
        <v>#DIV/0!</v>
      </c>
    </row>
    <row r="3610" spans="1:51" s="7" customFormat="1" ht="18" customHeight="1">
      <c r="B3610" s="12"/>
      <c r="C3610" s="6" t="s">
        <v>4807</v>
      </c>
      <c r="D3610" s="14" t="s">
        <v>4693</v>
      </c>
      <c r="E3610" s="19" t="s">
        <v>4809</v>
      </c>
      <c r="F3610" s="107"/>
      <c r="G3610" s="22"/>
      <c r="H3610" s="108"/>
      <c r="I3610" s="109"/>
      <c r="J3610" s="108"/>
      <c r="K3610" s="29" t="s">
        <v>5</v>
      </c>
      <c r="L3610" s="39"/>
      <c r="M3610" s="91"/>
      <c r="N3610" s="33">
        <v>45358</v>
      </c>
      <c r="O3610" s="32">
        <v>5965</v>
      </c>
      <c r="P3610" s="14"/>
      <c r="Q3610" s="322"/>
      <c r="U3610" s="14"/>
      <c r="V3610" s="384">
        <v>120</v>
      </c>
    </row>
    <row r="3611" spans="1:51" s="7" customFormat="1" ht="18" customHeight="1">
      <c r="B3611" s="12" t="s">
        <v>302</v>
      </c>
      <c r="C3611" s="6" t="s">
        <v>4807</v>
      </c>
      <c r="D3611" s="14" t="s">
        <v>4693</v>
      </c>
      <c r="E3611" s="22" t="s">
        <v>4808</v>
      </c>
      <c r="F3611" s="107">
        <v>140</v>
      </c>
      <c r="G3611" s="396" t="s">
        <v>4483</v>
      </c>
      <c r="H3611" s="108">
        <v>49.6</v>
      </c>
      <c r="I3611" s="109">
        <v>1</v>
      </c>
      <c r="J3611" s="131">
        <f>I3611*H3611</f>
        <v>49.6</v>
      </c>
      <c r="K3611" s="39">
        <v>14.64</v>
      </c>
      <c r="L3611" s="39">
        <f>K3611*J3611</f>
        <v>726.14400000000001</v>
      </c>
      <c r="M3611" s="117" t="s">
        <v>323</v>
      </c>
      <c r="N3611" s="33">
        <v>45358</v>
      </c>
      <c r="O3611" s="32">
        <v>5965</v>
      </c>
      <c r="P3611" s="391">
        <f>ROUNDUP(S3611/V3611/VLOOKUP(B3611,$C$2:$F$6,3,FALSE),2)</f>
        <v>11.65</v>
      </c>
      <c r="Q3611" s="322">
        <v>11.65</v>
      </c>
      <c r="R3611" s="322">
        <f>Q3611*J3611</f>
        <v>577.84</v>
      </c>
      <c r="S3611" s="92">
        <v>1230</v>
      </c>
      <c r="T3611" s="7">
        <f>S3611*J3611</f>
        <v>61008</v>
      </c>
      <c r="U3611" s="21"/>
      <c r="V3611" s="260">
        <v>120</v>
      </c>
      <c r="W3611" s="1136">
        <f>(((K3611*V3611)-S3611)/(K3611*V3611))</f>
        <v>0.29986338797814216</v>
      </c>
    </row>
    <row r="3612" spans="1:51" s="7" customFormat="1" ht="18" customHeight="1">
      <c r="B3612" s="12" t="s">
        <v>302</v>
      </c>
      <c r="C3612" s="6" t="s">
        <v>4807</v>
      </c>
      <c r="D3612" s="14" t="s">
        <v>4693</v>
      </c>
      <c r="E3612" s="22" t="s">
        <v>4808</v>
      </c>
      <c r="F3612" s="107">
        <v>140</v>
      </c>
      <c r="G3612" s="396" t="s">
        <v>178</v>
      </c>
      <c r="H3612" s="108">
        <v>15</v>
      </c>
      <c r="I3612" s="109">
        <v>1</v>
      </c>
      <c r="J3612" s="8">
        <f>I3612*H3612</f>
        <v>15</v>
      </c>
      <c r="K3612" s="39">
        <v>17.079999999999998</v>
      </c>
      <c r="L3612" s="39">
        <f>K3612*J3612</f>
        <v>256.2</v>
      </c>
      <c r="M3612" s="117" t="s">
        <v>323</v>
      </c>
      <c r="N3612" s="33">
        <v>45358</v>
      </c>
      <c r="O3612" s="32">
        <v>5965</v>
      </c>
      <c r="P3612" s="391">
        <f>ROUNDUP(S3612/V3612/VLOOKUP(B3612,$C$2:$F$6,3,FALSE),2)</f>
        <v>11.65</v>
      </c>
      <c r="Q3612" s="322">
        <v>11.65</v>
      </c>
      <c r="R3612" s="322">
        <f>Q3612*J3612</f>
        <v>174.75</v>
      </c>
      <c r="S3612" s="92">
        <v>1230</v>
      </c>
      <c r="T3612" s="7">
        <f>S3612*J3612</f>
        <v>18450</v>
      </c>
      <c r="U3612" s="21"/>
      <c r="V3612" s="260">
        <v>120</v>
      </c>
      <c r="W3612" s="1136">
        <f>(((K3612*V3612)-S3612)/(K3612*V3612))</f>
        <v>0.39988290398126464</v>
      </c>
    </row>
    <row r="3613" spans="1:51" s="7" customFormat="1" ht="18" customHeight="1">
      <c r="B3613" s="12"/>
      <c r="C3613" s="6" t="s">
        <v>4807</v>
      </c>
      <c r="D3613" s="14" t="s">
        <v>4693</v>
      </c>
      <c r="E3613" s="49"/>
      <c r="F3613" s="102"/>
      <c r="G3613" s="22" t="s">
        <v>236</v>
      </c>
      <c r="H3613" s="8"/>
      <c r="I3613" s="35"/>
      <c r="J3613" s="8">
        <v>15</v>
      </c>
      <c r="K3613" s="39">
        <v>4.17</v>
      </c>
      <c r="L3613" s="39">
        <f>K3613*J3613</f>
        <v>62.55</v>
      </c>
      <c r="M3613" s="91"/>
      <c r="N3613" s="33">
        <v>45358</v>
      </c>
      <c r="O3613" s="32">
        <v>5965</v>
      </c>
      <c r="P3613" s="391" t="e">
        <f>ROUNDUP(S3613/V3613/VLOOKUP(B3613,$C$2:$F$6,3,FALSE),2)</f>
        <v>#N/A</v>
      </c>
      <c r="Q3613" s="39">
        <v>4.17</v>
      </c>
      <c r="R3613" s="322">
        <f>Q3613*J3613</f>
        <v>62.55</v>
      </c>
      <c r="S3613" s="7">
        <v>400</v>
      </c>
      <c r="T3613" s="7">
        <f>S3613*J3613</f>
        <v>6000</v>
      </c>
      <c r="U3613" s="21"/>
      <c r="V3613" s="260">
        <v>120</v>
      </c>
      <c r="W3613" s="1136">
        <f>(((K3613*V3613)-S3613)/(K3613*V3613))</f>
        <v>0.20063948840927254</v>
      </c>
    </row>
    <row r="3614" spans="1:51" s="7" customFormat="1" ht="18" customHeight="1">
      <c r="B3614" s="12"/>
      <c r="C3614" s="6" t="s">
        <v>4807</v>
      </c>
      <c r="D3614" s="14" t="s">
        <v>4693</v>
      </c>
      <c r="E3614" s="49"/>
      <c r="F3614" s="102"/>
      <c r="G3614" s="22" t="s">
        <v>316</v>
      </c>
      <c r="H3614" s="8"/>
      <c r="I3614" s="35"/>
      <c r="J3614" s="38">
        <v>1</v>
      </c>
      <c r="K3614" s="39">
        <v>20</v>
      </c>
      <c r="L3614" s="39">
        <f>K3614*J3614</f>
        <v>20</v>
      </c>
      <c r="M3614" s="91"/>
      <c r="N3614" s="33">
        <v>45358</v>
      </c>
      <c r="O3614" s="32">
        <v>5965</v>
      </c>
      <c r="P3614" s="6" t="s">
        <v>3</v>
      </c>
      <c r="Q3614" s="39">
        <v>20</v>
      </c>
      <c r="R3614" s="322">
        <f>Q3614*J3614</f>
        <v>20</v>
      </c>
      <c r="S3614" s="7">
        <v>0</v>
      </c>
      <c r="T3614" s="7">
        <f>S3614*J3614</f>
        <v>0</v>
      </c>
      <c r="U3614" s="21"/>
      <c r="V3614" s="260">
        <v>120</v>
      </c>
      <c r="W3614" s="1136">
        <f>(((K3614*V3614)-S3614)/(K3614*V3614))</f>
        <v>1</v>
      </c>
    </row>
    <row r="3615" spans="1:51" s="191" customFormat="1" ht="18" customHeight="1">
      <c r="B3615" s="190"/>
      <c r="C3615" s="179" t="s">
        <v>4807</v>
      </c>
      <c r="D3615" s="180" t="s">
        <v>4693</v>
      </c>
      <c r="E3615" s="181"/>
      <c r="F3615" s="622"/>
      <c r="G3615" s="182" t="s">
        <v>250</v>
      </c>
      <c r="H3615" s="184" t="s">
        <v>251</v>
      </c>
      <c r="I3615" s="185"/>
      <c r="J3615" s="183"/>
      <c r="K3615" s="192">
        <v>0</v>
      </c>
      <c r="L3615" s="187"/>
      <c r="M3615" s="187"/>
      <c r="N3615" s="187">
        <v>45358</v>
      </c>
      <c r="O3615" s="186">
        <v>5965</v>
      </c>
      <c r="P3615" s="179"/>
      <c r="Q3615" s="255">
        <v>0</v>
      </c>
      <c r="R3615" s="322">
        <v>0</v>
      </c>
      <c r="S3615" s="275">
        <v>0</v>
      </c>
      <c r="T3615" s="198">
        <v>0</v>
      </c>
      <c r="U3615" s="271"/>
      <c r="V3615" s="260">
        <v>120</v>
      </c>
      <c r="W3615" s="1136" t="e">
        <f>(((K3615*V3615)-S3615)/(K3615*V3615))</f>
        <v>#DIV/0!</v>
      </c>
    </row>
    <row r="3616" spans="1:51" s="7" customFormat="1" ht="18" customHeight="1">
      <c r="B3616" s="12"/>
      <c r="C3616" s="6" t="s">
        <v>4810</v>
      </c>
      <c r="D3616" s="14" t="s">
        <v>2416</v>
      </c>
      <c r="E3616" s="19" t="s">
        <v>4599</v>
      </c>
      <c r="F3616" s="107"/>
      <c r="G3616" s="22"/>
      <c r="H3616" s="108"/>
      <c r="I3616" s="109"/>
      <c r="J3616" s="108"/>
      <c r="K3616" s="110" t="s">
        <v>102</v>
      </c>
      <c r="L3616" s="139"/>
      <c r="M3616" s="33"/>
      <c r="N3616" s="33">
        <v>45380</v>
      </c>
      <c r="O3616" s="32">
        <v>6019</v>
      </c>
      <c r="P3616" s="14"/>
      <c r="Q3616" s="322"/>
      <c r="S3616" s="308" t="s">
        <v>4603</v>
      </c>
      <c r="T3616" s="308" t="s">
        <v>4603</v>
      </c>
      <c r="U3616" s="14"/>
      <c r="V3616" s="260">
        <v>120</v>
      </c>
    </row>
    <row r="3617" spans="2:23" customFormat="1" ht="18" customHeight="1">
      <c r="B3617" s="26" t="s">
        <v>306</v>
      </c>
      <c r="C3617" s="6" t="s">
        <v>4810</v>
      </c>
      <c r="D3617" s="14" t="s">
        <v>2416</v>
      </c>
      <c r="E3617" s="19" t="s">
        <v>2418</v>
      </c>
      <c r="F3617" s="37">
        <v>30</v>
      </c>
      <c r="G3617" s="37" t="s">
        <v>2420</v>
      </c>
      <c r="H3617" s="108">
        <v>30</v>
      </c>
      <c r="I3617" s="109"/>
      <c r="J3617" s="38">
        <v>1</v>
      </c>
      <c r="K3617" s="39">
        <v>110</v>
      </c>
      <c r="L3617" s="39">
        <f>K3617*J3617</f>
        <v>110</v>
      </c>
      <c r="M3617" s="117" t="s">
        <v>2651</v>
      </c>
      <c r="N3617" s="33">
        <v>45380</v>
      </c>
      <c r="O3617" s="32">
        <v>6019</v>
      </c>
      <c r="P3617" s="391">
        <f>ROUNDUP(S3617/V3617/VLOOKUP(B3617,$C$2:$F$6,3,FALSE),2)</f>
        <v>94.7</v>
      </c>
      <c r="Q3617" s="322">
        <v>94.7</v>
      </c>
      <c r="R3617" s="322">
        <v>94.7</v>
      </c>
      <c r="S3617" s="7">
        <v>10000</v>
      </c>
      <c r="T3617" s="92">
        <v>10000</v>
      </c>
      <c r="U3617" s="39"/>
      <c r="V3617" s="260">
        <v>120</v>
      </c>
      <c r="W3617" s="1136">
        <f>(((K3617*V3617)-S3617)/(K3617*V3617))</f>
        <v>0.24242424242424243</v>
      </c>
    </row>
    <row r="3618" spans="2:23" customFormat="1" ht="18" customHeight="1">
      <c r="B3618" s="26" t="s">
        <v>306</v>
      </c>
      <c r="C3618" s="6" t="s">
        <v>4810</v>
      </c>
      <c r="D3618" s="14" t="s">
        <v>2416</v>
      </c>
      <c r="E3618" s="19" t="s">
        <v>2418</v>
      </c>
      <c r="F3618" s="37">
        <v>25</v>
      </c>
      <c r="G3618" s="37" t="s">
        <v>2420</v>
      </c>
      <c r="H3618" s="108">
        <v>21</v>
      </c>
      <c r="I3618" s="109"/>
      <c r="J3618" s="38">
        <v>1</v>
      </c>
      <c r="K3618" s="39">
        <v>110</v>
      </c>
      <c r="L3618" s="39">
        <f>K3618*J3618</f>
        <v>110</v>
      </c>
      <c r="M3618" s="117" t="s">
        <v>2651</v>
      </c>
      <c r="N3618" s="33">
        <v>45380</v>
      </c>
      <c r="O3618" s="32">
        <v>6019</v>
      </c>
      <c r="P3618" s="391">
        <f>ROUNDUP(S3618/V3618/VLOOKUP(B3618,$C$2:$F$6,3,FALSE),2)</f>
        <v>94.7</v>
      </c>
      <c r="Q3618" s="322">
        <v>94.7</v>
      </c>
      <c r="R3618" s="322">
        <v>94.7</v>
      </c>
      <c r="S3618" s="7">
        <v>10000</v>
      </c>
      <c r="T3618" s="92">
        <v>10000</v>
      </c>
      <c r="U3618" s="39"/>
      <c r="V3618" s="260">
        <v>120</v>
      </c>
      <c r="W3618" s="1136">
        <f>(((K3618*V3618)-S3618)/(K3618*V3618))</f>
        <v>0.24242424242424243</v>
      </c>
    </row>
    <row r="3619" spans="2:23" s="7" customFormat="1" ht="18" customHeight="1">
      <c r="B3619" s="12"/>
      <c r="C3619" s="6" t="s">
        <v>4810</v>
      </c>
      <c r="D3619" s="14" t="s">
        <v>2416</v>
      </c>
      <c r="E3619" s="22"/>
      <c r="F3619" s="102"/>
      <c r="G3619" s="22" t="s">
        <v>316</v>
      </c>
      <c r="H3619" s="38"/>
      <c r="I3619" s="35"/>
      <c r="J3619" s="38">
        <v>1</v>
      </c>
      <c r="K3619" s="39">
        <v>12</v>
      </c>
      <c r="L3619" s="39">
        <f>K3619*J3619</f>
        <v>12</v>
      </c>
      <c r="M3619" s="91"/>
      <c r="N3619" s="33">
        <v>45380</v>
      </c>
      <c r="O3619" s="32">
        <v>6019</v>
      </c>
      <c r="P3619" s="722"/>
      <c r="Q3619" s="322">
        <v>12</v>
      </c>
      <c r="R3619" s="322">
        <f>Q3619*J3619</f>
        <v>12</v>
      </c>
      <c r="S3619" s="7">
        <v>1000</v>
      </c>
      <c r="T3619" s="7">
        <f>S3619*J3619</f>
        <v>1000</v>
      </c>
      <c r="U3619" s="21"/>
      <c r="V3619" s="260">
        <v>120</v>
      </c>
      <c r="W3619" s="1136">
        <f>(((K3619*V3619)-S3619)/(K3619*V3619))</f>
        <v>0.30555555555555558</v>
      </c>
    </row>
    <row r="3620" spans="2:23" s="191" customFormat="1" ht="15">
      <c r="B3620" s="190"/>
      <c r="C3620" s="179" t="s">
        <v>4810</v>
      </c>
      <c r="D3620" s="180" t="s">
        <v>2416</v>
      </c>
      <c r="E3620" s="217"/>
      <c r="F3620" s="182"/>
      <c r="G3620" s="182" t="s">
        <v>250</v>
      </c>
      <c r="H3620" s="184" t="s">
        <v>251</v>
      </c>
      <c r="I3620" s="185"/>
      <c r="J3620" s="183"/>
      <c r="K3620" s="192">
        <v>0</v>
      </c>
      <c r="L3620" s="188"/>
      <c r="M3620" s="187"/>
      <c r="N3620" s="187">
        <v>45380</v>
      </c>
      <c r="O3620" s="186">
        <v>6019</v>
      </c>
      <c r="P3620" s="179"/>
      <c r="Q3620" s="725"/>
      <c r="S3620" s="197">
        <v>0</v>
      </c>
      <c r="T3620" s="198">
        <v>0</v>
      </c>
      <c r="U3620" s="335"/>
      <c r="V3620" s="260">
        <v>120</v>
      </c>
    </row>
    <row r="3621" spans="2:23" s="7" customFormat="1" ht="18" customHeight="1">
      <c r="B3621" s="12"/>
      <c r="C3621" s="6" t="s">
        <v>4818</v>
      </c>
      <c r="D3621" s="14" t="s">
        <v>4796</v>
      </c>
      <c r="E3621" s="7" t="s">
        <v>4812</v>
      </c>
      <c r="F3621" s="37"/>
      <c r="G3621" s="37"/>
      <c r="H3621" s="108"/>
      <c r="I3621" s="108"/>
      <c r="J3621" s="108"/>
      <c r="K3621" s="110" t="s">
        <v>5</v>
      </c>
      <c r="L3621" s="139"/>
      <c r="M3621" s="33"/>
      <c r="N3621" s="33">
        <v>45359</v>
      </c>
      <c r="O3621" s="32">
        <v>5968</v>
      </c>
      <c r="P3621" s="6"/>
      <c r="Q3621" s="339"/>
      <c r="U3621" s="21"/>
      <c r="V3621" s="260">
        <v>120</v>
      </c>
      <c r="W3621" s="1136" t="e">
        <f>(((K3621*V3621)-S3621)/(K3621*V3621))</f>
        <v>#VALUE!</v>
      </c>
    </row>
    <row r="3622" spans="2:23" s="7" customFormat="1" ht="18" customHeight="1">
      <c r="B3622" s="12" t="s">
        <v>300</v>
      </c>
      <c r="C3622" s="6" t="s">
        <v>4818</v>
      </c>
      <c r="D3622" s="14" t="s">
        <v>4796</v>
      </c>
      <c r="E3622" s="22">
        <v>5604</v>
      </c>
      <c r="F3622" s="24"/>
      <c r="G3622" s="22" t="s">
        <v>4813</v>
      </c>
      <c r="H3622" s="108">
        <v>50</v>
      </c>
      <c r="I3622" s="109">
        <v>1</v>
      </c>
      <c r="J3622" s="8">
        <f>H3622*I3622</f>
        <v>50</v>
      </c>
      <c r="K3622" s="39">
        <v>0.47</v>
      </c>
      <c r="L3622" s="39">
        <f>K3622*J3622</f>
        <v>23.5</v>
      </c>
      <c r="M3622" s="117" t="s">
        <v>349</v>
      </c>
      <c r="N3622" s="33">
        <v>45359</v>
      </c>
      <c r="O3622" s="32">
        <v>5968</v>
      </c>
      <c r="P3622" s="391">
        <f>ROUNDUP(S3622/V3622/VLOOKUP(B3622,$C$2:$F$6,3,FALSE),2)</f>
        <v>0.3</v>
      </c>
      <c r="Q3622" s="322">
        <v>0.3</v>
      </c>
      <c r="R3622" s="322">
        <f>Q3622*J3622</f>
        <v>15</v>
      </c>
      <c r="S3622" s="92">
        <v>25.2</v>
      </c>
      <c r="T3622" s="7">
        <f>S3622*J3622</f>
        <v>1260</v>
      </c>
      <c r="U3622" s="959"/>
      <c r="V3622" s="260">
        <v>120</v>
      </c>
      <c r="W3622" s="1136">
        <f>(((K3622*V3622)-S3622)/(K3622*V3622))</f>
        <v>0.55319148936170215</v>
      </c>
    </row>
    <row r="3623" spans="2:23" s="7" customFormat="1" ht="18" customHeight="1">
      <c r="B3623" s="12"/>
      <c r="C3623" s="6" t="s">
        <v>4818</v>
      </c>
      <c r="D3623" s="14" t="s">
        <v>4796</v>
      </c>
      <c r="E3623" s="22"/>
      <c r="F3623" s="102"/>
      <c r="G3623" s="22" t="s">
        <v>316</v>
      </c>
      <c r="H3623" s="8"/>
      <c r="I3623" s="35"/>
      <c r="J3623" s="38">
        <v>1</v>
      </c>
      <c r="K3623" s="39">
        <v>12</v>
      </c>
      <c r="L3623" s="39">
        <f>K3623*J3623</f>
        <v>12</v>
      </c>
      <c r="M3623" s="91"/>
      <c r="N3623" s="33">
        <v>45359</v>
      </c>
      <c r="O3623" s="32">
        <v>5968</v>
      </c>
      <c r="P3623" s="6" t="s">
        <v>3</v>
      </c>
      <c r="Q3623" s="39">
        <v>12</v>
      </c>
      <c r="R3623" s="322">
        <f>Q3623*J3623</f>
        <v>12</v>
      </c>
      <c r="S3623" s="7">
        <v>1100</v>
      </c>
      <c r="T3623" s="7">
        <f>S3623*J3623</f>
        <v>1100</v>
      </c>
      <c r="U3623" s="21"/>
      <c r="V3623" s="260">
        <v>120</v>
      </c>
      <c r="W3623" s="1136">
        <f>(((K3623*V3623)-S3623)/(K3623*V3623))</f>
        <v>0.2361111111111111</v>
      </c>
    </row>
    <row r="3624" spans="2:23" s="191" customFormat="1" ht="18" customHeight="1">
      <c r="B3624" s="190"/>
      <c r="C3624" s="179" t="s">
        <v>4818</v>
      </c>
      <c r="D3624" s="180" t="s">
        <v>4796</v>
      </c>
      <c r="E3624" s="217"/>
      <c r="F3624" s="182"/>
      <c r="G3624" s="182" t="s">
        <v>250</v>
      </c>
      <c r="H3624" s="184" t="s">
        <v>251</v>
      </c>
      <c r="I3624" s="185"/>
      <c r="J3624" s="183"/>
      <c r="K3624" s="192">
        <v>0</v>
      </c>
      <c r="L3624" s="192">
        <v>0</v>
      </c>
      <c r="M3624" s="187"/>
      <c r="N3624" s="187">
        <v>45359</v>
      </c>
      <c r="O3624" s="186">
        <v>5968</v>
      </c>
      <c r="P3624" s="179"/>
      <c r="Q3624" s="334">
        <v>0</v>
      </c>
      <c r="R3624" s="334">
        <v>0</v>
      </c>
      <c r="S3624" s="197">
        <v>0</v>
      </c>
      <c r="T3624" s="197">
        <v>0</v>
      </c>
      <c r="U3624" s="335"/>
      <c r="V3624" s="260">
        <v>120</v>
      </c>
      <c r="W3624" s="1136" t="e">
        <f>(((K3624*V3624)-S3624)/(K3624*V3624))</f>
        <v>#DIV/0!</v>
      </c>
    </row>
    <row r="3625" spans="2:23" s="7" customFormat="1" ht="18" customHeight="1">
      <c r="B3625" s="12"/>
      <c r="C3625" s="965" t="s">
        <v>4814</v>
      </c>
      <c r="D3625" s="14" t="s">
        <v>3112</v>
      </c>
      <c r="E3625" s="19" t="s">
        <v>4639</v>
      </c>
      <c r="F3625" s="107"/>
      <c r="G3625" s="22"/>
      <c r="H3625" s="108"/>
      <c r="I3625" s="109"/>
      <c r="J3625" s="108"/>
      <c r="K3625" s="29" t="s">
        <v>5</v>
      </c>
      <c r="L3625" s="39"/>
      <c r="M3625" s="91"/>
      <c r="N3625" s="33">
        <v>45364</v>
      </c>
      <c r="O3625" s="32">
        <v>5971</v>
      </c>
      <c r="P3625" s="14"/>
      <c r="Q3625" s="322"/>
      <c r="U3625" s="14"/>
      <c r="V3625" s="1258">
        <v>120</v>
      </c>
    </row>
    <row r="3626" spans="2:23" s="7" customFormat="1" ht="18" customHeight="1">
      <c r="B3626" s="12" t="s">
        <v>302</v>
      </c>
      <c r="C3626" s="965" t="s">
        <v>4814</v>
      </c>
      <c r="D3626" s="14" t="s">
        <v>3112</v>
      </c>
      <c r="E3626" s="22" t="s">
        <v>4633</v>
      </c>
      <c r="F3626" s="107">
        <v>145</v>
      </c>
      <c r="G3626" s="396" t="s">
        <v>4634</v>
      </c>
      <c r="H3626" s="18">
        <v>45.2</v>
      </c>
      <c r="I3626" s="61">
        <v>1</v>
      </c>
      <c r="J3626" s="18">
        <f>H3626*I3626</f>
        <v>45.2</v>
      </c>
      <c r="K3626" s="39">
        <v>9.8699999999999992</v>
      </c>
      <c r="L3626" s="39">
        <f>K3626*J3626</f>
        <v>446.12399999999997</v>
      </c>
      <c r="M3626" s="117" t="s">
        <v>323</v>
      </c>
      <c r="N3626" s="33">
        <v>45364</v>
      </c>
      <c r="O3626" s="32">
        <v>5971</v>
      </c>
      <c r="P3626" s="391">
        <f>ROUNDUP(S3626/V3626/VLOOKUP(B3626,$C$2:$F$6,3,FALSE),2)</f>
        <v>6.7299999999999995</v>
      </c>
      <c r="Q3626" s="322">
        <v>6.73</v>
      </c>
      <c r="R3626" s="322">
        <f>Q3626*J3626</f>
        <v>304.19600000000003</v>
      </c>
      <c r="S3626" s="7">
        <v>710</v>
      </c>
      <c r="T3626" s="7">
        <f>S3626*J3626</f>
        <v>32092.000000000004</v>
      </c>
      <c r="U3626" s="21"/>
      <c r="V3626" s="260">
        <v>120</v>
      </c>
      <c r="W3626" s="1136">
        <f>(((K3626*V3626)-S3626)/(K3626*V3626))</f>
        <v>0.40054035798716642</v>
      </c>
    </row>
    <row r="3627" spans="2:23" s="7" customFormat="1" ht="18" customHeight="1">
      <c r="B3627" s="12"/>
      <c r="C3627" s="965" t="s">
        <v>4814</v>
      </c>
      <c r="D3627" s="14" t="s">
        <v>3112</v>
      </c>
      <c r="E3627" s="19" t="s">
        <v>4815</v>
      </c>
      <c r="F3627" s="24"/>
      <c r="G3627" s="22"/>
      <c r="H3627" s="108"/>
      <c r="I3627" s="109"/>
      <c r="J3627" s="108"/>
      <c r="K3627" s="29" t="s">
        <v>5</v>
      </c>
      <c r="L3627" s="39"/>
      <c r="M3627" s="91"/>
      <c r="N3627" s="33">
        <v>45364</v>
      </c>
      <c r="O3627" s="32">
        <v>5971</v>
      </c>
      <c r="P3627" s="14"/>
      <c r="Q3627" s="322"/>
      <c r="U3627" s="14"/>
      <c r="V3627" s="1258">
        <v>120</v>
      </c>
    </row>
    <row r="3628" spans="2:23" s="7" customFormat="1" ht="18" customHeight="1">
      <c r="B3628" s="12" t="s">
        <v>302</v>
      </c>
      <c r="C3628" s="965" t="s">
        <v>4814</v>
      </c>
      <c r="D3628" s="14" t="s">
        <v>3112</v>
      </c>
      <c r="E3628" s="22" t="s">
        <v>4816</v>
      </c>
      <c r="F3628" s="24" t="s">
        <v>4817</v>
      </c>
      <c r="G3628" s="396" t="s">
        <v>4483</v>
      </c>
      <c r="H3628" s="60">
        <v>20</v>
      </c>
      <c r="I3628" s="61">
        <v>1</v>
      </c>
      <c r="J3628" s="60">
        <f>H3628*I3628</f>
        <v>20</v>
      </c>
      <c r="K3628" s="39">
        <v>8.89</v>
      </c>
      <c r="L3628" s="39">
        <f>K3628*J3628</f>
        <v>177.8</v>
      </c>
      <c r="M3628" s="117" t="s">
        <v>323</v>
      </c>
      <c r="N3628" s="33">
        <v>45364</v>
      </c>
      <c r="O3628" s="32">
        <v>5971</v>
      </c>
      <c r="P3628" s="391">
        <f>ROUNDUP(S3628/V3628/VLOOKUP(B3628,$C$2:$F$6,3,FALSE),2)</f>
        <v>6.0699999999999994</v>
      </c>
      <c r="Q3628" s="322">
        <v>6.07</v>
      </c>
      <c r="R3628" s="322">
        <f>Q3628*J3628</f>
        <v>121.4</v>
      </c>
      <c r="S3628" s="7">
        <v>640</v>
      </c>
      <c r="T3628" s="7">
        <f>S3628*J3628</f>
        <v>12800</v>
      </c>
      <c r="U3628" s="21"/>
      <c r="V3628" s="260">
        <v>120</v>
      </c>
      <c r="W3628" s="1136">
        <f>(((K3628*V3628)-S3628)/(K3628*V3628))</f>
        <v>0.40007499062617186</v>
      </c>
    </row>
    <row r="3629" spans="2:23" s="7" customFormat="1" ht="18" customHeight="1">
      <c r="B3629" s="12" t="s">
        <v>302</v>
      </c>
      <c r="C3629" s="965" t="s">
        <v>4814</v>
      </c>
      <c r="D3629" s="14" t="s">
        <v>3112</v>
      </c>
      <c r="E3629" s="22" t="s">
        <v>4816</v>
      </c>
      <c r="F3629" s="24" t="s">
        <v>4817</v>
      </c>
      <c r="G3629" s="396" t="s">
        <v>92</v>
      </c>
      <c r="H3629" s="60">
        <v>20</v>
      </c>
      <c r="I3629" s="61">
        <v>1</v>
      </c>
      <c r="J3629" s="60">
        <f>H3629*I3629</f>
        <v>20</v>
      </c>
      <c r="K3629" s="39">
        <v>8.89</v>
      </c>
      <c r="L3629" s="39">
        <f>K3629*J3629</f>
        <v>177.8</v>
      </c>
      <c r="M3629" s="117" t="s">
        <v>323</v>
      </c>
      <c r="N3629" s="33">
        <v>45364</v>
      </c>
      <c r="O3629" s="32">
        <v>5971</v>
      </c>
      <c r="P3629" s="391">
        <f>ROUNDUP(S3629/V3629/VLOOKUP(B3629,$C$2:$F$6,3,FALSE),2)</f>
        <v>6.0699999999999994</v>
      </c>
      <c r="Q3629" s="322">
        <v>6.07</v>
      </c>
      <c r="R3629" s="322">
        <f>Q3629*J3629</f>
        <v>121.4</v>
      </c>
      <c r="S3629" s="7">
        <v>640</v>
      </c>
      <c r="T3629" s="7">
        <f>S3629*J3629</f>
        <v>12800</v>
      </c>
      <c r="U3629" s="21"/>
      <c r="V3629" s="260">
        <v>120</v>
      </c>
      <c r="W3629" s="1136">
        <f t="shared" ref="W3629:W3634" si="270">(((K3629*V3629)-S3629)/(K3629*V3629))</f>
        <v>0.40007499062617186</v>
      </c>
    </row>
    <row r="3630" spans="2:23" s="7" customFormat="1" ht="18" customHeight="1">
      <c r="B3630" s="12"/>
      <c r="C3630" s="965" t="s">
        <v>4814</v>
      </c>
      <c r="D3630" s="14" t="s">
        <v>3112</v>
      </c>
      <c r="E3630" s="22"/>
      <c r="F3630" s="102"/>
      <c r="G3630" s="22" t="s">
        <v>4329</v>
      </c>
      <c r="H3630" s="8"/>
      <c r="I3630" s="35"/>
      <c r="J3630" s="8">
        <v>40</v>
      </c>
      <c r="K3630" s="39">
        <v>3.13</v>
      </c>
      <c r="L3630" s="39">
        <f>K3630*J3630</f>
        <v>125.19999999999999</v>
      </c>
      <c r="M3630" s="91"/>
      <c r="N3630" s="33">
        <v>45364</v>
      </c>
      <c r="O3630" s="32">
        <v>5971</v>
      </c>
      <c r="P3630" s="6" t="s">
        <v>3</v>
      </c>
      <c r="Q3630" s="39">
        <v>3.13</v>
      </c>
      <c r="R3630" s="322">
        <f>Q3630*J3630</f>
        <v>125.19999999999999</v>
      </c>
      <c r="S3630" s="7">
        <v>300</v>
      </c>
      <c r="T3630" s="7">
        <f>S3630*J3630</f>
        <v>12000</v>
      </c>
      <c r="U3630" s="21"/>
      <c r="V3630" s="260">
        <v>120</v>
      </c>
      <c r="W3630" s="1136">
        <f t="shared" si="270"/>
        <v>0.20127795527156542</v>
      </c>
    </row>
    <row r="3631" spans="2:23" s="7" customFormat="1" ht="18" customHeight="1">
      <c r="B3631" s="12"/>
      <c r="C3631" s="965" t="s">
        <v>4814</v>
      </c>
      <c r="D3631" s="14" t="s">
        <v>3112</v>
      </c>
      <c r="E3631" s="22"/>
      <c r="F3631" s="102"/>
      <c r="G3631" s="22" t="s">
        <v>316</v>
      </c>
      <c r="H3631" s="8"/>
      <c r="I3631" s="35"/>
      <c r="J3631" s="38">
        <v>1</v>
      </c>
      <c r="K3631" s="39">
        <v>20</v>
      </c>
      <c r="L3631" s="39">
        <f>K3631*J3631</f>
        <v>20</v>
      </c>
      <c r="M3631" s="91"/>
      <c r="N3631" s="33">
        <v>45364</v>
      </c>
      <c r="O3631" s="32">
        <v>5971</v>
      </c>
      <c r="P3631" s="6" t="s">
        <v>3</v>
      </c>
      <c r="Q3631" s="39">
        <v>20</v>
      </c>
      <c r="R3631" s="322">
        <f>Q3631*J3631</f>
        <v>20</v>
      </c>
      <c r="S3631" s="7">
        <v>0</v>
      </c>
      <c r="T3631" s="7">
        <f>S3631*J3631</f>
        <v>0</v>
      </c>
      <c r="U3631" s="21"/>
      <c r="V3631" s="260">
        <v>120</v>
      </c>
      <c r="W3631" s="1136">
        <f t="shared" si="270"/>
        <v>1</v>
      </c>
    </row>
    <row r="3632" spans="2:23" s="191" customFormat="1" ht="18" customHeight="1">
      <c r="B3632" s="190"/>
      <c r="C3632" s="966" t="s">
        <v>4814</v>
      </c>
      <c r="D3632" s="180" t="s">
        <v>3112</v>
      </c>
      <c r="E3632" s="217"/>
      <c r="F3632" s="182"/>
      <c r="G3632" s="182" t="s">
        <v>250</v>
      </c>
      <c r="H3632" s="184" t="s">
        <v>251</v>
      </c>
      <c r="I3632" s="185"/>
      <c r="J3632" s="183"/>
      <c r="K3632" s="192">
        <v>0</v>
      </c>
      <c r="L3632" s="192">
        <v>0</v>
      </c>
      <c r="M3632" s="187"/>
      <c r="N3632" s="187">
        <v>45364</v>
      </c>
      <c r="O3632" s="186">
        <v>5971</v>
      </c>
      <c r="P3632" s="179"/>
      <c r="Q3632" s="334">
        <v>0</v>
      </c>
      <c r="R3632" s="334">
        <v>0</v>
      </c>
      <c r="S3632" s="197">
        <v>0</v>
      </c>
      <c r="T3632" s="197">
        <v>0</v>
      </c>
      <c r="U3632" s="335"/>
      <c r="V3632" s="260">
        <v>120</v>
      </c>
      <c r="W3632" s="1136" t="e">
        <f t="shared" si="270"/>
        <v>#DIV/0!</v>
      </c>
    </row>
    <row r="3633" spans="1:51" s="1265" customFormat="1" ht="18" customHeight="1">
      <c r="A3633" s="383"/>
      <c r="B3633" s="380"/>
      <c r="C3633" s="145" t="s">
        <v>4819</v>
      </c>
      <c r="D3633" s="149" t="s">
        <v>4762</v>
      </c>
      <c r="E3633" s="367" t="s">
        <v>4820</v>
      </c>
      <c r="F3633" s="368"/>
      <c r="G3633" s="122"/>
      <c r="H3633" s="148"/>
      <c r="I3633" s="156"/>
      <c r="J3633" s="148"/>
      <c r="K3633" s="377" t="s">
        <v>5</v>
      </c>
      <c r="L3633" s="370"/>
      <c r="M3633" s="370"/>
      <c r="N3633" s="1259" t="s">
        <v>72</v>
      </c>
      <c r="O3633" s="1259" t="s">
        <v>72</v>
      </c>
      <c r="P3633" s="149"/>
      <c r="Q3633" s="1260"/>
      <c r="R3633" s="383"/>
      <c r="S3633" s="1261"/>
      <c r="T3633" s="286"/>
      <c r="U3633" s="1262"/>
      <c r="V3633" s="1263">
        <v>120</v>
      </c>
      <c r="W3633" s="1264" t="e">
        <f t="shared" si="270"/>
        <v>#VALUE!</v>
      </c>
      <c r="X3633" s="383"/>
      <c r="Y3633" s="383"/>
      <c r="Z3633" s="383"/>
      <c r="AA3633" s="383"/>
      <c r="AB3633" s="383"/>
      <c r="AC3633" s="383"/>
      <c r="AD3633" s="383"/>
      <c r="AE3633" s="383"/>
      <c r="AF3633" s="383"/>
      <c r="AG3633" s="383"/>
      <c r="AH3633" s="383"/>
      <c r="AI3633" s="383"/>
      <c r="AJ3633" s="383"/>
      <c r="AK3633" s="383"/>
      <c r="AL3633" s="383"/>
      <c r="AM3633" s="383"/>
      <c r="AN3633" s="383"/>
      <c r="AO3633" s="383"/>
      <c r="AP3633" s="383"/>
      <c r="AQ3633" s="383"/>
      <c r="AR3633" s="383"/>
      <c r="AS3633" s="383"/>
      <c r="AT3633" s="383"/>
      <c r="AU3633" s="383"/>
      <c r="AV3633" s="383"/>
      <c r="AW3633" s="383"/>
      <c r="AX3633" s="383"/>
      <c r="AY3633" s="383"/>
    </row>
    <row r="3634" spans="1:51" s="1265" customFormat="1" ht="18" customHeight="1">
      <c r="B3634" s="157" t="s">
        <v>302</v>
      </c>
      <c r="C3634" s="145" t="s">
        <v>4819</v>
      </c>
      <c r="D3634" s="149" t="s">
        <v>4762</v>
      </c>
      <c r="E3634" s="758" t="s">
        <v>4822</v>
      </c>
      <c r="F3634" s="368">
        <v>148</v>
      </c>
      <c r="G3634" s="122" t="s">
        <v>4821</v>
      </c>
      <c r="H3634" s="148">
        <v>43</v>
      </c>
      <c r="I3634" s="156">
        <v>1</v>
      </c>
      <c r="J3634" s="151">
        <f>H3634*I3634</f>
        <v>43</v>
      </c>
      <c r="K3634" s="132">
        <v>8.34</v>
      </c>
      <c r="L3634" s="132">
        <f>K3634*J3634</f>
        <v>358.62</v>
      </c>
      <c r="M3634" s="373" t="s">
        <v>323</v>
      </c>
      <c r="N3634" s="1259" t="s">
        <v>72</v>
      </c>
      <c r="O3634" s="1259" t="s">
        <v>72</v>
      </c>
      <c r="P3634" s="1266">
        <f>ROUNDUP(S3634/V3634/VLOOKUP(B3634,$C$2:$F$6,3,FALSE),2)</f>
        <v>5.6899999999999995</v>
      </c>
      <c r="Q3634" s="1260">
        <v>5.69</v>
      </c>
      <c r="R3634" s="1267">
        <f>Q3634*J3634</f>
        <v>244.67000000000002</v>
      </c>
      <c r="S3634" s="259">
        <v>600</v>
      </c>
      <c r="T3634" s="286">
        <f>S3634*J3634</f>
        <v>25800</v>
      </c>
      <c r="U3634" s="1262"/>
      <c r="V3634" s="1263">
        <v>120</v>
      </c>
      <c r="W3634" s="1264">
        <f t="shared" si="270"/>
        <v>0.40047961630695439</v>
      </c>
      <c r="X3634" s="383"/>
      <c r="Y3634" s="383"/>
      <c r="Z3634" s="383"/>
      <c r="AA3634" s="383"/>
      <c r="AB3634" s="383"/>
      <c r="AC3634" s="383"/>
      <c r="AD3634" s="383"/>
      <c r="AE3634" s="383"/>
      <c r="AF3634" s="383"/>
      <c r="AG3634" s="383"/>
      <c r="AH3634" s="383"/>
      <c r="AI3634" s="383"/>
      <c r="AJ3634" s="383"/>
      <c r="AK3634" s="383"/>
      <c r="AL3634" s="383"/>
      <c r="AM3634" s="383"/>
      <c r="AN3634" s="383"/>
      <c r="AO3634" s="383"/>
      <c r="AP3634" s="383"/>
      <c r="AQ3634" s="383"/>
      <c r="AR3634" s="383"/>
      <c r="AS3634" s="383"/>
      <c r="AT3634" s="383"/>
      <c r="AU3634" s="383"/>
      <c r="AV3634" s="383"/>
      <c r="AW3634" s="383"/>
      <c r="AX3634" s="383"/>
      <c r="AY3634" s="383"/>
    </row>
    <row r="3635" spans="1:51" s="147" customFormat="1" ht="18" customHeight="1">
      <c r="B3635" s="157"/>
      <c r="C3635" s="145" t="s">
        <v>4819</v>
      </c>
      <c r="D3635" s="149" t="s">
        <v>4762</v>
      </c>
      <c r="E3635" s="150"/>
      <c r="F3635" s="787"/>
      <c r="G3635" s="122" t="s">
        <v>316</v>
      </c>
      <c r="H3635" s="151"/>
      <c r="I3635" s="152"/>
      <c r="J3635" s="381">
        <v>1</v>
      </c>
      <c r="K3635" s="132">
        <v>20</v>
      </c>
      <c r="L3635" s="132">
        <f>K3635*J3635</f>
        <v>20</v>
      </c>
      <c r="M3635" s="833"/>
      <c r="N3635" s="1259" t="s">
        <v>72</v>
      </c>
      <c r="O3635" s="1259" t="s">
        <v>72</v>
      </c>
      <c r="P3635" s="145" t="s">
        <v>3</v>
      </c>
      <c r="Q3635" s="132">
        <v>20</v>
      </c>
      <c r="R3635" s="379">
        <f>Q3635*J3635</f>
        <v>20</v>
      </c>
      <c r="S3635" s="147">
        <v>1800</v>
      </c>
      <c r="T3635" s="147">
        <f>S3635*J3635</f>
        <v>1800</v>
      </c>
      <c r="U3635" s="761"/>
      <c r="V3635" s="1263">
        <v>120</v>
      </c>
      <c r="W3635" s="1264">
        <f t="shared" ref="W3635:W3641" si="271">(((K3635*V3635)-S3635)/(K3635*V3635))</f>
        <v>0.25</v>
      </c>
    </row>
    <row r="3636" spans="1:51" s="383" customFormat="1" ht="18" customHeight="1">
      <c r="B3636" s="380"/>
      <c r="C3636" s="145" t="s">
        <v>4819</v>
      </c>
      <c r="D3636" s="149" t="s">
        <v>4762</v>
      </c>
      <c r="E3636" s="150"/>
      <c r="F3636" s="789"/>
      <c r="G3636" s="129" t="s">
        <v>250</v>
      </c>
      <c r="H3636" s="381" t="s">
        <v>251</v>
      </c>
      <c r="I3636" s="156"/>
      <c r="J3636" s="148"/>
      <c r="K3636" s="132">
        <v>0</v>
      </c>
      <c r="L3636" s="135"/>
      <c r="M3636" s="370"/>
      <c r="N3636" s="1259" t="s">
        <v>72</v>
      </c>
      <c r="O3636" s="1259" t="s">
        <v>72</v>
      </c>
      <c r="P3636" s="145"/>
      <c r="Q3636" s="756">
        <v>0</v>
      </c>
      <c r="S3636" s="286">
        <v>0</v>
      </c>
      <c r="T3636" s="382">
        <v>0</v>
      </c>
      <c r="U3636" s="372"/>
      <c r="V3636" s="1263">
        <v>120</v>
      </c>
      <c r="W3636" s="1264" t="e">
        <f t="shared" si="271"/>
        <v>#DIV/0!</v>
      </c>
    </row>
    <row r="3637" spans="1:51" customFormat="1" ht="18" customHeight="1">
      <c r="A3637" s="1"/>
      <c r="B3637" s="26"/>
      <c r="C3637" s="6" t="s">
        <v>4824</v>
      </c>
      <c r="D3637" s="14" t="s">
        <v>3391</v>
      </c>
      <c r="E3637" s="19" t="s">
        <v>59</v>
      </c>
      <c r="F3637" s="107"/>
      <c r="G3637" s="22"/>
      <c r="H3637" s="108"/>
      <c r="I3637" s="109"/>
      <c r="J3637" s="108"/>
      <c r="K3637" s="110" t="s">
        <v>5</v>
      </c>
      <c r="L3637" s="33"/>
      <c r="M3637" s="33"/>
      <c r="N3637" s="33">
        <v>45369</v>
      </c>
      <c r="O3637" s="32">
        <v>5983</v>
      </c>
      <c r="P3637" s="14"/>
      <c r="Q3637" s="254"/>
      <c r="R3637" s="1"/>
      <c r="S3637" s="261"/>
      <c r="T3637" s="92"/>
      <c r="U3637" s="264"/>
      <c r="V3637" s="260">
        <v>120</v>
      </c>
      <c r="W3637" s="1136" t="e">
        <f t="shared" si="271"/>
        <v>#VALUE!</v>
      </c>
      <c r="X3637" s="1"/>
      <c r="Y3637" s="1"/>
      <c r="Z3637" s="1"/>
      <c r="AA3637" s="1"/>
      <c r="AB3637" s="1"/>
      <c r="AC3637" s="1"/>
      <c r="AD3637" s="1"/>
      <c r="AE3637" s="1"/>
      <c r="AF3637" s="1"/>
      <c r="AG3637" s="1"/>
      <c r="AH3637" s="1"/>
      <c r="AI3637" s="1"/>
      <c r="AJ3637" s="1"/>
      <c r="AK3637" s="1"/>
      <c r="AL3637" s="1"/>
      <c r="AM3637" s="1"/>
      <c r="AN3637" s="1"/>
      <c r="AO3637" s="1"/>
      <c r="AP3637" s="1"/>
      <c r="AQ3637" s="1"/>
      <c r="AR3637" s="1"/>
      <c r="AS3637" s="1"/>
      <c r="AT3637" s="1"/>
      <c r="AU3637" s="1"/>
      <c r="AV3637" s="1"/>
      <c r="AW3637" s="1"/>
      <c r="AX3637" s="1"/>
      <c r="AY3637" s="1"/>
    </row>
    <row r="3638" spans="1:51" customFormat="1" ht="18" customHeight="1">
      <c r="B3638" s="12" t="s">
        <v>302</v>
      </c>
      <c r="C3638" s="6" t="s">
        <v>4824</v>
      </c>
      <c r="D3638" s="14" t="s">
        <v>3391</v>
      </c>
      <c r="E3638" s="22">
        <v>2440</v>
      </c>
      <c r="F3638" s="107">
        <v>140</v>
      </c>
      <c r="G3638" s="22" t="s">
        <v>4804</v>
      </c>
      <c r="H3638" s="108"/>
      <c r="I3638" s="109"/>
      <c r="J3638" s="8">
        <v>5</v>
      </c>
      <c r="K3638" s="39">
        <v>3.97</v>
      </c>
      <c r="L3638" s="39">
        <f>K3638*J3638</f>
        <v>19.850000000000001</v>
      </c>
      <c r="M3638" s="117" t="s">
        <v>323</v>
      </c>
      <c r="N3638" s="33">
        <v>45369</v>
      </c>
      <c r="O3638" s="32">
        <v>5983</v>
      </c>
      <c r="P3638" s="391">
        <f>ROUNDUP(S3638/V3638/VLOOKUP(B3638,$C$2:$F$6,3,FALSE),2)</f>
        <v>2.8499999999999996</v>
      </c>
      <c r="Q3638" s="254">
        <v>2.85</v>
      </c>
      <c r="R3638" s="323">
        <f>Q3638*J3638</f>
        <v>14.25</v>
      </c>
      <c r="S3638" s="257">
        <v>300</v>
      </c>
      <c r="T3638" s="287">
        <f>S3638*J3638</f>
        <v>1500</v>
      </c>
      <c r="U3638" s="264"/>
      <c r="V3638" s="260">
        <v>120</v>
      </c>
      <c r="W3638" s="1136">
        <f t="shared" si="271"/>
        <v>0.37027707808564236</v>
      </c>
      <c r="X3638" s="1"/>
      <c r="Y3638" s="1"/>
      <c r="Z3638" s="1"/>
      <c r="AA3638" s="1"/>
      <c r="AB3638" s="1"/>
      <c r="AC3638" s="1"/>
      <c r="AD3638" s="1"/>
      <c r="AE3638" s="1"/>
      <c r="AF3638" s="1"/>
      <c r="AG3638" s="1"/>
      <c r="AH3638" s="1"/>
      <c r="AI3638" s="1"/>
      <c r="AJ3638" s="1"/>
      <c r="AK3638" s="1"/>
      <c r="AL3638" s="1"/>
      <c r="AM3638" s="1"/>
      <c r="AN3638" s="1"/>
      <c r="AO3638" s="1"/>
      <c r="AP3638" s="1"/>
      <c r="AQ3638" s="1"/>
      <c r="AR3638" s="1"/>
      <c r="AS3638" s="1"/>
      <c r="AT3638" s="1"/>
      <c r="AU3638" s="1"/>
      <c r="AV3638" s="1"/>
      <c r="AW3638" s="1"/>
      <c r="AX3638" s="1"/>
      <c r="AY3638" s="1"/>
    </row>
    <row r="3639" spans="1:51" s="7" customFormat="1" ht="18" customHeight="1">
      <c r="B3639" s="12"/>
      <c r="C3639" s="6" t="s">
        <v>4824</v>
      </c>
      <c r="D3639" s="14" t="s">
        <v>3391</v>
      </c>
      <c r="E3639" s="22"/>
      <c r="F3639" s="102"/>
      <c r="G3639" s="22" t="s">
        <v>236</v>
      </c>
      <c r="H3639" s="8"/>
      <c r="I3639" s="35"/>
      <c r="J3639" s="38">
        <v>1</v>
      </c>
      <c r="K3639" s="39">
        <v>15</v>
      </c>
      <c r="L3639" s="39">
        <f>K3639*J3639</f>
        <v>15</v>
      </c>
      <c r="M3639" s="91"/>
      <c r="N3639" s="33">
        <v>45369</v>
      </c>
      <c r="O3639" s="32">
        <v>5983</v>
      </c>
      <c r="P3639" s="6" t="s">
        <v>3</v>
      </c>
      <c r="Q3639" s="39">
        <v>15</v>
      </c>
      <c r="R3639" s="322">
        <f>Q3639*J3639</f>
        <v>15</v>
      </c>
      <c r="S3639" s="7">
        <v>1000</v>
      </c>
      <c r="T3639" s="7">
        <f>S3639*J3639</f>
        <v>1000</v>
      </c>
      <c r="U3639" s="21"/>
      <c r="V3639" s="260">
        <v>120</v>
      </c>
      <c r="W3639" s="1136">
        <f t="shared" si="271"/>
        <v>0.44444444444444442</v>
      </c>
    </row>
    <row r="3640" spans="1:51" s="7" customFormat="1" ht="18" customHeight="1">
      <c r="B3640" s="12"/>
      <c r="C3640" s="6" t="s">
        <v>4824</v>
      </c>
      <c r="D3640" s="14" t="s">
        <v>3391</v>
      </c>
      <c r="E3640" s="22"/>
      <c r="F3640" s="102"/>
      <c r="G3640" s="22" t="s">
        <v>316</v>
      </c>
      <c r="H3640" s="8"/>
      <c r="I3640" s="35"/>
      <c r="J3640" s="38">
        <v>1</v>
      </c>
      <c r="K3640" s="39">
        <v>20</v>
      </c>
      <c r="L3640" s="39">
        <f>K3640*J3640</f>
        <v>20</v>
      </c>
      <c r="M3640" s="91"/>
      <c r="N3640" s="33">
        <v>45369</v>
      </c>
      <c r="O3640" s="32">
        <v>5983</v>
      </c>
      <c r="P3640" s="6" t="s">
        <v>3</v>
      </c>
      <c r="Q3640" s="39">
        <v>20</v>
      </c>
      <c r="R3640" s="322">
        <f>Q3640*J3640</f>
        <v>20</v>
      </c>
      <c r="S3640" s="7">
        <v>1000</v>
      </c>
      <c r="T3640" s="7">
        <f>S3640*J3640</f>
        <v>1000</v>
      </c>
      <c r="U3640" s="21"/>
      <c r="V3640" s="260">
        <v>120</v>
      </c>
      <c r="W3640" s="1136">
        <f t="shared" si="271"/>
        <v>0.58333333333333337</v>
      </c>
    </row>
    <row r="3641" spans="1:51" s="191" customFormat="1" ht="15.75">
      <c r="B3641" s="190"/>
      <c r="C3641" s="179" t="s">
        <v>4824</v>
      </c>
      <c r="D3641" s="180" t="s">
        <v>3391</v>
      </c>
      <c r="E3641" s="181"/>
      <c r="F3641" s="182"/>
      <c r="G3641" s="309" t="s">
        <v>324</v>
      </c>
      <c r="H3641" s="184" t="s">
        <v>251</v>
      </c>
      <c r="I3641" s="185"/>
      <c r="J3641" s="183"/>
      <c r="K3641" s="203">
        <v>0</v>
      </c>
      <c r="L3641" s="203">
        <v>0</v>
      </c>
      <c r="M3641" s="187"/>
      <c r="N3641" s="187">
        <v>45369</v>
      </c>
      <c r="O3641" s="186">
        <v>5983</v>
      </c>
      <c r="P3641" s="179"/>
      <c r="Q3641" s="203">
        <v>0</v>
      </c>
      <c r="R3641" s="203">
        <v>0</v>
      </c>
      <c r="S3641" s="7">
        <v>0</v>
      </c>
      <c r="T3641" s="7">
        <v>0</v>
      </c>
      <c r="U3641" s="271"/>
      <c r="V3641" s="260">
        <v>120</v>
      </c>
      <c r="W3641" s="1136" t="e">
        <f t="shared" si="271"/>
        <v>#DIV/0!</v>
      </c>
    </row>
    <row r="3642" spans="1:51" s="7" customFormat="1" ht="15">
      <c r="B3642" s="12"/>
      <c r="C3642" s="6" t="s">
        <v>4825</v>
      </c>
      <c r="D3642" s="14" t="s">
        <v>2034</v>
      </c>
      <c r="E3642" s="19" t="s">
        <v>4420</v>
      </c>
      <c r="F3642" s="24"/>
      <c r="G3642" s="22"/>
      <c r="H3642" s="60"/>
      <c r="I3642" s="61"/>
      <c r="J3642" s="60"/>
      <c r="K3642" s="16" t="s">
        <v>101</v>
      </c>
      <c r="L3642" s="33"/>
      <c r="M3642" s="33"/>
      <c r="N3642" s="33">
        <v>45370</v>
      </c>
      <c r="O3642" s="32">
        <v>5987</v>
      </c>
      <c r="P3642" s="6"/>
      <c r="Q3642" s="252"/>
      <c r="S3642" s="257"/>
      <c r="T3642" s="92"/>
      <c r="U3642" s="265"/>
      <c r="V3642" s="260"/>
    </row>
    <row r="3643" spans="1:51" s="7" customFormat="1" ht="16.899999999999999" customHeight="1">
      <c r="B3643" s="12" t="s">
        <v>302</v>
      </c>
      <c r="C3643" s="6" t="s">
        <v>4825</v>
      </c>
      <c r="D3643" s="14" t="s">
        <v>2034</v>
      </c>
      <c r="E3643" s="22" t="s">
        <v>4411</v>
      </c>
      <c r="F3643" s="37" t="s">
        <v>4421</v>
      </c>
      <c r="G3643" s="37" t="s">
        <v>4409</v>
      </c>
      <c r="H3643" s="60">
        <v>55</v>
      </c>
      <c r="I3643" s="61">
        <v>3</v>
      </c>
      <c r="J3643" s="8">
        <f>H3643*I3643</f>
        <v>165</v>
      </c>
      <c r="K3643" s="39">
        <v>3.34</v>
      </c>
      <c r="L3643" s="39">
        <f>K3643*J3643</f>
        <v>551.1</v>
      </c>
      <c r="M3643" s="117" t="s">
        <v>349</v>
      </c>
      <c r="N3643" s="33">
        <v>45370</v>
      </c>
      <c r="O3643" s="32">
        <v>5987</v>
      </c>
      <c r="P3643" s="391">
        <f>ROUNDUP(S3643/V3643/VLOOKUP(B3643,$C$2:$F$6,3,FALSE),2)</f>
        <v>2.2799999999999998</v>
      </c>
      <c r="Q3643" s="358">
        <v>2.2799999999999998</v>
      </c>
      <c r="R3643" s="322">
        <f>Q3643*J3643</f>
        <v>376.2</v>
      </c>
      <c r="S3643" s="7">
        <v>240</v>
      </c>
      <c r="T3643" s="7">
        <f>S3643*J3643</f>
        <v>39600</v>
      </c>
      <c r="U3643" s="267"/>
      <c r="V3643" s="260">
        <v>120</v>
      </c>
      <c r="W3643" s="1136">
        <f>(((K3643*V3643)-S3643)/(K3643*V3643))</f>
        <v>0.4011976047904191</v>
      </c>
    </row>
    <row r="3644" spans="1:51" s="7" customFormat="1" ht="18" customHeight="1">
      <c r="B3644" s="12"/>
      <c r="C3644" s="6" t="s">
        <v>4825</v>
      </c>
      <c r="D3644" s="14" t="s">
        <v>2034</v>
      </c>
      <c r="E3644" s="19" t="s">
        <v>10</v>
      </c>
      <c r="F3644" s="107"/>
      <c r="G3644" s="22"/>
      <c r="H3644" s="108"/>
      <c r="I3644" s="109"/>
      <c r="J3644" s="108"/>
      <c r="K3644" s="29" t="s">
        <v>5</v>
      </c>
      <c r="L3644" s="39"/>
      <c r="M3644" s="91"/>
      <c r="N3644" s="33">
        <v>45370</v>
      </c>
      <c r="O3644" s="32">
        <v>5987</v>
      </c>
      <c r="P3644" s="14"/>
      <c r="Q3644" s="322"/>
      <c r="U3644" s="14"/>
      <c r="V3644" s="260">
        <v>120</v>
      </c>
    </row>
    <row r="3645" spans="1:51" s="7" customFormat="1" ht="18" customHeight="1">
      <c r="B3645" s="12" t="s">
        <v>302</v>
      </c>
      <c r="C3645" s="6" t="s">
        <v>4825</v>
      </c>
      <c r="D3645" s="14" t="s">
        <v>2034</v>
      </c>
      <c r="E3645" s="22" t="s">
        <v>190</v>
      </c>
      <c r="F3645" s="107">
        <v>160</v>
      </c>
      <c r="G3645" s="396" t="s">
        <v>4498</v>
      </c>
      <c r="H3645" s="108">
        <v>50</v>
      </c>
      <c r="I3645" s="109">
        <v>2</v>
      </c>
      <c r="J3645" s="8">
        <f>I3645*H3645</f>
        <v>100</v>
      </c>
      <c r="K3645" s="39">
        <v>5.56</v>
      </c>
      <c r="L3645" s="39">
        <f>K3645*J3645</f>
        <v>556</v>
      </c>
      <c r="M3645" s="117" t="s">
        <v>322</v>
      </c>
      <c r="N3645" s="33">
        <v>45370</v>
      </c>
      <c r="O3645" s="32">
        <v>5987</v>
      </c>
      <c r="P3645" s="391">
        <f>ROUNDUP(S3645/V3645/VLOOKUP(B3645,$C$2:$F$6,3,FALSE),2)</f>
        <v>3.7899999999999996</v>
      </c>
      <c r="Q3645" s="322">
        <v>3.79</v>
      </c>
      <c r="R3645" s="322">
        <f>Q3645*J3645</f>
        <v>379</v>
      </c>
      <c r="S3645" s="7">
        <v>400</v>
      </c>
      <c r="T3645" s="7">
        <f>S3645*J3645</f>
        <v>40000</v>
      </c>
      <c r="U3645" s="21"/>
      <c r="V3645" s="260">
        <v>120</v>
      </c>
      <c r="W3645" s="1136">
        <f t="shared" ref="W3645:W3678" si="272">(((K3645*V3645)-S3645)/(K3645*V3645))</f>
        <v>0.40047961630695439</v>
      </c>
    </row>
    <row r="3646" spans="1:51" s="7" customFormat="1" ht="18" customHeight="1">
      <c r="B3646" s="12"/>
      <c r="C3646" s="6" t="s">
        <v>4825</v>
      </c>
      <c r="D3646" s="14" t="s">
        <v>2034</v>
      </c>
      <c r="E3646" s="22"/>
      <c r="F3646" s="102"/>
      <c r="G3646" s="22" t="s">
        <v>316</v>
      </c>
      <c r="H3646" s="8"/>
      <c r="I3646" s="35"/>
      <c r="J3646" s="38">
        <v>1</v>
      </c>
      <c r="K3646" s="39">
        <v>20</v>
      </c>
      <c r="L3646" s="39">
        <f>K3646*J3646</f>
        <v>20</v>
      </c>
      <c r="M3646" s="91"/>
      <c r="N3646" s="33">
        <v>45370</v>
      </c>
      <c r="O3646" s="32">
        <v>5987</v>
      </c>
      <c r="P3646" s="6"/>
      <c r="Q3646" s="322">
        <v>20</v>
      </c>
      <c r="R3646" s="322">
        <v>20</v>
      </c>
      <c r="S3646" s="7">
        <v>3600</v>
      </c>
      <c r="T3646" s="7">
        <v>3600</v>
      </c>
      <c r="U3646" s="21"/>
      <c r="V3646" s="260">
        <v>120</v>
      </c>
      <c r="W3646" s="1136">
        <f t="shared" si="272"/>
        <v>-0.5</v>
      </c>
    </row>
    <row r="3647" spans="1:51" s="191" customFormat="1" ht="18" customHeight="1">
      <c r="B3647" s="190"/>
      <c r="C3647" s="179" t="s">
        <v>4825</v>
      </c>
      <c r="D3647" s="180" t="s">
        <v>2034</v>
      </c>
      <c r="E3647" s="181"/>
      <c r="F3647" s="182"/>
      <c r="G3647" s="182" t="s">
        <v>250</v>
      </c>
      <c r="H3647" s="184" t="s">
        <v>252</v>
      </c>
      <c r="I3647" s="185"/>
      <c r="J3647" s="183"/>
      <c r="K3647" s="203">
        <v>268</v>
      </c>
      <c r="L3647" s="203">
        <v>268</v>
      </c>
      <c r="M3647" s="947"/>
      <c r="N3647" s="187">
        <v>45370</v>
      </c>
      <c r="O3647" s="186">
        <v>5987</v>
      </c>
      <c r="P3647" s="179"/>
      <c r="Q3647" s="203">
        <v>268</v>
      </c>
      <c r="R3647" s="203">
        <v>268</v>
      </c>
      <c r="S3647" s="7">
        <v>30324</v>
      </c>
      <c r="T3647" s="7">
        <v>30324</v>
      </c>
      <c r="U3647" s="335"/>
      <c r="V3647" s="260">
        <v>120</v>
      </c>
      <c r="W3647" s="1136">
        <f t="shared" si="272"/>
        <v>5.708955223880597E-2</v>
      </c>
      <c r="X3647" s="218"/>
    </row>
    <row r="3648" spans="1:51" customFormat="1" ht="18" customHeight="1">
      <c r="A3648" s="1"/>
      <c r="B3648" s="26"/>
      <c r="C3648" s="6" t="s">
        <v>4826</v>
      </c>
      <c r="D3648" s="14" t="s">
        <v>2912</v>
      </c>
      <c r="E3648" s="19" t="s">
        <v>4763</v>
      </c>
      <c r="F3648" s="107"/>
      <c r="G3648" s="22"/>
      <c r="H3648" s="108"/>
      <c r="I3648" s="109"/>
      <c r="J3648" s="108"/>
      <c r="K3648" s="110" t="s">
        <v>5</v>
      </c>
      <c r="L3648" s="33"/>
      <c r="M3648" s="33"/>
      <c r="N3648" s="33">
        <v>45373</v>
      </c>
      <c r="O3648" s="32">
        <v>5998</v>
      </c>
      <c r="P3648" s="14"/>
      <c r="Q3648" s="254"/>
      <c r="R3648" s="1"/>
      <c r="S3648" s="261"/>
      <c r="T3648" s="92"/>
      <c r="U3648" s="264"/>
      <c r="V3648" s="260">
        <v>120</v>
      </c>
      <c r="W3648" s="1136" t="e">
        <f t="shared" si="272"/>
        <v>#VALUE!</v>
      </c>
      <c r="X3648" s="1"/>
      <c r="Y3648" s="1"/>
      <c r="Z3648" s="1"/>
      <c r="AA3648" s="1"/>
      <c r="AB3648" s="1"/>
      <c r="AC3648" s="1"/>
      <c r="AD3648" s="1"/>
      <c r="AE3648" s="1"/>
      <c r="AF3648" s="1"/>
      <c r="AG3648" s="1"/>
      <c r="AH3648" s="1"/>
      <c r="AI3648" s="1"/>
      <c r="AJ3648" s="1"/>
      <c r="AK3648" s="1"/>
      <c r="AL3648" s="1"/>
      <c r="AM3648" s="1"/>
      <c r="AN3648" s="1"/>
      <c r="AO3648" s="1"/>
      <c r="AP3648" s="1"/>
      <c r="AQ3648" s="1"/>
      <c r="AR3648" s="1"/>
      <c r="AS3648" s="1"/>
      <c r="AT3648" s="1"/>
      <c r="AU3648" s="1"/>
      <c r="AV3648" s="1"/>
      <c r="AW3648" s="1"/>
      <c r="AX3648" s="1"/>
      <c r="AY3648" s="1"/>
    </row>
    <row r="3649" spans="1:51" customFormat="1" ht="18" customHeight="1">
      <c r="B3649" s="12" t="s">
        <v>302</v>
      </c>
      <c r="C3649" s="6" t="s">
        <v>4826</v>
      </c>
      <c r="D3649" s="14" t="s">
        <v>2912</v>
      </c>
      <c r="E3649" s="22" t="s">
        <v>4829</v>
      </c>
      <c r="F3649" s="107">
        <v>155</v>
      </c>
      <c r="G3649" s="22" t="s">
        <v>77</v>
      </c>
      <c r="H3649" s="108">
        <v>10</v>
      </c>
      <c r="I3649" s="109">
        <v>1</v>
      </c>
      <c r="J3649" s="8">
        <f>H3649*I3649</f>
        <v>10</v>
      </c>
      <c r="K3649" s="39">
        <v>51.05</v>
      </c>
      <c r="L3649" s="39">
        <f>K3649*J3649</f>
        <v>510.5</v>
      </c>
      <c r="M3649" s="117" t="s">
        <v>323</v>
      </c>
      <c r="N3649" s="33">
        <v>45373</v>
      </c>
      <c r="O3649" s="32">
        <v>5998</v>
      </c>
      <c r="P3649" s="391">
        <f>ROUNDUP(S3649/V3649/VLOOKUP(B3649,$C$2:$F$6,3,FALSE),2)</f>
        <v>46.41</v>
      </c>
      <c r="Q3649" s="254">
        <v>46.41</v>
      </c>
      <c r="R3649" s="323">
        <f t="shared" ref="R3649:R3655" si="273">Q3649*J3649</f>
        <v>464.09999999999997</v>
      </c>
      <c r="S3649" s="257">
        <v>4900</v>
      </c>
      <c r="T3649" s="287">
        <f>S3649*J3649</f>
        <v>49000</v>
      </c>
      <c r="U3649" s="264"/>
      <c r="V3649" s="260">
        <v>120</v>
      </c>
      <c r="W3649" s="1136">
        <f t="shared" si="272"/>
        <v>0.20013059092393079</v>
      </c>
      <c r="X3649" s="1"/>
      <c r="Y3649" s="1"/>
      <c r="Z3649" s="1"/>
      <c r="AA3649" s="1"/>
      <c r="AB3649" s="1"/>
      <c r="AC3649" s="1"/>
      <c r="AD3649" s="1"/>
      <c r="AE3649" s="1"/>
      <c r="AF3649" s="1"/>
      <c r="AG3649" s="1"/>
      <c r="AH3649" s="1"/>
      <c r="AI3649" s="1"/>
      <c r="AJ3649" s="1"/>
      <c r="AK3649" s="1"/>
      <c r="AL3649" s="1"/>
      <c r="AM3649" s="1"/>
      <c r="AN3649" s="1"/>
      <c r="AO3649" s="1"/>
      <c r="AP3649" s="1"/>
      <c r="AQ3649" s="1"/>
      <c r="AR3649" s="1"/>
      <c r="AS3649" s="1"/>
      <c r="AT3649" s="1"/>
      <c r="AU3649" s="1"/>
      <c r="AV3649" s="1"/>
      <c r="AW3649" s="1"/>
      <c r="AX3649" s="1"/>
      <c r="AY3649" s="1"/>
    </row>
    <row r="3650" spans="1:51" customFormat="1" ht="18" customHeight="1">
      <c r="B3650" s="12" t="s">
        <v>302</v>
      </c>
      <c r="C3650" s="6" t="s">
        <v>4826</v>
      </c>
      <c r="D3650" s="14" t="s">
        <v>2912</v>
      </c>
      <c r="E3650" s="22" t="s">
        <v>4829</v>
      </c>
      <c r="F3650" s="107">
        <v>155</v>
      </c>
      <c r="G3650" s="22" t="s">
        <v>76</v>
      </c>
      <c r="H3650" s="108">
        <v>10</v>
      </c>
      <c r="I3650" s="109">
        <v>1</v>
      </c>
      <c r="J3650" s="8">
        <f>H3650*I3650</f>
        <v>10</v>
      </c>
      <c r="K3650" s="39">
        <v>51.05</v>
      </c>
      <c r="L3650" s="39">
        <f>K3650*J3650</f>
        <v>510.5</v>
      </c>
      <c r="M3650" s="117" t="s">
        <v>323</v>
      </c>
      <c r="N3650" s="33">
        <v>45373</v>
      </c>
      <c r="O3650" s="32">
        <v>5998</v>
      </c>
      <c r="P3650" s="391">
        <f>ROUNDUP(S3650/V3650/VLOOKUP(B3650,$C$2:$F$6,3,FALSE),2)</f>
        <v>46.41</v>
      </c>
      <c r="Q3650" s="254">
        <v>46.41</v>
      </c>
      <c r="R3650" s="323">
        <f>Q3650*J3650</f>
        <v>464.09999999999997</v>
      </c>
      <c r="S3650" s="257">
        <v>4900</v>
      </c>
      <c r="T3650" s="287">
        <f>S3650*J3650</f>
        <v>49000</v>
      </c>
      <c r="U3650" s="264"/>
      <c r="V3650" s="260">
        <v>120</v>
      </c>
      <c r="W3650" s="1136">
        <f t="shared" si="272"/>
        <v>0.20013059092393079</v>
      </c>
      <c r="X3650" s="1"/>
      <c r="Y3650" s="1"/>
      <c r="Z3650" s="1"/>
      <c r="AA3650" s="1"/>
      <c r="AB3650" s="1"/>
      <c r="AC3650" s="1"/>
      <c r="AD3650" s="1"/>
      <c r="AE3650" s="1"/>
      <c r="AF3650" s="1"/>
      <c r="AG3650" s="1"/>
      <c r="AH3650" s="1"/>
      <c r="AI3650" s="1"/>
      <c r="AJ3650" s="1"/>
      <c r="AK3650" s="1"/>
      <c r="AL3650" s="1"/>
      <c r="AM3650" s="1"/>
      <c r="AN3650" s="1"/>
      <c r="AO3650" s="1"/>
      <c r="AP3650" s="1"/>
      <c r="AQ3650" s="1"/>
      <c r="AR3650" s="1"/>
      <c r="AS3650" s="1"/>
      <c r="AT3650" s="1"/>
      <c r="AU3650" s="1"/>
      <c r="AV3650" s="1"/>
      <c r="AW3650" s="1"/>
      <c r="AX3650" s="1"/>
      <c r="AY3650" s="1"/>
    </row>
    <row r="3651" spans="1:51" customFormat="1" ht="18" customHeight="1">
      <c r="A3651" s="1"/>
      <c r="B3651" s="26"/>
      <c r="C3651" s="6" t="s">
        <v>4826</v>
      </c>
      <c r="D3651" s="14" t="s">
        <v>2912</v>
      </c>
      <c r="E3651" s="19" t="s">
        <v>4827</v>
      </c>
      <c r="F3651" s="107"/>
      <c r="G3651" s="22"/>
      <c r="H3651" s="108"/>
      <c r="I3651" s="109"/>
      <c r="J3651" s="108"/>
      <c r="K3651" s="110" t="s">
        <v>5</v>
      </c>
      <c r="L3651" s="33"/>
      <c r="M3651" s="33"/>
      <c r="N3651" s="33">
        <v>45373</v>
      </c>
      <c r="O3651" s="32">
        <v>5998</v>
      </c>
      <c r="P3651" s="14"/>
      <c r="Q3651" s="254"/>
      <c r="R3651" s="1"/>
      <c r="S3651" s="261"/>
      <c r="T3651" s="92"/>
      <c r="U3651" s="264"/>
      <c r="V3651" s="260">
        <v>120</v>
      </c>
      <c r="W3651" s="1136" t="e">
        <f t="shared" si="272"/>
        <v>#VALUE!</v>
      </c>
      <c r="X3651" s="1"/>
      <c r="Y3651" s="1"/>
      <c r="Z3651" s="1"/>
      <c r="AA3651" s="1"/>
      <c r="AB3651" s="1"/>
      <c r="AC3651" s="1"/>
      <c r="AD3651" s="1"/>
      <c r="AE3651" s="1"/>
      <c r="AF3651" s="1"/>
      <c r="AG3651" s="1"/>
      <c r="AH3651" s="1"/>
      <c r="AI3651" s="1"/>
      <c r="AJ3651" s="1"/>
      <c r="AK3651" s="1"/>
      <c r="AL3651" s="1"/>
      <c r="AM3651" s="1"/>
      <c r="AN3651" s="1"/>
      <c r="AO3651" s="1"/>
      <c r="AP3651" s="1"/>
      <c r="AQ3651" s="1"/>
      <c r="AR3651" s="1"/>
      <c r="AS3651" s="1"/>
      <c r="AT3651" s="1"/>
      <c r="AU3651" s="1"/>
      <c r="AV3651" s="1"/>
      <c r="AW3651" s="1"/>
      <c r="AX3651" s="1"/>
      <c r="AY3651" s="1"/>
    </row>
    <row r="3652" spans="1:51" customFormat="1" ht="18" customHeight="1">
      <c r="B3652" s="12" t="s">
        <v>302</v>
      </c>
      <c r="C3652" s="6" t="s">
        <v>4826</v>
      </c>
      <c r="D3652" s="14" t="s">
        <v>2912</v>
      </c>
      <c r="E3652" s="22" t="s">
        <v>4828</v>
      </c>
      <c r="F3652" s="107">
        <v>148</v>
      </c>
      <c r="G3652" s="22" t="s">
        <v>78</v>
      </c>
      <c r="H3652" s="108">
        <v>10</v>
      </c>
      <c r="I3652" s="109">
        <v>1</v>
      </c>
      <c r="J3652" s="8">
        <f>H3652*I3652</f>
        <v>10</v>
      </c>
      <c r="K3652" s="39">
        <v>40.630000000000003</v>
      </c>
      <c r="L3652" s="39">
        <f>K3652*J3652</f>
        <v>406.3</v>
      </c>
      <c r="M3652" s="117" t="s">
        <v>323</v>
      </c>
      <c r="N3652" s="33">
        <v>45373</v>
      </c>
      <c r="O3652" s="32">
        <v>5998</v>
      </c>
      <c r="P3652" s="391">
        <f>ROUNDUP(S3652/V3652/VLOOKUP(B3652,$C$2:$F$6,3,FALSE),2)</f>
        <v>36.94</v>
      </c>
      <c r="Q3652" s="254">
        <v>36.94</v>
      </c>
      <c r="R3652" s="323">
        <f>Q3652*J3652</f>
        <v>369.4</v>
      </c>
      <c r="S3652" s="257">
        <v>3900</v>
      </c>
      <c r="T3652" s="287">
        <f>S3652*J3652</f>
        <v>39000</v>
      </c>
      <c r="U3652" s="264"/>
      <c r="V3652" s="260">
        <v>120</v>
      </c>
      <c r="W3652" s="1136">
        <f t="shared" si="272"/>
        <v>0.2000984494216097</v>
      </c>
      <c r="X3652" s="1"/>
      <c r="Y3652" s="1"/>
      <c r="Z3652" s="1"/>
      <c r="AA3652" s="1"/>
      <c r="AB3652" s="1"/>
      <c r="AC3652" s="1"/>
      <c r="AD3652" s="1"/>
      <c r="AE3652" s="1"/>
      <c r="AF3652" s="1"/>
      <c r="AG3652" s="1"/>
      <c r="AH3652" s="1"/>
      <c r="AI3652" s="1"/>
      <c r="AJ3652" s="1"/>
      <c r="AK3652" s="1"/>
      <c r="AL3652" s="1"/>
      <c r="AM3652" s="1"/>
      <c r="AN3652" s="1"/>
      <c r="AO3652" s="1"/>
      <c r="AP3652" s="1"/>
      <c r="AQ3652" s="1"/>
      <c r="AR3652" s="1"/>
      <c r="AS3652" s="1"/>
      <c r="AT3652" s="1"/>
      <c r="AU3652" s="1"/>
      <c r="AV3652" s="1"/>
      <c r="AW3652" s="1"/>
      <c r="AX3652" s="1"/>
      <c r="AY3652" s="1"/>
    </row>
    <row r="3653" spans="1:51" customFormat="1" ht="18" customHeight="1">
      <c r="B3653" s="12" t="s">
        <v>302</v>
      </c>
      <c r="C3653" s="6" t="s">
        <v>4826</v>
      </c>
      <c r="D3653" s="14" t="s">
        <v>2912</v>
      </c>
      <c r="E3653" s="22" t="s">
        <v>4828</v>
      </c>
      <c r="F3653" s="107">
        <v>148</v>
      </c>
      <c r="G3653" s="22" t="s">
        <v>76</v>
      </c>
      <c r="H3653" s="108">
        <v>10</v>
      </c>
      <c r="I3653" s="109">
        <v>1</v>
      </c>
      <c r="J3653" s="8">
        <f>H3653*I3653</f>
        <v>10</v>
      </c>
      <c r="K3653" s="39">
        <v>40.630000000000003</v>
      </c>
      <c r="L3653" s="39">
        <f>K3653*J3653</f>
        <v>406.3</v>
      </c>
      <c r="M3653" s="117" t="s">
        <v>323</v>
      </c>
      <c r="N3653" s="33">
        <v>45373</v>
      </c>
      <c r="O3653" s="32">
        <v>5998</v>
      </c>
      <c r="P3653" s="391">
        <f>ROUNDUP(S3653/V3653/VLOOKUP(B3653,$C$2:$F$6,3,FALSE),2)</f>
        <v>36.94</v>
      </c>
      <c r="Q3653" s="254">
        <v>36.94</v>
      </c>
      <c r="R3653" s="323">
        <f>Q3653*J3653</f>
        <v>369.4</v>
      </c>
      <c r="S3653" s="257">
        <v>3900</v>
      </c>
      <c r="T3653" s="287">
        <f>S3653*J3653</f>
        <v>39000</v>
      </c>
      <c r="U3653" s="264"/>
      <c r="V3653" s="260">
        <v>120</v>
      </c>
      <c r="W3653" s="1136">
        <f t="shared" si="272"/>
        <v>0.2000984494216097</v>
      </c>
      <c r="X3653" s="1"/>
      <c r="Y3653" s="1"/>
      <c r="Z3653" s="1"/>
      <c r="AA3653" s="1"/>
      <c r="AB3653" s="1"/>
      <c r="AC3653" s="1"/>
      <c r="AD3653" s="1"/>
      <c r="AE3653" s="1"/>
      <c r="AF3653" s="1"/>
      <c r="AG3653" s="1"/>
      <c r="AH3653" s="1"/>
      <c r="AI3653" s="1"/>
      <c r="AJ3653" s="1"/>
      <c r="AK3653" s="1"/>
      <c r="AL3653" s="1"/>
      <c r="AM3653" s="1"/>
      <c r="AN3653" s="1"/>
      <c r="AO3653" s="1"/>
      <c r="AP3653" s="1"/>
      <c r="AQ3653" s="1"/>
      <c r="AR3653" s="1"/>
      <c r="AS3653" s="1"/>
      <c r="AT3653" s="1"/>
      <c r="AU3653" s="1"/>
      <c r="AV3653" s="1"/>
      <c r="AW3653" s="1"/>
      <c r="AX3653" s="1"/>
      <c r="AY3653" s="1"/>
    </row>
    <row r="3654" spans="1:51" s="7" customFormat="1" ht="18" customHeight="1">
      <c r="B3654" s="12"/>
      <c r="C3654" s="6" t="s">
        <v>4826</v>
      </c>
      <c r="D3654" s="14" t="s">
        <v>2912</v>
      </c>
      <c r="E3654" s="49"/>
      <c r="F3654" s="102"/>
      <c r="G3654" s="22" t="s">
        <v>4329</v>
      </c>
      <c r="H3654" s="8"/>
      <c r="I3654" s="35"/>
      <c r="J3654" s="38">
        <v>4</v>
      </c>
      <c r="K3654" s="39">
        <v>15</v>
      </c>
      <c r="L3654" s="39">
        <f>K3654*J3654</f>
        <v>60</v>
      </c>
      <c r="M3654" s="91"/>
      <c r="N3654" s="33">
        <v>45373</v>
      </c>
      <c r="O3654" s="32">
        <v>5998</v>
      </c>
      <c r="P3654" s="6" t="s">
        <v>3</v>
      </c>
      <c r="Q3654" s="39">
        <v>15</v>
      </c>
      <c r="R3654" s="322">
        <f t="shared" si="273"/>
        <v>60</v>
      </c>
      <c r="S3654" s="7">
        <v>1000</v>
      </c>
      <c r="T3654" s="7">
        <f>S3654*J3654</f>
        <v>4000</v>
      </c>
      <c r="U3654" s="21"/>
      <c r="V3654" s="260">
        <v>120</v>
      </c>
      <c r="W3654" s="1136">
        <f t="shared" si="272"/>
        <v>0.44444444444444442</v>
      </c>
    </row>
    <row r="3655" spans="1:51" s="7" customFormat="1" ht="18" customHeight="1">
      <c r="B3655" s="12"/>
      <c r="C3655" s="6" t="s">
        <v>4826</v>
      </c>
      <c r="D3655" s="14" t="s">
        <v>2912</v>
      </c>
      <c r="E3655" s="49"/>
      <c r="F3655" s="102"/>
      <c r="G3655" s="22" t="s">
        <v>316</v>
      </c>
      <c r="H3655" s="8"/>
      <c r="I3655" s="35"/>
      <c r="J3655" s="38">
        <v>1</v>
      </c>
      <c r="K3655" s="39">
        <v>20</v>
      </c>
      <c r="L3655" s="39">
        <f>K3655*J3655</f>
        <v>20</v>
      </c>
      <c r="M3655" s="91"/>
      <c r="N3655" s="33">
        <v>45373</v>
      </c>
      <c r="O3655" s="32">
        <v>5998</v>
      </c>
      <c r="P3655" s="6" t="s">
        <v>3</v>
      </c>
      <c r="Q3655" s="39">
        <v>20</v>
      </c>
      <c r="R3655" s="322">
        <f t="shared" si="273"/>
        <v>20</v>
      </c>
      <c r="S3655" s="7">
        <v>1000</v>
      </c>
      <c r="T3655" s="7">
        <f>S3655*J3655</f>
        <v>1000</v>
      </c>
      <c r="U3655" s="21"/>
      <c r="V3655" s="260">
        <v>120</v>
      </c>
      <c r="W3655" s="1136">
        <f t="shared" si="272"/>
        <v>0.58333333333333337</v>
      </c>
    </row>
    <row r="3656" spans="1:51" s="191" customFormat="1" ht="18" customHeight="1">
      <c r="B3656" s="190"/>
      <c r="C3656" s="179" t="s">
        <v>4826</v>
      </c>
      <c r="D3656" s="180" t="s">
        <v>2912</v>
      </c>
      <c r="E3656" s="181"/>
      <c r="F3656" s="622"/>
      <c r="G3656" s="182" t="s">
        <v>250</v>
      </c>
      <c r="H3656" s="184" t="s">
        <v>251</v>
      </c>
      <c r="I3656" s="185"/>
      <c r="J3656" s="183"/>
      <c r="K3656" s="192">
        <v>0</v>
      </c>
      <c r="L3656" s="188"/>
      <c r="M3656" s="187"/>
      <c r="N3656" s="187">
        <v>45373</v>
      </c>
      <c r="O3656" s="186">
        <v>5998</v>
      </c>
      <c r="P3656" s="179"/>
      <c r="Q3656" s="725">
        <v>0</v>
      </c>
      <c r="S3656" s="197">
        <v>0</v>
      </c>
      <c r="T3656" s="198">
        <v>0</v>
      </c>
      <c r="U3656" s="335"/>
      <c r="V3656" s="260">
        <v>120</v>
      </c>
      <c r="W3656" s="1136" t="e">
        <f t="shared" si="272"/>
        <v>#DIV/0!</v>
      </c>
    </row>
    <row r="3657" spans="1:51" s="7" customFormat="1" ht="18" customHeight="1">
      <c r="B3657" s="12"/>
      <c r="C3657" s="6" t="s">
        <v>4830</v>
      </c>
      <c r="D3657" s="14" t="s">
        <v>3391</v>
      </c>
      <c r="E3657" s="19" t="s">
        <v>10</v>
      </c>
      <c r="F3657" s="107"/>
      <c r="G3657" s="1256"/>
      <c r="H3657" s="108"/>
      <c r="I3657" s="109"/>
      <c r="J3657" s="108"/>
      <c r="K3657" s="29" t="s">
        <v>5</v>
      </c>
      <c r="L3657" s="139"/>
      <c r="M3657" s="33"/>
      <c r="N3657" s="33">
        <v>45377</v>
      </c>
      <c r="O3657" s="32">
        <v>6007</v>
      </c>
      <c r="P3657" s="14"/>
      <c r="Q3657" s="322"/>
      <c r="U3657" s="14"/>
      <c r="V3657" s="260">
        <v>120</v>
      </c>
      <c r="W3657" s="1136" t="e">
        <f t="shared" si="272"/>
        <v>#VALUE!</v>
      </c>
    </row>
    <row r="3658" spans="1:51" s="7" customFormat="1" ht="18" customHeight="1">
      <c r="B3658" s="12" t="s">
        <v>302</v>
      </c>
      <c r="C3658" s="6" t="s">
        <v>4830</v>
      </c>
      <c r="D3658" s="14" t="s">
        <v>3391</v>
      </c>
      <c r="E3658" s="22" t="s">
        <v>190</v>
      </c>
      <c r="F3658" s="107">
        <v>160</v>
      </c>
      <c r="G3658" s="1257" t="s">
        <v>4803</v>
      </c>
      <c r="H3658" s="1255">
        <v>20</v>
      </c>
      <c r="I3658" s="109">
        <v>1</v>
      </c>
      <c r="J3658" s="8">
        <f>I3658*H3658</f>
        <v>20</v>
      </c>
      <c r="K3658" s="39">
        <v>5.28</v>
      </c>
      <c r="L3658" s="39">
        <f>K3658*J3658</f>
        <v>105.60000000000001</v>
      </c>
      <c r="M3658" s="117" t="s">
        <v>322</v>
      </c>
      <c r="N3658" s="33">
        <v>45377</v>
      </c>
      <c r="O3658" s="32">
        <v>6007</v>
      </c>
      <c r="P3658" s="391">
        <f>ROUNDUP(S3658/V3658/VLOOKUP(B3658,$C$2:$F$6,3,FALSE),2)</f>
        <v>3.7899999999999996</v>
      </c>
      <c r="Q3658" s="322">
        <v>3.79</v>
      </c>
      <c r="R3658" s="322">
        <f>Q3658*J3658</f>
        <v>75.8</v>
      </c>
      <c r="S3658" s="7">
        <v>400</v>
      </c>
      <c r="T3658" s="7">
        <f>S3658*J3658</f>
        <v>8000</v>
      </c>
      <c r="U3658" s="21"/>
      <c r="V3658" s="260">
        <v>120</v>
      </c>
      <c r="W3658" s="1136">
        <f t="shared" si="272"/>
        <v>0.36868686868686873</v>
      </c>
    </row>
    <row r="3659" spans="1:51" s="7" customFormat="1" ht="18" customHeight="1">
      <c r="B3659" s="12" t="s">
        <v>302</v>
      </c>
      <c r="C3659" s="6" t="s">
        <v>4830</v>
      </c>
      <c r="D3659" s="14" t="s">
        <v>3391</v>
      </c>
      <c r="E3659" s="22" t="s">
        <v>190</v>
      </c>
      <c r="F3659" s="107">
        <v>160</v>
      </c>
      <c r="G3659" s="1257" t="s">
        <v>4803</v>
      </c>
      <c r="H3659" s="1255">
        <v>10</v>
      </c>
      <c r="I3659" s="109">
        <v>1</v>
      </c>
      <c r="J3659" s="8">
        <f>I3659*H3659</f>
        <v>10</v>
      </c>
      <c r="K3659" s="39">
        <v>5.28</v>
      </c>
      <c r="L3659" s="39">
        <f>K3659*J3659</f>
        <v>52.800000000000004</v>
      </c>
      <c r="M3659" s="117" t="s">
        <v>322</v>
      </c>
      <c r="N3659" s="33">
        <v>45377</v>
      </c>
      <c r="O3659" s="32">
        <v>6007</v>
      </c>
      <c r="P3659" s="391">
        <f>ROUNDUP(S3659/V3659/VLOOKUP(B3659,$C$2:$F$6,3,FALSE),2)</f>
        <v>3.7899999999999996</v>
      </c>
      <c r="Q3659" s="322">
        <v>3.79</v>
      </c>
      <c r="R3659" s="322">
        <f>Q3659*J3659</f>
        <v>37.9</v>
      </c>
      <c r="S3659" s="7">
        <v>400</v>
      </c>
      <c r="T3659" s="7">
        <f>S3659*J3659</f>
        <v>4000</v>
      </c>
      <c r="U3659" s="21"/>
      <c r="V3659" s="260">
        <v>120</v>
      </c>
      <c r="W3659" s="1136">
        <f t="shared" si="272"/>
        <v>0.36868686868686873</v>
      </c>
    </row>
    <row r="3660" spans="1:51" s="7" customFormat="1" ht="18" customHeight="1">
      <c r="B3660" s="12"/>
      <c r="C3660" s="6" t="s">
        <v>4830</v>
      </c>
      <c r="D3660" s="14" t="s">
        <v>3391</v>
      </c>
      <c r="E3660" s="22"/>
      <c r="F3660" s="102"/>
      <c r="G3660" s="22" t="s">
        <v>236</v>
      </c>
      <c r="H3660" s="8"/>
      <c r="I3660" s="35"/>
      <c r="J3660" s="38">
        <v>2</v>
      </c>
      <c r="K3660" s="39">
        <v>15</v>
      </c>
      <c r="L3660" s="39">
        <f>K3660*J3660</f>
        <v>30</v>
      </c>
      <c r="M3660" s="91"/>
      <c r="N3660" s="33">
        <v>45377</v>
      </c>
      <c r="O3660" s="32">
        <v>6007</v>
      </c>
      <c r="P3660" s="6" t="s">
        <v>3</v>
      </c>
      <c r="Q3660" s="39">
        <v>15</v>
      </c>
      <c r="R3660" s="322">
        <f>Q3660*J3660</f>
        <v>30</v>
      </c>
      <c r="S3660" s="7">
        <v>1000</v>
      </c>
      <c r="T3660" s="7">
        <f>S3660*J3660</f>
        <v>2000</v>
      </c>
      <c r="U3660" s="21"/>
      <c r="V3660" s="260">
        <v>120</v>
      </c>
      <c r="W3660" s="1136">
        <f t="shared" si="272"/>
        <v>0.44444444444444442</v>
      </c>
    </row>
    <row r="3661" spans="1:51" customFormat="1" ht="18" customHeight="1">
      <c r="A3661" s="1"/>
      <c r="B3661" s="26"/>
      <c r="C3661" s="6" t="s">
        <v>4830</v>
      </c>
      <c r="D3661" s="14" t="s">
        <v>3391</v>
      </c>
      <c r="E3661" s="19" t="s">
        <v>59</v>
      </c>
      <c r="F3661" s="107"/>
      <c r="G3661" s="22"/>
      <c r="H3661" s="108"/>
      <c r="I3661" s="109"/>
      <c r="J3661" s="108"/>
      <c r="K3661" s="110" t="s">
        <v>5</v>
      </c>
      <c r="L3661" s="33"/>
      <c r="M3661" s="33"/>
      <c r="N3661" s="33">
        <v>45377</v>
      </c>
      <c r="O3661" s="32">
        <v>6007</v>
      </c>
      <c r="P3661" s="14"/>
      <c r="Q3661" s="254"/>
      <c r="R3661" s="1"/>
      <c r="S3661" s="261"/>
      <c r="T3661" s="92"/>
      <c r="U3661" s="264"/>
      <c r="V3661" s="260">
        <v>120</v>
      </c>
      <c r="W3661" s="1136" t="e">
        <f t="shared" si="272"/>
        <v>#VALUE!</v>
      </c>
      <c r="X3661" s="1"/>
      <c r="Y3661" s="1"/>
      <c r="Z3661" s="1"/>
      <c r="AA3661" s="1"/>
      <c r="AB3661" s="1"/>
      <c r="AC3661" s="1"/>
      <c r="AD3661" s="1"/>
      <c r="AE3661" s="1"/>
      <c r="AF3661" s="1"/>
      <c r="AG3661" s="1"/>
      <c r="AH3661" s="1"/>
      <c r="AI3661" s="1"/>
      <c r="AJ3661" s="1"/>
      <c r="AK3661" s="1"/>
      <c r="AL3661" s="1"/>
      <c r="AM3661" s="1"/>
      <c r="AN3661" s="1"/>
      <c r="AO3661" s="1"/>
      <c r="AP3661" s="1"/>
      <c r="AQ3661" s="1"/>
      <c r="AR3661" s="1"/>
      <c r="AS3661" s="1"/>
      <c r="AT3661" s="1"/>
      <c r="AU3661" s="1"/>
      <c r="AV3661" s="1"/>
      <c r="AW3661" s="1"/>
      <c r="AX3661" s="1"/>
      <c r="AY3661" s="1"/>
    </row>
    <row r="3662" spans="1:51" customFormat="1" ht="18" customHeight="1">
      <c r="B3662" s="12" t="s">
        <v>302</v>
      </c>
      <c r="C3662" s="6" t="s">
        <v>4830</v>
      </c>
      <c r="D3662" s="14" t="s">
        <v>3391</v>
      </c>
      <c r="E3662" s="22">
        <v>2440</v>
      </c>
      <c r="F3662" s="107">
        <v>140</v>
      </c>
      <c r="G3662" s="22" t="s">
        <v>4804</v>
      </c>
      <c r="H3662" s="108">
        <v>20</v>
      </c>
      <c r="I3662" s="109">
        <v>1</v>
      </c>
      <c r="J3662" s="8">
        <f>H3662*I3662</f>
        <v>20</v>
      </c>
      <c r="K3662" s="39">
        <v>3.97</v>
      </c>
      <c r="L3662" s="39">
        <f>K3662*J3662</f>
        <v>79.400000000000006</v>
      </c>
      <c r="M3662" s="117" t="s">
        <v>323</v>
      </c>
      <c r="N3662" s="33">
        <v>45377</v>
      </c>
      <c r="O3662" s="32">
        <v>6007</v>
      </c>
      <c r="P3662" s="391">
        <f>ROUNDUP(S3662/V3662/VLOOKUP(B3662,$C$2:$F$6,3,FALSE),2)</f>
        <v>2.8499999999999996</v>
      </c>
      <c r="Q3662" s="254">
        <v>2.85</v>
      </c>
      <c r="R3662" s="323">
        <f>Q3662*J3662</f>
        <v>57</v>
      </c>
      <c r="S3662" s="257">
        <v>300</v>
      </c>
      <c r="T3662" s="287">
        <f>S3662*J3662</f>
        <v>6000</v>
      </c>
      <c r="U3662" s="264"/>
      <c r="V3662" s="260">
        <v>120</v>
      </c>
      <c r="W3662" s="1136">
        <f t="shared" si="272"/>
        <v>0.37027707808564236</v>
      </c>
      <c r="X3662" s="1"/>
      <c r="Y3662" s="1"/>
      <c r="Z3662" s="1"/>
      <c r="AA3662" s="1"/>
      <c r="AB3662" s="1"/>
      <c r="AC3662" s="1"/>
      <c r="AD3662" s="1"/>
      <c r="AE3662" s="1"/>
      <c r="AF3662" s="1"/>
      <c r="AG3662" s="1"/>
      <c r="AH3662" s="1"/>
      <c r="AI3662" s="1"/>
      <c r="AJ3662" s="1"/>
      <c r="AK3662" s="1"/>
      <c r="AL3662" s="1"/>
      <c r="AM3662" s="1"/>
      <c r="AN3662" s="1"/>
      <c r="AO3662" s="1"/>
      <c r="AP3662" s="1"/>
      <c r="AQ3662" s="1"/>
      <c r="AR3662" s="1"/>
      <c r="AS3662" s="1"/>
      <c r="AT3662" s="1"/>
      <c r="AU3662" s="1"/>
      <c r="AV3662" s="1"/>
      <c r="AW3662" s="1"/>
      <c r="AX3662" s="1"/>
      <c r="AY3662" s="1"/>
    </row>
    <row r="3663" spans="1:51" s="7" customFormat="1" ht="18" customHeight="1">
      <c r="B3663" s="12"/>
      <c r="C3663" s="6" t="s">
        <v>4830</v>
      </c>
      <c r="D3663" s="14" t="s">
        <v>3391</v>
      </c>
      <c r="E3663" s="22"/>
      <c r="F3663" s="102"/>
      <c r="G3663" s="22" t="s">
        <v>236</v>
      </c>
      <c r="H3663" s="8"/>
      <c r="I3663" s="35"/>
      <c r="J3663" s="38">
        <v>1</v>
      </c>
      <c r="K3663" s="39">
        <v>15</v>
      </c>
      <c r="L3663" s="39">
        <f>K3663*J3663</f>
        <v>15</v>
      </c>
      <c r="M3663" s="91"/>
      <c r="N3663" s="33">
        <v>45377</v>
      </c>
      <c r="O3663" s="32">
        <v>6007</v>
      </c>
      <c r="P3663" s="6" t="s">
        <v>3</v>
      </c>
      <c r="Q3663" s="39">
        <v>15</v>
      </c>
      <c r="R3663" s="322">
        <f>Q3663*J3663</f>
        <v>15</v>
      </c>
      <c r="S3663" s="7">
        <v>1000</v>
      </c>
      <c r="T3663" s="7">
        <f>S3663*J3663</f>
        <v>1000</v>
      </c>
      <c r="U3663" s="21"/>
      <c r="V3663" s="260">
        <v>120</v>
      </c>
      <c r="W3663" s="1136">
        <f t="shared" si="272"/>
        <v>0.44444444444444442</v>
      </c>
    </row>
    <row r="3664" spans="1:51" s="7" customFormat="1" ht="18" customHeight="1">
      <c r="B3664" s="12"/>
      <c r="C3664" s="6" t="s">
        <v>4830</v>
      </c>
      <c r="D3664" s="14" t="s">
        <v>3391</v>
      </c>
      <c r="E3664" s="22"/>
      <c r="F3664" s="102"/>
      <c r="G3664" s="22" t="s">
        <v>316</v>
      </c>
      <c r="H3664" s="8"/>
      <c r="I3664" s="35"/>
      <c r="J3664" s="38">
        <v>1</v>
      </c>
      <c r="K3664" s="39">
        <v>20</v>
      </c>
      <c r="L3664" s="39">
        <f>K3664*J3664</f>
        <v>20</v>
      </c>
      <c r="M3664" s="91"/>
      <c r="N3664" s="33">
        <v>45377</v>
      </c>
      <c r="O3664" s="32">
        <v>6007</v>
      </c>
      <c r="P3664" s="6" t="s">
        <v>3</v>
      </c>
      <c r="Q3664" s="39">
        <v>20</v>
      </c>
      <c r="R3664" s="322">
        <f>Q3664*J3664</f>
        <v>20</v>
      </c>
      <c r="S3664" s="7">
        <v>1000</v>
      </c>
      <c r="T3664" s="7">
        <f>S3664*J3664</f>
        <v>1000</v>
      </c>
      <c r="U3664" s="21"/>
      <c r="V3664" s="260">
        <v>120</v>
      </c>
      <c r="W3664" s="1136">
        <f t="shared" si="272"/>
        <v>0.58333333333333337</v>
      </c>
    </row>
    <row r="3665" spans="1:51" s="191" customFormat="1" ht="15.75">
      <c r="B3665" s="190"/>
      <c r="C3665" s="179" t="s">
        <v>4830</v>
      </c>
      <c r="D3665" s="180" t="s">
        <v>3391</v>
      </c>
      <c r="E3665" s="181"/>
      <c r="F3665" s="182"/>
      <c r="G3665" s="309" t="s">
        <v>324</v>
      </c>
      <c r="H3665" s="184" t="s">
        <v>251</v>
      </c>
      <c r="I3665" s="185"/>
      <c r="J3665" s="183"/>
      <c r="K3665" s="203">
        <v>0</v>
      </c>
      <c r="L3665" s="203">
        <v>0</v>
      </c>
      <c r="M3665" s="187"/>
      <c r="N3665" s="187">
        <v>45377</v>
      </c>
      <c r="O3665" s="186">
        <v>6007</v>
      </c>
      <c r="P3665" s="179"/>
      <c r="Q3665" s="203">
        <v>0</v>
      </c>
      <c r="R3665" s="203">
        <v>0</v>
      </c>
      <c r="S3665" s="7">
        <v>0</v>
      </c>
      <c r="T3665" s="7">
        <v>0</v>
      </c>
      <c r="U3665" s="271"/>
      <c r="V3665" s="260">
        <v>120</v>
      </c>
      <c r="W3665" s="1136" t="e">
        <f t="shared" si="272"/>
        <v>#DIV/0!</v>
      </c>
    </row>
    <row r="3666" spans="1:51" customFormat="1" ht="18" customHeight="1">
      <c r="A3666" s="1"/>
      <c r="B3666" s="26"/>
      <c r="C3666" s="6" t="s">
        <v>4831</v>
      </c>
      <c r="D3666" s="14" t="s">
        <v>4832</v>
      </c>
      <c r="E3666" s="19" t="s">
        <v>59</v>
      </c>
      <c r="F3666" s="107"/>
      <c r="G3666" s="22"/>
      <c r="H3666" s="108"/>
      <c r="I3666" s="109"/>
      <c r="J3666" s="108"/>
      <c r="K3666" s="110" t="s">
        <v>5</v>
      </c>
      <c r="L3666" s="33"/>
      <c r="M3666" s="33"/>
      <c r="N3666" s="33">
        <v>45384</v>
      </c>
      <c r="O3666" s="32">
        <v>6022</v>
      </c>
      <c r="P3666" s="14"/>
      <c r="Q3666" s="254"/>
      <c r="R3666" s="1"/>
      <c r="S3666" s="261"/>
      <c r="T3666" s="92"/>
      <c r="U3666" s="264"/>
      <c r="V3666" s="260">
        <v>120</v>
      </c>
      <c r="W3666" s="1136" t="e">
        <f t="shared" si="272"/>
        <v>#VALUE!</v>
      </c>
      <c r="X3666" s="1"/>
      <c r="Y3666" s="1"/>
      <c r="Z3666" s="1"/>
      <c r="AA3666" s="1"/>
      <c r="AB3666" s="1"/>
      <c r="AC3666" s="1"/>
      <c r="AD3666" s="1"/>
      <c r="AE3666" s="1"/>
      <c r="AF3666" s="1"/>
      <c r="AG3666" s="1"/>
      <c r="AH3666" s="1"/>
      <c r="AI3666" s="1"/>
      <c r="AJ3666" s="1"/>
      <c r="AK3666" s="1"/>
      <c r="AL3666" s="1"/>
      <c r="AM3666" s="1"/>
      <c r="AN3666" s="1"/>
      <c r="AO3666" s="1"/>
      <c r="AP3666" s="1"/>
      <c r="AQ3666" s="1"/>
      <c r="AR3666" s="1"/>
      <c r="AS3666" s="1"/>
      <c r="AT3666" s="1"/>
      <c r="AU3666" s="1"/>
      <c r="AV3666" s="1"/>
      <c r="AW3666" s="1"/>
      <c r="AX3666" s="1"/>
      <c r="AY3666" s="1"/>
    </row>
    <row r="3667" spans="1:51" customFormat="1" ht="18" customHeight="1">
      <c r="B3667" s="12" t="s">
        <v>302</v>
      </c>
      <c r="C3667" s="6" t="s">
        <v>4831</v>
      </c>
      <c r="D3667" s="14" t="s">
        <v>4832</v>
      </c>
      <c r="E3667" s="22" t="s">
        <v>4833</v>
      </c>
      <c r="F3667" s="107">
        <v>132</v>
      </c>
      <c r="G3667" s="22" t="s">
        <v>4834</v>
      </c>
      <c r="H3667" s="108">
        <v>50</v>
      </c>
      <c r="I3667" s="109">
        <v>1</v>
      </c>
      <c r="J3667" s="8">
        <f>H3667*I3667</f>
        <v>50</v>
      </c>
      <c r="K3667" s="39">
        <v>5.28</v>
      </c>
      <c r="L3667" s="39">
        <f>K3667*J3667</f>
        <v>264</v>
      </c>
      <c r="M3667" s="117" t="s">
        <v>323</v>
      </c>
      <c r="N3667" s="33">
        <v>45384</v>
      </c>
      <c r="O3667" s="32">
        <v>6022</v>
      </c>
      <c r="P3667" s="391">
        <f>ROUNDUP(S3667/V3667/VLOOKUP(B3667,$C$2:$F$6,3,FALSE),2)</f>
        <v>3.7899999999999996</v>
      </c>
      <c r="Q3667" s="254">
        <v>3.79</v>
      </c>
      <c r="R3667" s="323">
        <f>Q3667*J3667</f>
        <v>189.5</v>
      </c>
      <c r="S3667" s="257">
        <v>400</v>
      </c>
      <c r="T3667" s="287">
        <f>S3667*J3667</f>
        <v>20000</v>
      </c>
      <c r="U3667" s="264"/>
      <c r="V3667" s="260">
        <v>120</v>
      </c>
      <c r="W3667" s="1136">
        <f t="shared" si="272"/>
        <v>0.36868686868686873</v>
      </c>
      <c r="X3667" s="1"/>
      <c r="Y3667" s="1"/>
      <c r="Z3667" s="1"/>
      <c r="AA3667" s="1"/>
      <c r="AB3667" s="1"/>
      <c r="AC3667" s="1"/>
      <c r="AD3667" s="1"/>
      <c r="AE3667" s="1"/>
      <c r="AF3667" s="1"/>
      <c r="AG3667" s="1"/>
      <c r="AH3667" s="1"/>
      <c r="AI3667" s="1"/>
      <c r="AJ3667" s="1"/>
      <c r="AK3667" s="1"/>
      <c r="AL3667" s="1"/>
      <c r="AM3667" s="1"/>
      <c r="AN3667" s="1"/>
      <c r="AO3667" s="1"/>
      <c r="AP3667" s="1"/>
      <c r="AQ3667" s="1"/>
      <c r="AR3667" s="1"/>
      <c r="AS3667" s="1"/>
      <c r="AT3667" s="1"/>
      <c r="AU3667" s="1"/>
      <c r="AV3667" s="1"/>
      <c r="AW3667" s="1"/>
      <c r="AX3667" s="1"/>
      <c r="AY3667" s="1"/>
    </row>
    <row r="3668" spans="1:51" s="7" customFormat="1" ht="18" customHeight="1">
      <c r="B3668" s="12"/>
      <c r="C3668" s="6" t="s">
        <v>4831</v>
      </c>
      <c r="D3668" s="14" t="s">
        <v>4832</v>
      </c>
      <c r="E3668" s="22"/>
      <c r="F3668" s="102"/>
      <c r="G3668" s="22" t="s">
        <v>316</v>
      </c>
      <c r="H3668" s="8"/>
      <c r="I3668" s="35"/>
      <c r="J3668" s="38">
        <v>1</v>
      </c>
      <c r="K3668" s="39">
        <v>20</v>
      </c>
      <c r="L3668" s="39">
        <f>K3668*J3668</f>
        <v>20</v>
      </c>
      <c r="M3668" s="91"/>
      <c r="N3668" s="33">
        <v>45384</v>
      </c>
      <c r="O3668" s="32">
        <v>6022</v>
      </c>
      <c r="P3668" s="6" t="s">
        <v>3</v>
      </c>
      <c r="Q3668" s="39">
        <v>20</v>
      </c>
      <c r="R3668" s="322">
        <f>Q3668*J3668</f>
        <v>20</v>
      </c>
      <c r="S3668" s="7">
        <v>1800</v>
      </c>
      <c r="T3668" s="7">
        <f>S3668*J3668</f>
        <v>1800</v>
      </c>
      <c r="U3668" s="21"/>
      <c r="V3668" s="260">
        <v>120</v>
      </c>
      <c r="W3668" s="1136">
        <f t="shared" si="272"/>
        <v>0.25</v>
      </c>
    </row>
    <row r="3669" spans="1:51" s="191" customFormat="1" ht="15.75">
      <c r="B3669" s="190"/>
      <c r="C3669" s="179" t="s">
        <v>4831</v>
      </c>
      <c r="D3669" s="180" t="s">
        <v>4832</v>
      </c>
      <c r="E3669" s="181"/>
      <c r="F3669" s="182"/>
      <c r="G3669" s="309" t="s">
        <v>324</v>
      </c>
      <c r="H3669" s="184" t="s">
        <v>374</v>
      </c>
      <c r="I3669" s="185"/>
      <c r="J3669" s="183"/>
      <c r="K3669" s="203">
        <v>125</v>
      </c>
      <c r="L3669" s="203">
        <v>125</v>
      </c>
      <c r="M3669" s="187"/>
      <c r="N3669" s="187">
        <v>45384</v>
      </c>
      <c r="O3669" s="186">
        <v>6022</v>
      </c>
      <c r="P3669" s="179"/>
      <c r="Q3669" s="203">
        <v>125</v>
      </c>
      <c r="R3669" s="203">
        <v>125</v>
      </c>
      <c r="S3669" s="92">
        <v>12549</v>
      </c>
      <c r="T3669" s="92">
        <v>12549</v>
      </c>
      <c r="U3669" s="271"/>
      <c r="V3669" s="260">
        <v>120</v>
      </c>
      <c r="W3669" s="1136">
        <f t="shared" si="272"/>
        <v>0.16339999999999999</v>
      </c>
    </row>
    <row r="3670" spans="1:51" customFormat="1" ht="18" customHeight="1">
      <c r="A3670" s="1"/>
      <c r="B3670" s="26"/>
      <c r="C3670" s="6" t="s">
        <v>4836</v>
      </c>
      <c r="D3670" s="14" t="s">
        <v>3067</v>
      </c>
      <c r="E3670" s="19" t="s">
        <v>59</v>
      </c>
      <c r="F3670" s="107"/>
      <c r="G3670" s="22"/>
      <c r="H3670" s="108"/>
      <c r="I3670" s="109"/>
      <c r="J3670" s="108"/>
      <c r="K3670" s="110" t="s">
        <v>5</v>
      </c>
      <c r="L3670" s="33"/>
      <c r="M3670" s="33"/>
      <c r="N3670" s="33">
        <v>45385</v>
      </c>
      <c r="O3670" s="32">
        <v>6026</v>
      </c>
      <c r="P3670" s="14"/>
      <c r="Q3670" s="254"/>
      <c r="R3670" s="1"/>
      <c r="S3670" s="261"/>
      <c r="T3670" s="92"/>
      <c r="U3670" s="264"/>
      <c r="V3670" s="260">
        <v>120</v>
      </c>
      <c r="W3670" s="1136" t="e">
        <f t="shared" si="272"/>
        <v>#VALUE!</v>
      </c>
      <c r="X3670" s="1"/>
      <c r="Y3670" s="1"/>
      <c r="Z3670" s="1"/>
      <c r="AA3670" s="1"/>
      <c r="AB3670" s="1"/>
      <c r="AC3670" s="1"/>
      <c r="AD3670" s="1"/>
      <c r="AE3670" s="1"/>
      <c r="AF3670" s="1"/>
      <c r="AG3670" s="1"/>
      <c r="AH3670" s="1"/>
      <c r="AI3670" s="1"/>
      <c r="AJ3670" s="1"/>
      <c r="AK3670" s="1"/>
      <c r="AL3670" s="1"/>
      <c r="AM3670" s="1"/>
      <c r="AN3670" s="1"/>
      <c r="AO3670" s="1"/>
      <c r="AP3670" s="1"/>
      <c r="AQ3670" s="1"/>
      <c r="AR3670" s="1"/>
      <c r="AS3670" s="1"/>
      <c r="AT3670" s="1"/>
      <c r="AU3670" s="1"/>
      <c r="AV3670" s="1"/>
      <c r="AW3670" s="1"/>
      <c r="AX3670" s="1"/>
      <c r="AY3670" s="1"/>
    </row>
    <row r="3671" spans="1:51" customFormat="1" ht="18" customHeight="1">
      <c r="B3671" s="12" t="s">
        <v>302</v>
      </c>
      <c r="C3671" s="6" t="s">
        <v>4836</v>
      </c>
      <c r="D3671" s="14" t="s">
        <v>3067</v>
      </c>
      <c r="E3671" s="22">
        <v>2440</v>
      </c>
      <c r="F3671" s="107">
        <v>140</v>
      </c>
      <c r="G3671" s="22" t="s">
        <v>13</v>
      </c>
      <c r="H3671" s="108">
        <v>58</v>
      </c>
      <c r="I3671" s="109">
        <v>1</v>
      </c>
      <c r="J3671" s="8">
        <f>H3671*I3671</f>
        <v>58</v>
      </c>
      <c r="K3671" s="39">
        <v>4.17</v>
      </c>
      <c r="L3671" s="39">
        <f>K3671*J3671</f>
        <v>241.85999999999999</v>
      </c>
      <c r="M3671" s="117" t="s">
        <v>323</v>
      </c>
      <c r="N3671" s="33">
        <v>45385</v>
      </c>
      <c r="O3671" s="32">
        <v>6026</v>
      </c>
      <c r="P3671" s="391">
        <f>ROUNDUP(S3671/V3671/VLOOKUP(B3671,$C$2:$F$6,3,FALSE),2)</f>
        <v>2.8499999999999996</v>
      </c>
      <c r="Q3671" s="254">
        <v>2.85</v>
      </c>
      <c r="R3671" s="323">
        <f>Q3671*J3671</f>
        <v>165.3</v>
      </c>
      <c r="S3671" s="257">
        <v>300</v>
      </c>
      <c r="T3671" s="287">
        <f>S3671*J3671</f>
        <v>17400</v>
      </c>
      <c r="U3671" s="264"/>
      <c r="V3671" s="260">
        <v>120</v>
      </c>
      <c r="W3671" s="1136">
        <f t="shared" si="272"/>
        <v>0.40047961630695439</v>
      </c>
      <c r="X3671" s="1"/>
      <c r="Y3671" s="1"/>
      <c r="Z3671" s="1"/>
      <c r="AA3671" s="1"/>
      <c r="AB3671" s="1"/>
      <c r="AC3671" s="1"/>
      <c r="AD3671" s="1"/>
      <c r="AE3671" s="1"/>
      <c r="AF3671" s="1"/>
      <c r="AG3671" s="1"/>
      <c r="AH3671" s="1"/>
      <c r="AI3671" s="1"/>
      <c r="AJ3671" s="1"/>
      <c r="AK3671" s="1"/>
      <c r="AL3671" s="1"/>
      <c r="AM3671" s="1"/>
      <c r="AN3671" s="1"/>
      <c r="AO3671" s="1"/>
      <c r="AP3671" s="1"/>
      <c r="AQ3671" s="1"/>
      <c r="AR3671" s="1"/>
      <c r="AS3671" s="1"/>
      <c r="AT3671" s="1"/>
      <c r="AU3671" s="1"/>
      <c r="AV3671" s="1"/>
      <c r="AW3671" s="1"/>
      <c r="AX3671" s="1"/>
      <c r="AY3671" s="1"/>
    </row>
    <row r="3672" spans="1:51" customFormat="1" ht="18" customHeight="1">
      <c r="B3672" s="12" t="s">
        <v>302</v>
      </c>
      <c r="C3672" s="6" t="s">
        <v>4836</v>
      </c>
      <c r="D3672" s="14" t="s">
        <v>3067</v>
      </c>
      <c r="E3672" s="22">
        <v>5600</v>
      </c>
      <c r="F3672" s="107">
        <v>148</v>
      </c>
      <c r="G3672" s="22" t="s">
        <v>4835</v>
      </c>
      <c r="H3672" s="108">
        <v>58</v>
      </c>
      <c r="I3672" s="109">
        <v>2</v>
      </c>
      <c r="J3672" s="8">
        <f>H3672*I3672</f>
        <v>116</v>
      </c>
      <c r="K3672" s="39">
        <v>7.78</v>
      </c>
      <c r="L3672" s="39">
        <f>K3672*J3672</f>
        <v>902.48</v>
      </c>
      <c r="M3672" s="117" t="s">
        <v>323</v>
      </c>
      <c r="N3672" s="33">
        <v>45385</v>
      </c>
      <c r="O3672" s="32">
        <v>6026</v>
      </c>
      <c r="P3672" s="391">
        <f>ROUNDUP(S3672/V3672/VLOOKUP(B3672,$C$2:$F$6,3,FALSE),2)</f>
        <v>5.7799999999999994</v>
      </c>
      <c r="Q3672" s="254">
        <v>5.78</v>
      </c>
      <c r="R3672" s="323">
        <f>Q3672*J3672</f>
        <v>670.48</v>
      </c>
      <c r="S3672" s="257">
        <v>610</v>
      </c>
      <c r="T3672" s="287">
        <f>S3672*J3672</f>
        <v>70760</v>
      </c>
      <c r="U3672" s="264"/>
      <c r="V3672" s="260">
        <v>120</v>
      </c>
      <c r="W3672" s="1136">
        <f t="shared" si="272"/>
        <v>0.34661525278491861</v>
      </c>
      <c r="X3672" s="1"/>
      <c r="Y3672" s="1"/>
      <c r="Z3672" s="1"/>
      <c r="AA3672" s="1"/>
      <c r="AB3672" s="1"/>
      <c r="AC3672" s="1"/>
      <c r="AD3672" s="1"/>
      <c r="AE3672" s="1"/>
      <c r="AF3672" s="1"/>
      <c r="AG3672" s="1"/>
      <c r="AH3672" s="1"/>
      <c r="AI3672" s="1"/>
      <c r="AJ3672" s="1"/>
      <c r="AK3672" s="1"/>
      <c r="AL3672" s="1"/>
      <c r="AM3672" s="1"/>
      <c r="AN3672" s="1"/>
      <c r="AO3672" s="1"/>
      <c r="AP3672" s="1"/>
      <c r="AQ3672" s="1"/>
      <c r="AR3672" s="1"/>
      <c r="AS3672" s="1"/>
      <c r="AT3672" s="1"/>
      <c r="AU3672" s="1"/>
      <c r="AV3672" s="1"/>
      <c r="AW3672" s="1"/>
      <c r="AX3672" s="1"/>
      <c r="AY3672" s="1"/>
    </row>
    <row r="3673" spans="1:51" s="7" customFormat="1" ht="18" customHeight="1">
      <c r="B3673" s="12"/>
      <c r="C3673" s="6" t="s">
        <v>4836</v>
      </c>
      <c r="D3673" s="14" t="s">
        <v>3067</v>
      </c>
      <c r="E3673" s="22"/>
      <c r="F3673" s="102"/>
      <c r="G3673" s="22" t="s">
        <v>316</v>
      </c>
      <c r="H3673" s="8"/>
      <c r="I3673" s="35"/>
      <c r="J3673" s="38">
        <v>1</v>
      </c>
      <c r="K3673" s="39">
        <v>20</v>
      </c>
      <c r="L3673" s="39">
        <f>K3673*J3673</f>
        <v>20</v>
      </c>
      <c r="M3673" s="91"/>
      <c r="N3673" s="33">
        <v>45385</v>
      </c>
      <c r="O3673" s="32">
        <v>6026</v>
      </c>
      <c r="P3673" s="6" t="s">
        <v>3</v>
      </c>
      <c r="Q3673" s="39">
        <v>20</v>
      </c>
      <c r="R3673" s="322">
        <f>Q3673*J3673</f>
        <v>20</v>
      </c>
      <c r="S3673" s="7">
        <v>1800</v>
      </c>
      <c r="T3673" s="7">
        <f>S3673*J3673</f>
        <v>1800</v>
      </c>
      <c r="U3673" s="21"/>
      <c r="V3673" s="260">
        <v>120</v>
      </c>
      <c r="W3673" s="1136">
        <f t="shared" si="272"/>
        <v>0.25</v>
      </c>
    </row>
    <row r="3674" spans="1:51" s="191" customFormat="1" ht="15.75">
      <c r="B3674" s="190"/>
      <c r="C3674" s="179" t="s">
        <v>4836</v>
      </c>
      <c r="D3674" s="180" t="s">
        <v>3067</v>
      </c>
      <c r="E3674" s="181"/>
      <c r="F3674" s="182"/>
      <c r="G3674" s="309" t="s">
        <v>324</v>
      </c>
      <c r="H3674" s="184" t="s">
        <v>251</v>
      </c>
      <c r="I3674" s="185"/>
      <c r="J3674" s="183"/>
      <c r="K3674" s="203">
        <v>0</v>
      </c>
      <c r="L3674" s="203">
        <v>0</v>
      </c>
      <c r="M3674" s="187"/>
      <c r="N3674" s="187">
        <v>45385</v>
      </c>
      <c r="O3674" s="186">
        <v>6026</v>
      </c>
      <c r="P3674" s="179"/>
      <c r="Q3674" s="203">
        <v>0</v>
      </c>
      <c r="R3674" s="203">
        <v>0</v>
      </c>
      <c r="S3674" s="7">
        <v>0</v>
      </c>
      <c r="T3674" s="7">
        <v>0</v>
      </c>
      <c r="U3674" s="271"/>
      <c r="V3674" s="260">
        <v>120</v>
      </c>
      <c r="W3674" s="1136" t="e">
        <f t="shared" si="272"/>
        <v>#DIV/0!</v>
      </c>
    </row>
    <row r="3675" spans="1:51" customFormat="1" ht="18" customHeight="1">
      <c r="B3675" s="26"/>
      <c r="C3675" s="6" t="s">
        <v>4837</v>
      </c>
      <c r="D3675" s="14" t="s">
        <v>1970</v>
      </c>
      <c r="E3675" s="19" t="s">
        <v>227</v>
      </c>
      <c r="F3675" s="37"/>
      <c r="G3675" s="37"/>
      <c r="H3675" s="108"/>
      <c r="I3675" s="108"/>
      <c r="J3675" s="108"/>
      <c r="K3675" s="29" t="s">
        <v>101</v>
      </c>
      <c r="L3675" s="139"/>
      <c r="M3675" s="33"/>
      <c r="N3675" s="33">
        <v>45387</v>
      </c>
      <c r="O3675" s="32">
        <v>6031</v>
      </c>
      <c r="P3675" s="6"/>
      <c r="Q3675" s="339"/>
      <c r="R3675" s="1"/>
      <c r="S3675" s="7"/>
      <c r="T3675" s="7"/>
      <c r="U3675" s="21"/>
      <c r="V3675" s="260">
        <v>120</v>
      </c>
      <c r="W3675" s="1136" t="e">
        <f t="shared" si="272"/>
        <v>#VALUE!</v>
      </c>
    </row>
    <row r="3676" spans="1:51" customFormat="1" ht="18" customHeight="1">
      <c r="B3676" s="26" t="s">
        <v>300</v>
      </c>
      <c r="C3676" s="6" t="s">
        <v>4837</v>
      </c>
      <c r="D3676" s="14" t="s">
        <v>1970</v>
      </c>
      <c r="E3676" s="22">
        <v>2250</v>
      </c>
      <c r="F3676" s="37">
        <v>15</v>
      </c>
      <c r="G3676" s="22" t="s">
        <v>277</v>
      </c>
      <c r="H3676" s="108">
        <v>30</v>
      </c>
      <c r="I3676" s="109">
        <v>1</v>
      </c>
      <c r="J3676" s="8">
        <f>H3676*I3676</f>
        <v>30</v>
      </c>
      <c r="K3676" s="39">
        <v>0.43</v>
      </c>
      <c r="L3676" s="39">
        <f>K3676*J3676</f>
        <v>12.9</v>
      </c>
      <c r="M3676" s="117" t="s">
        <v>349</v>
      </c>
      <c r="N3676" s="33">
        <v>45387</v>
      </c>
      <c r="O3676" s="32">
        <v>6031</v>
      </c>
      <c r="P3676" s="391">
        <f>ROUNDUP(S3676/V3676/VLOOKUP(B3676,$C$2:$F$6,3,FALSE),2)</f>
        <v>0.28000000000000003</v>
      </c>
      <c r="Q3676" s="322">
        <v>0.28000000000000003</v>
      </c>
      <c r="R3676" s="322">
        <f>Q3676*J3676</f>
        <v>8.4</v>
      </c>
      <c r="S3676" s="7">
        <v>23.1</v>
      </c>
      <c r="T3676" s="7">
        <f>S3676*J3676</f>
        <v>693</v>
      </c>
      <c r="U3676" s="39"/>
      <c r="V3676" s="260">
        <v>120</v>
      </c>
      <c r="W3676" s="1136">
        <f t="shared" si="272"/>
        <v>0.55232558139534882</v>
      </c>
    </row>
    <row r="3677" spans="1:51" s="7" customFormat="1" ht="18" customHeight="1">
      <c r="B3677" s="12"/>
      <c r="C3677" s="6" t="s">
        <v>4837</v>
      </c>
      <c r="D3677" s="14" t="s">
        <v>1970</v>
      </c>
      <c r="E3677" s="82"/>
      <c r="F3677" s="102"/>
      <c r="G3677" s="22" t="s">
        <v>316</v>
      </c>
      <c r="H3677" s="8"/>
      <c r="I3677" s="35"/>
      <c r="J3677" s="38">
        <v>1</v>
      </c>
      <c r="K3677" s="39">
        <v>12</v>
      </c>
      <c r="L3677" s="39">
        <f>K3677*J3677</f>
        <v>12</v>
      </c>
      <c r="M3677" s="91"/>
      <c r="N3677" s="33">
        <v>45387</v>
      </c>
      <c r="O3677" s="32">
        <v>6031</v>
      </c>
      <c r="P3677" s="391">
        <v>12</v>
      </c>
      <c r="Q3677" s="322">
        <v>12</v>
      </c>
      <c r="R3677" s="322">
        <f>Q3677*J3677</f>
        <v>12</v>
      </c>
      <c r="S3677" s="197">
        <v>0</v>
      </c>
      <c r="T3677" s="198">
        <v>0</v>
      </c>
      <c r="U3677" s="21"/>
      <c r="V3677" s="260">
        <v>120</v>
      </c>
      <c r="W3677" s="1136">
        <f t="shared" si="272"/>
        <v>1</v>
      </c>
    </row>
    <row r="3678" spans="1:51" s="191" customFormat="1" ht="18" customHeight="1">
      <c r="B3678" s="190"/>
      <c r="C3678" s="179" t="s">
        <v>4837</v>
      </c>
      <c r="D3678" s="180" t="s">
        <v>1970</v>
      </c>
      <c r="E3678" s="181"/>
      <c r="F3678" s="622"/>
      <c r="G3678" s="182" t="s">
        <v>250</v>
      </c>
      <c r="H3678" s="184" t="s">
        <v>251</v>
      </c>
      <c r="I3678" s="185"/>
      <c r="J3678" s="183"/>
      <c r="K3678" s="192">
        <v>0</v>
      </c>
      <c r="L3678" s="188"/>
      <c r="M3678" s="187"/>
      <c r="N3678" s="187">
        <v>45387</v>
      </c>
      <c r="O3678" s="186">
        <v>6031</v>
      </c>
      <c r="P3678" s="179"/>
      <c r="Q3678" s="725">
        <v>0</v>
      </c>
      <c r="S3678" s="197">
        <v>0</v>
      </c>
      <c r="T3678" s="198">
        <v>0</v>
      </c>
      <c r="U3678" s="335"/>
      <c r="V3678" s="260">
        <v>120</v>
      </c>
      <c r="W3678" s="1136" t="e">
        <f t="shared" si="272"/>
        <v>#DIV/0!</v>
      </c>
    </row>
    <row r="3679" spans="1:51" s="7" customFormat="1" ht="18" customHeight="1">
      <c r="B3679" s="12"/>
      <c r="C3679" s="965" t="s">
        <v>4838</v>
      </c>
      <c r="D3679" s="14" t="s">
        <v>2162</v>
      </c>
      <c r="E3679" s="19" t="s">
        <v>2949</v>
      </c>
      <c r="F3679" s="37"/>
      <c r="G3679" s="37"/>
      <c r="H3679" s="108"/>
      <c r="I3679" s="108"/>
      <c r="J3679" s="108"/>
      <c r="K3679" s="29" t="s">
        <v>5</v>
      </c>
      <c r="L3679" s="139"/>
      <c r="M3679" s="33"/>
      <c r="N3679" s="33">
        <v>45390</v>
      </c>
      <c r="O3679" s="32">
        <v>6040</v>
      </c>
      <c r="P3679" s="6"/>
      <c r="Q3679" s="339"/>
      <c r="U3679" s="21"/>
      <c r="V3679" s="260">
        <v>120</v>
      </c>
    </row>
    <row r="3680" spans="1:51" s="7" customFormat="1" ht="17.25" customHeight="1">
      <c r="B3680" s="12" t="s">
        <v>300</v>
      </c>
      <c r="C3680" s="965" t="s">
        <v>4838</v>
      </c>
      <c r="D3680" s="14" t="s">
        <v>2162</v>
      </c>
      <c r="E3680" s="22">
        <v>5602</v>
      </c>
      <c r="F3680" s="37"/>
      <c r="G3680" s="839" t="s">
        <v>4291</v>
      </c>
      <c r="H3680" s="108">
        <v>50</v>
      </c>
      <c r="I3680" s="109">
        <v>1</v>
      </c>
      <c r="J3680" s="8">
        <f>H3680*I3680</f>
        <v>50</v>
      </c>
      <c r="K3680" s="39">
        <v>0.22</v>
      </c>
      <c r="L3680" s="39">
        <f>K3680*J3680</f>
        <v>11</v>
      </c>
      <c r="M3680" s="117" t="s">
        <v>323</v>
      </c>
      <c r="N3680" s="33">
        <v>45390</v>
      </c>
      <c r="O3680" s="32">
        <v>6040</v>
      </c>
      <c r="P3680" s="391">
        <f>ROUNDUP(S3680/V3680/VLOOKUP(B3680,$C$2:$F$6,3,FALSE),2)</f>
        <v>0.14000000000000001</v>
      </c>
      <c r="Q3680" s="322">
        <v>0.14000000000000001</v>
      </c>
      <c r="R3680" s="322">
        <f>Q3680*J3680</f>
        <v>7.0000000000000009</v>
      </c>
      <c r="S3680" s="7">
        <v>11.5</v>
      </c>
      <c r="T3680" s="7">
        <f>S3680*J3680</f>
        <v>575</v>
      </c>
      <c r="U3680" s="876"/>
      <c r="V3680" s="260">
        <v>120</v>
      </c>
      <c r="W3680" s="1136">
        <f>(((K3680*V3680)-S3680)/(K3680*V3680))</f>
        <v>0.56439393939393934</v>
      </c>
    </row>
    <row r="3681" spans="1:23" s="7" customFormat="1" ht="15">
      <c r="B3681" s="12"/>
      <c r="C3681" s="965" t="s">
        <v>4838</v>
      </c>
      <c r="D3681" s="14" t="s">
        <v>2162</v>
      </c>
      <c r="E3681" s="82"/>
      <c r="F3681" s="102"/>
      <c r="G3681" s="22" t="s">
        <v>316</v>
      </c>
      <c r="H3681" s="8"/>
      <c r="I3681" s="35"/>
      <c r="J3681" s="38">
        <v>1</v>
      </c>
      <c r="K3681" s="39">
        <v>12</v>
      </c>
      <c r="L3681" s="39">
        <f>K3681*J3681</f>
        <v>12</v>
      </c>
      <c r="M3681" s="91"/>
      <c r="N3681" s="33">
        <v>45390</v>
      </c>
      <c r="O3681" s="32">
        <v>6040</v>
      </c>
      <c r="P3681" s="6"/>
      <c r="Q3681" s="322">
        <v>12</v>
      </c>
      <c r="R3681" s="322">
        <f>Q3681*J3681</f>
        <v>12</v>
      </c>
      <c r="S3681" s="7">
        <v>1100</v>
      </c>
      <c r="T3681" s="7">
        <f>S3681*J3681</f>
        <v>1100</v>
      </c>
      <c r="U3681" s="21"/>
      <c r="V3681" s="260">
        <v>120</v>
      </c>
      <c r="W3681" s="1136">
        <f>(((K3681*V3681)-S3681)/(K3681*V3681))</f>
        <v>0.2361111111111111</v>
      </c>
    </row>
    <row r="3682" spans="1:23" s="191" customFormat="1" ht="15">
      <c r="B3682" s="190"/>
      <c r="C3682" s="966" t="s">
        <v>4838</v>
      </c>
      <c r="D3682" s="180" t="s">
        <v>2162</v>
      </c>
      <c r="E3682" s="181"/>
      <c r="F3682" s="622"/>
      <c r="G3682" s="182" t="s">
        <v>250</v>
      </c>
      <c r="H3682" s="184" t="s">
        <v>251</v>
      </c>
      <c r="I3682" s="185"/>
      <c r="J3682" s="183"/>
      <c r="K3682" s="192">
        <v>0</v>
      </c>
      <c r="L3682" s="188"/>
      <c r="M3682" s="187"/>
      <c r="N3682" s="187">
        <v>45390</v>
      </c>
      <c r="O3682" s="186">
        <v>6040</v>
      </c>
      <c r="P3682" s="179"/>
      <c r="Q3682" s="725">
        <v>0</v>
      </c>
      <c r="S3682" s="197">
        <v>0</v>
      </c>
      <c r="T3682" s="198">
        <v>0</v>
      </c>
      <c r="U3682" s="335"/>
      <c r="V3682" s="260">
        <v>120</v>
      </c>
      <c r="W3682" s="1136" t="e">
        <f>(((K3682*V3682)-S3682)/(K3682*V3682))</f>
        <v>#DIV/0!</v>
      </c>
    </row>
    <row r="3683" spans="1:23" customFormat="1" ht="18" customHeight="1">
      <c r="A3683" s="1"/>
      <c r="B3683" s="26"/>
      <c r="C3683" s="6" t="s">
        <v>4839</v>
      </c>
      <c r="D3683" s="14" t="s">
        <v>4840</v>
      </c>
      <c r="E3683" s="19" t="s">
        <v>4847</v>
      </c>
      <c r="F3683" s="107"/>
      <c r="G3683" s="22"/>
      <c r="H3683" s="108"/>
      <c r="I3683" s="109"/>
      <c r="J3683" s="108"/>
      <c r="K3683" s="110" t="s">
        <v>5</v>
      </c>
      <c r="L3683" s="33"/>
      <c r="M3683" s="33"/>
      <c r="N3683" s="33">
        <v>45392</v>
      </c>
      <c r="O3683" s="32">
        <v>6054</v>
      </c>
      <c r="P3683" s="14"/>
      <c r="Q3683" s="254"/>
      <c r="R3683" s="1"/>
      <c r="S3683" s="261"/>
      <c r="T3683" s="92"/>
      <c r="U3683" s="264"/>
      <c r="V3683" s="260">
        <v>120</v>
      </c>
    </row>
    <row r="3684" spans="1:23" customFormat="1" ht="18" customHeight="1">
      <c r="B3684" s="12" t="s">
        <v>302</v>
      </c>
      <c r="C3684" s="6" t="s">
        <v>4839</v>
      </c>
      <c r="D3684" s="14" t="s">
        <v>4840</v>
      </c>
      <c r="E3684" s="19" t="s">
        <v>4841</v>
      </c>
      <c r="F3684" s="107" t="s">
        <v>3340</v>
      </c>
      <c r="G3684" s="22" t="s">
        <v>4842</v>
      </c>
      <c r="H3684" s="60">
        <v>20</v>
      </c>
      <c r="I3684" s="61">
        <v>1</v>
      </c>
      <c r="J3684" s="60">
        <f>H3684*I3684</f>
        <v>20</v>
      </c>
      <c r="K3684" s="39">
        <v>19.72</v>
      </c>
      <c r="L3684" s="39">
        <f>K3684*J3684</f>
        <v>394.4</v>
      </c>
      <c r="M3684" s="117" t="s">
        <v>323</v>
      </c>
      <c r="N3684" s="33">
        <v>45392</v>
      </c>
      <c r="O3684" s="32">
        <v>6054</v>
      </c>
      <c r="P3684" s="391">
        <f>ROUNDUP(S3684/V3684/VLOOKUP(B3684,$C$2:$F$6,3,FALSE),2)</f>
        <v>13.45</v>
      </c>
      <c r="Q3684" s="254">
        <v>13.45</v>
      </c>
      <c r="R3684" s="323">
        <f>Q3684*J3684</f>
        <v>269</v>
      </c>
      <c r="S3684" s="273">
        <v>1420</v>
      </c>
      <c r="T3684" s="287">
        <f>S3684*J3684</f>
        <v>28400</v>
      </c>
      <c r="U3684" s="264"/>
      <c r="V3684" s="260">
        <v>120</v>
      </c>
      <c r="W3684" s="1136">
        <f>(((K3684*V3684)-S3684)/(K3684*V3684))</f>
        <v>0.39993238674780246</v>
      </c>
    </row>
    <row r="3685" spans="1:23" s="7" customFormat="1" ht="18" customHeight="1">
      <c r="B3685" s="12"/>
      <c r="C3685" s="6" t="s">
        <v>4839</v>
      </c>
      <c r="D3685" s="14" t="s">
        <v>4840</v>
      </c>
      <c r="E3685" s="22"/>
      <c r="F3685" s="102"/>
      <c r="G3685" s="22" t="s">
        <v>4329</v>
      </c>
      <c r="H3685" s="8"/>
      <c r="I3685" s="35"/>
      <c r="J3685" s="8">
        <v>20</v>
      </c>
      <c r="K3685" s="39">
        <v>4.17</v>
      </c>
      <c r="L3685" s="39">
        <f>K3685*J3685</f>
        <v>83.4</v>
      </c>
      <c r="M3685" s="91"/>
      <c r="N3685" s="33">
        <v>45392</v>
      </c>
      <c r="O3685" s="32">
        <v>6054</v>
      </c>
      <c r="P3685" s="6" t="s">
        <v>3</v>
      </c>
      <c r="Q3685" s="39">
        <v>4.17</v>
      </c>
      <c r="R3685" s="322">
        <f>Q3685*J3685</f>
        <v>83.4</v>
      </c>
      <c r="S3685" s="7">
        <v>300</v>
      </c>
      <c r="T3685" s="7">
        <f>S3685*J3685</f>
        <v>6000</v>
      </c>
      <c r="U3685" s="21"/>
      <c r="V3685" s="260">
        <v>120</v>
      </c>
      <c r="W3685" s="1136">
        <f>(((K3685*V3685)-S3685)/(K3685*V3685))</f>
        <v>0.40047961630695439</v>
      </c>
    </row>
    <row r="3686" spans="1:23" customFormat="1" ht="18" customHeight="1">
      <c r="B3686" s="12" t="s">
        <v>302</v>
      </c>
      <c r="C3686" s="6" t="s">
        <v>4839</v>
      </c>
      <c r="D3686" s="14" t="s">
        <v>4840</v>
      </c>
      <c r="E3686" s="19" t="s">
        <v>3339</v>
      </c>
      <c r="F3686" s="107" t="s">
        <v>3340</v>
      </c>
      <c r="G3686" s="22" t="s">
        <v>4843</v>
      </c>
      <c r="H3686" s="60">
        <v>10</v>
      </c>
      <c r="I3686" s="61">
        <v>1</v>
      </c>
      <c r="J3686" s="60">
        <f>H3686*I3686</f>
        <v>10</v>
      </c>
      <c r="K3686" s="39">
        <v>19.72</v>
      </c>
      <c r="L3686" s="39">
        <f>K3686*J3686</f>
        <v>197.2</v>
      </c>
      <c r="M3686" s="117" t="s">
        <v>323</v>
      </c>
      <c r="N3686" s="33">
        <v>45392</v>
      </c>
      <c r="O3686" s="32">
        <v>6054</v>
      </c>
      <c r="P3686" s="391">
        <f>ROUNDUP(S3686/V3686/VLOOKUP(B3686,$C$2:$F$6,3,FALSE),2)</f>
        <v>13.45</v>
      </c>
      <c r="Q3686" s="254">
        <v>13.45</v>
      </c>
      <c r="R3686" s="323">
        <f>Q3686*J3686</f>
        <v>134.5</v>
      </c>
      <c r="S3686" s="273">
        <v>1420</v>
      </c>
      <c r="T3686" s="287">
        <f>S3686*J3686</f>
        <v>14200</v>
      </c>
      <c r="U3686" s="264"/>
      <c r="V3686" s="260">
        <v>120</v>
      </c>
      <c r="W3686" s="1136">
        <f>(((K3686*V3686)-S3686)/(K3686*V3686))</f>
        <v>0.39993238674780246</v>
      </c>
    </row>
    <row r="3687" spans="1:23" s="7" customFormat="1" ht="18" customHeight="1">
      <c r="B3687" s="12"/>
      <c r="C3687" s="6" t="s">
        <v>4839</v>
      </c>
      <c r="D3687" s="14" t="s">
        <v>4840</v>
      </c>
      <c r="E3687" s="22"/>
      <c r="F3687" s="102"/>
      <c r="G3687" s="22" t="s">
        <v>4329</v>
      </c>
      <c r="H3687" s="8"/>
      <c r="I3687" s="35"/>
      <c r="J3687" s="8">
        <v>10</v>
      </c>
      <c r="K3687" s="39">
        <v>4.17</v>
      </c>
      <c r="L3687" s="39">
        <f>K3687*J3687</f>
        <v>41.7</v>
      </c>
      <c r="M3687" s="91"/>
      <c r="N3687" s="33">
        <v>45392</v>
      </c>
      <c r="O3687" s="32">
        <v>6054</v>
      </c>
      <c r="P3687" s="6" t="s">
        <v>3</v>
      </c>
      <c r="Q3687" s="39">
        <v>4.17</v>
      </c>
      <c r="R3687" s="322">
        <f>Q3687*J3687</f>
        <v>41.7</v>
      </c>
      <c r="S3687" s="7">
        <v>300</v>
      </c>
      <c r="T3687" s="7">
        <f>S3687*J3687</f>
        <v>3000</v>
      </c>
      <c r="U3687" s="21"/>
      <c r="V3687" s="260">
        <v>120</v>
      </c>
      <c r="W3687" s="1136">
        <f>(((K3687*V3687)-S3687)/(K3687*V3687))</f>
        <v>0.40047961630695439</v>
      </c>
    </row>
    <row r="3688" spans="1:23" s="7" customFormat="1" ht="18" customHeight="1">
      <c r="B3688" s="12"/>
      <c r="C3688" s="6" t="s">
        <v>4839</v>
      </c>
      <c r="D3688" s="14" t="s">
        <v>4840</v>
      </c>
      <c r="E3688" s="82"/>
      <c r="F3688" s="102"/>
      <c r="G3688" s="22" t="s">
        <v>316</v>
      </c>
      <c r="H3688" s="8"/>
      <c r="I3688" s="35"/>
      <c r="J3688" s="38">
        <v>1</v>
      </c>
      <c r="K3688" s="39">
        <v>20</v>
      </c>
      <c r="L3688" s="39">
        <f>K3688*J3688</f>
        <v>20</v>
      </c>
      <c r="M3688" s="91"/>
      <c r="N3688" s="33">
        <v>45392</v>
      </c>
      <c r="O3688" s="32">
        <v>6054</v>
      </c>
      <c r="P3688" s="6"/>
      <c r="Q3688" s="322">
        <v>20</v>
      </c>
      <c r="R3688" s="322">
        <f>Q3688*J3688</f>
        <v>20</v>
      </c>
      <c r="S3688" s="7">
        <v>0</v>
      </c>
      <c r="T3688" s="7">
        <f>S3688*J3688</f>
        <v>0</v>
      </c>
      <c r="U3688" s="21"/>
      <c r="V3688" s="260">
        <v>120</v>
      </c>
      <c r="W3688" s="1136">
        <f>(((K3688*V3688)-S3688)/(K3688*V3688))</f>
        <v>1</v>
      </c>
    </row>
    <row r="3689" spans="1:23" s="191" customFormat="1" ht="15.75">
      <c r="B3689" s="190"/>
      <c r="C3689" s="179" t="s">
        <v>4839</v>
      </c>
      <c r="D3689" s="180" t="s">
        <v>4840</v>
      </c>
      <c r="E3689" s="181"/>
      <c r="F3689" s="182"/>
      <c r="G3689" s="309" t="s">
        <v>324</v>
      </c>
      <c r="H3689" s="184" t="s">
        <v>374</v>
      </c>
      <c r="I3689" s="185"/>
      <c r="J3689" s="183"/>
      <c r="K3689" s="203">
        <v>222</v>
      </c>
      <c r="L3689" s="203">
        <v>222</v>
      </c>
      <c r="M3689" s="187"/>
      <c r="N3689" s="187">
        <v>45392</v>
      </c>
      <c r="O3689" s="186">
        <v>6054</v>
      </c>
      <c r="P3689" s="179"/>
      <c r="Q3689" s="203">
        <v>222</v>
      </c>
      <c r="R3689" s="203">
        <v>222</v>
      </c>
      <c r="S3689" s="1201">
        <v>26543</v>
      </c>
      <c r="T3689" s="1201">
        <v>26543</v>
      </c>
      <c r="U3689" s="271"/>
      <c r="V3689" s="260">
        <v>120</v>
      </c>
      <c r="W3689" s="1136">
        <f t="shared" ref="W3689:W3694" si="274">(((K3689*V3689)-S3689)/(K3689*V3689))</f>
        <v>3.641141141141141E-3</v>
      </c>
    </row>
    <row r="3690" spans="1:23" s="7" customFormat="1" ht="15">
      <c r="B3690" s="12"/>
      <c r="C3690" s="6" t="s">
        <v>4866</v>
      </c>
      <c r="D3690" s="14" t="s">
        <v>2416</v>
      </c>
      <c r="E3690" s="19" t="s">
        <v>3261</v>
      </c>
      <c r="F3690" s="24"/>
      <c r="G3690" s="22"/>
      <c r="H3690" s="8"/>
      <c r="I3690" s="35"/>
      <c r="J3690" s="8"/>
      <c r="K3690" s="110" t="s">
        <v>5</v>
      </c>
      <c r="L3690" s="139"/>
      <c r="M3690" s="33"/>
      <c r="N3690" s="33"/>
      <c r="O3690" s="32"/>
      <c r="P3690" s="6" t="s">
        <v>8</v>
      </c>
      <c r="Q3690" s="358"/>
      <c r="U3690" s="120"/>
      <c r="V3690" s="260">
        <v>120</v>
      </c>
      <c r="W3690" s="1136" t="e">
        <f t="shared" si="274"/>
        <v>#VALUE!</v>
      </c>
    </row>
    <row r="3691" spans="1:23" s="7" customFormat="1" ht="18" customHeight="1">
      <c r="B3691" s="12" t="s">
        <v>300</v>
      </c>
      <c r="C3691" s="6" t="s">
        <v>4867</v>
      </c>
      <c r="D3691" s="14" t="s">
        <v>2416</v>
      </c>
      <c r="E3691" s="853" t="s">
        <v>3262</v>
      </c>
      <c r="F3691" s="37" t="s">
        <v>359</v>
      </c>
      <c r="G3691" s="396" t="s">
        <v>4844</v>
      </c>
      <c r="H3691" s="8">
        <v>50</v>
      </c>
      <c r="I3691" s="35">
        <v>20</v>
      </c>
      <c r="J3691" s="108">
        <f>H3691*I3691</f>
        <v>1000</v>
      </c>
      <c r="K3691" s="958">
        <v>0.23</v>
      </c>
      <c r="L3691" s="39">
        <f>K3691*J3691</f>
        <v>230</v>
      </c>
      <c r="M3691" s="117" t="s">
        <v>349</v>
      </c>
      <c r="N3691" s="160">
        <v>45413</v>
      </c>
      <c r="O3691" s="32"/>
      <c r="P3691" s="391">
        <f>ROUNDUP(S3691/V3691/VLOOKUP(B3691,$C$2:$F$6,3,FALSE),2)</f>
        <v>0.11</v>
      </c>
      <c r="Q3691" s="322">
        <v>0.11</v>
      </c>
      <c r="R3691" s="322">
        <f>Q3691*J3691</f>
        <v>110</v>
      </c>
      <c r="S3691" s="7">
        <v>8.8000000000000007</v>
      </c>
      <c r="T3691" s="7">
        <f>S3691*J3691</f>
        <v>8800</v>
      </c>
      <c r="U3691" s="39"/>
      <c r="V3691" s="260">
        <v>120</v>
      </c>
      <c r="W3691" s="1136">
        <f t="shared" si="274"/>
        <v>0.6811594202898551</v>
      </c>
    </row>
    <row r="3692" spans="1:23" s="7" customFormat="1" ht="18" customHeight="1">
      <c r="B3692" s="12" t="s">
        <v>300</v>
      </c>
      <c r="C3692" s="6" t="s">
        <v>4867</v>
      </c>
      <c r="D3692" s="14" t="s">
        <v>2416</v>
      </c>
      <c r="E3692" s="853" t="s">
        <v>3262</v>
      </c>
      <c r="F3692" s="37" t="s">
        <v>359</v>
      </c>
      <c r="G3692" s="396" t="s">
        <v>4869</v>
      </c>
      <c r="H3692" s="8">
        <v>50</v>
      </c>
      <c r="I3692" s="35">
        <v>6</v>
      </c>
      <c r="J3692" s="108">
        <f>H3692*I3692</f>
        <v>300</v>
      </c>
      <c r="K3692" s="958">
        <v>0.23</v>
      </c>
      <c r="L3692" s="39">
        <f>K3692*J3692</f>
        <v>69</v>
      </c>
      <c r="M3692" s="117" t="s">
        <v>349</v>
      </c>
      <c r="N3692" s="160">
        <v>45413</v>
      </c>
      <c r="O3692" s="32"/>
      <c r="P3692" s="391">
        <f>ROUNDUP(S3692/V3692/VLOOKUP(B3692,$C$2:$F$6,3,FALSE),2)</f>
        <v>0.11</v>
      </c>
      <c r="Q3692" s="322">
        <v>0.11</v>
      </c>
      <c r="R3692" s="322">
        <f>Q3692*J3692</f>
        <v>33</v>
      </c>
      <c r="S3692" s="7">
        <v>8.8000000000000007</v>
      </c>
      <c r="T3692" s="7">
        <f>S3692*J3692</f>
        <v>2640</v>
      </c>
      <c r="U3692" s="39"/>
      <c r="V3692" s="260">
        <v>120</v>
      </c>
      <c r="W3692" s="1136">
        <f t="shared" si="274"/>
        <v>0.6811594202898551</v>
      </c>
    </row>
    <row r="3693" spans="1:23" s="7" customFormat="1" ht="18" customHeight="1">
      <c r="B3693" s="12" t="s">
        <v>300</v>
      </c>
      <c r="C3693" s="6" t="s">
        <v>4867</v>
      </c>
      <c r="D3693" s="14" t="s">
        <v>2416</v>
      </c>
      <c r="E3693" s="853" t="s">
        <v>3262</v>
      </c>
      <c r="F3693" s="37" t="s">
        <v>359</v>
      </c>
      <c r="G3693" s="396" t="s">
        <v>4868</v>
      </c>
      <c r="H3693" s="8">
        <v>50</v>
      </c>
      <c r="I3693" s="35">
        <v>6</v>
      </c>
      <c r="J3693" s="108">
        <f>H3693*I3693</f>
        <v>300</v>
      </c>
      <c r="K3693" s="958">
        <v>0.23</v>
      </c>
      <c r="L3693" s="39">
        <f>K3693*J3693</f>
        <v>69</v>
      </c>
      <c r="M3693" s="117" t="s">
        <v>349</v>
      </c>
      <c r="N3693" s="160">
        <v>45413</v>
      </c>
      <c r="O3693" s="32"/>
      <c r="P3693" s="391">
        <f>ROUNDUP(S3693/V3693/VLOOKUP(B3693,$C$2:$F$6,3,FALSE),2)</f>
        <v>0.11</v>
      </c>
      <c r="Q3693" s="322">
        <v>0.11</v>
      </c>
      <c r="R3693" s="322">
        <f>Q3693*J3693</f>
        <v>33</v>
      </c>
      <c r="S3693" s="7">
        <v>8.8000000000000007</v>
      </c>
      <c r="T3693" s="7">
        <f>S3693*J3693</f>
        <v>2640</v>
      </c>
      <c r="U3693" s="39"/>
      <c r="V3693" s="260">
        <v>120</v>
      </c>
      <c r="W3693" s="1136">
        <f>(((K3693*V3693)-S3693)/(K3693*V3693))</f>
        <v>0.6811594202898551</v>
      </c>
    </row>
    <row r="3694" spans="1:23" s="7" customFormat="1" ht="18" customHeight="1">
      <c r="B3694" s="12"/>
      <c r="C3694" s="6" t="s">
        <v>4867</v>
      </c>
      <c r="D3694" s="14" t="s">
        <v>2416</v>
      </c>
      <c r="E3694" s="22"/>
      <c r="F3694" s="102"/>
      <c r="G3694" s="22" t="s">
        <v>316</v>
      </c>
      <c r="H3694" s="8"/>
      <c r="I3694" s="35"/>
      <c r="J3694" s="38">
        <v>1</v>
      </c>
      <c r="K3694" s="39">
        <v>12</v>
      </c>
      <c r="L3694" s="39">
        <f>K3694*J3694</f>
        <v>12</v>
      </c>
      <c r="M3694" s="91"/>
      <c r="N3694" s="33"/>
      <c r="O3694" s="32"/>
      <c r="P3694" s="6"/>
      <c r="Q3694" s="322">
        <v>12</v>
      </c>
      <c r="R3694" s="322">
        <f>Q3694*J3694</f>
        <v>12</v>
      </c>
      <c r="S3694" s="7">
        <v>1100</v>
      </c>
      <c r="T3694" s="7">
        <f>S3694*J3694</f>
        <v>1100</v>
      </c>
      <c r="U3694" s="21"/>
      <c r="V3694" s="260">
        <v>120</v>
      </c>
      <c r="W3694" s="1136">
        <f t="shared" si="274"/>
        <v>0.2361111111111111</v>
      </c>
    </row>
    <row r="3695" spans="1:23" s="218" customFormat="1" ht="18" customHeight="1">
      <c r="A3695" s="7"/>
      <c r="B3695" s="189"/>
      <c r="C3695" s="179" t="s">
        <v>4867</v>
      </c>
      <c r="D3695" s="180" t="s">
        <v>2416</v>
      </c>
      <c r="E3695" s="217"/>
      <c r="F3695" s="182"/>
      <c r="G3695" s="182" t="s">
        <v>250</v>
      </c>
      <c r="H3695" s="184" t="s">
        <v>251</v>
      </c>
      <c r="I3695" s="185"/>
      <c r="J3695" s="183"/>
      <c r="K3695" s="192">
        <v>0</v>
      </c>
      <c r="L3695" s="946"/>
      <c r="M3695" s="947"/>
      <c r="N3695" s="187"/>
      <c r="O3695" s="186"/>
      <c r="P3695" s="179"/>
      <c r="Q3695" s="725">
        <v>0</v>
      </c>
      <c r="S3695" s="197">
        <v>0</v>
      </c>
      <c r="T3695" s="197">
        <v>0</v>
      </c>
      <c r="U3695" s="335"/>
      <c r="V3695" s="260">
        <v>120</v>
      </c>
    </row>
    <row r="3696" spans="1:23" s="7" customFormat="1" ht="18" customHeight="1">
      <c r="B3696" s="12"/>
      <c r="C3696" s="6" t="s">
        <v>4845</v>
      </c>
      <c r="D3696" s="14" t="s">
        <v>2416</v>
      </c>
      <c r="E3696" s="19" t="s">
        <v>4599</v>
      </c>
      <c r="F3696" s="107"/>
      <c r="G3696" s="22"/>
      <c r="H3696" s="108"/>
      <c r="I3696" s="109"/>
      <c r="J3696" s="108"/>
      <c r="K3696" s="29" t="s">
        <v>5</v>
      </c>
      <c r="L3696" s="139"/>
      <c r="M3696" s="33"/>
      <c r="N3696" s="33"/>
      <c r="O3696" s="32"/>
      <c r="P3696" s="14"/>
      <c r="Q3696" s="322"/>
      <c r="S3696" s="308"/>
      <c r="T3696" s="308"/>
      <c r="U3696" s="14"/>
      <c r="V3696" s="260">
        <v>120</v>
      </c>
    </row>
    <row r="3697" spans="1:23" customFormat="1" ht="18" customHeight="1">
      <c r="B3697" s="26" t="s">
        <v>300</v>
      </c>
      <c r="C3697" s="6" t="s">
        <v>4845</v>
      </c>
      <c r="D3697" s="14" t="s">
        <v>2416</v>
      </c>
      <c r="E3697" s="1350" t="s">
        <v>2418</v>
      </c>
      <c r="F3697" s="37">
        <v>25</v>
      </c>
      <c r="G3697" s="37" t="s">
        <v>4846</v>
      </c>
      <c r="H3697" s="108">
        <v>30</v>
      </c>
      <c r="I3697" s="814">
        <v>7</v>
      </c>
      <c r="J3697" s="8">
        <f>H3697*I3697</f>
        <v>210</v>
      </c>
      <c r="K3697" s="39">
        <v>2.34</v>
      </c>
      <c r="L3697" s="39">
        <f>K3697*J3697</f>
        <v>491.4</v>
      </c>
      <c r="M3697" s="117" t="s">
        <v>349</v>
      </c>
      <c r="N3697" s="160">
        <v>45427</v>
      </c>
      <c r="O3697" s="32"/>
      <c r="P3697" s="391">
        <f>ROUNDUP(S3697/V3697/VLOOKUP(B3697,$C$2:$F$6,3,FALSE),2)</f>
        <v>1.59</v>
      </c>
      <c r="Q3697" s="725">
        <v>1.59</v>
      </c>
      <c r="R3697" s="322">
        <f>Q3697*J3697</f>
        <v>333.90000000000003</v>
      </c>
      <c r="S3697" s="7">
        <v>133</v>
      </c>
      <c r="T3697" s="7">
        <f>S3697*J3697</f>
        <v>27930</v>
      </c>
      <c r="U3697" s="267"/>
      <c r="V3697" s="260">
        <v>120</v>
      </c>
      <c r="W3697" s="1136">
        <f t="shared" ref="W3697:W3703" si="275">(((K3697*V3697)-S3697)/(K3697*V3697))</f>
        <v>0.52635327635327622</v>
      </c>
    </row>
    <row r="3698" spans="1:23" s="7" customFormat="1" ht="18" customHeight="1">
      <c r="B3698" s="12" t="s">
        <v>4849</v>
      </c>
      <c r="C3698" s="6" t="s">
        <v>4845</v>
      </c>
      <c r="D3698" s="14" t="s">
        <v>2416</v>
      </c>
      <c r="E3698" s="22"/>
      <c r="F3698" s="102"/>
      <c r="G3698" s="22" t="s">
        <v>4848</v>
      </c>
      <c r="H3698" s="8"/>
      <c r="I3698" s="35"/>
      <c r="J3698" s="38">
        <v>1</v>
      </c>
      <c r="K3698" s="39">
        <v>130</v>
      </c>
      <c r="L3698" s="39">
        <f>K3698*J3698</f>
        <v>130</v>
      </c>
      <c r="M3698" s="33"/>
      <c r="N3698" s="33"/>
      <c r="O3698" s="32"/>
      <c r="P3698" s="391">
        <f>ROUNDUP(S3698/V3698/VLOOKUP(B3698,$C$2:$F$6,3,FALSE),2)</f>
        <v>113.64</v>
      </c>
      <c r="Q3698" s="322">
        <v>113.64</v>
      </c>
      <c r="R3698" s="322">
        <f>Q3698*J3698</f>
        <v>113.64</v>
      </c>
      <c r="S3698" s="7">
        <v>12000</v>
      </c>
      <c r="T3698" s="92">
        <f>S3698*J3698</f>
        <v>12000</v>
      </c>
      <c r="U3698" s="21"/>
      <c r="V3698" s="260">
        <v>120</v>
      </c>
      <c r="W3698" s="1136">
        <f t="shared" si="275"/>
        <v>0.23076923076923078</v>
      </c>
    </row>
    <row r="3699" spans="1:23" s="7" customFormat="1" ht="18" customHeight="1">
      <c r="B3699" s="12"/>
      <c r="C3699" s="6" t="s">
        <v>4845</v>
      </c>
      <c r="D3699" s="14" t="s">
        <v>2416</v>
      </c>
      <c r="E3699" s="19" t="s">
        <v>3261</v>
      </c>
      <c r="F3699" s="24"/>
      <c r="G3699" s="22"/>
      <c r="H3699" s="8"/>
      <c r="I3699" s="35"/>
      <c r="J3699" s="8"/>
      <c r="K3699" s="110" t="s">
        <v>5</v>
      </c>
      <c r="L3699" s="139"/>
      <c r="M3699" s="33"/>
      <c r="N3699" s="33"/>
      <c r="O3699" s="32"/>
      <c r="P3699" s="6" t="s">
        <v>8</v>
      </c>
      <c r="Q3699" s="358"/>
      <c r="U3699" s="120"/>
      <c r="V3699" s="260">
        <v>120</v>
      </c>
      <c r="W3699" s="1136" t="e">
        <f t="shared" si="275"/>
        <v>#VALUE!</v>
      </c>
    </row>
    <row r="3700" spans="1:23" s="7" customFormat="1" ht="18" customHeight="1">
      <c r="B3700" s="12" t="s">
        <v>300</v>
      </c>
      <c r="C3700" s="6" t="s">
        <v>4845</v>
      </c>
      <c r="D3700" s="14" t="s">
        <v>2416</v>
      </c>
      <c r="E3700" s="853" t="s">
        <v>3262</v>
      </c>
      <c r="F3700" s="37" t="s">
        <v>359</v>
      </c>
      <c r="G3700" s="396" t="s">
        <v>4844</v>
      </c>
      <c r="H3700" s="8">
        <v>50</v>
      </c>
      <c r="I3700" s="35">
        <v>3</v>
      </c>
      <c r="J3700" s="108">
        <f>H3700*I3700</f>
        <v>150</v>
      </c>
      <c r="K3700" s="958">
        <v>0.23</v>
      </c>
      <c r="L3700" s="39">
        <f>K3700*J3700</f>
        <v>34.5</v>
      </c>
      <c r="M3700" s="117" t="s">
        <v>349</v>
      </c>
      <c r="N3700" s="160">
        <v>45413</v>
      </c>
      <c r="O3700" s="32"/>
      <c r="P3700" s="391">
        <f>ROUNDUP(S3700/V3700/VLOOKUP(B3700,$C$2:$F$6,3,FALSE),2)</f>
        <v>0.11</v>
      </c>
      <c r="Q3700" s="322">
        <v>0.11</v>
      </c>
      <c r="R3700" s="322">
        <f>Q3700*J3700</f>
        <v>16.5</v>
      </c>
      <c r="S3700" s="7">
        <v>8.8000000000000007</v>
      </c>
      <c r="T3700" s="7">
        <f>S3700*J3700</f>
        <v>1320</v>
      </c>
      <c r="U3700" s="39"/>
      <c r="V3700" s="260">
        <v>120</v>
      </c>
      <c r="W3700" s="1136">
        <f t="shared" si="275"/>
        <v>0.6811594202898551</v>
      </c>
    </row>
    <row r="3701" spans="1:23" s="7" customFormat="1" ht="18" customHeight="1">
      <c r="B3701" s="12" t="s">
        <v>300</v>
      </c>
      <c r="C3701" s="6" t="s">
        <v>4845</v>
      </c>
      <c r="D3701" s="14" t="s">
        <v>2416</v>
      </c>
      <c r="E3701" s="853" t="s">
        <v>3262</v>
      </c>
      <c r="F3701" s="37" t="s">
        <v>359</v>
      </c>
      <c r="G3701" s="396" t="s">
        <v>4608</v>
      </c>
      <c r="H3701" s="8">
        <v>50</v>
      </c>
      <c r="I3701" s="35">
        <v>2</v>
      </c>
      <c r="J3701" s="108">
        <f>H3701*I3701</f>
        <v>100</v>
      </c>
      <c r="K3701" s="958">
        <v>0.23</v>
      </c>
      <c r="L3701" s="39">
        <f>K3701*J3701</f>
        <v>23</v>
      </c>
      <c r="M3701" s="117" t="s">
        <v>349</v>
      </c>
      <c r="N3701" s="160">
        <v>45413</v>
      </c>
      <c r="O3701" s="32"/>
      <c r="P3701" s="391">
        <f>ROUNDUP(S3701/V3701/VLOOKUP(B3701,$C$2:$F$6,3,FALSE),2)</f>
        <v>0.11</v>
      </c>
      <c r="Q3701" s="322">
        <v>0.11</v>
      </c>
      <c r="R3701" s="322">
        <f>Q3701*J3701</f>
        <v>11</v>
      </c>
      <c r="S3701" s="7">
        <v>8.8000000000000007</v>
      </c>
      <c r="T3701" s="7">
        <f>S3701*J3701</f>
        <v>880.00000000000011</v>
      </c>
      <c r="U3701" s="39"/>
      <c r="V3701" s="260">
        <v>120</v>
      </c>
      <c r="W3701" s="1136">
        <f t="shared" si="275"/>
        <v>0.6811594202898551</v>
      </c>
    </row>
    <row r="3702" spans="1:23" s="7" customFormat="1" ht="18" customHeight="1">
      <c r="B3702" s="12" t="s">
        <v>300</v>
      </c>
      <c r="C3702" s="6" t="s">
        <v>4845</v>
      </c>
      <c r="D3702" s="14" t="s">
        <v>2416</v>
      </c>
      <c r="E3702" s="853" t="s">
        <v>3262</v>
      </c>
      <c r="F3702" s="37" t="s">
        <v>359</v>
      </c>
      <c r="G3702" s="396" t="s">
        <v>4870</v>
      </c>
      <c r="H3702" s="8">
        <v>50</v>
      </c>
      <c r="I3702" s="35">
        <v>5</v>
      </c>
      <c r="J3702" s="108">
        <f>H3702*I3702</f>
        <v>250</v>
      </c>
      <c r="K3702" s="958">
        <v>0.23</v>
      </c>
      <c r="L3702" s="39">
        <f>K3702*J3702</f>
        <v>57.5</v>
      </c>
      <c r="M3702" s="117" t="s">
        <v>349</v>
      </c>
      <c r="N3702" s="160">
        <v>45413</v>
      </c>
      <c r="O3702" s="32"/>
      <c r="P3702" s="391">
        <f>ROUNDUP(S3702/V3702/VLOOKUP(B3702,$C$2:$F$6,3,FALSE),2)</f>
        <v>0.11</v>
      </c>
      <c r="Q3702" s="322">
        <v>0.11</v>
      </c>
      <c r="R3702" s="322">
        <f>Q3702*J3702</f>
        <v>27.5</v>
      </c>
      <c r="S3702" s="7">
        <v>8.8000000000000007</v>
      </c>
      <c r="T3702" s="7">
        <f>S3702*J3702</f>
        <v>2200</v>
      </c>
      <c r="U3702" s="39"/>
      <c r="V3702" s="260">
        <v>120</v>
      </c>
      <c r="W3702" s="1136">
        <f t="shared" si="275"/>
        <v>0.6811594202898551</v>
      </c>
    </row>
    <row r="3703" spans="1:23" s="7" customFormat="1" ht="18" customHeight="1">
      <c r="B3703" s="12"/>
      <c r="C3703" s="6" t="s">
        <v>4845</v>
      </c>
      <c r="D3703" s="14" t="s">
        <v>2416</v>
      </c>
      <c r="E3703" s="22"/>
      <c r="F3703" s="102"/>
      <c r="G3703" s="22" t="s">
        <v>316</v>
      </c>
      <c r="H3703" s="8"/>
      <c r="I3703" s="35"/>
      <c r="J3703" s="38">
        <v>1</v>
      </c>
      <c r="K3703" s="39">
        <v>12</v>
      </c>
      <c r="L3703" s="39">
        <f>K3703*J3703</f>
        <v>12</v>
      </c>
      <c r="M3703" s="91"/>
      <c r="N3703" s="33"/>
      <c r="O3703" s="32"/>
      <c r="P3703" s="6"/>
      <c r="Q3703" s="322">
        <v>12</v>
      </c>
      <c r="R3703" s="322">
        <f>Q3703*J3703</f>
        <v>12</v>
      </c>
      <c r="S3703" s="7">
        <v>600</v>
      </c>
      <c r="T3703" s="7">
        <f>S3703*J3703</f>
        <v>600</v>
      </c>
      <c r="U3703" s="21"/>
      <c r="V3703" s="260">
        <v>120</v>
      </c>
      <c r="W3703" s="1136">
        <f t="shared" si="275"/>
        <v>0.58333333333333337</v>
      </c>
    </row>
    <row r="3704" spans="1:23" s="218" customFormat="1" ht="18" customHeight="1">
      <c r="A3704" s="7"/>
      <c r="B3704" s="189"/>
      <c r="C3704" s="179" t="s">
        <v>4845</v>
      </c>
      <c r="D3704" s="180" t="s">
        <v>2416</v>
      </c>
      <c r="E3704" s="217"/>
      <c r="F3704" s="182"/>
      <c r="G3704" s="182" t="s">
        <v>250</v>
      </c>
      <c r="H3704" s="184" t="s">
        <v>251</v>
      </c>
      <c r="I3704" s="185"/>
      <c r="J3704" s="183"/>
      <c r="K3704" s="192">
        <v>0</v>
      </c>
      <c r="L3704" s="946"/>
      <c r="M3704" s="947"/>
      <c r="N3704" s="187"/>
      <c r="O3704" s="186"/>
      <c r="P3704" s="179"/>
      <c r="Q3704" s="725">
        <v>0</v>
      </c>
      <c r="S3704" s="197">
        <v>0</v>
      </c>
      <c r="T3704" s="197">
        <v>0</v>
      </c>
      <c r="U3704" s="335"/>
      <c r="V3704" s="260">
        <v>120</v>
      </c>
    </row>
    <row r="3705" spans="1:23" s="7" customFormat="1" ht="18" customHeight="1">
      <c r="B3705" s="12"/>
      <c r="C3705" s="6" t="s">
        <v>4850</v>
      </c>
      <c r="D3705" s="14" t="s">
        <v>2416</v>
      </c>
      <c r="E3705" s="19" t="s">
        <v>4599</v>
      </c>
      <c r="F3705" s="107"/>
      <c r="G3705" s="22"/>
      <c r="H3705" s="108"/>
      <c r="I3705" s="109"/>
      <c r="J3705" s="108"/>
      <c r="K3705" s="29" t="s">
        <v>5</v>
      </c>
      <c r="L3705" s="139"/>
      <c r="M3705" s="33"/>
      <c r="N3705" s="33"/>
      <c r="O3705" s="32"/>
      <c r="P3705" s="14"/>
      <c r="Q3705" s="322"/>
      <c r="S3705" s="308"/>
      <c r="T3705" s="308"/>
      <c r="U3705" s="14"/>
      <c r="V3705" s="260">
        <v>120</v>
      </c>
    </row>
    <row r="3706" spans="1:23" customFormat="1" ht="18" customHeight="1">
      <c r="B3706" s="26" t="s">
        <v>300</v>
      </c>
      <c r="C3706" s="6" t="s">
        <v>4850</v>
      </c>
      <c r="D3706" s="14" t="s">
        <v>2416</v>
      </c>
      <c r="E3706" s="1350" t="s">
        <v>2418</v>
      </c>
      <c r="F3706" s="37">
        <v>30</v>
      </c>
      <c r="G3706" s="37" t="s">
        <v>4602</v>
      </c>
      <c r="H3706" s="108">
        <v>30</v>
      </c>
      <c r="I3706" s="814">
        <v>10</v>
      </c>
      <c r="J3706" s="8">
        <f>H3706*I3706</f>
        <v>300</v>
      </c>
      <c r="K3706" s="39">
        <v>2.62</v>
      </c>
      <c r="L3706" s="39">
        <f t="shared" ref="L3706:L3711" si="276">K3706*J3706</f>
        <v>786</v>
      </c>
      <c r="M3706" s="117" t="s">
        <v>349</v>
      </c>
      <c r="N3706" s="160">
        <v>45427</v>
      </c>
      <c r="O3706" s="32"/>
      <c r="P3706" s="391">
        <f>ROUNDUP(S3706/V3706/VLOOKUP(B3706,$C$2:$F$6,3,FALSE),2)</f>
        <v>1.71</v>
      </c>
      <c r="Q3706" s="725">
        <v>1.71</v>
      </c>
      <c r="R3706" s="322">
        <f t="shared" ref="R3706:R3711" si="277">Q3706*J3706</f>
        <v>513</v>
      </c>
      <c r="S3706" s="7">
        <v>143</v>
      </c>
      <c r="T3706" s="7">
        <f t="shared" ref="T3706:T3711" si="278">S3706*J3706</f>
        <v>42900</v>
      </c>
      <c r="U3706" s="267"/>
      <c r="V3706" s="260">
        <v>120</v>
      </c>
      <c r="W3706" s="1136">
        <f t="shared" ref="W3706:W3711" si="279">(((K3706*V3706)-S3706)/(K3706*V3706))</f>
        <v>0.54516539440203571</v>
      </c>
    </row>
    <row r="3707" spans="1:23" customFormat="1" ht="18" customHeight="1">
      <c r="B3707" s="26" t="s">
        <v>300</v>
      </c>
      <c r="C3707" s="6" t="s">
        <v>4850</v>
      </c>
      <c r="D3707" s="14" t="s">
        <v>2416</v>
      </c>
      <c r="E3707" s="1350" t="s">
        <v>2418</v>
      </c>
      <c r="F3707" s="37">
        <v>25</v>
      </c>
      <c r="G3707" s="37" t="s">
        <v>4602</v>
      </c>
      <c r="H3707" s="108">
        <v>30</v>
      </c>
      <c r="I3707" s="814">
        <v>10</v>
      </c>
      <c r="J3707" s="8">
        <f>H3707*I3707</f>
        <v>300</v>
      </c>
      <c r="K3707" s="39">
        <v>2.34</v>
      </c>
      <c r="L3707" s="39">
        <f t="shared" si="276"/>
        <v>702</v>
      </c>
      <c r="M3707" s="117" t="s">
        <v>349</v>
      </c>
      <c r="N3707" s="160">
        <v>45427</v>
      </c>
      <c r="O3707" s="32"/>
      <c r="P3707" s="391">
        <f>ROUNDUP(S3707/V3707/VLOOKUP(B3707,$C$2:$F$6,3,FALSE),2)</f>
        <v>1.5</v>
      </c>
      <c r="Q3707" s="725">
        <v>1.5</v>
      </c>
      <c r="R3707" s="322">
        <f t="shared" si="277"/>
        <v>450</v>
      </c>
      <c r="S3707" s="7">
        <v>126</v>
      </c>
      <c r="T3707" s="7">
        <f t="shared" si="278"/>
        <v>37800</v>
      </c>
      <c r="U3707" s="267"/>
      <c r="V3707" s="260">
        <v>120</v>
      </c>
      <c r="W3707" s="1136">
        <f t="shared" si="279"/>
        <v>0.55128205128205121</v>
      </c>
    </row>
    <row r="3708" spans="1:23" customFormat="1" ht="18" customHeight="1">
      <c r="B3708" s="26" t="s">
        <v>300</v>
      </c>
      <c r="C3708" s="6" t="s">
        <v>4850</v>
      </c>
      <c r="D3708" s="14" t="s">
        <v>2416</v>
      </c>
      <c r="E3708" s="1350" t="s">
        <v>2418</v>
      </c>
      <c r="F3708" s="37">
        <v>30</v>
      </c>
      <c r="G3708" s="37" t="s">
        <v>4846</v>
      </c>
      <c r="H3708" s="108">
        <v>30</v>
      </c>
      <c r="I3708" s="814">
        <v>10</v>
      </c>
      <c r="J3708" s="8">
        <f>H3708*I3708</f>
        <v>300</v>
      </c>
      <c r="K3708" s="39">
        <v>2.62</v>
      </c>
      <c r="L3708" s="39">
        <f t="shared" si="276"/>
        <v>786</v>
      </c>
      <c r="M3708" s="117" t="s">
        <v>349</v>
      </c>
      <c r="N3708" s="160">
        <v>45427</v>
      </c>
      <c r="O3708" s="32"/>
      <c r="P3708" s="391">
        <f>ROUNDUP(S3708/V3708/VLOOKUP(B3708,$C$2:$F$6,3,FALSE),2)</f>
        <v>1.78</v>
      </c>
      <c r="Q3708" s="725">
        <v>1.78</v>
      </c>
      <c r="R3708" s="322">
        <f t="shared" si="277"/>
        <v>534</v>
      </c>
      <c r="S3708" s="7">
        <v>149</v>
      </c>
      <c r="T3708" s="7">
        <f t="shared" si="278"/>
        <v>44700</v>
      </c>
      <c r="U3708" s="267"/>
      <c r="V3708" s="260">
        <v>120</v>
      </c>
      <c r="W3708" s="1136">
        <f t="shared" si="279"/>
        <v>0.52608142493638677</v>
      </c>
    </row>
    <row r="3709" spans="1:23" customFormat="1" ht="18" customHeight="1">
      <c r="B3709" s="26" t="s">
        <v>300</v>
      </c>
      <c r="C3709" s="6" t="s">
        <v>4850</v>
      </c>
      <c r="D3709" s="14" t="s">
        <v>2416</v>
      </c>
      <c r="E3709" s="1350" t="s">
        <v>2418</v>
      </c>
      <c r="F3709" s="37">
        <v>30</v>
      </c>
      <c r="G3709" s="37" t="s">
        <v>2420</v>
      </c>
      <c r="H3709" s="108">
        <v>30</v>
      </c>
      <c r="I3709" s="814">
        <v>10</v>
      </c>
      <c r="J3709" s="8">
        <f>H3709*I3709</f>
        <v>300</v>
      </c>
      <c r="K3709" s="39">
        <v>2.62</v>
      </c>
      <c r="L3709" s="39">
        <f t="shared" si="276"/>
        <v>786</v>
      </c>
      <c r="M3709" s="117" t="s">
        <v>349</v>
      </c>
      <c r="N3709" s="160">
        <v>45427</v>
      </c>
      <c r="O3709" s="32"/>
      <c r="P3709" s="391">
        <f>ROUNDUP(S3709/V3709/VLOOKUP(B3709,$C$2:$F$6,3,FALSE),2)</f>
        <v>1.71</v>
      </c>
      <c r="Q3709" s="725">
        <v>1.71</v>
      </c>
      <c r="R3709" s="322">
        <f t="shared" si="277"/>
        <v>513</v>
      </c>
      <c r="S3709" s="7">
        <v>143</v>
      </c>
      <c r="T3709" s="7">
        <f t="shared" si="278"/>
        <v>42900</v>
      </c>
      <c r="U3709" s="267"/>
      <c r="V3709" s="260">
        <v>120</v>
      </c>
      <c r="W3709" s="1136">
        <f t="shared" si="279"/>
        <v>0.54516539440203571</v>
      </c>
    </row>
    <row r="3710" spans="1:23" s="7" customFormat="1" ht="18" customHeight="1">
      <c r="B3710" s="12" t="s">
        <v>4849</v>
      </c>
      <c r="C3710" s="6" t="s">
        <v>4850</v>
      </c>
      <c r="D3710" s="14" t="s">
        <v>2416</v>
      </c>
      <c r="E3710" s="22"/>
      <c r="F3710" s="102"/>
      <c r="G3710" s="22" t="s">
        <v>4848</v>
      </c>
      <c r="H3710" s="8"/>
      <c r="I3710" s="35"/>
      <c r="J3710" s="38">
        <v>1</v>
      </c>
      <c r="K3710" s="39">
        <v>130</v>
      </c>
      <c r="L3710" s="39">
        <f t="shared" si="276"/>
        <v>130</v>
      </c>
      <c r="M3710" s="33"/>
      <c r="N3710" s="160"/>
      <c r="O3710" s="32"/>
      <c r="P3710" s="391">
        <f>ROUNDUP(S3710/V3710/VLOOKUP(B3710,$C$2:$F$6,3,FALSE),2)</f>
        <v>113.64</v>
      </c>
      <c r="Q3710" s="322">
        <v>113.64</v>
      </c>
      <c r="R3710" s="322">
        <f t="shared" si="277"/>
        <v>113.64</v>
      </c>
      <c r="S3710" s="7">
        <v>12000</v>
      </c>
      <c r="T3710" s="92">
        <f t="shared" si="278"/>
        <v>12000</v>
      </c>
      <c r="U3710" s="21"/>
      <c r="V3710" s="260">
        <v>120</v>
      </c>
      <c r="W3710" s="1136">
        <f t="shared" si="279"/>
        <v>0.23076923076923078</v>
      </c>
    </row>
    <row r="3711" spans="1:23" s="7" customFormat="1" ht="18" customHeight="1">
      <c r="B3711" s="12"/>
      <c r="C3711" s="6" t="s">
        <v>4850</v>
      </c>
      <c r="D3711" s="14" t="s">
        <v>2416</v>
      </c>
      <c r="E3711" s="22"/>
      <c r="F3711" s="102"/>
      <c r="G3711" s="22" t="s">
        <v>316</v>
      </c>
      <c r="H3711" s="8"/>
      <c r="I3711" s="35"/>
      <c r="J3711" s="38">
        <v>1</v>
      </c>
      <c r="K3711" s="39">
        <v>12</v>
      </c>
      <c r="L3711" s="39">
        <f t="shared" si="276"/>
        <v>12</v>
      </c>
      <c r="M3711" s="91"/>
      <c r="N3711" s="160"/>
      <c r="O3711" s="32"/>
      <c r="P3711" s="6"/>
      <c r="Q3711" s="322">
        <v>12</v>
      </c>
      <c r="R3711" s="322">
        <f t="shared" si="277"/>
        <v>12</v>
      </c>
      <c r="S3711" s="7">
        <v>0</v>
      </c>
      <c r="T3711" s="7">
        <f t="shared" si="278"/>
        <v>0</v>
      </c>
      <c r="U3711" s="21"/>
      <c r="V3711" s="260">
        <v>120</v>
      </c>
      <c r="W3711" s="1136">
        <f t="shared" si="279"/>
        <v>1</v>
      </c>
    </row>
    <row r="3712" spans="1:23" s="218" customFormat="1" ht="18" customHeight="1">
      <c r="A3712" s="7"/>
      <c r="B3712" s="189"/>
      <c r="C3712" s="179" t="s">
        <v>4850</v>
      </c>
      <c r="D3712" s="180" t="s">
        <v>2416</v>
      </c>
      <c r="E3712" s="217"/>
      <c r="F3712" s="182"/>
      <c r="G3712" s="182" t="s">
        <v>250</v>
      </c>
      <c r="H3712" s="184" t="s">
        <v>251</v>
      </c>
      <c r="I3712" s="185"/>
      <c r="J3712" s="183"/>
      <c r="K3712" s="192">
        <v>0</v>
      </c>
      <c r="L3712" s="946"/>
      <c r="M3712" s="947"/>
      <c r="N3712" s="1268"/>
      <c r="O3712" s="186"/>
      <c r="P3712" s="179"/>
      <c r="Q3712" s="725">
        <v>0</v>
      </c>
      <c r="S3712" s="197">
        <v>0</v>
      </c>
      <c r="T3712" s="197">
        <v>0</v>
      </c>
      <c r="U3712" s="335"/>
      <c r="V3712" s="260">
        <v>120</v>
      </c>
    </row>
    <row r="3713" spans="1:23" s="7" customFormat="1" ht="18" customHeight="1">
      <c r="B3713" s="12"/>
      <c r="C3713" s="6" t="s">
        <v>4851</v>
      </c>
      <c r="D3713" s="14" t="s">
        <v>2416</v>
      </c>
      <c r="E3713" s="19" t="s">
        <v>4599</v>
      </c>
      <c r="F3713" s="107"/>
      <c r="G3713" s="22"/>
      <c r="H3713" s="108"/>
      <c r="I3713" s="109"/>
      <c r="J3713" s="108"/>
      <c r="K3713" s="29" t="s">
        <v>5</v>
      </c>
      <c r="L3713" s="139"/>
      <c r="M3713" s="33"/>
      <c r="N3713" s="160"/>
      <c r="O3713" s="32"/>
      <c r="P3713" s="14"/>
      <c r="Q3713" s="322"/>
      <c r="S3713" s="308"/>
      <c r="T3713" s="308"/>
      <c r="U3713" s="14"/>
      <c r="V3713" s="260">
        <v>120</v>
      </c>
    </row>
    <row r="3714" spans="1:23" customFormat="1" ht="18" customHeight="1">
      <c r="B3714" s="26" t="s">
        <v>300</v>
      </c>
      <c r="C3714" s="6" t="s">
        <v>4851</v>
      </c>
      <c r="D3714" s="14" t="s">
        <v>2416</v>
      </c>
      <c r="E3714" s="1350" t="s">
        <v>2418</v>
      </c>
      <c r="F3714" s="37">
        <v>30</v>
      </c>
      <c r="G3714" s="37" t="s">
        <v>4602</v>
      </c>
      <c r="H3714" s="108">
        <v>30</v>
      </c>
      <c r="I3714" s="814">
        <v>10</v>
      </c>
      <c r="J3714" s="8">
        <f>H3714*I3714</f>
        <v>300</v>
      </c>
      <c r="K3714" s="39">
        <v>2.62</v>
      </c>
      <c r="L3714" s="39">
        <f>K3714*J3714</f>
        <v>786</v>
      </c>
      <c r="M3714" s="117" t="s">
        <v>349</v>
      </c>
      <c r="N3714" s="160">
        <v>45427</v>
      </c>
      <c r="O3714" s="32"/>
      <c r="P3714" s="391">
        <f>ROUNDUP(S3714/V3714/VLOOKUP(B3714,$C$2:$F$6,3,FALSE),2)</f>
        <v>1.71</v>
      </c>
      <c r="Q3714" s="725">
        <v>1.71</v>
      </c>
      <c r="R3714" s="322">
        <f>Q3714*J3714</f>
        <v>513</v>
      </c>
      <c r="S3714" s="7">
        <v>143</v>
      </c>
      <c r="T3714" s="7">
        <f>S3714*J3714</f>
        <v>42900</v>
      </c>
      <c r="U3714" s="267"/>
      <c r="V3714" s="260">
        <v>120</v>
      </c>
      <c r="W3714" s="1136">
        <f>(((K3714*V3714)-S3714)/(K3714*V3714))</f>
        <v>0.54516539440203571</v>
      </c>
    </row>
    <row r="3715" spans="1:23" customFormat="1" ht="18" customHeight="1">
      <c r="B3715" s="26" t="s">
        <v>300</v>
      </c>
      <c r="C3715" s="6" t="s">
        <v>4851</v>
      </c>
      <c r="D3715" s="14" t="s">
        <v>2416</v>
      </c>
      <c r="E3715" s="1350" t="s">
        <v>2418</v>
      </c>
      <c r="F3715" s="37">
        <v>30</v>
      </c>
      <c r="G3715" s="37" t="s">
        <v>2419</v>
      </c>
      <c r="H3715" s="108">
        <v>30</v>
      </c>
      <c r="I3715" s="814">
        <v>10</v>
      </c>
      <c r="J3715" s="8">
        <f>H3715*I3715</f>
        <v>300</v>
      </c>
      <c r="K3715" s="39">
        <v>2.62</v>
      </c>
      <c r="L3715" s="39">
        <f>K3715*J3715</f>
        <v>786</v>
      </c>
      <c r="M3715" s="117" t="s">
        <v>349</v>
      </c>
      <c r="N3715" s="160">
        <v>45427</v>
      </c>
      <c r="O3715" s="32"/>
      <c r="P3715" s="391">
        <f>ROUNDUP(S3715/V3715/VLOOKUP(B3715,$C$2:$F$6,3,FALSE),2)</f>
        <v>1.78</v>
      </c>
      <c r="Q3715" s="725">
        <v>1.78</v>
      </c>
      <c r="R3715" s="322">
        <f>Q3715*J3715</f>
        <v>534</v>
      </c>
      <c r="S3715" s="7">
        <v>149</v>
      </c>
      <c r="T3715" s="7">
        <f>S3715*J3715</f>
        <v>44700</v>
      </c>
      <c r="U3715" s="267"/>
      <c r="V3715" s="260">
        <v>120</v>
      </c>
      <c r="W3715" s="1136">
        <f>(((K3715*V3715)-S3715)/(K3715*V3715))</f>
        <v>0.52608142493638677</v>
      </c>
    </row>
    <row r="3716" spans="1:23" customFormat="1" ht="18" customHeight="1">
      <c r="B3716" s="26" t="s">
        <v>300</v>
      </c>
      <c r="C3716" s="6" t="s">
        <v>4851</v>
      </c>
      <c r="D3716" s="14" t="s">
        <v>2416</v>
      </c>
      <c r="E3716" s="1350" t="s">
        <v>2418</v>
      </c>
      <c r="F3716" s="37">
        <v>30</v>
      </c>
      <c r="G3716" s="37" t="s">
        <v>2420</v>
      </c>
      <c r="H3716" s="108">
        <v>30</v>
      </c>
      <c r="I3716" s="814">
        <v>10</v>
      </c>
      <c r="J3716" s="8">
        <f>H3716*I3716</f>
        <v>300</v>
      </c>
      <c r="K3716" s="39">
        <v>2.62</v>
      </c>
      <c r="L3716" s="39">
        <f>K3716*J3716</f>
        <v>786</v>
      </c>
      <c r="M3716" s="117" t="s">
        <v>349</v>
      </c>
      <c r="N3716" s="160">
        <v>45427</v>
      </c>
      <c r="O3716" s="32"/>
      <c r="P3716" s="391">
        <f>ROUNDUP(S3716/V3716/VLOOKUP(B3716,$C$2:$F$6,3,FALSE),2)</f>
        <v>1.71</v>
      </c>
      <c r="Q3716" s="725">
        <v>1.71</v>
      </c>
      <c r="R3716" s="322">
        <f>Q3716*J3716</f>
        <v>513</v>
      </c>
      <c r="S3716" s="7">
        <v>143</v>
      </c>
      <c r="T3716" s="7">
        <f>S3716*J3716</f>
        <v>42900</v>
      </c>
      <c r="U3716" s="267"/>
      <c r="V3716" s="260">
        <v>120</v>
      </c>
      <c r="W3716" s="1136">
        <f>(((K3716*V3716)-S3716)/(K3716*V3716))</f>
        <v>0.54516539440203571</v>
      </c>
    </row>
    <row r="3717" spans="1:23" s="7" customFormat="1" ht="18" customHeight="1">
      <c r="B3717" s="12" t="s">
        <v>4849</v>
      </c>
      <c r="C3717" s="6" t="s">
        <v>4851</v>
      </c>
      <c r="D3717" s="14" t="s">
        <v>2416</v>
      </c>
      <c r="E3717" s="22"/>
      <c r="F3717" s="102"/>
      <c r="G3717" s="22" t="s">
        <v>4848</v>
      </c>
      <c r="H3717" s="8"/>
      <c r="I3717" s="35"/>
      <c r="J3717" s="38">
        <v>2</v>
      </c>
      <c r="K3717" s="39">
        <v>130</v>
      </c>
      <c r="L3717" s="39">
        <f>K3717*J3717</f>
        <v>260</v>
      </c>
      <c r="M3717" s="33"/>
      <c r="N3717" s="33"/>
      <c r="O3717" s="32"/>
      <c r="P3717" s="391">
        <f>ROUNDUP(S3717/V3717/VLOOKUP(B3717,$C$2:$F$6,3,FALSE),2)</f>
        <v>113.64</v>
      </c>
      <c r="Q3717" s="322">
        <v>113.64</v>
      </c>
      <c r="R3717" s="322">
        <f>Q3717*J3717</f>
        <v>227.28</v>
      </c>
      <c r="S3717" s="7">
        <v>12000</v>
      </c>
      <c r="T3717" s="92">
        <f>S3717*J3717</f>
        <v>24000</v>
      </c>
      <c r="U3717" s="21"/>
      <c r="V3717" s="260">
        <v>120</v>
      </c>
      <c r="W3717" s="1136">
        <f>(((K3717*V3717)-S3717)/(K3717*V3717))</f>
        <v>0.23076923076923078</v>
      </c>
    </row>
    <row r="3718" spans="1:23" s="7" customFormat="1" ht="18" customHeight="1">
      <c r="B3718" s="12"/>
      <c r="C3718" s="6" t="s">
        <v>4851</v>
      </c>
      <c r="D3718" s="14" t="s">
        <v>2416</v>
      </c>
      <c r="E3718" s="22"/>
      <c r="F3718" s="102"/>
      <c r="G3718" s="22" t="s">
        <v>316</v>
      </c>
      <c r="H3718" s="8"/>
      <c r="I3718" s="35"/>
      <c r="J3718" s="38">
        <v>1</v>
      </c>
      <c r="K3718" s="39">
        <v>12</v>
      </c>
      <c r="L3718" s="39">
        <f>K3718*J3718</f>
        <v>12</v>
      </c>
      <c r="M3718" s="91"/>
      <c r="N3718" s="33"/>
      <c r="O3718" s="32"/>
      <c r="P3718" s="6"/>
      <c r="Q3718" s="322">
        <v>12</v>
      </c>
      <c r="R3718" s="322">
        <f>Q3718*J3718</f>
        <v>12</v>
      </c>
      <c r="S3718" s="7">
        <v>0</v>
      </c>
      <c r="T3718" s="7">
        <f>S3718*J3718</f>
        <v>0</v>
      </c>
      <c r="U3718" s="21"/>
      <c r="V3718" s="260">
        <v>120</v>
      </c>
      <c r="W3718" s="1136">
        <f>(((K3718*V3718)-S3718)/(K3718*V3718))</f>
        <v>1</v>
      </c>
    </row>
    <row r="3719" spans="1:23" s="218" customFormat="1" ht="18" customHeight="1">
      <c r="A3719" s="7"/>
      <c r="B3719" s="189"/>
      <c r="C3719" s="179" t="s">
        <v>4851</v>
      </c>
      <c r="D3719" s="180" t="s">
        <v>2416</v>
      </c>
      <c r="E3719" s="217"/>
      <c r="F3719" s="182"/>
      <c r="G3719" s="182" t="s">
        <v>250</v>
      </c>
      <c r="H3719" s="184" t="s">
        <v>251</v>
      </c>
      <c r="I3719" s="185"/>
      <c r="J3719" s="183"/>
      <c r="K3719" s="192">
        <v>0</v>
      </c>
      <c r="L3719" s="946"/>
      <c r="M3719" s="947"/>
      <c r="N3719" s="187"/>
      <c r="O3719" s="186"/>
      <c r="P3719" s="179"/>
      <c r="Q3719" s="725">
        <v>0</v>
      </c>
      <c r="S3719" s="197">
        <v>0</v>
      </c>
      <c r="T3719" s="197">
        <v>0</v>
      </c>
      <c r="U3719" s="335"/>
      <c r="V3719" s="260">
        <v>120</v>
      </c>
    </row>
    <row r="3720" spans="1:23" customFormat="1" ht="18" customHeight="1">
      <c r="B3720" s="26"/>
      <c r="C3720" s="6" t="s">
        <v>4852</v>
      </c>
      <c r="D3720" s="14" t="s">
        <v>1970</v>
      </c>
      <c r="E3720" s="19" t="s">
        <v>227</v>
      </c>
      <c r="F3720" s="37"/>
      <c r="G3720" s="37"/>
      <c r="H3720" s="108"/>
      <c r="I3720" s="108"/>
      <c r="J3720" s="108"/>
      <c r="K3720" s="29" t="s">
        <v>101</v>
      </c>
      <c r="L3720" s="139"/>
      <c r="M3720" s="33"/>
      <c r="N3720" s="33">
        <v>45394</v>
      </c>
      <c r="O3720" s="32">
        <v>6056</v>
      </c>
      <c r="P3720" s="6"/>
      <c r="Q3720" s="339"/>
      <c r="R3720" s="1"/>
      <c r="S3720" s="7"/>
      <c r="T3720" s="7"/>
      <c r="U3720" s="21"/>
      <c r="V3720" s="260">
        <v>120</v>
      </c>
      <c r="W3720" s="1136" t="e">
        <f t="shared" ref="W3720:W3727" si="280">(((K3720*V3720)-S3720)/(K3720*V3720))</f>
        <v>#VALUE!</v>
      </c>
    </row>
    <row r="3721" spans="1:23" customFormat="1" ht="18" customHeight="1">
      <c r="B3721" s="26" t="s">
        <v>300</v>
      </c>
      <c r="C3721" s="6" t="s">
        <v>4852</v>
      </c>
      <c r="D3721" s="14" t="s">
        <v>1970</v>
      </c>
      <c r="E3721" s="22">
        <v>2250</v>
      </c>
      <c r="F3721" s="37">
        <v>36</v>
      </c>
      <c r="G3721" s="22" t="s">
        <v>277</v>
      </c>
      <c r="H3721" s="108">
        <v>30</v>
      </c>
      <c r="I3721" s="109">
        <v>1</v>
      </c>
      <c r="J3721" s="8">
        <f>H3721*I3721</f>
        <v>30</v>
      </c>
      <c r="K3721" s="39">
        <v>1.73</v>
      </c>
      <c r="L3721" s="39">
        <f>K3721*J3721</f>
        <v>51.9</v>
      </c>
      <c r="M3721" s="117" t="s">
        <v>349</v>
      </c>
      <c r="N3721" s="33">
        <v>45394</v>
      </c>
      <c r="O3721" s="32">
        <v>6056</v>
      </c>
      <c r="P3721" s="391">
        <f>ROUNDUP(S3721/V3721/VLOOKUP(B3721,$C$2:$F$6,3,FALSE),2)</f>
        <v>0.69000000000000006</v>
      </c>
      <c r="Q3721" s="322">
        <v>0.69</v>
      </c>
      <c r="R3721" s="322">
        <f>Q3721*J3721</f>
        <v>20.7</v>
      </c>
      <c r="S3721" s="7">
        <v>57.93</v>
      </c>
      <c r="T3721" s="7">
        <f>S3721*J3721</f>
        <v>1737.9</v>
      </c>
      <c r="U3721" s="39"/>
      <c r="V3721" s="260">
        <v>120</v>
      </c>
      <c r="W3721" s="1136">
        <f t="shared" si="280"/>
        <v>0.72095375722543353</v>
      </c>
    </row>
    <row r="3722" spans="1:23" s="7" customFormat="1" ht="18" customHeight="1">
      <c r="B3722" s="12"/>
      <c r="C3722" s="6" t="s">
        <v>4852</v>
      </c>
      <c r="D3722" s="14" t="s">
        <v>1970</v>
      </c>
      <c r="E3722" s="82"/>
      <c r="F3722" s="102"/>
      <c r="G3722" s="22" t="s">
        <v>316</v>
      </c>
      <c r="H3722" s="8"/>
      <c r="I3722" s="35"/>
      <c r="J3722" s="38">
        <v>1</v>
      </c>
      <c r="K3722" s="39">
        <v>12</v>
      </c>
      <c r="L3722" s="39">
        <f>K3722*J3722</f>
        <v>12</v>
      </c>
      <c r="M3722" s="91"/>
      <c r="N3722" s="33">
        <v>45394</v>
      </c>
      <c r="O3722" s="32">
        <v>6056</v>
      </c>
      <c r="P3722" s="391">
        <v>12</v>
      </c>
      <c r="Q3722" s="322">
        <v>12</v>
      </c>
      <c r="R3722" s="322">
        <f>Q3722*J3722</f>
        <v>12</v>
      </c>
      <c r="S3722" s="197">
        <v>0</v>
      </c>
      <c r="T3722" s="198">
        <v>0</v>
      </c>
      <c r="U3722" s="21"/>
      <c r="V3722" s="260">
        <v>120</v>
      </c>
      <c r="W3722" s="1136">
        <f t="shared" si="280"/>
        <v>1</v>
      </c>
    </row>
    <row r="3723" spans="1:23" s="191" customFormat="1" ht="18" customHeight="1">
      <c r="B3723" s="190"/>
      <c r="C3723" s="179" t="s">
        <v>4852</v>
      </c>
      <c r="D3723" s="180" t="s">
        <v>1970</v>
      </c>
      <c r="E3723" s="181"/>
      <c r="F3723" s="622"/>
      <c r="G3723" s="182" t="s">
        <v>250</v>
      </c>
      <c r="H3723" s="184" t="s">
        <v>251</v>
      </c>
      <c r="I3723" s="185"/>
      <c r="J3723" s="183"/>
      <c r="K3723" s="192">
        <v>0</v>
      </c>
      <c r="L3723" s="188"/>
      <c r="M3723" s="187"/>
      <c r="N3723" s="187">
        <v>45394</v>
      </c>
      <c r="O3723" s="186">
        <v>6056</v>
      </c>
      <c r="P3723" s="179"/>
      <c r="Q3723" s="725">
        <v>0</v>
      </c>
      <c r="S3723" s="197">
        <v>0</v>
      </c>
      <c r="T3723" s="198">
        <v>0</v>
      </c>
      <c r="U3723" s="335"/>
      <c r="V3723" s="260">
        <v>120</v>
      </c>
      <c r="W3723" s="1136" t="e">
        <f t="shared" si="280"/>
        <v>#DIV/0!</v>
      </c>
    </row>
    <row r="3724" spans="1:23" s="7" customFormat="1" ht="15">
      <c r="B3724" s="12"/>
      <c r="C3724" s="6" t="s">
        <v>4853</v>
      </c>
      <c r="D3724" s="14" t="s">
        <v>2416</v>
      </c>
      <c r="E3724" s="19" t="s">
        <v>3261</v>
      </c>
      <c r="F3724" s="24"/>
      <c r="G3724" s="22"/>
      <c r="H3724" s="8"/>
      <c r="I3724" s="35"/>
      <c r="J3724" s="8"/>
      <c r="K3724" s="110" t="s">
        <v>5</v>
      </c>
      <c r="L3724" s="139"/>
      <c r="M3724" s="33"/>
      <c r="N3724" s="33"/>
      <c r="O3724" s="32"/>
      <c r="P3724" s="6" t="s">
        <v>8</v>
      </c>
      <c r="Q3724" s="358"/>
      <c r="U3724" s="120"/>
      <c r="V3724" s="260">
        <v>120</v>
      </c>
      <c r="W3724" s="1136" t="e">
        <f t="shared" si="280"/>
        <v>#VALUE!</v>
      </c>
    </row>
    <row r="3725" spans="1:23" s="7" customFormat="1" ht="18" customHeight="1">
      <c r="B3725" s="12" t="s">
        <v>300</v>
      </c>
      <c r="C3725" s="6" t="s">
        <v>4853</v>
      </c>
      <c r="D3725" s="14" t="s">
        <v>2416</v>
      </c>
      <c r="E3725" s="853" t="s">
        <v>3262</v>
      </c>
      <c r="F3725" s="37" t="s">
        <v>359</v>
      </c>
      <c r="G3725" s="396" t="s">
        <v>4844</v>
      </c>
      <c r="H3725" s="8">
        <v>50</v>
      </c>
      <c r="I3725" s="35">
        <v>10</v>
      </c>
      <c r="J3725" s="108">
        <f>H3725*I3725</f>
        <v>500</v>
      </c>
      <c r="K3725" s="958">
        <v>0.23</v>
      </c>
      <c r="L3725" s="39">
        <f>K3725*J3725</f>
        <v>115</v>
      </c>
      <c r="M3725" s="117" t="s">
        <v>349</v>
      </c>
      <c r="N3725" s="160">
        <v>45413</v>
      </c>
      <c r="O3725" s="32"/>
      <c r="P3725" s="391">
        <f>ROUNDUP(S3725/V3725/VLOOKUP(B3725,$C$2:$F$6,3,FALSE),2)</f>
        <v>0.11</v>
      </c>
      <c r="Q3725" s="322">
        <v>0.11</v>
      </c>
      <c r="R3725" s="322">
        <f>Q3725*J3725</f>
        <v>55</v>
      </c>
      <c r="S3725" s="7">
        <v>8.8000000000000007</v>
      </c>
      <c r="T3725" s="7">
        <f>S3725*J3725</f>
        <v>4400</v>
      </c>
      <c r="U3725" s="39"/>
      <c r="V3725" s="260">
        <v>120</v>
      </c>
      <c r="W3725" s="1136">
        <f t="shared" si="280"/>
        <v>0.6811594202898551</v>
      </c>
    </row>
    <row r="3726" spans="1:23" s="7" customFormat="1" ht="18" customHeight="1">
      <c r="B3726" s="12" t="s">
        <v>300</v>
      </c>
      <c r="C3726" s="6" t="s">
        <v>4853</v>
      </c>
      <c r="D3726" s="14" t="s">
        <v>2416</v>
      </c>
      <c r="E3726" s="853" t="s">
        <v>3262</v>
      </c>
      <c r="F3726" s="37" t="s">
        <v>359</v>
      </c>
      <c r="G3726" s="396" t="s">
        <v>4608</v>
      </c>
      <c r="H3726" s="8">
        <v>50</v>
      </c>
      <c r="I3726" s="35">
        <v>3</v>
      </c>
      <c r="J3726" s="108">
        <f>H3726*I3726</f>
        <v>150</v>
      </c>
      <c r="K3726" s="958">
        <v>0.23</v>
      </c>
      <c r="L3726" s="39">
        <f>K3726*J3726</f>
        <v>34.5</v>
      </c>
      <c r="M3726" s="117" t="s">
        <v>349</v>
      </c>
      <c r="N3726" s="160">
        <v>45413</v>
      </c>
      <c r="O3726" s="32"/>
      <c r="P3726" s="391">
        <f>ROUNDUP(S3726/V3726/VLOOKUP(B3726,$C$2:$F$6,3,FALSE),2)</f>
        <v>0.11</v>
      </c>
      <c r="Q3726" s="322">
        <v>0.11</v>
      </c>
      <c r="R3726" s="322">
        <f>Q3726*J3726</f>
        <v>16.5</v>
      </c>
      <c r="S3726" s="7">
        <v>8.8000000000000007</v>
      </c>
      <c r="T3726" s="7">
        <f>S3726*J3726</f>
        <v>1320</v>
      </c>
      <c r="U3726" s="39"/>
      <c r="V3726" s="260">
        <v>120</v>
      </c>
      <c r="W3726" s="1136">
        <f t="shared" si="280"/>
        <v>0.6811594202898551</v>
      </c>
    </row>
    <row r="3727" spans="1:23" s="7" customFormat="1" ht="18" customHeight="1">
      <c r="B3727" s="12"/>
      <c r="C3727" s="6" t="s">
        <v>4853</v>
      </c>
      <c r="D3727" s="14" t="s">
        <v>2416</v>
      </c>
      <c r="E3727" s="22"/>
      <c r="F3727" s="102"/>
      <c r="G3727" s="22" t="s">
        <v>316</v>
      </c>
      <c r="H3727" s="8"/>
      <c r="I3727" s="35"/>
      <c r="J3727" s="38">
        <v>1</v>
      </c>
      <c r="K3727" s="39">
        <v>12</v>
      </c>
      <c r="L3727" s="39">
        <f>K3727*J3727</f>
        <v>12</v>
      </c>
      <c r="M3727" s="91"/>
      <c r="N3727" s="33"/>
      <c r="O3727" s="32"/>
      <c r="P3727" s="6"/>
      <c r="Q3727" s="322">
        <v>12</v>
      </c>
      <c r="R3727" s="322">
        <f>Q3727*J3727</f>
        <v>12</v>
      </c>
      <c r="S3727" s="7">
        <v>0</v>
      </c>
      <c r="T3727" s="7">
        <f>S3727*J3727</f>
        <v>0</v>
      </c>
      <c r="U3727" s="21"/>
      <c r="V3727" s="260">
        <v>120</v>
      </c>
      <c r="W3727" s="1136">
        <f t="shared" si="280"/>
        <v>1</v>
      </c>
    </row>
    <row r="3728" spans="1:23" s="218" customFormat="1" ht="18" customHeight="1">
      <c r="A3728" s="7"/>
      <c r="B3728" s="189"/>
      <c r="C3728" s="179" t="s">
        <v>4853</v>
      </c>
      <c r="D3728" s="180" t="s">
        <v>2416</v>
      </c>
      <c r="E3728" s="217"/>
      <c r="F3728" s="182"/>
      <c r="G3728" s="182" t="s">
        <v>250</v>
      </c>
      <c r="H3728" s="184" t="s">
        <v>251</v>
      </c>
      <c r="I3728" s="185"/>
      <c r="J3728" s="183"/>
      <c r="K3728" s="192">
        <v>0</v>
      </c>
      <c r="L3728" s="946"/>
      <c r="M3728" s="947"/>
      <c r="N3728" s="187"/>
      <c r="O3728" s="186"/>
      <c r="P3728" s="179"/>
      <c r="Q3728" s="725">
        <v>0</v>
      </c>
      <c r="S3728" s="197">
        <v>0</v>
      </c>
      <c r="T3728" s="197">
        <v>0</v>
      </c>
      <c r="U3728" s="335"/>
      <c r="V3728" s="260">
        <v>120</v>
      </c>
    </row>
    <row r="3729" spans="1:51" ht="15">
      <c r="C3729" s="6" t="s">
        <v>4854</v>
      </c>
      <c r="D3729" s="14" t="s">
        <v>3067</v>
      </c>
      <c r="E3729" s="19" t="s">
        <v>4626</v>
      </c>
      <c r="F3729" s="107"/>
      <c r="G3729" s="22"/>
      <c r="H3729" s="108"/>
      <c r="I3729" s="109"/>
      <c r="J3729" s="108"/>
      <c r="K3729" s="110" t="s">
        <v>5</v>
      </c>
      <c r="L3729" s="33"/>
      <c r="M3729" s="33"/>
      <c r="N3729" s="33">
        <v>45398</v>
      </c>
      <c r="O3729" s="32">
        <v>6072</v>
      </c>
      <c r="P3729" s="14"/>
      <c r="Q3729" s="254"/>
      <c r="S3729" s="1196"/>
      <c r="T3729" s="92"/>
      <c r="U3729" s="264"/>
      <c r="V3729" s="260">
        <v>120</v>
      </c>
      <c r="W3729" s="1136" t="e">
        <f>(((K3729*V3729)-S3729)/(K3729*V3729))</f>
        <v>#VALUE!</v>
      </c>
    </row>
    <row r="3730" spans="1:51" ht="15.75">
      <c r="B3730" s="12" t="s">
        <v>302</v>
      </c>
      <c r="C3730" s="6" t="s">
        <v>4854</v>
      </c>
      <c r="D3730" s="14" t="s">
        <v>3067</v>
      </c>
      <c r="E3730" s="221" t="s">
        <v>4622</v>
      </c>
      <c r="F3730" s="133" t="s">
        <v>3061</v>
      </c>
      <c r="G3730" s="396" t="s">
        <v>4625</v>
      </c>
      <c r="H3730" s="18">
        <v>42.8</v>
      </c>
      <c r="I3730" s="61">
        <v>1</v>
      </c>
      <c r="J3730" s="131">
        <f>H3730*I3730</f>
        <v>42.8</v>
      </c>
      <c r="K3730" s="322">
        <v>23.36</v>
      </c>
      <c r="L3730" s="39">
        <f>K3730*J3730</f>
        <v>999.80799999999988</v>
      </c>
      <c r="M3730" s="117" t="s">
        <v>323</v>
      </c>
      <c r="N3730" s="33">
        <v>45398</v>
      </c>
      <c r="O3730" s="32">
        <v>6072</v>
      </c>
      <c r="P3730" s="391">
        <f>ROUNDUP(S3730/V3730/VLOOKUP(B3730,$C$2:$F$6,3,FALSE),2)</f>
        <v>17.810000000000002</v>
      </c>
      <c r="Q3730" s="254">
        <v>18.28</v>
      </c>
      <c r="R3730" s="323">
        <f>Q3730*J3730</f>
        <v>782.38400000000001</v>
      </c>
      <c r="S3730" s="273">
        <v>1880</v>
      </c>
      <c r="T3730" s="287">
        <f>S3730*J3730</f>
        <v>80464</v>
      </c>
      <c r="U3730" s="264"/>
      <c r="V3730" s="260">
        <v>120</v>
      </c>
      <c r="W3730" s="1136">
        <f>(((K3730*V3730)-S3730)/(K3730*V3730))</f>
        <v>0.32933789954337894</v>
      </c>
    </row>
    <row r="3731" spans="1:51" s="7" customFormat="1" ht="18" customHeight="1">
      <c r="B3731" s="12"/>
      <c r="C3731" s="6" t="s">
        <v>4854</v>
      </c>
      <c r="D3731" s="14" t="s">
        <v>3067</v>
      </c>
      <c r="E3731" s="22"/>
      <c r="F3731" s="102"/>
      <c r="G3731" s="22" t="s">
        <v>316</v>
      </c>
      <c r="H3731" s="8"/>
      <c r="I3731" s="35"/>
      <c r="J3731" s="38">
        <v>1</v>
      </c>
      <c r="K3731" s="39">
        <v>20</v>
      </c>
      <c r="L3731" s="39">
        <f>K3731*J3731</f>
        <v>20</v>
      </c>
      <c r="M3731" s="91"/>
      <c r="N3731" s="33">
        <v>45398</v>
      </c>
      <c r="O3731" s="32">
        <v>6072</v>
      </c>
      <c r="P3731" s="6"/>
      <c r="Q3731" s="322">
        <v>20</v>
      </c>
      <c r="R3731" s="322">
        <f>Q3731*J3731</f>
        <v>20</v>
      </c>
      <c r="S3731" s="7">
        <v>0</v>
      </c>
      <c r="T3731" s="7">
        <f>S3731*J3731</f>
        <v>0</v>
      </c>
      <c r="U3731" s="21"/>
      <c r="V3731" s="260">
        <v>120</v>
      </c>
      <c r="W3731" s="1136">
        <f>(((K3731*V3731)-S3731)/(K3731*V3731))</f>
        <v>1</v>
      </c>
    </row>
    <row r="3732" spans="1:51" s="191" customFormat="1" ht="18" customHeight="1">
      <c r="B3732" s="190"/>
      <c r="C3732" s="179" t="s">
        <v>4854</v>
      </c>
      <c r="D3732" s="180" t="s">
        <v>3067</v>
      </c>
      <c r="E3732" s="217"/>
      <c r="F3732" s="182"/>
      <c r="G3732" s="182" t="s">
        <v>250</v>
      </c>
      <c r="H3732" s="184" t="s">
        <v>251</v>
      </c>
      <c r="I3732" s="185"/>
      <c r="J3732" s="183"/>
      <c r="K3732" s="192">
        <v>0</v>
      </c>
      <c r="L3732" s="187"/>
      <c r="M3732" s="187"/>
      <c r="N3732" s="187">
        <v>45398</v>
      </c>
      <c r="O3732" s="186">
        <v>6072</v>
      </c>
      <c r="P3732" s="179"/>
      <c r="Q3732" s="255">
        <v>0</v>
      </c>
      <c r="R3732" s="322">
        <v>0</v>
      </c>
      <c r="S3732" s="275">
        <v>0</v>
      </c>
      <c r="T3732" s="198">
        <v>0</v>
      </c>
      <c r="U3732" s="271"/>
      <c r="V3732" s="260">
        <v>120</v>
      </c>
      <c r="W3732" s="1136" t="e">
        <f>(((K3732*V3732)-S3732)/(K3732*V3732))</f>
        <v>#DIV/0!</v>
      </c>
    </row>
    <row r="3733" spans="1:51" s="7" customFormat="1" ht="18" customHeight="1">
      <c r="B3733" s="12"/>
      <c r="C3733" s="6" t="s">
        <v>4855</v>
      </c>
      <c r="D3733" s="14" t="s">
        <v>4693</v>
      </c>
      <c r="E3733" s="19" t="s">
        <v>4809</v>
      </c>
      <c r="F3733" s="107"/>
      <c r="G3733" s="22"/>
      <c r="H3733" s="108"/>
      <c r="I3733" s="109"/>
      <c r="J3733" s="108"/>
      <c r="K3733" s="29" t="s">
        <v>5</v>
      </c>
      <c r="L3733" s="39"/>
      <c r="M3733" s="91"/>
      <c r="N3733" s="33">
        <v>45401</v>
      </c>
      <c r="O3733" s="32">
        <v>6087</v>
      </c>
      <c r="P3733" s="14"/>
      <c r="Q3733" s="322"/>
      <c r="U3733" s="14"/>
      <c r="V3733" s="384">
        <v>120</v>
      </c>
    </row>
    <row r="3734" spans="1:51" s="7" customFormat="1" ht="18" customHeight="1">
      <c r="B3734" s="12" t="s">
        <v>302</v>
      </c>
      <c r="C3734" s="6" t="s">
        <v>4855</v>
      </c>
      <c r="D3734" s="14" t="s">
        <v>4693</v>
      </c>
      <c r="E3734" s="22" t="s">
        <v>4808</v>
      </c>
      <c r="F3734" s="107">
        <v>140</v>
      </c>
      <c r="G3734" s="396" t="s">
        <v>4483</v>
      </c>
      <c r="H3734" s="108">
        <v>50</v>
      </c>
      <c r="I3734" s="109">
        <v>2</v>
      </c>
      <c r="J3734" s="8">
        <f>I3734*H3734</f>
        <v>100</v>
      </c>
      <c r="K3734" s="39">
        <v>12.82</v>
      </c>
      <c r="L3734" s="39">
        <f>K3734*J3734</f>
        <v>1282</v>
      </c>
      <c r="M3734" s="117" t="s">
        <v>323</v>
      </c>
      <c r="N3734" s="33">
        <v>45401</v>
      </c>
      <c r="O3734" s="32">
        <v>6087</v>
      </c>
      <c r="P3734" s="391">
        <f>ROUNDUP(S3734/V3734/VLOOKUP(B3734,$C$2:$F$6,3,FALSE),2)</f>
        <v>11.65</v>
      </c>
      <c r="Q3734" s="322">
        <v>11.65</v>
      </c>
      <c r="R3734" s="322">
        <f>Q3734*J3734</f>
        <v>1165</v>
      </c>
      <c r="S3734" s="92">
        <v>1230</v>
      </c>
      <c r="T3734" s="7">
        <f>S3734*J3734</f>
        <v>123000</v>
      </c>
      <c r="U3734" s="21"/>
      <c r="V3734" s="260">
        <v>120</v>
      </c>
      <c r="W3734" s="1136">
        <f>(((K3734*V3734)-S3734)/(K3734*V3734))</f>
        <v>0.20046801872074888</v>
      </c>
    </row>
    <row r="3735" spans="1:51" s="7" customFormat="1" ht="18" customHeight="1">
      <c r="B3735" s="12"/>
      <c r="C3735" s="6" t="s">
        <v>4855</v>
      </c>
      <c r="D3735" s="14" t="s">
        <v>4693</v>
      </c>
      <c r="E3735" s="49"/>
      <c r="F3735" s="102"/>
      <c r="G3735" s="22" t="s">
        <v>316</v>
      </c>
      <c r="H3735" s="8"/>
      <c r="I3735" s="35"/>
      <c r="J3735" s="38">
        <v>1</v>
      </c>
      <c r="K3735" s="39">
        <v>20</v>
      </c>
      <c r="L3735" s="39">
        <f>K3735*J3735</f>
        <v>20</v>
      </c>
      <c r="M3735" s="91"/>
      <c r="N3735" s="33">
        <v>45401</v>
      </c>
      <c r="O3735" s="32">
        <v>6087</v>
      </c>
      <c r="P3735" s="6" t="s">
        <v>3</v>
      </c>
      <c r="Q3735" s="39">
        <v>20</v>
      </c>
      <c r="R3735" s="322">
        <f>Q3735*J3735</f>
        <v>20</v>
      </c>
      <c r="S3735" s="7">
        <v>0</v>
      </c>
      <c r="T3735" s="7">
        <f>S3735*J3735</f>
        <v>0</v>
      </c>
      <c r="U3735" s="21"/>
      <c r="V3735" s="260">
        <v>120</v>
      </c>
      <c r="W3735" s="1136">
        <f>(((K3735*V3735)-S3735)/(K3735*V3735))</f>
        <v>1</v>
      </c>
    </row>
    <row r="3736" spans="1:51" s="7" customFormat="1" ht="18" customHeight="1">
      <c r="B3736" s="12" t="s">
        <v>302</v>
      </c>
      <c r="C3736" s="6" t="s">
        <v>4855</v>
      </c>
      <c r="D3736" s="14" t="s">
        <v>4693</v>
      </c>
      <c r="E3736" s="22" t="s">
        <v>4808</v>
      </c>
      <c r="F3736" s="107">
        <v>140</v>
      </c>
      <c r="G3736" s="396" t="s">
        <v>178</v>
      </c>
      <c r="H3736" s="108">
        <v>50</v>
      </c>
      <c r="I3736" s="109">
        <v>1</v>
      </c>
      <c r="J3736" s="8">
        <f>I3736*H3736</f>
        <v>50</v>
      </c>
      <c r="K3736" s="39">
        <v>12.82</v>
      </c>
      <c r="L3736" s="39">
        <f>K3736*J3736</f>
        <v>641</v>
      </c>
      <c r="M3736" s="117" t="s">
        <v>323</v>
      </c>
      <c r="N3736" s="33">
        <v>45426</v>
      </c>
      <c r="O3736" s="32">
        <v>6128</v>
      </c>
      <c r="P3736" s="391">
        <f>ROUNDUP(S3736/V3736/VLOOKUP(B3736,$C$2:$F$6,3,FALSE),2)</f>
        <v>11.65</v>
      </c>
      <c r="Q3736" s="322">
        <v>11.65</v>
      </c>
      <c r="R3736" s="322">
        <f>Q3736*J3736</f>
        <v>582.5</v>
      </c>
      <c r="S3736" s="92">
        <v>1230</v>
      </c>
      <c r="T3736" s="7">
        <f>S3736*J3736</f>
        <v>61500</v>
      </c>
      <c r="U3736" s="21"/>
      <c r="V3736" s="260">
        <v>120</v>
      </c>
      <c r="W3736" s="1136">
        <f>(((K3736*V3736)-S3736)/(K3736*V3736))</f>
        <v>0.20046801872074888</v>
      </c>
    </row>
    <row r="3737" spans="1:51" s="7" customFormat="1" ht="18" customHeight="1">
      <c r="B3737" s="12"/>
      <c r="C3737" s="6" t="s">
        <v>4855</v>
      </c>
      <c r="D3737" s="14" t="s">
        <v>4693</v>
      </c>
      <c r="E3737" s="49"/>
      <c r="F3737" s="102"/>
      <c r="G3737" s="22" t="s">
        <v>316</v>
      </c>
      <c r="H3737" s="8"/>
      <c r="I3737" s="35"/>
      <c r="J3737" s="38">
        <v>1</v>
      </c>
      <c r="K3737" s="39">
        <v>20</v>
      </c>
      <c r="L3737" s="39">
        <f>K3737*J3737</f>
        <v>20</v>
      </c>
      <c r="M3737" s="91"/>
      <c r="N3737" s="33">
        <v>45426</v>
      </c>
      <c r="O3737" s="32">
        <v>6128</v>
      </c>
      <c r="P3737" s="6" t="s">
        <v>3</v>
      </c>
      <c r="Q3737" s="39">
        <v>20</v>
      </c>
      <c r="R3737" s="322">
        <f>Q3737*J3737</f>
        <v>20</v>
      </c>
      <c r="S3737" s="7">
        <v>0</v>
      </c>
      <c r="T3737" s="7">
        <f>S3737*J3737</f>
        <v>0</v>
      </c>
      <c r="U3737" s="21"/>
      <c r="V3737" s="260">
        <v>120</v>
      </c>
      <c r="W3737" s="1136">
        <f>(((K3737*V3737)-S3737)/(K3737*V3737))</f>
        <v>1</v>
      </c>
    </row>
    <row r="3738" spans="1:51" s="191" customFormat="1" ht="18" customHeight="1">
      <c r="B3738" s="190"/>
      <c r="C3738" s="179" t="s">
        <v>4855</v>
      </c>
      <c r="D3738" s="180" t="s">
        <v>4693</v>
      </c>
      <c r="E3738" s="181"/>
      <c r="F3738" s="622"/>
      <c r="G3738" s="182" t="s">
        <v>250</v>
      </c>
      <c r="H3738" s="184" t="s">
        <v>251</v>
      </c>
      <c r="I3738" s="185"/>
      <c r="J3738" s="183"/>
      <c r="K3738" s="192">
        <v>0</v>
      </c>
      <c r="L3738" s="187"/>
      <c r="M3738" s="187"/>
      <c r="N3738" s="187">
        <v>45426</v>
      </c>
      <c r="O3738" s="186">
        <v>6128</v>
      </c>
      <c r="P3738" s="179"/>
      <c r="Q3738" s="255">
        <v>0</v>
      </c>
      <c r="R3738" s="322">
        <v>0</v>
      </c>
      <c r="S3738" s="275">
        <v>0</v>
      </c>
      <c r="T3738" s="198">
        <v>0</v>
      </c>
      <c r="U3738" s="271"/>
      <c r="V3738" s="260">
        <v>120</v>
      </c>
      <c r="W3738" s="1136" t="e">
        <f t="shared" ref="W3738:W3743" si="281">(((K3738*V3738)-S3738)/(K3738*V3738))</f>
        <v>#DIV/0!</v>
      </c>
    </row>
    <row r="3739" spans="1:51" customFormat="1" ht="18" customHeight="1">
      <c r="A3739" s="1"/>
      <c r="B3739" s="26"/>
      <c r="C3739" s="6" t="s">
        <v>4863</v>
      </c>
      <c r="D3739" s="14" t="s">
        <v>3238</v>
      </c>
      <c r="E3739" s="19" t="s">
        <v>59</v>
      </c>
      <c r="F3739" s="107"/>
      <c r="G3739" s="22"/>
      <c r="H3739" s="108"/>
      <c r="I3739" s="109"/>
      <c r="J3739" s="108"/>
      <c r="K3739" s="110" t="s">
        <v>5</v>
      </c>
      <c r="L3739" s="33"/>
      <c r="M3739" s="33"/>
      <c r="N3739" s="33">
        <v>45441</v>
      </c>
      <c r="O3739" s="32">
        <v>6080</v>
      </c>
      <c r="P3739" s="14"/>
      <c r="Q3739" s="254"/>
      <c r="R3739" s="1"/>
      <c r="S3739" s="261"/>
      <c r="T3739" s="92"/>
      <c r="U3739" s="264"/>
      <c r="V3739" s="260">
        <v>120</v>
      </c>
      <c r="W3739" s="1136" t="e">
        <f t="shared" si="281"/>
        <v>#VALUE!</v>
      </c>
      <c r="X3739" s="1"/>
      <c r="Y3739" s="1"/>
      <c r="Z3739" s="1"/>
      <c r="AA3739" s="1"/>
      <c r="AB3739" s="1"/>
      <c r="AC3739" s="1"/>
      <c r="AD3739" s="1"/>
      <c r="AE3739" s="1"/>
      <c r="AF3739" s="1"/>
      <c r="AG3739" s="1"/>
      <c r="AH3739" s="1"/>
      <c r="AI3739" s="1"/>
      <c r="AJ3739" s="1"/>
      <c r="AK3739" s="1"/>
      <c r="AL3739" s="1"/>
      <c r="AM3739" s="1"/>
      <c r="AN3739" s="1"/>
      <c r="AO3739" s="1"/>
      <c r="AP3739" s="1"/>
      <c r="AQ3739" s="1"/>
      <c r="AR3739" s="1"/>
      <c r="AS3739" s="1"/>
      <c r="AT3739" s="1"/>
      <c r="AU3739" s="1"/>
      <c r="AV3739" s="1"/>
      <c r="AW3739" s="1"/>
      <c r="AX3739" s="1"/>
      <c r="AY3739" s="1"/>
    </row>
    <row r="3740" spans="1:51" customFormat="1" ht="18" customHeight="1">
      <c r="B3740" s="12" t="s">
        <v>302</v>
      </c>
      <c r="C3740" s="6" t="s">
        <v>4863</v>
      </c>
      <c r="D3740" s="14" t="s">
        <v>3238</v>
      </c>
      <c r="E3740" s="22">
        <v>2440</v>
      </c>
      <c r="F3740" s="107">
        <v>140</v>
      </c>
      <c r="G3740" s="22" t="s">
        <v>4746</v>
      </c>
      <c r="H3740" s="108">
        <v>58</v>
      </c>
      <c r="I3740" s="109">
        <v>3</v>
      </c>
      <c r="J3740" s="8">
        <f>H3740*I3740</f>
        <v>174</v>
      </c>
      <c r="K3740" s="39">
        <v>3.19</v>
      </c>
      <c r="L3740" s="39">
        <f>K3740*J3740</f>
        <v>555.05999999999995</v>
      </c>
      <c r="M3740" s="117" t="s">
        <v>323</v>
      </c>
      <c r="N3740" s="33">
        <v>45441</v>
      </c>
      <c r="O3740" s="32">
        <v>6080</v>
      </c>
      <c r="P3740" s="391">
        <f>ROUNDUP(S3740/V3740/VLOOKUP(B3740,$C$2:$F$6,3,FALSE),2)</f>
        <v>2.8499999999999996</v>
      </c>
      <c r="Q3740" s="254">
        <v>2.85</v>
      </c>
      <c r="R3740" s="323">
        <f>Q3740*J3740</f>
        <v>495.90000000000003</v>
      </c>
      <c r="S3740" s="257">
        <v>300</v>
      </c>
      <c r="T3740" s="287">
        <f>S3740*J3740</f>
        <v>52200</v>
      </c>
      <c r="U3740" s="264"/>
      <c r="V3740" s="260">
        <v>120</v>
      </c>
      <c r="W3740" s="1136">
        <f t="shared" si="281"/>
        <v>0.21630094043887149</v>
      </c>
      <c r="X3740" s="1"/>
      <c r="Y3740" s="1"/>
      <c r="Z3740" s="1"/>
      <c r="AA3740" s="1"/>
      <c r="AB3740" s="1"/>
      <c r="AC3740" s="1"/>
      <c r="AD3740" s="1"/>
      <c r="AE3740" s="1"/>
      <c r="AF3740" s="1"/>
      <c r="AG3740" s="1"/>
      <c r="AH3740" s="1"/>
      <c r="AI3740" s="1"/>
      <c r="AJ3740" s="1"/>
      <c r="AK3740" s="1"/>
      <c r="AL3740" s="1"/>
      <c r="AM3740" s="1"/>
      <c r="AN3740" s="1"/>
      <c r="AO3740" s="1"/>
      <c r="AP3740" s="1"/>
      <c r="AQ3740" s="1"/>
      <c r="AR3740" s="1"/>
      <c r="AS3740" s="1"/>
      <c r="AT3740" s="1"/>
      <c r="AU3740" s="1"/>
      <c r="AV3740" s="1"/>
      <c r="AW3740" s="1"/>
      <c r="AX3740" s="1"/>
      <c r="AY3740" s="1"/>
    </row>
    <row r="3741" spans="1:51" customFormat="1" ht="18" customHeight="1">
      <c r="B3741" s="12" t="s">
        <v>302</v>
      </c>
      <c r="C3741" s="6" t="s">
        <v>4863</v>
      </c>
      <c r="D3741" s="14" t="s">
        <v>3238</v>
      </c>
      <c r="E3741" s="22">
        <v>2440</v>
      </c>
      <c r="F3741" s="107">
        <v>140</v>
      </c>
      <c r="G3741" s="22" t="s">
        <v>4856</v>
      </c>
      <c r="H3741" s="108">
        <v>58</v>
      </c>
      <c r="I3741" s="109">
        <v>5</v>
      </c>
      <c r="J3741" s="8">
        <f>H3741*I3741</f>
        <v>290</v>
      </c>
      <c r="K3741" s="39">
        <v>3.19</v>
      </c>
      <c r="L3741" s="39">
        <f>K3741*J3741</f>
        <v>925.1</v>
      </c>
      <c r="M3741" s="117" t="s">
        <v>323</v>
      </c>
      <c r="N3741" s="33">
        <v>45441</v>
      </c>
      <c r="O3741" s="32">
        <v>6080</v>
      </c>
      <c r="P3741" s="391">
        <f>ROUNDUP(S3741/V3741/VLOOKUP(B3741,$C$2:$F$6,3,FALSE),2)</f>
        <v>2.8499999999999996</v>
      </c>
      <c r="Q3741" s="254">
        <v>2.85</v>
      </c>
      <c r="R3741" s="323">
        <f>Q3741*J3741</f>
        <v>826.5</v>
      </c>
      <c r="S3741" s="257">
        <v>300</v>
      </c>
      <c r="T3741" s="287">
        <f>S3741*J3741</f>
        <v>87000</v>
      </c>
      <c r="U3741" s="264"/>
      <c r="V3741" s="260">
        <v>120</v>
      </c>
      <c r="W3741" s="1136">
        <f t="shared" si="281"/>
        <v>0.21630094043887149</v>
      </c>
      <c r="X3741" s="1"/>
      <c r="Y3741" s="1"/>
      <c r="Z3741" s="1"/>
      <c r="AA3741" s="1"/>
      <c r="AB3741" s="1"/>
      <c r="AC3741" s="1"/>
      <c r="AD3741" s="1"/>
      <c r="AE3741" s="1"/>
      <c r="AF3741" s="1"/>
      <c r="AG3741" s="1"/>
      <c r="AH3741" s="1"/>
      <c r="AI3741" s="1"/>
      <c r="AJ3741" s="1"/>
      <c r="AK3741" s="1"/>
      <c r="AL3741" s="1"/>
      <c r="AM3741" s="1"/>
      <c r="AN3741" s="1"/>
      <c r="AO3741" s="1"/>
      <c r="AP3741" s="1"/>
      <c r="AQ3741" s="1"/>
      <c r="AR3741" s="1"/>
      <c r="AS3741" s="1"/>
      <c r="AT3741" s="1"/>
      <c r="AU3741" s="1"/>
      <c r="AV3741" s="1"/>
      <c r="AW3741" s="1"/>
      <c r="AX3741" s="1"/>
      <c r="AY3741" s="1"/>
    </row>
    <row r="3742" spans="1:51" customFormat="1" ht="18" customHeight="1">
      <c r="B3742" s="12" t="s">
        <v>302</v>
      </c>
      <c r="C3742" s="6" t="s">
        <v>4863</v>
      </c>
      <c r="D3742" s="14" t="s">
        <v>3238</v>
      </c>
      <c r="E3742" s="22">
        <v>2440</v>
      </c>
      <c r="F3742" s="107">
        <v>140</v>
      </c>
      <c r="G3742" s="22" t="s">
        <v>4748</v>
      </c>
      <c r="H3742" s="108">
        <v>58</v>
      </c>
      <c r="I3742" s="109">
        <v>1</v>
      </c>
      <c r="J3742" s="8">
        <f>H3742*I3742</f>
        <v>58</v>
      </c>
      <c r="K3742" s="39">
        <v>3.19</v>
      </c>
      <c r="L3742" s="39">
        <f>K3742*J3742</f>
        <v>185.02</v>
      </c>
      <c r="M3742" s="117" t="s">
        <v>323</v>
      </c>
      <c r="N3742" s="33">
        <v>45441</v>
      </c>
      <c r="O3742" s="32">
        <v>6080</v>
      </c>
      <c r="P3742" s="391">
        <f>ROUNDUP(S3742/V3742/VLOOKUP(B3742,$C$2:$F$6,3,FALSE),2)</f>
        <v>2.8499999999999996</v>
      </c>
      <c r="Q3742" s="254">
        <v>2.85</v>
      </c>
      <c r="R3742" s="323">
        <f>Q3742*J3742</f>
        <v>165.3</v>
      </c>
      <c r="S3742" s="257">
        <v>300</v>
      </c>
      <c r="T3742" s="287">
        <f>S3742*J3742</f>
        <v>17400</v>
      </c>
      <c r="U3742" s="264"/>
      <c r="V3742" s="260">
        <v>120</v>
      </c>
      <c r="W3742" s="1136">
        <f t="shared" si="281"/>
        <v>0.21630094043887149</v>
      </c>
      <c r="X3742" s="1"/>
      <c r="Y3742" s="1"/>
      <c r="Z3742" s="1"/>
      <c r="AA3742" s="1"/>
      <c r="AB3742" s="1"/>
      <c r="AC3742" s="1"/>
      <c r="AD3742" s="1"/>
      <c r="AE3742" s="1"/>
      <c r="AF3742" s="1"/>
      <c r="AG3742" s="1"/>
      <c r="AH3742" s="1"/>
      <c r="AI3742" s="1"/>
      <c r="AJ3742" s="1"/>
      <c r="AK3742" s="1"/>
      <c r="AL3742" s="1"/>
      <c r="AM3742" s="1"/>
      <c r="AN3742" s="1"/>
      <c r="AO3742" s="1"/>
      <c r="AP3742" s="1"/>
      <c r="AQ3742" s="1"/>
      <c r="AR3742" s="1"/>
      <c r="AS3742" s="1"/>
      <c r="AT3742" s="1"/>
      <c r="AU3742" s="1"/>
      <c r="AV3742" s="1"/>
      <c r="AW3742" s="1"/>
      <c r="AX3742" s="1"/>
      <c r="AY3742" s="1"/>
    </row>
    <row r="3743" spans="1:51" s="7" customFormat="1" ht="15">
      <c r="B3743" s="12"/>
      <c r="C3743" s="6" t="s">
        <v>4863</v>
      </c>
      <c r="D3743" s="14" t="s">
        <v>3238</v>
      </c>
      <c r="E3743" s="49"/>
      <c r="F3743" s="102"/>
      <c r="G3743" s="22" t="s">
        <v>316</v>
      </c>
      <c r="H3743" s="38"/>
      <c r="I3743" s="35"/>
      <c r="J3743" s="38">
        <v>1</v>
      </c>
      <c r="K3743" s="39">
        <v>20</v>
      </c>
      <c r="L3743" s="39">
        <f>K3743*J3743</f>
        <v>20</v>
      </c>
      <c r="M3743" s="91"/>
      <c r="N3743" s="33">
        <v>45441</v>
      </c>
      <c r="O3743" s="32">
        <v>6080</v>
      </c>
      <c r="P3743" s="722"/>
      <c r="Q3743" s="322">
        <v>20</v>
      </c>
      <c r="R3743" s="322">
        <f>Q3743*J3743</f>
        <v>20</v>
      </c>
      <c r="S3743" s="7">
        <v>1800</v>
      </c>
      <c r="T3743" s="7">
        <f>S3743*J3743</f>
        <v>1800</v>
      </c>
      <c r="U3743" s="21"/>
      <c r="V3743" s="260">
        <v>120</v>
      </c>
      <c r="W3743" s="1136">
        <f t="shared" si="281"/>
        <v>0.25</v>
      </c>
    </row>
    <row r="3744" spans="1:51" s="191" customFormat="1" ht="15">
      <c r="B3744" s="190"/>
      <c r="C3744" s="179" t="s">
        <v>4863</v>
      </c>
      <c r="D3744" s="180" t="s">
        <v>3238</v>
      </c>
      <c r="E3744" s="181"/>
      <c r="F3744" s="182"/>
      <c r="G3744" s="182" t="s">
        <v>2738</v>
      </c>
      <c r="H3744" s="184" t="s">
        <v>251</v>
      </c>
      <c r="I3744" s="185"/>
      <c r="J3744" s="183"/>
      <c r="K3744" s="192">
        <v>0</v>
      </c>
      <c r="L3744" s="187"/>
      <c r="M3744" s="187"/>
      <c r="N3744" s="187">
        <v>45441</v>
      </c>
      <c r="O3744" s="186">
        <v>6080</v>
      </c>
      <c r="P3744" s="179"/>
      <c r="Q3744" s="203"/>
      <c r="R3744" s="203"/>
      <c r="S3744" s="203"/>
      <c r="T3744" s="203"/>
      <c r="U3744" s="271"/>
      <c r="V3744" s="260">
        <v>120</v>
      </c>
      <c r="W3744" s="1136" t="e">
        <f>(((K3744*V3744)-S3744)/(K3744*V3744))</f>
        <v>#DIV/0!</v>
      </c>
    </row>
    <row r="3745" spans="2:23" s="7" customFormat="1" ht="18" customHeight="1">
      <c r="B3745" s="12"/>
      <c r="C3745" s="6" t="s">
        <v>4878</v>
      </c>
      <c r="D3745" s="14" t="s">
        <v>4796</v>
      </c>
      <c r="E3745" s="17" t="s">
        <v>1976</v>
      </c>
      <c r="F3745" s="37"/>
      <c r="G3745" s="37"/>
      <c r="H3745" s="108"/>
      <c r="I3745" s="108"/>
      <c r="J3745" s="108"/>
      <c r="K3745" s="110" t="s">
        <v>5</v>
      </c>
      <c r="L3745" s="139"/>
      <c r="M3745" s="33"/>
      <c r="N3745" s="33">
        <v>45401</v>
      </c>
      <c r="O3745" s="32">
        <v>6088</v>
      </c>
      <c r="P3745" s="6"/>
      <c r="Q3745" s="339"/>
      <c r="S3745" s="308" t="s">
        <v>4879</v>
      </c>
      <c r="U3745" s="21"/>
      <c r="V3745" s="260">
        <v>120</v>
      </c>
      <c r="W3745" s="1136" t="e">
        <f t="shared" ref="W3745:W3754" si="282">(((K3745*V3745)-S3745)/(K3745*V3745))</f>
        <v>#VALUE!</v>
      </c>
    </row>
    <row r="3746" spans="2:23" s="7" customFormat="1" ht="18" customHeight="1">
      <c r="B3746" s="12" t="s">
        <v>300</v>
      </c>
      <c r="C3746" s="6" t="s">
        <v>4878</v>
      </c>
      <c r="D3746" s="14" t="s">
        <v>4796</v>
      </c>
      <c r="E3746" s="22">
        <v>12701</v>
      </c>
      <c r="F3746" s="24">
        <v>12</v>
      </c>
      <c r="G3746" s="22" t="s">
        <v>4798</v>
      </c>
      <c r="H3746" s="108">
        <v>10</v>
      </c>
      <c r="I3746" s="109">
        <v>1</v>
      </c>
      <c r="J3746" s="8">
        <f>H3746*I3746</f>
        <v>10</v>
      </c>
      <c r="K3746" s="39">
        <v>2.27</v>
      </c>
      <c r="L3746" s="39">
        <f>K3746*J3746</f>
        <v>22.7</v>
      </c>
      <c r="M3746" s="117" t="s">
        <v>349</v>
      </c>
      <c r="N3746" s="33">
        <v>45401</v>
      </c>
      <c r="O3746" s="32">
        <v>6088</v>
      </c>
      <c r="P3746" s="391">
        <f>ROUNDUP(S3746/V3746/VLOOKUP(B3746,$C$2:$F$6,3,FALSE),2)</f>
        <v>0.62</v>
      </c>
      <c r="Q3746" s="322">
        <v>0.69</v>
      </c>
      <c r="R3746" s="322">
        <f>Q3746*J3746</f>
        <v>6.8999999999999995</v>
      </c>
      <c r="S3746" s="92">
        <v>51.6</v>
      </c>
      <c r="T3746" s="7">
        <f>S3746*J3746</f>
        <v>516</v>
      </c>
      <c r="U3746" s="959"/>
      <c r="V3746" s="260">
        <v>120</v>
      </c>
      <c r="W3746" s="1136">
        <f t="shared" si="282"/>
        <v>0.81057268722466957</v>
      </c>
    </row>
    <row r="3747" spans="2:23" s="143" customFormat="1" ht="18" customHeight="1">
      <c r="B3747" s="276"/>
      <c r="C3747" s="142" t="s">
        <v>4878</v>
      </c>
      <c r="D3747" s="90" t="s">
        <v>4796</v>
      </c>
      <c r="E3747" s="153"/>
      <c r="F3747" s="116"/>
      <c r="G3747" s="153" t="s">
        <v>316</v>
      </c>
      <c r="H3747" s="140"/>
      <c r="I3747" s="141"/>
      <c r="J3747" s="36">
        <v>1</v>
      </c>
      <c r="K3747" s="154">
        <v>12</v>
      </c>
      <c r="L3747" s="154">
        <v>0</v>
      </c>
      <c r="M3747" s="366"/>
      <c r="N3747" s="33">
        <v>45401</v>
      </c>
      <c r="O3747" s="32">
        <v>6088</v>
      </c>
      <c r="P3747" s="142" t="s">
        <v>3</v>
      </c>
      <c r="Q3747" s="154">
        <v>12</v>
      </c>
      <c r="R3747" s="773">
        <f>Q3747*J3747</f>
        <v>12</v>
      </c>
      <c r="S3747" s="143">
        <v>0</v>
      </c>
      <c r="T3747" s="143">
        <f>S3747*J3747</f>
        <v>0</v>
      </c>
      <c r="U3747" s="746"/>
      <c r="V3747" s="279">
        <v>120</v>
      </c>
      <c r="W3747" s="1199">
        <f t="shared" si="282"/>
        <v>1</v>
      </c>
    </row>
    <row r="3748" spans="2:23" s="191" customFormat="1" ht="18" customHeight="1">
      <c r="B3748" s="190"/>
      <c r="C3748" s="179" t="s">
        <v>4878</v>
      </c>
      <c r="D3748" s="180" t="s">
        <v>4796</v>
      </c>
      <c r="E3748" s="217"/>
      <c r="F3748" s="182"/>
      <c r="G3748" s="182" t="s">
        <v>250</v>
      </c>
      <c r="H3748" s="184" t="s">
        <v>251</v>
      </c>
      <c r="I3748" s="185"/>
      <c r="J3748" s="183"/>
      <c r="K3748" s="192">
        <v>0</v>
      </c>
      <c r="L3748" s="192">
        <v>0</v>
      </c>
      <c r="M3748" s="187"/>
      <c r="N3748" s="187">
        <v>45401</v>
      </c>
      <c r="O3748" s="186">
        <v>6088</v>
      </c>
      <c r="P3748" s="179"/>
      <c r="Q3748" s="334">
        <v>0</v>
      </c>
      <c r="R3748" s="334">
        <v>0</v>
      </c>
      <c r="S3748" s="197">
        <v>0</v>
      </c>
      <c r="T3748" s="197">
        <v>0</v>
      </c>
      <c r="U3748" s="335"/>
      <c r="V3748" s="260">
        <v>120</v>
      </c>
      <c r="W3748" s="1136" t="e">
        <f t="shared" si="282"/>
        <v>#DIV/0!</v>
      </c>
    </row>
    <row r="3749" spans="2:23" s="7" customFormat="1" ht="18" customHeight="1">
      <c r="B3749" s="12"/>
      <c r="C3749" s="6" t="s">
        <v>4871</v>
      </c>
      <c r="D3749" s="14" t="s">
        <v>4857</v>
      </c>
      <c r="E3749" s="19" t="s">
        <v>4858</v>
      </c>
      <c r="F3749" s="24"/>
      <c r="G3749" s="22"/>
      <c r="H3749" s="8"/>
      <c r="I3749" s="35"/>
      <c r="J3749" s="8"/>
      <c r="K3749" s="110" t="s">
        <v>5</v>
      </c>
      <c r="L3749" s="139"/>
      <c r="M3749" s="33"/>
      <c r="N3749" s="33">
        <v>45407</v>
      </c>
      <c r="O3749" s="32">
        <v>6083</v>
      </c>
      <c r="P3749" s="6" t="s">
        <v>8</v>
      </c>
      <c r="Q3749" s="358"/>
      <c r="U3749" s="120"/>
      <c r="V3749" s="260">
        <v>120</v>
      </c>
      <c r="W3749" s="1136" t="e">
        <f>(((K3749*V3749)-S3749)/(K3749*V3749))</f>
        <v>#VALUE!</v>
      </c>
    </row>
    <row r="3750" spans="2:23" customFormat="1" ht="18" customHeight="1">
      <c r="B3750" s="26" t="s">
        <v>300</v>
      </c>
      <c r="C3750" s="6" t="s">
        <v>4871</v>
      </c>
      <c r="D3750" s="14" t="s">
        <v>4857</v>
      </c>
      <c r="E3750" s="22" t="s">
        <v>4859</v>
      </c>
      <c r="F3750" s="37" t="s">
        <v>230</v>
      </c>
      <c r="G3750" s="22" t="s">
        <v>22</v>
      </c>
      <c r="H3750" s="108">
        <v>30</v>
      </c>
      <c r="I3750" s="109">
        <v>26</v>
      </c>
      <c r="J3750" s="8">
        <f>H3750*I3750</f>
        <v>780</v>
      </c>
      <c r="K3750" s="39">
        <v>1.1399999999999999</v>
      </c>
      <c r="L3750" s="39">
        <f>K3750*J3750</f>
        <v>889.19999999999993</v>
      </c>
      <c r="M3750" s="117" t="s">
        <v>349</v>
      </c>
      <c r="N3750" s="33">
        <v>45407</v>
      </c>
      <c r="O3750" s="32">
        <v>6083</v>
      </c>
      <c r="P3750" s="391">
        <f>ROUNDUP(S3750/V3750/VLOOKUP(B3750,$C$2:$F$6,3,FALSE),2)</f>
        <v>0.9</v>
      </c>
      <c r="Q3750" s="322">
        <v>0.9</v>
      </c>
      <c r="R3750" s="322">
        <f>Q3750*J3750</f>
        <v>702</v>
      </c>
      <c r="S3750" s="7">
        <v>75</v>
      </c>
      <c r="T3750" s="7">
        <f>S3750*J3750</f>
        <v>58500</v>
      </c>
      <c r="U3750" s="39"/>
      <c r="V3750" s="260">
        <v>120</v>
      </c>
      <c r="W3750" s="1136">
        <f>(((K3750*V3750)-S3750)/(K3750*V3750))</f>
        <v>0.45175438596491219</v>
      </c>
    </row>
    <row r="3751" spans="2:23" customFormat="1" ht="18" customHeight="1">
      <c r="B3751" s="26" t="s">
        <v>300</v>
      </c>
      <c r="C3751" s="6" t="s">
        <v>4871</v>
      </c>
      <c r="D3751" s="14" t="s">
        <v>4857</v>
      </c>
      <c r="E3751" s="22" t="s">
        <v>4859</v>
      </c>
      <c r="F3751" s="37" t="s">
        <v>230</v>
      </c>
      <c r="G3751" s="22" t="s">
        <v>4860</v>
      </c>
      <c r="H3751" s="108">
        <v>30</v>
      </c>
      <c r="I3751" s="109">
        <v>35</v>
      </c>
      <c r="J3751" s="8">
        <f>H3751*I3751</f>
        <v>1050</v>
      </c>
      <c r="K3751" s="39">
        <v>1.1399999999999999</v>
      </c>
      <c r="L3751" s="39">
        <f>K3751*J3751</f>
        <v>1197</v>
      </c>
      <c r="M3751" s="117" t="s">
        <v>349</v>
      </c>
      <c r="N3751" s="33">
        <v>45407</v>
      </c>
      <c r="O3751" s="32">
        <v>6083</v>
      </c>
      <c r="P3751" s="391">
        <f>ROUNDUP(S3751/V3751/VLOOKUP(B3751,$C$2:$F$6,3,FALSE),2)</f>
        <v>0.9</v>
      </c>
      <c r="Q3751" s="322">
        <v>0.9</v>
      </c>
      <c r="R3751" s="322">
        <f>Q3751*J3751</f>
        <v>945</v>
      </c>
      <c r="S3751" s="7">
        <v>75</v>
      </c>
      <c r="T3751" s="7">
        <f>S3751*J3751</f>
        <v>78750</v>
      </c>
      <c r="U3751" s="39"/>
      <c r="V3751" s="260">
        <v>120</v>
      </c>
      <c r="W3751" s="1136">
        <f>(((K3751*V3751)-S3751)/(K3751*V3751))</f>
        <v>0.45175438596491219</v>
      </c>
    </row>
    <row r="3752" spans="2:23" s="7" customFormat="1" ht="18" customHeight="1">
      <c r="B3752" s="12"/>
      <c r="C3752" s="6" t="s">
        <v>4871</v>
      </c>
      <c r="D3752" s="14" t="s">
        <v>4857</v>
      </c>
      <c r="E3752" s="22"/>
      <c r="F3752" s="102"/>
      <c r="G3752" s="22" t="s">
        <v>316</v>
      </c>
      <c r="H3752" s="38"/>
      <c r="I3752" s="35"/>
      <c r="J3752" s="38">
        <v>1</v>
      </c>
      <c r="K3752" s="39">
        <v>12</v>
      </c>
      <c r="L3752" s="39">
        <f>K3752*J3752</f>
        <v>12</v>
      </c>
      <c r="M3752" s="91"/>
      <c r="N3752" s="33">
        <v>45407</v>
      </c>
      <c r="O3752" s="32">
        <v>6083</v>
      </c>
      <c r="P3752" s="722"/>
      <c r="Q3752" s="322">
        <v>12</v>
      </c>
      <c r="R3752" s="322">
        <f>Q3752*J3752</f>
        <v>12</v>
      </c>
      <c r="S3752" s="7">
        <v>0</v>
      </c>
      <c r="T3752" s="7">
        <f>S3752*J3752</f>
        <v>0</v>
      </c>
      <c r="U3752" s="21"/>
      <c r="V3752" s="260">
        <v>120</v>
      </c>
      <c r="W3752" s="1136">
        <f>(((K3752*V3752)-S3752)/(K3752*V3752))</f>
        <v>1</v>
      </c>
    </row>
    <row r="3753" spans="2:23" s="191" customFormat="1" ht="15">
      <c r="B3753" s="190"/>
      <c r="C3753" s="179" t="s">
        <v>4871</v>
      </c>
      <c r="D3753" s="180" t="s">
        <v>4857</v>
      </c>
      <c r="E3753" s="217"/>
      <c r="F3753" s="182"/>
      <c r="G3753" s="182" t="s">
        <v>2738</v>
      </c>
      <c r="H3753" s="184"/>
      <c r="I3753" s="185"/>
      <c r="J3753" s="183"/>
      <c r="K3753" s="192"/>
      <c r="L3753" s="187"/>
      <c r="M3753" s="187"/>
      <c r="N3753" s="187">
        <v>45407</v>
      </c>
      <c r="O3753" s="186">
        <v>6083</v>
      </c>
      <c r="P3753" s="179"/>
      <c r="Q3753" s="203"/>
      <c r="R3753" s="203"/>
      <c r="S3753" s="203"/>
      <c r="T3753" s="203"/>
      <c r="U3753" s="271"/>
      <c r="V3753" s="260"/>
      <c r="W3753" s="1136"/>
    </row>
    <row r="3754" spans="2:23" s="7" customFormat="1" ht="18" customHeight="1">
      <c r="B3754" s="12"/>
      <c r="C3754" s="6" t="s">
        <v>4872</v>
      </c>
      <c r="D3754" s="14" t="s">
        <v>4861</v>
      </c>
      <c r="E3754" s="19" t="s">
        <v>4858</v>
      </c>
      <c r="F3754" s="24"/>
      <c r="G3754" s="22"/>
      <c r="H3754" s="8"/>
      <c r="I3754" s="35"/>
      <c r="J3754" s="8"/>
      <c r="K3754" s="110" t="s">
        <v>5</v>
      </c>
      <c r="L3754" s="139"/>
      <c r="M3754" s="33"/>
      <c r="N3754" s="33">
        <v>45407</v>
      </c>
      <c r="O3754" s="32">
        <v>6083</v>
      </c>
      <c r="P3754" s="6" t="s">
        <v>8</v>
      </c>
      <c r="Q3754" s="358"/>
      <c r="U3754" s="120"/>
      <c r="V3754" s="260">
        <v>120</v>
      </c>
      <c r="W3754" s="1136" t="e">
        <f t="shared" si="282"/>
        <v>#VALUE!</v>
      </c>
    </row>
    <row r="3755" spans="2:23" customFormat="1" ht="18" customHeight="1">
      <c r="B3755" s="26" t="s">
        <v>300</v>
      </c>
      <c r="C3755" s="6" t="s">
        <v>4872</v>
      </c>
      <c r="D3755" s="14" t="s">
        <v>4861</v>
      </c>
      <c r="E3755" s="22" t="s">
        <v>4859</v>
      </c>
      <c r="F3755" s="37" t="s">
        <v>230</v>
      </c>
      <c r="G3755" s="22" t="s">
        <v>22</v>
      </c>
      <c r="H3755" s="108">
        <v>30</v>
      </c>
      <c r="I3755" s="109">
        <v>17</v>
      </c>
      <c r="J3755" s="8">
        <f>H3755*I3755</f>
        <v>510</v>
      </c>
      <c r="K3755" s="39">
        <v>1.1399999999999999</v>
      </c>
      <c r="L3755" s="39">
        <f>K3755*J3755</f>
        <v>581.4</v>
      </c>
      <c r="M3755" s="117" t="s">
        <v>349</v>
      </c>
      <c r="N3755" s="33">
        <v>45407</v>
      </c>
      <c r="O3755" s="32">
        <v>6083</v>
      </c>
      <c r="P3755" s="391">
        <f>ROUNDUP(S3755/V3755/VLOOKUP(B3755,$C$2:$F$6,3,FALSE),2)</f>
        <v>0.9</v>
      </c>
      <c r="Q3755" s="322">
        <v>0.9</v>
      </c>
      <c r="R3755" s="322">
        <f>Q3755*J3755</f>
        <v>459</v>
      </c>
      <c r="S3755" s="7">
        <v>75</v>
      </c>
      <c r="T3755" s="7">
        <f>S3755*J3755</f>
        <v>38250</v>
      </c>
      <c r="U3755" s="39"/>
      <c r="V3755" s="260">
        <v>120</v>
      </c>
      <c r="W3755" s="1136">
        <f>(((K3755*V3755)-S3755)/(K3755*V3755))</f>
        <v>0.45175438596491219</v>
      </c>
    </row>
    <row r="3756" spans="2:23" customFormat="1" ht="18" customHeight="1">
      <c r="B3756" s="26" t="s">
        <v>300</v>
      </c>
      <c r="C3756" s="6" t="s">
        <v>4872</v>
      </c>
      <c r="D3756" s="14" t="s">
        <v>4861</v>
      </c>
      <c r="E3756" s="22" t="s">
        <v>4859</v>
      </c>
      <c r="F3756" s="37" t="s">
        <v>230</v>
      </c>
      <c r="G3756" s="22" t="s">
        <v>4860</v>
      </c>
      <c r="H3756" s="108">
        <v>30</v>
      </c>
      <c r="I3756" s="109">
        <v>19</v>
      </c>
      <c r="J3756" s="8">
        <f>H3756*I3756</f>
        <v>570</v>
      </c>
      <c r="K3756" s="39">
        <v>1.1399999999999999</v>
      </c>
      <c r="L3756" s="39">
        <f>K3756*J3756</f>
        <v>649.79999999999995</v>
      </c>
      <c r="M3756" s="117" t="s">
        <v>349</v>
      </c>
      <c r="N3756" s="33">
        <v>45407</v>
      </c>
      <c r="O3756" s="32">
        <v>6083</v>
      </c>
      <c r="P3756" s="391">
        <f>ROUNDUP(S3756/V3756/VLOOKUP(B3756,$C$2:$F$6,3,FALSE),2)</f>
        <v>0.9</v>
      </c>
      <c r="Q3756" s="322">
        <v>0.9</v>
      </c>
      <c r="R3756" s="322">
        <f>Q3756*J3756</f>
        <v>513</v>
      </c>
      <c r="S3756" s="7">
        <v>75</v>
      </c>
      <c r="T3756" s="7">
        <f>S3756*J3756</f>
        <v>42750</v>
      </c>
      <c r="U3756" s="39"/>
      <c r="V3756" s="260">
        <v>120</v>
      </c>
      <c r="W3756" s="1136">
        <f>(((K3756*V3756)-S3756)/(K3756*V3756))</f>
        <v>0.45175438596491219</v>
      </c>
    </row>
    <row r="3757" spans="2:23" customFormat="1" ht="18" customHeight="1">
      <c r="B3757" s="26" t="s">
        <v>300</v>
      </c>
      <c r="C3757" s="6" t="s">
        <v>4872</v>
      </c>
      <c r="D3757" s="14" t="s">
        <v>4861</v>
      </c>
      <c r="E3757" s="22" t="s">
        <v>4859</v>
      </c>
      <c r="F3757" s="37" t="s">
        <v>230</v>
      </c>
      <c r="G3757" s="22" t="s">
        <v>4862</v>
      </c>
      <c r="H3757" s="108">
        <v>30</v>
      </c>
      <c r="I3757" s="109">
        <v>41</v>
      </c>
      <c r="J3757" s="8">
        <f>H3757*I3757</f>
        <v>1230</v>
      </c>
      <c r="K3757" s="39">
        <v>1.1399999999999999</v>
      </c>
      <c r="L3757" s="39">
        <f>K3757*J3757</f>
        <v>1402.1999999999998</v>
      </c>
      <c r="M3757" s="117" t="s">
        <v>349</v>
      </c>
      <c r="N3757" s="33">
        <v>45407</v>
      </c>
      <c r="O3757" s="32">
        <v>6083</v>
      </c>
      <c r="P3757" s="391">
        <f>ROUNDUP(S3757/V3757/VLOOKUP(B3757,$C$2:$F$6,3,FALSE),2)</f>
        <v>0.9</v>
      </c>
      <c r="Q3757" s="322">
        <v>0.9</v>
      </c>
      <c r="R3757" s="322">
        <f>Q3757*J3757</f>
        <v>1107</v>
      </c>
      <c r="S3757" s="7">
        <v>75</v>
      </c>
      <c r="T3757" s="7">
        <f>S3757*J3757</f>
        <v>92250</v>
      </c>
      <c r="U3757" s="39"/>
      <c r="V3757" s="260">
        <v>120</v>
      </c>
      <c r="W3757" s="1136">
        <f>(((K3757*V3757)-S3757)/(K3757*V3757))</f>
        <v>0.45175438596491219</v>
      </c>
    </row>
    <row r="3758" spans="2:23" s="7" customFormat="1" ht="18" customHeight="1">
      <c r="B3758" s="12"/>
      <c r="C3758" s="6" t="s">
        <v>4872</v>
      </c>
      <c r="D3758" s="14" t="s">
        <v>4861</v>
      </c>
      <c r="E3758" s="49"/>
      <c r="F3758" s="102"/>
      <c r="G3758" s="22" t="s">
        <v>316</v>
      </c>
      <c r="H3758" s="38"/>
      <c r="I3758" s="35"/>
      <c r="J3758" s="38">
        <v>1</v>
      </c>
      <c r="K3758" s="39">
        <v>12</v>
      </c>
      <c r="L3758" s="39">
        <f>K3758*J3758</f>
        <v>12</v>
      </c>
      <c r="M3758" s="91"/>
      <c r="N3758" s="33">
        <v>45407</v>
      </c>
      <c r="O3758" s="32">
        <v>6083</v>
      </c>
      <c r="P3758" s="722"/>
      <c r="Q3758" s="322">
        <v>12</v>
      </c>
      <c r="R3758" s="322">
        <f>Q3758*J3758</f>
        <v>12</v>
      </c>
      <c r="S3758" s="7">
        <v>0</v>
      </c>
      <c r="T3758" s="7">
        <f>S3758*J3758</f>
        <v>0</v>
      </c>
      <c r="U3758" s="21"/>
      <c r="V3758" s="260">
        <v>120</v>
      </c>
      <c r="W3758" s="1136">
        <f>(((K3758*V3758)-S3758)/(K3758*V3758))</f>
        <v>1</v>
      </c>
    </row>
    <row r="3759" spans="2:23" s="191" customFormat="1" ht="15">
      <c r="B3759" s="190"/>
      <c r="C3759" s="179" t="s">
        <v>4872</v>
      </c>
      <c r="D3759" s="180" t="s">
        <v>4861</v>
      </c>
      <c r="E3759" s="181"/>
      <c r="F3759" s="182"/>
      <c r="G3759" s="182" t="s">
        <v>2738</v>
      </c>
      <c r="H3759" s="184" t="s">
        <v>251</v>
      </c>
      <c r="I3759" s="185"/>
      <c r="J3759" s="183"/>
      <c r="K3759" s="192">
        <v>137</v>
      </c>
      <c r="L3759" s="192">
        <v>137</v>
      </c>
      <c r="M3759" s="187"/>
      <c r="N3759" s="187">
        <v>45407</v>
      </c>
      <c r="O3759" s="186">
        <v>6083</v>
      </c>
      <c r="P3759" s="179"/>
      <c r="Q3759" s="192">
        <v>137</v>
      </c>
      <c r="R3759" s="192">
        <v>137</v>
      </c>
      <c r="S3759" s="7">
        <v>16343</v>
      </c>
      <c r="T3759" s="7">
        <v>16343</v>
      </c>
      <c r="U3759" s="271"/>
      <c r="V3759" s="260">
        <v>120</v>
      </c>
      <c r="W3759" s="1136">
        <f t="shared" ref="W3759:W3768" si="283">(((K3759*V3759)-S3759)/(K3759*V3759))</f>
        <v>5.9002433090024333E-3</v>
      </c>
    </row>
    <row r="3760" spans="2:23" s="7" customFormat="1" ht="18" customHeight="1">
      <c r="B3760" s="12"/>
      <c r="C3760" s="6" t="s">
        <v>4872</v>
      </c>
      <c r="D3760" s="14" t="s">
        <v>4861</v>
      </c>
      <c r="E3760" s="19" t="s">
        <v>4858</v>
      </c>
      <c r="F3760" s="24"/>
      <c r="G3760" s="22"/>
      <c r="H3760" s="8"/>
      <c r="I3760" s="35"/>
      <c r="J3760" s="8"/>
      <c r="K3760" s="110" t="s">
        <v>5</v>
      </c>
      <c r="L3760" s="139"/>
      <c r="M3760" s="33"/>
      <c r="N3760" s="33">
        <v>45453</v>
      </c>
      <c r="O3760" s="32">
        <v>6084</v>
      </c>
      <c r="P3760" s="6" t="s">
        <v>8</v>
      </c>
      <c r="Q3760" s="358"/>
      <c r="U3760" s="120"/>
      <c r="V3760" s="260">
        <v>120</v>
      </c>
      <c r="W3760" s="1136" t="e">
        <f t="shared" si="283"/>
        <v>#VALUE!</v>
      </c>
    </row>
    <row r="3761" spans="1:23" customFormat="1" ht="18" customHeight="1">
      <c r="B3761" s="26" t="s">
        <v>300</v>
      </c>
      <c r="C3761" s="6" t="s">
        <v>4872</v>
      </c>
      <c r="D3761" s="14" t="s">
        <v>4861</v>
      </c>
      <c r="E3761" s="22" t="s">
        <v>4859</v>
      </c>
      <c r="F3761" s="37" t="s">
        <v>230</v>
      </c>
      <c r="G3761" s="22" t="s">
        <v>4860</v>
      </c>
      <c r="H3761" s="108">
        <v>30</v>
      </c>
      <c r="I3761" s="109">
        <v>42</v>
      </c>
      <c r="J3761" s="8">
        <f>H3761*I3761</f>
        <v>1260</v>
      </c>
      <c r="K3761" s="39">
        <v>1.1399999999999999</v>
      </c>
      <c r="L3761" s="39">
        <f>K3761*J3761</f>
        <v>1436.3999999999999</v>
      </c>
      <c r="M3761" s="117" t="s">
        <v>349</v>
      </c>
      <c r="N3761" s="33">
        <v>45453</v>
      </c>
      <c r="O3761" s="32">
        <v>6084</v>
      </c>
      <c r="P3761" s="391">
        <f>ROUNDUP(S3761/V3761/VLOOKUP(B3761,$C$2:$F$6,3,FALSE),2)</f>
        <v>0.9</v>
      </c>
      <c r="Q3761" s="322">
        <v>0.9</v>
      </c>
      <c r="R3761" s="322">
        <f>Q3761*J3761</f>
        <v>1134</v>
      </c>
      <c r="S3761" s="7">
        <v>75</v>
      </c>
      <c r="T3761" s="7">
        <f>S3761*J3761</f>
        <v>94500</v>
      </c>
      <c r="U3761" s="39"/>
      <c r="V3761" s="260">
        <v>120</v>
      </c>
      <c r="W3761" s="1136">
        <f>(((K3761*V3761)-S3761)/(K3761*V3761))</f>
        <v>0.45175438596491219</v>
      </c>
    </row>
    <row r="3762" spans="1:23" customFormat="1" ht="18" customHeight="1">
      <c r="B3762" s="26" t="s">
        <v>300</v>
      </c>
      <c r="C3762" s="6" t="s">
        <v>4872</v>
      </c>
      <c r="D3762" s="14" t="s">
        <v>4861</v>
      </c>
      <c r="E3762" s="22" t="s">
        <v>4859</v>
      </c>
      <c r="F3762" s="37" t="s">
        <v>230</v>
      </c>
      <c r="G3762" s="22" t="s">
        <v>4862</v>
      </c>
      <c r="H3762" s="108">
        <v>30</v>
      </c>
      <c r="I3762" s="109">
        <v>21</v>
      </c>
      <c r="J3762" s="8">
        <f>H3762*I3762</f>
        <v>630</v>
      </c>
      <c r="K3762" s="39">
        <v>1.1399999999999999</v>
      </c>
      <c r="L3762" s="39">
        <f>K3762*J3762</f>
        <v>718.19999999999993</v>
      </c>
      <c r="M3762" s="117" t="s">
        <v>349</v>
      </c>
      <c r="N3762" s="33">
        <v>45453</v>
      </c>
      <c r="O3762" s="32">
        <v>6084</v>
      </c>
      <c r="P3762" s="391">
        <f>ROUNDUP(S3762/V3762/VLOOKUP(B3762,$C$2:$F$6,3,FALSE),2)</f>
        <v>0.9</v>
      </c>
      <c r="Q3762" s="322">
        <v>0.9</v>
      </c>
      <c r="R3762" s="322">
        <f>Q3762*J3762</f>
        <v>567</v>
      </c>
      <c r="S3762" s="7">
        <v>75</v>
      </c>
      <c r="T3762" s="7">
        <f>S3762*J3762</f>
        <v>47250</v>
      </c>
      <c r="U3762" s="39"/>
      <c r="V3762" s="260">
        <v>120</v>
      </c>
      <c r="W3762" s="1136">
        <f>(((K3762*V3762)-S3762)/(K3762*V3762))</f>
        <v>0.45175438596491219</v>
      </c>
    </row>
    <row r="3763" spans="1:23" s="7" customFormat="1" ht="18" customHeight="1">
      <c r="B3763" s="12"/>
      <c r="C3763" s="6" t="s">
        <v>4872</v>
      </c>
      <c r="D3763" s="14" t="s">
        <v>4861</v>
      </c>
      <c r="E3763" s="49"/>
      <c r="F3763" s="102"/>
      <c r="G3763" s="22" t="s">
        <v>316</v>
      </c>
      <c r="H3763" s="38"/>
      <c r="I3763" s="35"/>
      <c r="J3763" s="38">
        <v>1</v>
      </c>
      <c r="K3763" s="39">
        <v>12</v>
      </c>
      <c r="L3763" s="39">
        <f>K3763*J3763</f>
        <v>12</v>
      </c>
      <c r="M3763" s="91"/>
      <c r="N3763" s="33">
        <v>45453</v>
      </c>
      <c r="O3763" s="32">
        <v>6084</v>
      </c>
      <c r="P3763" s="722"/>
      <c r="Q3763" s="322">
        <v>12</v>
      </c>
      <c r="R3763" s="322">
        <f>Q3763*J3763</f>
        <v>12</v>
      </c>
      <c r="S3763" s="1201">
        <v>0</v>
      </c>
      <c r="T3763" s="1201">
        <v>0</v>
      </c>
      <c r="U3763" s="21"/>
      <c r="V3763" s="260">
        <v>120</v>
      </c>
      <c r="W3763" s="1136">
        <f>(((K3763*V3763)-S3763)/(K3763*V3763))</f>
        <v>1</v>
      </c>
    </row>
    <row r="3764" spans="1:23" s="191" customFormat="1" ht="15" customHeight="1">
      <c r="B3764" s="190"/>
      <c r="C3764" s="179" t="s">
        <v>4872</v>
      </c>
      <c r="D3764" s="180" t="s">
        <v>4861</v>
      </c>
      <c r="E3764" s="181"/>
      <c r="F3764" s="182"/>
      <c r="G3764" s="182" t="s">
        <v>2738</v>
      </c>
      <c r="H3764" s="184" t="s">
        <v>4884</v>
      </c>
      <c r="I3764" s="185"/>
      <c r="J3764" s="183"/>
      <c r="K3764" s="192">
        <v>100</v>
      </c>
      <c r="L3764" s="192">
        <v>100</v>
      </c>
      <c r="M3764" s="187"/>
      <c r="N3764" s="187">
        <v>45453</v>
      </c>
      <c r="O3764" s="186">
        <v>6084</v>
      </c>
      <c r="P3764" s="179"/>
      <c r="Q3764" s="192">
        <v>100</v>
      </c>
      <c r="R3764" s="192">
        <v>100</v>
      </c>
      <c r="S3764" s="1201">
        <v>9978</v>
      </c>
      <c r="T3764" s="1201">
        <v>9978</v>
      </c>
      <c r="U3764" s="271"/>
      <c r="V3764" s="260">
        <v>120</v>
      </c>
      <c r="W3764" s="1136">
        <f>(((K3764*V3764)-S3764)/(K3764*V3764))</f>
        <v>0.16850000000000001</v>
      </c>
    </row>
    <row r="3765" spans="1:23" s="7" customFormat="1" ht="18" customHeight="1">
      <c r="B3765" s="12"/>
      <c r="C3765" s="6" t="s">
        <v>4864</v>
      </c>
      <c r="D3765" s="14" t="s">
        <v>4865</v>
      </c>
      <c r="E3765" s="17" t="s">
        <v>1976</v>
      </c>
      <c r="F3765" s="37"/>
      <c r="G3765" s="37"/>
      <c r="H3765" s="108"/>
      <c r="I3765" s="108"/>
      <c r="J3765" s="108"/>
      <c r="K3765" s="110" t="s">
        <v>5</v>
      </c>
      <c r="L3765" s="139"/>
      <c r="M3765" s="33"/>
      <c r="N3765" s="33">
        <v>45425</v>
      </c>
      <c r="O3765" s="32">
        <v>6082</v>
      </c>
      <c r="P3765" s="6"/>
      <c r="Q3765" s="339"/>
      <c r="S3765" s="308" t="s">
        <v>4879</v>
      </c>
      <c r="U3765" s="21"/>
      <c r="V3765" s="260">
        <v>120</v>
      </c>
      <c r="W3765" s="1136" t="e">
        <f t="shared" si="283"/>
        <v>#VALUE!</v>
      </c>
    </row>
    <row r="3766" spans="1:23" s="7" customFormat="1" ht="18" customHeight="1">
      <c r="B3766" s="12" t="s">
        <v>300</v>
      </c>
      <c r="C3766" s="6" t="s">
        <v>4864</v>
      </c>
      <c r="D3766" s="14" t="s">
        <v>4865</v>
      </c>
      <c r="E3766" s="22">
        <v>12701</v>
      </c>
      <c r="F3766" s="24">
        <v>12</v>
      </c>
      <c r="G3766" s="22" t="s">
        <v>4798</v>
      </c>
      <c r="H3766" s="108">
        <v>10</v>
      </c>
      <c r="I3766" s="109">
        <v>409</v>
      </c>
      <c r="J3766" s="8">
        <f>H3766*I3766</f>
        <v>4090</v>
      </c>
      <c r="K3766" s="39">
        <v>1.07</v>
      </c>
      <c r="L3766" s="39">
        <f>K3766*J3766</f>
        <v>4376.3</v>
      </c>
      <c r="M3766" s="117" t="s">
        <v>349</v>
      </c>
      <c r="N3766" s="33">
        <v>45425</v>
      </c>
      <c r="O3766" s="32">
        <v>6082</v>
      </c>
      <c r="P3766" s="391">
        <f>ROUNDUP(S3766/V3766/VLOOKUP(B3766,$C$2:$F$6,3,FALSE),2)</f>
        <v>0.62</v>
      </c>
      <c r="Q3766" s="322">
        <v>0.62</v>
      </c>
      <c r="R3766" s="322">
        <f>Q3766*J3766</f>
        <v>2535.8000000000002</v>
      </c>
      <c r="S3766" s="92">
        <v>51.6</v>
      </c>
      <c r="T3766" s="7">
        <f>S3766*J3766</f>
        <v>211044</v>
      </c>
      <c r="U3766" s="959"/>
      <c r="V3766" s="260">
        <v>120</v>
      </c>
      <c r="W3766" s="1136">
        <f t="shared" si="283"/>
        <v>0.59813084112149539</v>
      </c>
    </row>
    <row r="3767" spans="1:23" s="7" customFormat="1" ht="18" customHeight="1">
      <c r="B3767" s="12"/>
      <c r="C3767" s="6" t="s">
        <v>4864</v>
      </c>
      <c r="D3767" s="14" t="s">
        <v>4865</v>
      </c>
      <c r="E3767" s="22"/>
      <c r="F3767" s="102"/>
      <c r="G3767" s="22" t="s">
        <v>316</v>
      </c>
      <c r="H3767" s="8"/>
      <c r="I3767" s="35"/>
      <c r="J3767" s="38">
        <v>1</v>
      </c>
      <c r="K3767" s="39">
        <v>12</v>
      </c>
      <c r="L3767" s="39">
        <f>K3767*J3767</f>
        <v>12</v>
      </c>
      <c r="M3767" s="91"/>
      <c r="N3767" s="33">
        <v>45425</v>
      </c>
      <c r="O3767" s="32">
        <v>6082</v>
      </c>
      <c r="P3767" s="6" t="s">
        <v>3</v>
      </c>
      <c r="Q3767" s="39">
        <v>12</v>
      </c>
      <c r="R3767" s="322">
        <f>Q3767*J3767</f>
        <v>12</v>
      </c>
      <c r="S3767" s="7">
        <v>0</v>
      </c>
      <c r="T3767" s="7">
        <f>S3767*J3767</f>
        <v>0</v>
      </c>
      <c r="U3767" s="21"/>
      <c r="V3767" s="260">
        <v>120</v>
      </c>
      <c r="W3767" s="1136">
        <f t="shared" si="283"/>
        <v>1</v>
      </c>
    </row>
    <row r="3768" spans="1:23" s="191" customFormat="1" ht="18" customHeight="1">
      <c r="B3768" s="190"/>
      <c r="C3768" s="179" t="s">
        <v>4864</v>
      </c>
      <c r="D3768" s="180" t="s">
        <v>4865</v>
      </c>
      <c r="E3768" s="217"/>
      <c r="F3768" s="182"/>
      <c r="G3768" s="182" t="s">
        <v>250</v>
      </c>
      <c r="H3768" s="184" t="s">
        <v>251</v>
      </c>
      <c r="I3768" s="185"/>
      <c r="J3768" s="183"/>
      <c r="K3768" s="192">
        <v>184</v>
      </c>
      <c r="L3768" s="192">
        <v>184</v>
      </c>
      <c r="M3768" s="187"/>
      <c r="N3768" s="187">
        <v>45425</v>
      </c>
      <c r="O3768" s="186">
        <v>6082</v>
      </c>
      <c r="P3768" s="179"/>
      <c r="Q3768" s="192">
        <v>184</v>
      </c>
      <c r="R3768" s="192">
        <v>184</v>
      </c>
      <c r="S3768" s="212">
        <v>20026</v>
      </c>
      <c r="T3768" s="212">
        <v>20026</v>
      </c>
      <c r="U3768" s="335"/>
      <c r="V3768" s="260">
        <v>120</v>
      </c>
      <c r="W3768" s="1136">
        <f t="shared" si="283"/>
        <v>9.3025362318840579E-2</v>
      </c>
    </row>
    <row r="3769" spans="1:23" customFormat="1" ht="18" customHeight="1">
      <c r="A3769" s="1"/>
      <c r="B3769" s="26"/>
      <c r="C3769" s="6" t="s">
        <v>4881</v>
      </c>
      <c r="D3769" s="14" t="s">
        <v>3202</v>
      </c>
      <c r="E3769" s="19" t="s">
        <v>59</v>
      </c>
      <c r="F3769" s="107"/>
      <c r="G3769" s="22"/>
      <c r="H3769" s="108"/>
      <c r="I3769" s="109"/>
      <c r="J3769" s="108"/>
      <c r="K3769" s="110" t="s">
        <v>5</v>
      </c>
      <c r="L3769" s="33"/>
      <c r="M3769" s="33"/>
      <c r="N3769" s="33">
        <v>45405</v>
      </c>
      <c r="O3769" s="32">
        <v>6092</v>
      </c>
      <c r="P3769" s="14"/>
      <c r="Q3769" s="254"/>
      <c r="R3769" s="1"/>
      <c r="S3769" s="261"/>
      <c r="T3769" s="92"/>
      <c r="U3769" s="264"/>
      <c r="V3769" s="260">
        <v>120</v>
      </c>
    </row>
    <row r="3770" spans="1:23" customFormat="1" ht="18" customHeight="1">
      <c r="A3770" s="1"/>
      <c r="B3770" s="12" t="s">
        <v>302</v>
      </c>
      <c r="C3770" s="6" t="s">
        <v>4881</v>
      </c>
      <c r="D3770" s="14" t="s">
        <v>3202</v>
      </c>
      <c r="E3770" s="22">
        <v>5521</v>
      </c>
      <c r="F3770" s="107">
        <v>148</v>
      </c>
      <c r="G3770" s="22" t="s">
        <v>212</v>
      </c>
      <c r="H3770" s="60">
        <v>58</v>
      </c>
      <c r="I3770" s="61">
        <v>1</v>
      </c>
      <c r="J3770" s="60">
        <f>H3770*I3770</f>
        <v>58</v>
      </c>
      <c r="K3770" s="39">
        <v>6.46</v>
      </c>
      <c r="L3770" s="39">
        <f t="shared" ref="L3770:L3778" si="284">K3770*J3770</f>
        <v>374.68</v>
      </c>
      <c r="M3770" s="117" t="s">
        <v>323</v>
      </c>
      <c r="N3770" s="33">
        <v>45405</v>
      </c>
      <c r="O3770" s="32">
        <v>6092</v>
      </c>
      <c r="P3770" s="391">
        <f>ROUNDUP(S3770/V3770/VLOOKUP(B3770,$C$2:$F$6,3,FALSE),2)</f>
        <v>5.88</v>
      </c>
      <c r="Q3770" s="254">
        <v>5.88</v>
      </c>
      <c r="R3770" s="323">
        <f t="shared" ref="R3770:R3778" si="285">Q3770*J3770</f>
        <v>341.04</v>
      </c>
      <c r="S3770" s="273">
        <v>620</v>
      </c>
      <c r="T3770" s="287">
        <f>S3770*J3770</f>
        <v>35960</v>
      </c>
      <c r="U3770" s="264"/>
      <c r="V3770" s="260">
        <v>120</v>
      </c>
      <c r="W3770" s="1136">
        <f>(((K3770*V3770)-S3770)/(K3770*V3770))</f>
        <v>0.20020639834881326</v>
      </c>
    </row>
    <row r="3771" spans="1:23" customFormat="1" ht="18" customHeight="1">
      <c r="A3771" s="1"/>
      <c r="B3771" s="12" t="s">
        <v>302</v>
      </c>
      <c r="C3771" s="6" t="s">
        <v>4881</v>
      </c>
      <c r="D3771" s="14" t="s">
        <v>3202</v>
      </c>
      <c r="E3771" s="22">
        <v>5521</v>
      </c>
      <c r="F3771" s="107">
        <v>148</v>
      </c>
      <c r="G3771" s="22" t="s">
        <v>212</v>
      </c>
      <c r="H3771" s="60">
        <v>59</v>
      </c>
      <c r="I3771" s="61">
        <v>2</v>
      </c>
      <c r="J3771" s="60">
        <f>H3771*I3771</f>
        <v>118</v>
      </c>
      <c r="K3771" s="39">
        <v>6.46</v>
      </c>
      <c r="L3771" s="39">
        <f t="shared" si="284"/>
        <v>762.28</v>
      </c>
      <c r="M3771" s="117" t="s">
        <v>323</v>
      </c>
      <c r="N3771" s="33">
        <v>45405</v>
      </c>
      <c r="O3771" s="32">
        <v>6092</v>
      </c>
      <c r="P3771" s="391">
        <f>ROUNDUP(S3771/V3771/VLOOKUP(B3771,$C$2:$F$6,3,FALSE),2)</f>
        <v>5.88</v>
      </c>
      <c r="Q3771" s="254">
        <v>5.88</v>
      </c>
      <c r="R3771" s="323">
        <f t="shared" si="285"/>
        <v>693.84</v>
      </c>
      <c r="S3771" s="273">
        <v>620</v>
      </c>
      <c r="T3771" s="287">
        <f>S3771*J3771</f>
        <v>73160</v>
      </c>
      <c r="U3771" s="264"/>
      <c r="V3771" s="260">
        <v>120</v>
      </c>
      <c r="W3771" s="1136">
        <f>(((K3771*V3771)-S3771)/(K3771*V3771))</f>
        <v>0.20020639834881326</v>
      </c>
    </row>
    <row r="3772" spans="1:23" s="7" customFormat="1" ht="18" customHeight="1">
      <c r="B3772" s="12"/>
      <c r="C3772" s="6" t="s">
        <v>4881</v>
      </c>
      <c r="D3772" s="14" t="s">
        <v>3202</v>
      </c>
      <c r="E3772" s="159"/>
      <c r="F3772" s="37"/>
      <c r="G3772" s="22" t="s">
        <v>363</v>
      </c>
      <c r="H3772" s="8"/>
      <c r="I3772" s="109" ph="1"/>
      <c r="J3772" s="38">
        <v>1</v>
      </c>
      <c r="K3772" s="39">
        <v>20</v>
      </c>
      <c r="L3772" s="39">
        <f t="shared" si="284"/>
        <v>20</v>
      </c>
      <c r="M3772" s="91"/>
      <c r="N3772" s="33">
        <v>45405</v>
      </c>
      <c r="O3772" s="32">
        <v>6092</v>
      </c>
      <c r="P3772" s="6"/>
      <c r="Q3772" s="322">
        <v>20</v>
      </c>
      <c r="R3772" s="322">
        <f t="shared" si="285"/>
        <v>20</v>
      </c>
      <c r="S3772" s="7">
        <v>1800</v>
      </c>
      <c r="T3772" s="7">
        <v>1800</v>
      </c>
      <c r="U3772" s="21"/>
      <c r="V3772" s="260">
        <v>120</v>
      </c>
    </row>
    <row r="3773" spans="1:23" customFormat="1" ht="18" customHeight="1">
      <c r="A3773" s="1"/>
      <c r="B3773" s="12" t="s">
        <v>302</v>
      </c>
      <c r="C3773" s="6" t="s">
        <v>4881</v>
      </c>
      <c r="D3773" s="14" t="s">
        <v>3202</v>
      </c>
      <c r="E3773" s="22">
        <v>5521</v>
      </c>
      <c r="F3773" s="107">
        <v>148</v>
      </c>
      <c r="G3773" s="22" t="s">
        <v>212</v>
      </c>
      <c r="H3773" s="60">
        <v>54</v>
      </c>
      <c r="I3773" s="61">
        <v>1</v>
      </c>
      <c r="J3773" s="60">
        <f>H3773*I3773</f>
        <v>54</v>
      </c>
      <c r="K3773" s="39">
        <v>5.48</v>
      </c>
      <c r="L3773" s="39">
        <f t="shared" si="284"/>
        <v>295.92</v>
      </c>
      <c r="M3773" s="117" t="s">
        <v>323</v>
      </c>
      <c r="N3773" s="33">
        <v>45441</v>
      </c>
      <c r="O3773" s="32">
        <v>6147</v>
      </c>
      <c r="P3773" s="391">
        <f>ROUNDUP(S3773/V3773/VLOOKUP(B3773,$C$2:$F$6,3,FALSE),2)</f>
        <v>4.3599999999999994</v>
      </c>
      <c r="Q3773" s="254">
        <v>4.3600000000000003</v>
      </c>
      <c r="R3773" s="323">
        <f t="shared" si="285"/>
        <v>235.44000000000003</v>
      </c>
      <c r="S3773" s="273">
        <v>460</v>
      </c>
      <c r="T3773" s="287">
        <f>S3773*J3773</f>
        <v>24840</v>
      </c>
      <c r="U3773" s="264"/>
      <c r="V3773" s="260">
        <v>120</v>
      </c>
      <c r="W3773" s="1136">
        <f>(((K3773*V3773)-S3773)/(K3773*V3773))</f>
        <v>0.3004866180048662</v>
      </c>
    </row>
    <row r="3774" spans="1:23" customFormat="1" ht="18" customHeight="1">
      <c r="A3774" s="1"/>
      <c r="B3774" s="12" t="s">
        <v>302</v>
      </c>
      <c r="C3774" s="6" t="s">
        <v>4881</v>
      </c>
      <c r="D3774" s="14" t="s">
        <v>3202</v>
      </c>
      <c r="E3774" s="22">
        <v>5521</v>
      </c>
      <c r="F3774" s="107">
        <v>148</v>
      </c>
      <c r="G3774" s="22" t="s">
        <v>212</v>
      </c>
      <c r="H3774" s="60">
        <v>56</v>
      </c>
      <c r="I3774" s="61">
        <v>3</v>
      </c>
      <c r="J3774" s="60">
        <f>H3774*I3774</f>
        <v>168</v>
      </c>
      <c r="K3774" s="39">
        <v>5.48</v>
      </c>
      <c r="L3774" s="39">
        <f t="shared" si="284"/>
        <v>920.6400000000001</v>
      </c>
      <c r="M3774" s="117" t="s">
        <v>323</v>
      </c>
      <c r="N3774" s="33">
        <v>45441</v>
      </c>
      <c r="O3774" s="32">
        <v>6147</v>
      </c>
      <c r="P3774" s="391">
        <f>ROUNDUP(S3774/V3774/VLOOKUP(B3774,$C$2:$F$6,3,FALSE),2)</f>
        <v>4.3599999999999994</v>
      </c>
      <c r="Q3774" s="254">
        <v>4.3600000000000003</v>
      </c>
      <c r="R3774" s="323">
        <f t="shared" si="285"/>
        <v>732.48</v>
      </c>
      <c r="S3774" s="273">
        <v>460</v>
      </c>
      <c r="T3774" s="287">
        <f>S3774*J3774</f>
        <v>77280</v>
      </c>
      <c r="U3774" s="264"/>
      <c r="V3774" s="260">
        <v>120</v>
      </c>
      <c r="W3774" s="1136">
        <f>(((K3774*V3774)-S3774)/(K3774*V3774))</f>
        <v>0.3004866180048662</v>
      </c>
    </row>
    <row r="3775" spans="1:23" customFormat="1" ht="18" customHeight="1">
      <c r="A3775" s="1"/>
      <c r="B3775" s="12" t="s">
        <v>302</v>
      </c>
      <c r="C3775" s="6" t="s">
        <v>4881</v>
      </c>
      <c r="D3775" s="14" t="s">
        <v>3202</v>
      </c>
      <c r="E3775" s="22">
        <v>5521</v>
      </c>
      <c r="F3775" s="107">
        <v>148</v>
      </c>
      <c r="G3775" s="22" t="s">
        <v>212</v>
      </c>
      <c r="H3775" s="60">
        <v>58</v>
      </c>
      <c r="I3775" s="61">
        <v>9</v>
      </c>
      <c r="J3775" s="60">
        <f>H3775*I3775</f>
        <v>522</v>
      </c>
      <c r="K3775" s="39">
        <v>5.48</v>
      </c>
      <c r="L3775" s="39">
        <f t="shared" si="284"/>
        <v>2860.5600000000004</v>
      </c>
      <c r="M3775" s="117" t="s">
        <v>323</v>
      </c>
      <c r="N3775" s="33">
        <v>45441</v>
      </c>
      <c r="O3775" s="32">
        <v>6147</v>
      </c>
      <c r="P3775" s="391">
        <f>ROUNDUP(S3775/V3775/VLOOKUP(B3775,$C$2:$F$6,3,FALSE),2)</f>
        <v>4.3599999999999994</v>
      </c>
      <c r="Q3775" s="254">
        <v>4.3600000000000003</v>
      </c>
      <c r="R3775" s="323">
        <f t="shared" si="285"/>
        <v>2275.92</v>
      </c>
      <c r="S3775" s="273">
        <v>460</v>
      </c>
      <c r="T3775" s="287">
        <f>S3775*J3775</f>
        <v>240120</v>
      </c>
      <c r="U3775" s="264"/>
      <c r="V3775" s="260">
        <v>120</v>
      </c>
      <c r="W3775" s="1136">
        <f>(((K3775*V3775)-S3775)/(K3775*V3775))</f>
        <v>0.3004866180048662</v>
      </c>
    </row>
    <row r="3776" spans="1:23" customFormat="1" ht="18" customHeight="1">
      <c r="A3776" s="1"/>
      <c r="B3776" s="12" t="s">
        <v>302</v>
      </c>
      <c r="C3776" s="6" t="s">
        <v>4881</v>
      </c>
      <c r="D3776" s="14" t="s">
        <v>3202</v>
      </c>
      <c r="E3776" s="22">
        <v>5521</v>
      </c>
      <c r="F3776" s="107">
        <v>148</v>
      </c>
      <c r="G3776" s="22" t="s">
        <v>212</v>
      </c>
      <c r="H3776" s="60">
        <v>59</v>
      </c>
      <c r="I3776" s="61">
        <v>2</v>
      </c>
      <c r="J3776" s="60">
        <f>H3776*I3776</f>
        <v>118</v>
      </c>
      <c r="K3776" s="39">
        <v>5.48</v>
      </c>
      <c r="L3776" s="39">
        <f t="shared" si="284"/>
        <v>646.6400000000001</v>
      </c>
      <c r="M3776" s="117" t="s">
        <v>323</v>
      </c>
      <c r="N3776" s="33">
        <v>45441</v>
      </c>
      <c r="O3776" s="32">
        <v>6147</v>
      </c>
      <c r="P3776" s="391">
        <f>ROUNDUP(S3776/V3776/VLOOKUP(B3776,$C$2:$F$6,3,FALSE),2)</f>
        <v>4.3599999999999994</v>
      </c>
      <c r="Q3776" s="254">
        <v>4.3600000000000003</v>
      </c>
      <c r="R3776" s="323">
        <f t="shared" si="285"/>
        <v>514.48</v>
      </c>
      <c r="S3776" s="273">
        <v>460</v>
      </c>
      <c r="T3776" s="287">
        <f>S3776*J3776</f>
        <v>54280</v>
      </c>
      <c r="U3776" s="264"/>
      <c r="V3776" s="260">
        <v>120</v>
      </c>
      <c r="W3776" s="1136">
        <f>(((K3776*V3776)-S3776)/(K3776*V3776))</f>
        <v>0.3004866180048662</v>
      </c>
    </row>
    <row r="3777" spans="1:51" customFormat="1" ht="18" customHeight="1">
      <c r="A3777" s="1"/>
      <c r="B3777" s="12" t="s">
        <v>302</v>
      </c>
      <c r="C3777" s="6" t="s">
        <v>4881</v>
      </c>
      <c r="D3777" s="14" t="s">
        <v>3202</v>
      </c>
      <c r="E3777" s="22">
        <v>5521</v>
      </c>
      <c r="F3777" s="107">
        <v>148</v>
      </c>
      <c r="G3777" s="22" t="s">
        <v>212</v>
      </c>
      <c r="H3777" s="60">
        <v>60</v>
      </c>
      <c r="I3777" s="61">
        <v>3</v>
      </c>
      <c r="J3777" s="60">
        <f>H3777*I3777</f>
        <v>180</v>
      </c>
      <c r="K3777" s="39">
        <v>5.48</v>
      </c>
      <c r="L3777" s="39">
        <f t="shared" si="284"/>
        <v>986.40000000000009</v>
      </c>
      <c r="M3777" s="117" t="s">
        <v>323</v>
      </c>
      <c r="N3777" s="33">
        <v>45441</v>
      </c>
      <c r="O3777" s="32">
        <v>6147</v>
      </c>
      <c r="P3777" s="391">
        <f>ROUNDUP(S3777/V3777/VLOOKUP(B3777,$C$2:$F$6,3,FALSE),2)</f>
        <v>4.3599999999999994</v>
      </c>
      <c r="Q3777" s="254">
        <v>4.3600000000000003</v>
      </c>
      <c r="R3777" s="323">
        <f t="shared" si="285"/>
        <v>784.80000000000007</v>
      </c>
      <c r="S3777" s="273">
        <v>460</v>
      </c>
      <c r="T3777" s="287">
        <f>S3777*J3777</f>
        <v>82800</v>
      </c>
      <c r="U3777" s="264"/>
      <c r="V3777" s="260">
        <v>120</v>
      </c>
      <c r="W3777" s="1136">
        <f>(((K3777*V3777)-S3777)/(K3777*V3777))</f>
        <v>0.3004866180048662</v>
      </c>
    </row>
    <row r="3778" spans="1:51" s="7" customFormat="1" ht="18" customHeight="1">
      <c r="B3778" s="12"/>
      <c r="C3778" s="6" t="s">
        <v>4881</v>
      </c>
      <c r="D3778" s="14" t="s">
        <v>3202</v>
      </c>
      <c r="E3778" s="159"/>
      <c r="F3778" s="37"/>
      <c r="G3778" s="22" t="s">
        <v>363</v>
      </c>
      <c r="H3778" s="8"/>
      <c r="I3778" s="109" ph="1"/>
      <c r="J3778" s="38">
        <v>1</v>
      </c>
      <c r="K3778" s="39">
        <v>20</v>
      </c>
      <c r="L3778" s="39">
        <f t="shared" si="284"/>
        <v>20</v>
      </c>
      <c r="M3778" s="91"/>
      <c r="N3778" s="33">
        <v>45441</v>
      </c>
      <c r="O3778" s="32">
        <v>6147</v>
      </c>
      <c r="P3778" s="6"/>
      <c r="Q3778" s="322">
        <v>20</v>
      </c>
      <c r="R3778" s="322">
        <f t="shared" si="285"/>
        <v>20</v>
      </c>
      <c r="S3778" s="7">
        <v>0</v>
      </c>
      <c r="T3778" s="7">
        <v>0</v>
      </c>
      <c r="U3778" s="21"/>
      <c r="V3778" s="260">
        <v>120</v>
      </c>
    </row>
    <row r="3779" spans="1:51" s="191" customFormat="1" ht="18" customHeight="1">
      <c r="B3779" s="190"/>
      <c r="C3779" s="179" t="s">
        <v>4881</v>
      </c>
      <c r="D3779" s="180" t="s">
        <v>3202</v>
      </c>
      <c r="E3779" s="217"/>
      <c r="F3779" s="182"/>
      <c r="G3779" s="182" t="s">
        <v>250</v>
      </c>
      <c r="H3779" s="184" t="s">
        <v>251</v>
      </c>
      <c r="I3779" s="185"/>
      <c r="J3779" s="183"/>
      <c r="K3779" s="192">
        <v>0</v>
      </c>
      <c r="L3779" s="187"/>
      <c r="M3779" s="187"/>
      <c r="N3779" s="187">
        <v>45441</v>
      </c>
      <c r="O3779" s="186">
        <v>6147</v>
      </c>
      <c r="P3779" s="179"/>
      <c r="Q3779" s="255">
        <v>0</v>
      </c>
      <c r="R3779" s="322">
        <v>0</v>
      </c>
      <c r="S3779" s="275">
        <v>0</v>
      </c>
      <c r="T3779" s="198">
        <v>0</v>
      </c>
      <c r="U3779" s="271"/>
      <c r="V3779" s="260">
        <v>120</v>
      </c>
      <c r="W3779" s="1136" t="e">
        <f t="shared" ref="W3779:W3804" si="286">(((K3779*V3779)-S3779)/(K3779*V3779))</f>
        <v>#DIV/0!</v>
      </c>
    </row>
    <row r="3780" spans="1:51" customFormat="1" ht="18" customHeight="1">
      <c r="A3780" s="1"/>
      <c r="B3780" s="26"/>
      <c r="C3780" s="6" t="s">
        <v>4880</v>
      </c>
      <c r="D3780" s="14" t="s">
        <v>2912</v>
      </c>
      <c r="E3780" s="19" t="s">
        <v>4763</v>
      </c>
      <c r="F3780" s="107"/>
      <c r="G3780" s="22"/>
      <c r="H3780" s="108"/>
      <c r="I3780" s="109"/>
      <c r="J3780" s="108"/>
      <c r="K3780" s="110" t="s">
        <v>5</v>
      </c>
      <c r="L3780" s="33"/>
      <c r="M3780" s="33"/>
      <c r="N3780" s="33">
        <v>45405</v>
      </c>
      <c r="O3780" s="32">
        <v>6091</v>
      </c>
      <c r="P3780" s="14"/>
      <c r="Q3780" s="254"/>
      <c r="R3780" s="1"/>
      <c r="S3780" s="261"/>
      <c r="T3780" s="92"/>
      <c r="U3780" s="264"/>
      <c r="V3780" s="260">
        <v>120</v>
      </c>
      <c r="W3780" s="1136" t="e">
        <f t="shared" si="286"/>
        <v>#VALUE!</v>
      </c>
      <c r="X3780" s="1"/>
      <c r="Y3780" s="1"/>
      <c r="Z3780" s="1"/>
      <c r="AA3780" s="1"/>
      <c r="AB3780" s="1"/>
      <c r="AC3780" s="1"/>
      <c r="AD3780" s="1"/>
      <c r="AE3780" s="1"/>
      <c r="AF3780" s="1"/>
      <c r="AG3780" s="1"/>
      <c r="AH3780" s="1"/>
      <c r="AI3780" s="1"/>
      <c r="AJ3780" s="1"/>
      <c r="AK3780" s="1"/>
      <c r="AL3780" s="1"/>
      <c r="AM3780" s="1"/>
      <c r="AN3780" s="1"/>
      <c r="AO3780" s="1"/>
      <c r="AP3780" s="1"/>
      <c r="AQ3780" s="1"/>
      <c r="AR3780" s="1"/>
      <c r="AS3780" s="1"/>
      <c r="AT3780" s="1"/>
      <c r="AU3780" s="1"/>
      <c r="AV3780" s="1"/>
      <c r="AW3780" s="1"/>
      <c r="AX3780" s="1"/>
      <c r="AY3780" s="1"/>
    </row>
    <row r="3781" spans="1:51" customFormat="1" ht="18" customHeight="1">
      <c r="B3781" s="12" t="s">
        <v>302</v>
      </c>
      <c r="C3781" s="6" t="s">
        <v>4880</v>
      </c>
      <c r="D3781" s="14" t="s">
        <v>2912</v>
      </c>
      <c r="E3781" s="22" t="s">
        <v>4829</v>
      </c>
      <c r="F3781" s="107">
        <v>155</v>
      </c>
      <c r="G3781" s="22" t="s">
        <v>77</v>
      </c>
      <c r="H3781" s="108">
        <v>20</v>
      </c>
      <c r="I3781" s="109">
        <v>1</v>
      </c>
      <c r="J3781" s="8">
        <f>H3781*I3781</f>
        <v>20</v>
      </c>
      <c r="K3781" s="39">
        <v>51.05</v>
      </c>
      <c r="L3781" s="39">
        <f>K3781*J3781</f>
        <v>1021</v>
      </c>
      <c r="M3781" s="117" t="s">
        <v>323</v>
      </c>
      <c r="N3781" s="33">
        <v>45405</v>
      </c>
      <c r="O3781" s="32">
        <v>6091</v>
      </c>
      <c r="P3781" s="391">
        <f>ROUNDUP(S3781/V3781/VLOOKUP(B3781,$C$2:$F$6,3,FALSE),2)</f>
        <v>46.41</v>
      </c>
      <c r="Q3781" s="254">
        <v>46.41</v>
      </c>
      <c r="R3781" s="323">
        <f>Q3781*J3781</f>
        <v>928.19999999999993</v>
      </c>
      <c r="S3781" s="257">
        <v>4900</v>
      </c>
      <c r="T3781" s="287">
        <f>S3781*J3781</f>
        <v>98000</v>
      </c>
      <c r="U3781" s="264"/>
      <c r="V3781" s="260">
        <v>120</v>
      </c>
      <c r="W3781" s="1136">
        <f t="shared" si="286"/>
        <v>0.20013059092393079</v>
      </c>
      <c r="X3781" s="1"/>
      <c r="Y3781" s="1"/>
      <c r="Z3781" s="1"/>
      <c r="AA3781" s="1"/>
      <c r="AB3781" s="1"/>
      <c r="AC3781" s="1"/>
      <c r="AD3781" s="1"/>
      <c r="AE3781" s="1"/>
      <c r="AF3781" s="1"/>
      <c r="AG3781" s="1"/>
      <c r="AH3781" s="1"/>
      <c r="AI3781" s="1"/>
      <c r="AJ3781" s="1"/>
      <c r="AK3781" s="1"/>
      <c r="AL3781" s="1"/>
      <c r="AM3781" s="1"/>
      <c r="AN3781" s="1"/>
      <c r="AO3781" s="1"/>
      <c r="AP3781" s="1"/>
      <c r="AQ3781" s="1"/>
      <c r="AR3781" s="1"/>
      <c r="AS3781" s="1"/>
      <c r="AT3781" s="1"/>
      <c r="AU3781" s="1"/>
      <c r="AV3781" s="1"/>
      <c r="AW3781" s="1"/>
      <c r="AX3781" s="1"/>
      <c r="AY3781" s="1"/>
    </row>
    <row r="3782" spans="1:51" customFormat="1" ht="18" customHeight="1">
      <c r="B3782" s="12" t="s">
        <v>302</v>
      </c>
      <c r="C3782" s="6" t="s">
        <v>4880</v>
      </c>
      <c r="D3782" s="14" t="s">
        <v>2912</v>
      </c>
      <c r="E3782" s="22" t="s">
        <v>4829</v>
      </c>
      <c r="F3782" s="107">
        <v>155</v>
      </c>
      <c r="G3782" s="22" t="s">
        <v>77</v>
      </c>
      <c r="H3782" s="108">
        <v>15</v>
      </c>
      <c r="I3782" s="109">
        <v>1</v>
      </c>
      <c r="J3782" s="8">
        <f>H3782*I3782</f>
        <v>15</v>
      </c>
      <c r="K3782" s="39">
        <v>51.05</v>
      </c>
      <c r="L3782" s="39">
        <f>K3782*J3782</f>
        <v>765.75</v>
      </c>
      <c r="M3782" s="117" t="s">
        <v>323</v>
      </c>
      <c r="N3782" s="33">
        <v>45405</v>
      </c>
      <c r="O3782" s="32">
        <v>6091</v>
      </c>
      <c r="P3782" s="391">
        <f>ROUNDUP(S3782/V3782/VLOOKUP(B3782,$C$2:$F$6,3,FALSE),2)</f>
        <v>46.41</v>
      </c>
      <c r="Q3782" s="254">
        <v>46.41</v>
      </c>
      <c r="R3782" s="323">
        <f>Q3782*J3782</f>
        <v>696.15</v>
      </c>
      <c r="S3782" s="257">
        <v>4900</v>
      </c>
      <c r="T3782" s="287">
        <f>S3782*J3782</f>
        <v>73500</v>
      </c>
      <c r="U3782" s="264"/>
      <c r="V3782" s="260">
        <v>120</v>
      </c>
      <c r="W3782" s="1136">
        <f t="shared" si="286"/>
        <v>0.20013059092393079</v>
      </c>
      <c r="X3782" s="1"/>
      <c r="Y3782" s="1"/>
      <c r="Z3782" s="1"/>
      <c r="AA3782" s="1"/>
      <c r="AB3782" s="1"/>
      <c r="AC3782" s="1"/>
      <c r="AD3782" s="1"/>
      <c r="AE3782" s="1"/>
      <c r="AF3782" s="1"/>
      <c r="AG3782" s="1"/>
      <c r="AH3782" s="1"/>
      <c r="AI3782" s="1"/>
      <c r="AJ3782" s="1"/>
      <c r="AK3782" s="1"/>
      <c r="AL3782" s="1"/>
      <c r="AM3782" s="1"/>
      <c r="AN3782" s="1"/>
      <c r="AO3782" s="1"/>
      <c r="AP3782" s="1"/>
      <c r="AQ3782" s="1"/>
      <c r="AR3782" s="1"/>
      <c r="AS3782" s="1"/>
      <c r="AT3782" s="1"/>
      <c r="AU3782" s="1"/>
      <c r="AV3782" s="1"/>
      <c r="AW3782" s="1"/>
      <c r="AX3782" s="1"/>
      <c r="AY3782" s="1"/>
    </row>
    <row r="3783" spans="1:51" customFormat="1" ht="18" customHeight="1">
      <c r="B3783" s="12" t="s">
        <v>302</v>
      </c>
      <c r="C3783" s="6" t="s">
        <v>4880</v>
      </c>
      <c r="D3783" s="14" t="s">
        <v>2912</v>
      </c>
      <c r="E3783" s="22" t="s">
        <v>4829</v>
      </c>
      <c r="F3783" s="107">
        <v>155</v>
      </c>
      <c r="G3783" s="22" t="s">
        <v>76</v>
      </c>
      <c r="H3783" s="108">
        <v>20</v>
      </c>
      <c r="I3783" s="109">
        <v>1</v>
      </c>
      <c r="J3783" s="8">
        <f>H3783*I3783</f>
        <v>20</v>
      </c>
      <c r="K3783" s="39">
        <v>51.05</v>
      </c>
      <c r="L3783" s="39">
        <f>K3783*J3783</f>
        <v>1021</v>
      </c>
      <c r="M3783" s="117" t="s">
        <v>323</v>
      </c>
      <c r="N3783" s="33">
        <v>45405</v>
      </c>
      <c r="O3783" s="32">
        <v>6091</v>
      </c>
      <c r="P3783" s="391">
        <f>ROUNDUP(S3783/V3783/VLOOKUP(B3783,$C$2:$F$6,3,FALSE),2)</f>
        <v>46.41</v>
      </c>
      <c r="Q3783" s="254">
        <v>46.41</v>
      </c>
      <c r="R3783" s="323">
        <f>Q3783*J3783</f>
        <v>928.19999999999993</v>
      </c>
      <c r="S3783" s="257">
        <v>4900</v>
      </c>
      <c r="T3783" s="287">
        <f>S3783*J3783</f>
        <v>98000</v>
      </c>
      <c r="U3783" s="264"/>
      <c r="V3783" s="260">
        <v>120</v>
      </c>
      <c r="W3783" s="1136">
        <f t="shared" si="286"/>
        <v>0.20013059092393079</v>
      </c>
      <c r="X3783" s="1"/>
      <c r="Y3783" s="1"/>
      <c r="Z3783" s="1"/>
      <c r="AA3783" s="1"/>
      <c r="AB3783" s="1"/>
      <c r="AC3783" s="1"/>
      <c r="AD3783" s="1"/>
      <c r="AE3783" s="1"/>
      <c r="AF3783" s="1"/>
      <c r="AG3783" s="1"/>
      <c r="AH3783" s="1"/>
      <c r="AI3783" s="1"/>
      <c r="AJ3783" s="1"/>
      <c r="AK3783" s="1"/>
      <c r="AL3783" s="1"/>
      <c r="AM3783" s="1"/>
      <c r="AN3783" s="1"/>
      <c r="AO3783" s="1"/>
      <c r="AP3783" s="1"/>
      <c r="AQ3783" s="1"/>
      <c r="AR3783" s="1"/>
      <c r="AS3783" s="1"/>
      <c r="AT3783" s="1"/>
      <c r="AU3783" s="1"/>
      <c r="AV3783" s="1"/>
      <c r="AW3783" s="1"/>
      <c r="AX3783" s="1"/>
      <c r="AY3783" s="1"/>
    </row>
    <row r="3784" spans="1:51" customFormat="1" ht="18" customHeight="1">
      <c r="B3784" s="12" t="s">
        <v>302</v>
      </c>
      <c r="C3784" s="6" t="s">
        <v>4880</v>
      </c>
      <c r="D3784" s="14" t="s">
        <v>2912</v>
      </c>
      <c r="E3784" s="22" t="s">
        <v>4829</v>
      </c>
      <c r="F3784" s="107">
        <v>155</v>
      </c>
      <c r="G3784" s="22" t="s">
        <v>76</v>
      </c>
      <c r="H3784" s="108">
        <v>15</v>
      </c>
      <c r="I3784" s="109">
        <v>1</v>
      </c>
      <c r="J3784" s="8">
        <f>H3784*I3784</f>
        <v>15</v>
      </c>
      <c r="K3784" s="39">
        <v>51.05</v>
      </c>
      <c r="L3784" s="39">
        <f>K3784*J3784</f>
        <v>765.75</v>
      </c>
      <c r="M3784" s="117" t="s">
        <v>323</v>
      </c>
      <c r="N3784" s="33">
        <v>45405</v>
      </c>
      <c r="O3784" s="32">
        <v>6091</v>
      </c>
      <c r="P3784" s="391">
        <f>ROUNDUP(S3784/V3784/VLOOKUP(B3784,$C$2:$F$6,3,FALSE),2)</f>
        <v>46.41</v>
      </c>
      <c r="Q3784" s="254">
        <v>46.41</v>
      </c>
      <c r="R3784" s="323">
        <f>Q3784*J3784</f>
        <v>696.15</v>
      </c>
      <c r="S3784" s="257">
        <v>4900</v>
      </c>
      <c r="T3784" s="287">
        <f>S3784*J3784</f>
        <v>73500</v>
      </c>
      <c r="U3784" s="264"/>
      <c r="V3784" s="260">
        <v>120</v>
      </c>
      <c r="W3784" s="1136">
        <f t="shared" si="286"/>
        <v>0.20013059092393079</v>
      </c>
      <c r="X3784" s="1"/>
      <c r="Y3784" s="1"/>
      <c r="Z3784" s="1"/>
      <c r="AA3784" s="1"/>
      <c r="AB3784" s="1"/>
      <c r="AC3784" s="1"/>
      <c r="AD3784" s="1"/>
      <c r="AE3784" s="1"/>
      <c r="AF3784" s="1"/>
      <c r="AG3784" s="1"/>
      <c r="AH3784" s="1"/>
      <c r="AI3784" s="1"/>
      <c r="AJ3784" s="1"/>
      <c r="AK3784" s="1"/>
      <c r="AL3784" s="1"/>
      <c r="AM3784" s="1"/>
      <c r="AN3784" s="1"/>
      <c r="AO3784" s="1"/>
      <c r="AP3784" s="1"/>
      <c r="AQ3784" s="1"/>
      <c r="AR3784" s="1"/>
      <c r="AS3784" s="1"/>
      <c r="AT3784" s="1"/>
      <c r="AU3784" s="1"/>
      <c r="AV3784" s="1"/>
      <c r="AW3784" s="1"/>
      <c r="AX3784" s="1"/>
      <c r="AY3784" s="1"/>
    </row>
    <row r="3785" spans="1:51" s="7" customFormat="1" ht="18" customHeight="1">
      <c r="B3785" s="12"/>
      <c r="C3785" s="6" t="s">
        <v>4880</v>
      </c>
      <c r="D3785" s="14" t="s">
        <v>2912</v>
      </c>
      <c r="E3785" s="22"/>
      <c r="F3785" s="102"/>
      <c r="G3785" s="22" t="s">
        <v>4329</v>
      </c>
      <c r="H3785" s="8"/>
      <c r="I3785" s="35"/>
      <c r="J3785" s="38">
        <v>4</v>
      </c>
      <c r="K3785" s="39">
        <v>15</v>
      </c>
      <c r="L3785" s="39">
        <f>K3785*J3785</f>
        <v>60</v>
      </c>
      <c r="M3785" s="91"/>
      <c r="N3785" s="33">
        <v>45405</v>
      </c>
      <c r="O3785" s="32">
        <v>6091</v>
      </c>
      <c r="P3785" s="6" t="s">
        <v>3</v>
      </c>
      <c r="Q3785" s="39">
        <v>15</v>
      </c>
      <c r="R3785" s="322">
        <f>Q3785*J3785</f>
        <v>60</v>
      </c>
      <c r="S3785" s="7">
        <v>1000</v>
      </c>
      <c r="T3785" s="7">
        <f>S3785*J3785</f>
        <v>4000</v>
      </c>
      <c r="U3785" s="21"/>
      <c r="V3785" s="260">
        <v>120</v>
      </c>
      <c r="W3785" s="1136">
        <f t="shared" si="286"/>
        <v>0.44444444444444442</v>
      </c>
    </row>
    <row r="3786" spans="1:51" customFormat="1" ht="18" customHeight="1">
      <c r="A3786" s="1"/>
      <c r="B3786" s="26"/>
      <c r="C3786" s="6" t="s">
        <v>4880</v>
      </c>
      <c r="D3786" s="14" t="s">
        <v>2912</v>
      </c>
      <c r="E3786" s="19" t="s">
        <v>4873</v>
      </c>
      <c r="F3786" s="107"/>
      <c r="G3786" s="22"/>
      <c r="H3786" s="108"/>
      <c r="I3786" s="109"/>
      <c r="J3786" s="108"/>
      <c r="K3786" s="110" t="s">
        <v>5</v>
      </c>
      <c r="L3786" s="33"/>
      <c r="M3786" s="33"/>
      <c r="N3786" s="33">
        <v>45405</v>
      </c>
      <c r="O3786" s="32">
        <v>6091</v>
      </c>
      <c r="P3786" s="14"/>
      <c r="Q3786" s="254"/>
      <c r="R3786" s="1"/>
      <c r="S3786" s="261"/>
      <c r="T3786" s="92"/>
      <c r="U3786" s="264"/>
      <c r="V3786" s="260">
        <v>120</v>
      </c>
      <c r="W3786" s="1136" t="e">
        <f t="shared" si="286"/>
        <v>#VALUE!</v>
      </c>
      <c r="X3786" s="1"/>
      <c r="Y3786" s="1"/>
      <c r="Z3786" s="1"/>
      <c r="AA3786" s="1"/>
      <c r="AB3786" s="1"/>
      <c r="AC3786" s="1"/>
      <c r="AD3786" s="1"/>
      <c r="AE3786" s="1"/>
      <c r="AF3786" s="1"/>
      <c r="AG3786" s="1"/>
      <c r="AH3786" s="1"/>
      <c r="AI3786" s="1"/>
      <c r="AJ3786" s="1"/>
      <c r="AK3786" s="1"/>
      <c r="AL3786" s="1"/>
      <c r="AM3786" s="1"/>
      <c r="AN3786" s="1"/>
      <c r="AO3786" s="1"/>
      <c r="AP3786" s="1"/>
      <c r="AQ3786" s="1"/>
      <c r="AR3786" s="1"/>
      <c r="AS3786" s="1"/>
      <c r="AT3786" s="1"/>
      <c r="AU3786" s="1"/>
      <c r="AV3786" s="1"/>
      <c r="AW3786" s="1"/>
      <c r="AX3786" s="1"/>
      <c r="AY3786" s="1"/>
    </row>
    <row r="3787" spans="1:51" customFormat="1" ht="18" customHeight="1">
      <c r="B3787" s="12" t="s">
        <v>302</v>
      </c>
      <c r="C3787" s="6" t="s">
        <v>4880</v>
      </c>
      <c r="D3787" s="14" t="s">
        <v>2912</v>
      </c>
      <c r="E3787" s="22" t="s">
        <v>4874</v>
      </c>
      <c r="F3787" s="107">
        <v>150</v>
      </c>
      <c r="G3787" s="22" t="s">
        <v>353</v>
      </c>
      <c r="H3787" s="108">
        <v>20</v>
      </c>
      <c r="I3787" s="109">
        <v>1</v>
      </c>
      <c r="J3787" s="8">
        <f>H3787*I3787</f>
        <v>20</v>
      </c>
      <c r="K3787" s="39">
        <v>21.88</v>
      </c>
      <c r="L3787" s="39">
        <f t="shared" ref="L3787:L3792" si="287">K3787*J3787</f>
        <v>437.59999999999997</v>
      </c>
      <c r="M3787" s="117" t="s">
        <v>323</v>
      </c>
      <c r="N3787" s="33">
        <v>45405</v>
      </c>
      <c r="O3787" s="32">
        <v>6091</v>
      </c>
      <c r="P3787" s="391">
        <f>ROUNDUP(S3787/V3787/VLOOKUP(B3787,$C$2:$F$6,3,FALSE),2)</f>
        <v>19.89</v>
      </c>
      <c r="Q3787" s="254">
        <v>19.89</v>
      </c>
      <c r="R3787" s="323">
        <f t="shared" ref="R3787:R3792" si="288">Q3787*J3787</f>
        <v>397.8</v>
      </c>
      <c r="S3787" s="257">
        <v>2100</v>
      </c>
      <c r="T3787" s="287">
        <f t="shared" ref="T3787:T3792" si="289">S3787*J3787</f>
        <v>42000</v>
      </c>
      <c r="U3787" s="264"/>
      <c r="V3787" s="260">
        <v>120</v>
      </c>
      <c r="W3787" s="1136">
        <f t="shared" si="286"/>
        <v>0.20018281535648991</v>
      </c>
      <c r="X3787" s="1"/>
      <c r="Y3787" s="1"/>
      <c r="Z3787" s="1"/>
      <c r="AA3787" s="1"/>
      <c r="AB3787" s="1"/>
      <c r="AC3787" s="1"/>
      <c r="AD3787" s="1"/>
      <c r="AE3787" s="1"/>
      <c r="AF3787" s="1"/>
      <c r="AG3787" s="1"/>
      <c r="AH3787" s="1"/>
      <c r="AI3787" s="1"/>
      <c r="AJ3787" s="1"/>
      <c r="AK3787" s="1"/>
      <c r="AL3787" s="1"/>
      <c r="AM3787" s="1"/>
      <c r="AN3787" s="1"/>
      <c r="AO3787" s="1"/>
      <c r="AP3787" s="1"/>
      <c r="AQ3787" s="1"/>
      <c r="AR3787" s="1"/>
      <c r="AS3787" s="1"/>
      <c r="AT3787" s="1"/>
      <c r="AU3787" s="1"/>
      <c r="AV3787" s="1"/>
      <c r="AW3787" s="1"/>
      <c r="AX3787" s="1"/>
      <c r="AY3787" s="1"/>
    </row>
    <row r="3788" spans="1:51" customFormat="1" ht="18" customHeight="1">
      <c r="B3788" s="12" t="s">
        <v>302</v>
      </c>
      <c r="C3788" s="6" t="s">
        <v>4880</v>
      </c>
      <c r="D3788" s="14" t="s">
        <v>2912</v>
      </c>
      <c r="E3788" s="22" t="s">
        <v>4874</v>
      </c>
      <c r="F3788" s="107">
        <v>150</v>
      </c>
      <c r="G3788" s="22" t="s">
        <v>353</v>
      </c>
      <c r="H3788" s="108">
        <v>20</v>
      </c>
      <c r="I3788" s="109">
        <v>1</v>
      </c>
      <c r="J3788" s="8">
        <f>H3788*I3788</f>
        <v>20</v>
      </c>
      <c r="K3788" s="39">
        <v>21.88</v>
      </c>
      <c r="L3788" s="39">
        <f t="shared" si="287"/>
        <v>437.59999999999997</v>
      </c>
      <c r="M3788" s="117" t="s">
        <v>323</v>
      </c>
      <c r="N3788" s="33">
        <v>45405</v>
      </c>
      <c r="O3788" s="32">
        <v>6091</v>
      </c>
      <c r="P3788" s="391">
        <f>ROUNDUP(S3788/V3788/VLOOKUP(B3788,$C$2:$F$6,3,FALSE),2)</f>
        <v>19.89</v>
      </c>
      <c r="Q3788" s="254">
        <v>19.89</v>
      </c>
      <c r="R3788" s="323">
        <f t="shared" si="288"/>
        <v>397.8</v>
      </c>
      <c r="S3788" s="257">
        <v>2100</v>
      </c>
      <c r="T3788" s="287">
        <f t="shared" si="289"/>
        <v>42000</v>
      </c>
      <c r="U3788" s="264"/>
      <c r="V3788" s="260">
        <v>120</v>
      </c>
      <c r="W3788" s="1136">
        <f t="shared" si="286"/>
        <v>0.20018281535648991</v>
      </c>
      <c r="X3788" s="1"/>
      <c r="Y3788" s="1"/>
      <c r="Z3788" s="1"/>
      <c r="AA3788" s="1"/>
      <c r="AB3788" s="1"/>
      <c r="AC3788" s="1"/>
      <c r="AD3788" s="1"/>
      <c r="AE3788" s="1"/>
      <c r="AF3788" s="1"/>
      <c r="AG3788" s="1"/>
      <c r="AH3788" s="1"/>
      <c r="AI3788" s="1"/>
      <c r="AJ3788" s="1"/>
      <c r="AK3788" s="1"/>
      <c r="AL3788" s="1"/>
      <c r="AM3788" s="1"/>
      <c r="AN3788" s="1"/>
      <c r="AO3788" s="1"/>
      <c r="AP3788" s="1"/>
      <c r="AQ3788" s="1"/>
      <c r="AR3788" s="1"/>
      <c r="AS3788" s="1"/>
      <c r="AT3788" s="1"/>
      <c r="AU3788" s="1"/>
      <c r="AV3788" s="1"/>
      <c r="AW3788" s="1"/>
      <c r="AX3788" s="1"/>
      <c r="AY3788" s="1"/>
    </row>
    <row r="3789" spans="1:51" customFormat="1" ht="18" customHeight="1">
      <c r="B3789" s="12" t="s">
        <v>302</v>
      </c>
      <c r="C3789" s="6" t="s">
        <v>4880</v>
      </c>
      <c r="D3789" s="14" t="s">
        <v>2912</v>
      </c>
      <c r="E3789" s="22" t="s">
        <v>4874</v>
      </c>
      <c r="F3789" s="107">
        <v>150</v>
      </c>
      <c r="G3789" s="22" t="s">
        <v>4875</v>
      </c>
      <c r="H3789" s="108">
        <v>20</v>
      </c>
      <c r="I3789" s="109">
        <v>1</v>
      </c>
      <c r="J3789" s="8">
        <f>H3789*I3789</f>
        <v>20</v>
      </c>
      <c r="K3789" s="39">
        <v>21.88</v>
      </c>
      <c r="L3789" s="39">
        <f t="shared" si="287"/>
        <v>437.59999999999997</v>
      </c>
      <c r="M3789" s="117" t="s">
        <v>323</v>
      </c>
      <c r="N3789" s="33">
        <v>45405</v>
      </c>
      <c r="O3789" s="32">
        <v>6091</v>
      </c>
      <c r="P3789" s="391">
        <f>ROUNDUP(S3789/V3789/VLOOKUP(B3789,$C$2:$F$6,3,FALSE),2)</f>
        <v>19.89</v>
      </c>
      <c r="Q3789" s="254">
        <v>19.89</v>
      </c>
      <c r="R3789" s="323">
        <f t="shared" si="288"/>
        <v>397.8</v>
      </c>
      <c r="S3789" s="257">
        <v>2100</v>
      </c>
      <c r="T3789" s="287">
        <f t="shared" si="289"/>
        <v>42000</v>
      </c>
      <c r="U3789" s="264"/>
      <c r="V3789" s="260">
        <v>120</v>
      </c>
      <c r="W3789" s="1136">
        <f t="shared" si="286"/>
        <v>0.20018281535648991</v>
      </c>
      <c r="X3789" s="1"/>
      <c r="Y3789" s="1"/>
      <c r="Z3789" s="1"/>
      <c r="AA3789" s="1"/>
      <c r="AB3789" s="1"/>
      <c r="AC3789" s="1"/>
      <c r="AD3789" s="1"/>
      <c r="AE3789" s="1"/>
      <c r="AF3789" s="1"/>
      <c r="AG3789" s="1"/>
      <c r="AH3789" s="1"/>
      <c r="AI3789" s="1"/>
      <c r="AJ3789" s="1"/>
      <c r="AK3789" s="1"/>
      <c r="AL3789" s="1"/>
      <c r="AM3789" s="1"/>
      <c r="AN3789" s="1"/>
      <c r="AO3789" s="1"/>
      <c r="AP3789" s="1"/>
      <c r="AQ3789" s="1"/>
      <c r="AR3789" s="1"/>
      <c r="AS3789" s="1"/>
      <c r="AT3789" s="1"/>
      <c r="AU3789" s="1"/>
      <c r="AV3789" s="1"/>
      <c r="AW3789" s="1"/>
      <c r="AX3789" s="1"/>
      <c r="AY3789" s="1"/>
    </row>
    <row r="3790" spans="1:51" customFormat="1" ht="18" customHeight="1">
      <c r="B3790" s="12" t="s">
        <v>302</v>
      </c>
      <c r="C3790" s="6" t="s">
        <v>4880</v>
      </c>
      <c r="D3790" s="14" t="s">
        <v>2912</v>
      </c>
      <c r="E3790" s="22" t="s">
        <v>4874</v>
      </c>
      <c r="F3790" s="107">
        <v>150</v>
      </c>
      <c r="G3790" s="22" t="s">
        <v>4875</v>
      </c>
      <c r="H3790" s="108">
        <v>20</v>
      </c>
      <c r="I3790" s="109">
        <v>1</v>
      </c>
      <c r="J3790" s="8">
        <f>H3790*I3790</f>
        <v>20</v>
      </c>
      <c r="K3790" s="39">
        <v>21.88</v>
      </c>
      <c r="L3790" s="39">
        <f t="shared" si="287"/>
        <v>437.59999999999997</v>
      </c>
      <c r="M3790" s="117" t="s">
        <v>323</v>
      </c>
      <c r="N3790" s="33">
        <v>45405</v>
      </c>
      <c r="O3790" s="32">
        <v>6091</v>
      </c>
      <c r="P3790" s="391">
        <f>ROUNDUP(S3790/V3790/VLOOKUP(B3790,$C$2:$F$6,3,FALSE),2)</f>
        <v>19.89</v>
      </c>
      <c r="Q3790" s="254">
        <v>19.89</v>
      </c>
      <c r="R3790" s="323">
        <f t="shared" si="288"/>
        <v>397.8</v>
      </c>
      <c r="S3790" s="257">
        <v>2100</v>
      </c>
      <c r="T3790" s="287">
        <f t="shared" si="289"/>
        <v>42000</v>
      </c>
      <c r="U3790" s="264"/>
      <c r="V3790" s="260">
        <v>120</v>
      </c>
      <c r="W3790" s="1136">
        <f t="shared" si="286"/>
        <v>0.20018281535648991</v>
      </c>
      <c r="X3790" s="1"/>
      <c r="Y3790" s="1"/>
      <c r="Z3790" s="1"/>
      <c r="AA3790" s="1"/>
      <c r="AB3790" s="1"/>
      <c r="AC3790" s="1"/>
      <c r="AD3790" s="1"/>
      <c r="AE3790" s="1"/>
      <c r="AF3790" s="1"/>
      <c r="AG3790" s="1"/>
      <c r="AH3790" s="1"/>
      <c r="AI3790" s="1"/>
      <c r="AJ3790" s="1"/>
      <c r="AK3790" s="1"/>
      <c r="AL3790" s="1"/>
      <c r="AM3790" s="1"/>
      <c r="AN3790" s="1"/>
      <c r="AO3790" s="1"/>
      <c r="AP3790" s="1"/>
      <c r="AQ3790" s="1"/>
      <c r="AR3790" s="1"/>
      <c r="AS3790" s="1"/>
      <c r="AT3790" s="1"/>
      <c r="AU3790" s="1"/>
      <c r="AV3790" s="1"/>
      <c r="AW3790" s="1"/>
      <c r="AX3790" s="1"/>
      <c r="AY3790" s="1"/>
    </row>
    <row r="3791" spans="1:51" s="7" customFormat="1" ht="18" customHeight="1">
      <c r="B3791" s="12"/>
      <c r="C3791" s="6" t="s">
        <v>4880</v>
      </c>
      <c r="D3791" s="14" t="s">
        <v>2912</v>
      </c>
      <c r="E3791" s="22"/>
      <c r="F3791" s="102"/>
      <c r="G3791" s="22" t="s">
        <v>4329</v>
      </c>
      <c r="H3791" s="8"/>
      <c r="I3791" s="35"/>
      <c r="J3791" s="38">
        <v>4</v>
      </c>
      <c r="K3791" s="39">
        <v>15</v>
      </c>
      <c r="L3791" s="39">
        <f t="shared" si="287"/>
        <v>60</v>
      </c>
      <c r="M3791" s="91"/>
      <c r="N3791" s="33">
        <v>45405</v>
      </c>
      <c r="O3791" s="32">
        <v>6091</v>
      </c>
      <c r="P3791" s="6" t="s">
        <v>3</v>
      </c>
      <c r="Q3791" s="39">
        <v>15</v>
      </c>
      <c r="R3791" s="322">
        <f t="shared" si="288"/>
        <v>60</v>
      </c>
      <c r="S3791" s="7">
        <v>1000</v>
      </c>
      <c r="T3791" s="7">
        <f t="shared" si="289"/>
        <v>4000</v>
      </c>
      <c r="U3791" s="21"/>
      <c r="V3791" s="260">
        <v>120</v>
      </c>
      <c r="W3791" s="1136">
        <f t="shared" si="286"/>
        <v>0.44444444444444442</v>
      </c>
    </row>
    <row r="3792" spans="1:51" s="7" customFormat="1" ht="18" customHeight="1">
      <c r="B3792" s="12"/>
      <c r="C3792" s="6" t="s">
        <v>4880</v>
      </c>
      <c r="D3792" s="14" t="s">
        <v>2912</v>
      </c>
      <c r="E3792" s="49"/>
      <c r="F3792" s="102"/>
      <c r="G3792" s="22" t="s">
        <v>316</v>
      </c>
      <c r="H3792" s="8"/>
      <c r="I3792" s="35"/>
      <c r="J3792" s="38">
        <v>1</v>
      </c>
      <c r="K3792" s="39">
        <v>20</v>
      </c>
      <c r="L3792" s="39">
        <f t="shared" si="287"/>
        <v>20</v>
      </c>
      <c r="M3792" s="91"/>
      <c r="N3792" s="33">
        <v>45405</v>
      </c>
      <c r="O3792" s="32">
        <v>6091</v>
      </c>
      <c r="P3792" s="6" t="s">
        <v>3</v>
      </c>
      <c r="Q3792" s="39">
        <v>20</v>
      </c>
      <c r="R3792" s="322">
        <f t="shared" si="288"/>
        <v>20</v>
      </c>
      <c r="S3792" s="7">
        <v>1000</v>
      </c>
      <c r="T3792" s="7">
        <f t="shared" si="289"/>
        <v>1000</v>
      </c>
      <c r="U3792" s="21"/>
      <c r="V3792" s="260">
        <v>120</v>
      </c>
      <c r="W3792" s="1136">
        <f t="shared" si="286"/>
        <v>0.58333333333333337</v>
      </c>
    </row>
    <row r="3793" spans="1:51" s="191" customFormat="1" ht="18" customHeight="1">
      <c r="B3793" s="190"/>
      <c r="C3793" s="179" t="s">
        <v>4880</v>
      </c>
      <c r="D3793" s="180" t="s">
        <v>2912</v>
      </c>
      <c r="E3793" s="181"/>
      <c r="F3793" s="622"/>
      <c r="G3793" s="182" t="s">
        <v>250</v>
      </c>
      <c r="H3793" s="184" t="s">
        <v>251</v>
      </c>
      <c r="I3793" s="185"/>
      <c r="J3793" s="183"/>
      <c r="K3793" s="192">
        <v>0</v>
      </c>
      <c r="L3793" s="188"/>
      <c r="M3793" s="187"/>
      <c r="N3793" s="187">
        <v>45405</v>
      </c>
      <c r="O3793" s="186">
        <v>6091</v>
      </c>
      <c r="P3793" s="179"/>
      <c r="Q3793" s="725">
        <v>0</v>
      </c>
      <c r="S3793" s="197">
        <v>0</v>
      </c>
      <c r="T3793" s="198">
        <v>0</v>
      </c>
      <c r="U3793" s="335"/>
      <c r="V3793" s="260">
        <v>120</v>
      </c>
      <c r="W3793" s="1136" t="e">
        <f t="shared" si="286"/>
        <v>#DIV/0!</v>
      </c>
    </row>
    <row r="3794" spans="1:51" customFormat="1" ht="18" customHeight="1">
      <c r="A3794" s="1"/>
      <c r="B3794" s="26"/>
      <c r="C3794" s="6" t="s">
        <v>4882</v>
      </c>
      <c r="D3794" s="14" t="s">
        <v>3067</v>
      </c>
      <c r="E3794" s="19" t="s">
        <v>59</v>
      </c>
      <c r="F3794" s="107"/>
      <c r="G3794" s="22"/>
      <c r="H3794" s="108"/>
      <c r="I3794" s="109"/>
      <c r="J3794" s="108"/>
      <c r="K3794" s="110" t="s">
        <v>5</v>
      </c>
      <c r="L3794" s="33"/>
      <c r="M3794" s="33"/>
      <c r="N3794" s="33">
        <v>45428</v>
      </c>
      <c r="O3794" s="32">
        <v>6134</v>
      </c>
      <c r="P3794" s="14"/>
      <c r="Q3794" s="254"/>
      <c r="R3794" s="1"/>
      <c r="S3794" s="261"/>
      <c r="T3794" s="92"/>
      <c r="U3794" s="264"/>
      <c r="V3794" s="260">
        <v>120</v>
      </c>
      <c r="W3794" s="1136" t="e">
        <f t="shared" si="286"/>
        <v>#VALUE!</v>
      </c>
      <c r="X3794" s="1"/>
      <c r="Y3794" s="1"/>
      <c r="Z3794" s="1"/>
      <c r="AA3794" s="1"/>
      <c r="AB3794" s="1"/>
      <c r="AC3794" s="1"/>
      <c r="AD3794" s="1"/>
      <c r="AE3794" s="1"/>
      <c r="AF3794" s="1"/>
      <c r="AG3794" s="1"/>
      <c r="AH3794" s="1"/>
      <c r="AI3794" s="1"/>
      <c r="AJ3794" s="1"/>
      <c r="AK3794" s="1"/>
      <c r="AL3794" s="1"/>
      <c r="AM3794" s="1"/>
      <c r="AN3794" s="1"/>
      <c r="AO3794" s="1"/>
      <c r="AP3794" s="1"/>
      <c r="AQ3794" s="1"/>
      <c r="AR3794" s="1"/>
      <c r="AS3794" s="1"/>
      <c r="AT3794" s="1"/>
      <c r="AU3794" s="1"/>
      <c r="AV3794" s="1"/>
      <c r="AW3794" s="1"/>
      <c r="AX3794" s="1"/>
      <c r="AY3794" s="1"/>
    </row>
    <row r="3795" spans="1:51" customFormat="1" ht="18" customHeight="1">
      <c r="B3795" s="12" t="s">
        <v>302</v>
      </c>
      <c r="C3795" s="6" t="s">
        <v>4882</v>
      </c>
      <c r="D3795" s="14" t="s">
        <v>3067</v>
      </c>
      <c r="E3795" s="22">
        <v>5600</v>
      </c>
      <c r="F3795" s="107">
        <v>148</v>
      </c>
      <c r="G3795" s="22" t="s">
        <v>4883</v>
      </c>
      <c r="H3795" s="108">
        <v>58</v>
      </c>
      <c r="I3795" s="109">
        <v>1</v>
      </c>
      <c r="J3795" s="8">
        <f>H3795*I3795</f>
        <v>58</v>
      </c>
      <c r="K3795" s="39">
        <v>7.78</v>
      </c>
      <c r="L3795" s="39">
        <f>K3795*J3795</f>
        <v>451.24</v>
      </c>
      <c r="M3795" s="117" t="s">
        <v>323</v>
      </c>
      <c r="N3795" s="33">
        <v>45428</v>
      </c>
      <c r="O3795" s="32">
        <v>6134</v>
      </c>
      <c r="P3795" s="391">
        <f>ROUNDUP(S3795/V3795/VLOOKUP(B3795,$C$2:$F$6,3,FALSE),2)</f>
        <v>5.7799999999999994</v>
      </c>
      <c r="Q3795" s="254">
        <v>5.78</v>
      </c>
      <c r="R3795" s="323">
        <f>Q3795*J3795</f>
        <v>335.24</v>
      </c>
      <c r="S3795" s="257">
        <v>610</v>
      </c>
      <c r="T3795" s="287">
        <f>S3795*J3795</f>
        <v>35380</v>
      </c>
      <c r="U3795" s="264"/>
      <c r="V3795" s="260">
        <v>120</v>
      </c>
      <c r="W3795" s="1136">
        <f t="shared" si="286"/>
        <v>0.34661525278491861</v>
      </c>
      <c r="X3795" s="1"/>
      <c r="Y3795" s="1"/>
      <c r="Z3795" s="1"/>
      <c r="AA3795" s="1"/>
      <c r="AB3795" s="1"/>
      <c r="AC3795" s="1"/>
      <c r="AD3795" s="1"/>
      <c r="AE3795" s="1"/>
      <c r="AF3795" s="1"/>
      <c r="AG3795" s="1"/>
      <c r="AH3795" s="1"/>
      <c r="AI3795" s="1"/>
      <c r="AJ3795" s="1"/>
      <c r="AK3795" s="1"/>
      <c r="AL3795" s="1"/>
      <c r="AM3795" s="1"/>
      <c r="AN3795" s="1"/>
      <c r="AO3795" s="1"/>
      <c r="AP3795" s="1"/>
      <c r="AQ3795" s="1"/>
      <c r="AR3795" s="1"/>
      <c r="AS3795" s="1"/>
      <c r="AT3795" s="1"/>
      <c r="AU3795" s="1"/>
      <c r="AV3795" s="1"/>
      <c r="AW3795" s="1"/>
      <c r="AX3795" s="1"/>
      <c r="AY3795" s="1"/>
    </row>
    <row r="3796" spans="1:51" s="7" customFormat="1" ht="18" customHeight="1">
      <c r="B3796" s="12"/>
      <c r="C3796" s="6" t="s">
        <v>4882</v>
      </c>
      <c r="D3796" s="14" t="s">
        <v>3067</v>
      </c>
      <c r="E3796" s="22"/>
      <c r="F3796" s="102"/>
      <c r="G3796" s="22" t="s">
        <v>316</v>
      </c>
      <c r="H3796" s="8"/>
      <c r="I3796" s="35"/>
      <c r="J3796" s="38">
        <v>1</v>
      </c>
      <c r="K3796" s="39">
        <v>20</v>
      </c>
      <c r="L3796" s="39">
        <f>K3796*J3796</f>
        <v>20</v>
      </c>
      <c r="M3796" s="91"/>
      <c r="N3796" s="33">
        <v>45428</v>
      </c>
      <c r="O3796" s="32">
        <v>6134</v>
      </c>
      <c r="P3796" s="6" t="s">
        <v>3</v>
      </c>
      <c r="Q3796" s="39">
        <v>20</v>
      </c>
      <c r="R3796" s="322">
        <f>Q3796*J3796</f>
        <v>20</v>
      </c>
      <c r="S3796" s="7">
        <v>1800</v>
      </c>
      <c r="T3796" s="7">
        <f>S3796*J3796</f>
        <v>1800</v>
      </c>
      <c r="U3796" s="21"/>
      <c r="V3796" s="260">
        <v>120</v>
      </c>
      <c r="W3796" s="1136">
        <f t="shared" si="286"/>
        <v>0.25</v>
      </c>
    </row>
    <row r="3797" spans="1:51" s="191" customFormat="1" ht="15.75">
      <c r="B3797" s="190"/>
      <c r="C3797" s="179" t="s">
        <v>4882</v>
      </c>
      <c r="D3797" s="180" t="s">
        <v>3067</v>
      </c>
      <c r="E3797" s="181"/>
      <c r="F3797" s="182"/>
      <c r="G3797" s="309" t="s">
        <v>324</v>
      </c>
      <c r="H3797" s="184" t="s">
        <v>251</v>
      </c>
      <c r="I3797" s="185"/>
      <c r="J3797" s="183"/>
      <c r="K3797" s="203">
        <v>0</v>
      </c>
      <c r="L3797" s="203">
        <v>0</v>
      </c>
      <c r="M3797" s="187"/>
      <c r="N3797" s="187">
        <v>45428</v>
      </c>
      <c r="O3797" s="186">
        <v>6134</v>
      </c>
      <c r="P3797" s="179"/>
      <c r="Q3797" s="203">
        <v>0</v>
      </c>
      <c r="R3797" s="203">
        <v>0</v>
      </c>
      <c r="S3797" s="7">
        <v>0</v>
      </c>
      <c r="T3797" s="7">
        <v>0</v>
      </c>
      <c r="U3797" s="271"/>
      <c r="V3797" s="260">
        <v>120</v>
      </c>
      <c r="W3797" s="1136" t="e">
        <f t="shared" si="286"/>
        <v>#DIV/0!</v>
      </c>
    </row>
    <row r="3798" spans="1:51" customFormat="1" ht="18" customHeight="1">
      <c r="A3798" s="1"/>
      <c r="B3798" s="26"/>
      <c r="C3798" s="6" t="s">
        <v>4890</v>
      </c>
      <c r="D3798" s="14" t="s">
        <v>4889</v>
      </c>
      <c r="E3798" s="19" t="s">
        <v>4885</v>
      </c>
      <c r="F3798" s="107"/>
      <c r="G3798" s="22"/>
      <c r="H3798" s="108"/>
      <c r="I3798" s="109"/>
      <c r="J3798" s="108"/>
      <c r="K3798" s="110" t="s">
        <v>5</v>
      </c>
      <c r="L3798" s="33"/>
      <c r="M3798" s="33"/>
      <c r="N3798" s="33">
        <v>45440</v>
      </c>
      <c r="O3798" s="32">
        <v>6145</v>
      </c>
      <c r="P3798" s="14"/>
      <c r="Q3798" s="254"/>
      <c r="R3798" s="1"/>
      <c r="S3798" s="261"/>
      <c r="T3798" s="92"/>
      <c r="U3798" s="264"/>
      <c r="V3798" s="260">
        <v>120</v>
      </c>
      <c r="W3798" s="1136" t="e">
        <f t="shared" si="286"/>
        <v>#VALUE!</v>
      </c>
      <c r="X3798" s="1"/>
      <c r="Y3798" s="1"/>
      <c r="Z3798" s="1"/>
      <c r="AA3798" s="1"/>
      <c r="AB3798" s="1"/>
      <c r="AC3798" s="1"/>
      <c r="AD3798" s="1"/>
      <c r="AE3798" s="1"/>
      <c r="AF3798" s="1"/>
      <c r="AG3798" s="1"/>
      <c r="AH3798" s="1"/>
      <c r="AI3798" s="1"/>
      <c r="AJ3798" s="1"/>
      <c r="AK3798" s="1"/>
      <c r="AL3798" s="1"/>
      <c r="AM3798" s="1"/>
      <c r="AN3798" s="1"/>
      <c r="AO3798" s="1"/>
      <c r="AP3798" s="1"/>
      <c r="AQ3798" s="1"/>
      <c r="AR3798" s="1"/>
      <c r="AS3798" s="1"/>
      <c r="AT3798" s="1"/>
      <c r="AU3798" s="1"/>
      <c r="AV3798" s="1"/>
      <c r="AW3798" s="1"/>
      <c r="AX3798" s="1"/>
      <c r="AY3798" s="1"/>
    </row>
    <row r="3799" spans="1:51" customFormat="1" ht="18" customHeight="1">
      <c r="B3799" s="12" t="s">
        <v>302</v>
      </c>
      <c r="C3799" s="6" t="s">
        <v>4890</v>
      </c>
      <c r="D3799" s="14" t="s">
        <v>4889</v>
      </c>
      <c r="E3799" s="22" t="s">
        <v>4886</v>
      </c>
      <c r="F3799" s="107" t="s">
        <v>4887</v>
      </c>
      <c r="G3799" s="22" t="s">
        <v>4888</v>
      </c>
      <c r="H3799" s="108"/>
      <c r="I3799" s="109"/>
      <c r="J3799" s="8">
        <v>3</v>
      </c>
      <c r="K3799" s="39">
        <v>14.13</v>
      </c>
      <c r="L3799" s="39">
        <f>K3799*J3799</f>
        <v>42.39</v>
      </c>
      <c r="M3799" s="117" t="s">
        <v>323</v>
      </c>
      <c r="N3799" s="33">
        <v>45440</v>
      </c>
      <c r="O3799" s="32">
        <v>6145</v>
      </c>
      <c r="P3799" s="391">
        <f>ROUNDUP(S3799/V3799/VLOOKUP(B3799,$C$2:$F$6,3,FALSE),2)</f>
        <v>10.709999999999999</v>
      </c>
      <c r="Q3799" s="254">
        <v>10.71</v>
      </c>
      <c r="R3799" s="323">
        <f>Q3799*J3799</f>
        <v>32.130000000000003</v>
      </c>
      <c r="S3799" s="257">
        <v>1130</v>
      </c>
      <c r="T3799" s="287">
        <f>S3799*J3799</f>
        <v>3390</v>
      </c>
      <c r="U3799" s="264"/>
      <c r="V3799" s="260">
        <v>120</v>
      </c>
      <c r="W3799" s="1136">
        <f t="shared" si="286"/>
        <v>0.33356923802783683</v>
      </c>
      <c r="X3799" s="1"/>
      <c r="Y3799" s="1"/>
      <c r="Z3799" s="1"/>
      <c r="AA3799" s="1"/>
      <c r="AB3799" s="1"/>
      <c r="AC3799" s="1"/>
      <c r="AD3799" s="1"/>
      <c r="AE3799" s="1"/>
      <c r="AF3799" s="1"/>
      <c r="AG3799" s="1"/>
      <c r="AH3799" s="1"/>
      <c r="AI3799" s="1"/>
      <c r="AJ3799" s="1"/>
      <c r="AK3799" s="1"/>
      <c r="AL3799" s="1"/>
      <c r="AM3799" s="1"/>
      <c r="AN3799" s="1"/>
      <c r="AO3799" s="1"/>
      <c r="AP3799" s="1"/>
      <c r="AQ3799" s="1"/>
      <c r="AR3799" s="1"/>
      <c r="AS3799" s="1"/>
      <c r="AT3799" s="1"/>
      <c r="AU3799" s="1"/>
      <c r="AV3799" s="1"/>
      <c r="AW3799" s="1"/>
      <c r="AX3799" s="1"/>
      <c r="AY3799" s="1"/>
    </row>
    <row r="3800" spans="1:51" s="7" customFormat="1" ht="18" customHeight="1">
      <c r="B3800" s="12"/>
      <c r="C3800" s="6" t="s">
        <v>4890</v>
      </c>
      <c r="D3800" s="14" t="s">
        <v>4889</v>
      </c>
      <c r="E3800" s="22"/>
      <c r="F3800" s="102"/>
      <c r="G3800" s="22" t="s">
        <v>4329</v>
      </c>
      <c r="H3800" s="8"/>
      <c r="I3800" s="35"/>
      <c r="J3800" s="8">
        <v>3</v>
      </c>
      <c r="K3800" s="39">
        <v>4.17</v>
      </c>
      <c r="L3800" s="39">
        <f>K3800*J3800</f>
        <v>12.51</v>
      </c>
      <c r="M3800" s="91"/>
      <c r="N3800" s="33">
        <v>45440</v>
      </c>
      <c r="O3800" s="32">
        <v>6145</v>
      </c>
      <c r="P3800" s="6" t="s">
        <v>3</v>
      </c>
      <c r="Q3800" s="39">
        <v>4.17</v>
      </c>
      <c r="R3800" s="322">
        <f>Q3800*J3800</f>
        <v>12.51</v>
      </c>
      <c r="S3800" s="7">
        <v>400</v>
      </c>
      <c r="T3800" s="7">
        <f>S3800*J3800</f>
        <v>1200</v>
      </c>
      <c r="U3800" s="21"/>
      <c r="V3800" s="260">
        <v>120</v>
      </c>
      <c r="W3800" s="1136">
        <f t="shared" si="286"/>
        <v>0.20063948840927254</v>
      </c>
    </row>
    <row r="3801" spans="1:51" s="191" customFormat="1" ht="18" customHeight="1">
      <c r="B3801" s="190"/>
      <c r="C3801" s="179" t="s">
        <v>4890</v>
      </c>
      <c r="D3801" s="180" t="s">
        <v>4889</v>
      </c>
      <c r="E3801" s="181"/>
      <c r="F3801" s="622"/>
      <c r="G3801" s="182" t="s">
        <v>250</v>
      </c>
      <c r="H3801" s="184" t="s">
        <v>252</v>
      </c>
      <c r="I3801" s="185"/>
      <c r="J3801" s="183"/>
      <c r="K3801" s="203">
        <v>30.49</v>
      </c>
      <c r="L3801" s="203">
        <v>30.49</v>
      </c>
      <c r="M3801" s="187"/>
      <c r="N3801" s="187">
        <v>45440</v>
      </c>
      <c r="O3801" s="186">
        <v>6145</v>
      </c>
      <c r="P3801" s="179"/>
      <c r="Q3801" s="203">
        <v>28</v>
      </c>
      <c r="R3801" s="203">
        <v>28</v>
      </c>
      <c r="S3801" s="7">
        <v>3139</v>
      </c>
      <c r="T3801" s="7">
        <v>3139</v>
      </c>
      <c r="U3801" s="335"/>
      <c r="V3801" s="260">
        <v>120</v>
      </c>
      <c r="W3801" s="1136">
        <f t="shared" si="286"/>
        <v>0.14206843773914937</v>
      </c>
    </row>
    <row r="3802" spans="1:51" s="7" customFormat="1" ht="18" customHeight="1">
      <c r="B3802" s="12"/>
      <c r="C3802" s="6" t="s">
        <v>4894</v>
      </c>
      <c r="D3802" s="14" t="s">
        <v>4891</v>
      </c>
      <c r="E3802" s="19" t="s">
        <v>4555</v>
      </c>
      <c r="F3802" s="24"/>
      <c r="G3802" s="22"/>
      <c r="H3802" s="60"/>
      <c r="I3802" s="61"/>
      <c r="J3802" s="60"/>
      <c r="K3802" s="16" t="s">
        <v>5</v>
      </c>
      <c r="L3802" s="139"/>
      <c r="M3802" s="33"/>
      <c r="N3802" s="33">
        <v>45441</v>
      </c>
      <c r="O3802" s="32">
        <v>6160</v>
      </c>
      <c r="P3802" s="6" t="s">
        <v>3</v>
      </c>
      <c r="Q3802" s="358"/>
      <c r="U3802" s="120"/>
      <c r="V3802" s="260">
        <v>120</v>
      </c>
      <c r="W3802" s="1136" t="e">
        <f t="shared" si="286"/>
        <v>#VALUE!</v>
      </c>
    </row>
    <row r="3803" spans="1:51" s="7" customFormat="1" ht="38.25">
      <c r="B3803" s="12" t="s">
        <v>300</v>
      </c>
      <c r="C3803" s="6" t="s">
        <v>4894</v>
      </c>
      <c r="D3803" s="14" t="s">
        <v>4891</v>
      </c>
      <c r="E3803" s="22" t="s">
        <v>4542</v>
      </c>
      <c r="F3803" s="1280" t="s">
        <v>4892</v>
      </c>
      <c r="G3803" s="22" t="s">
        <v>4893</v>
      </c>
      <c r="H3803" s="108">
        <v>25</v>
      </c>
      <c r="I3803" s="950">
        <v>1</v>
      </c>
      <c r="J3803" s="8">
        <f>I3803*H3803</f>
        <v>25</v>
      </c>
      <c r="K3803" s="39">
        <v>1.84</v>
      </c>
      <c r="L3803" s="39">
        <f>K3803*J3803</f>
        <v>46</v>
      </c>
      <c r="M3803" s="117" t="s">
        <v>323</v>
      </c>
      <c r="N3803" s="33">
        <v>45441</v>
      </c>
      <c r="O3803" s="32">
        <v>6160</v>
      </c>
      <c r="P3803" s="391">
        <f>ROUNDUP(S3803/V3803/VLOOKUP(B3803,$C$2:$F$6,3,FALSE),2)</f>
        <v>1.18</v>
      </c>
      <c r="Q3803" s="322">
        <v>1.18</v>
      </c>
      <c r="R3803" s="322">
        <f>Q3803*J3803</f>
        <v>29.5</v>
      </c>
      <c r="S3803" s="7">
        <v>99</v>
      </c>
      <c r="T3803" s="7">
        <f>S3803*J3803</f>
        <v>2475</v>
      </c>
      <c r="U3803" s="386"/>
      <c r="V3803" s="260">
        <v>120</v>
      </c>
      <c r="W3803" s="1136">
        <f t="shared" si="286"/>
        <v>0.55163043478260876</v>
      </c>
    </row>
    <row r="3804" spans="1:51" s="7" customFormat="1" ht="18" customHeight="1">
      <c r="B3804" s="12"/>
      <c r="C3804" s="6" t="s">
        <v>4894</v>
      </c>
      <c r="D3804" s="14" t="s">
        <v>4891</v>
      </c>
      <c r="E3804" s="49"/>
      <c r="F3804" s="102"/>
      <c r="G3804" s="22" t="s">
        <v>316</v>
      </c>
      <c r="H3804" s="8"/>
      <c r="I3804" s="35"/>
      <c r="J3804" s="38">
        <v>1</v>
      </c>
      <c r="K3804" s="39">
        <v>12</v>
      </c>
      <c r="L3804" s="39">
        <f>K3804*J3804</f>
        <v>12</v>
      </c>
      <c r="M3804" s="91"/>
      <c r="N3804" s="33">
        <v>45441</v>
      </c>
      <c r="O3804" s="32">
        <v>6160</v>
      </c>
      <c r="P3804" s="6" t="s">
        <v>3</v>
      </c>
      <c r="Q3804" s="39">
        <v>12</v>
      </c>
      <c r="R3804" s="322">
        <f>Q3804*J3804</f>
        <v>12</v>
      </c>
      <c r="S3804" s="7">
        <v>600</v>
      </c>
      <c r="T3804" s="7">
        <f>S3804*J3804</f>
        <v>600</v>
      </c>
      <c r="U3804" s="21"/>
      <c r="V3804" s="260">
        <v>120</v>
      </c>
      <c r="W3804" s="1136">
        <f t="shared" si="286"/>
        <v>0.58333333333333337</v>
      </c>
    </row>
    <row r="3805" spans="1:51" s="191" customFormat="1" ht="18" customHeight="1">
      <c r="B3805" s="190"/>
      <c r="C3805" s="179" t="s">
        <v>4894</v>
      </c>
      <c r="D3805" s="180" t="s">
        <v>4891</v>
      </c>
      <c r="E3805" s="181"/>
      <c r="F3805" s="622"/>
      <c r="G3805" s="182" t="s">
        <v>250</v>
      </c>
      <c r="H3805" s="184" t="s">
        <v>251</v>
      </c>
      <c r="I3805" s="185"/>
      <c r="J3805" s="183"/>
      <c r="K3805" s="192">
        <v>0</v>
      </c>
      <c r="L3805" s="188"/>
      <c r="M3805" s="187"/>
      <c r="N3805" s="187">
        <v>45441</v>
      </c>
      <c r="O3805" s="186">
        <v>6160</v>
      </c>
      <c r="P3805" s="179"/>
      <c r="Q3805" s="725">
        <v>0</v>
      </c>
      <c r="S3805" s="197">
        <v>0</v>
      </c>
      <c r="T3805" s="198">
        <v>0</v>
      </c>
      <c r="U3805" s="335"/>
      <c r="V3805" s="260">
        <v>120</v>
      </c>
      <c r="W3805" s="1136" t="e">
        <f t="shared" ref="W3805:W3813" si="290">(((K3805*V3805)-S3805)/(K3805*V3805))</f>
        <v>#DIV/0!</v>
      </c>
    </row>
    <row r="3806" spans="1:51" s="7" customFormat="1" ht="18" customHeight="1">
      <c r="B3806" s="12"/>
      <c r="C3806" s="6" t="s">
        <v>4903</v>
      </c>
      <c r="D3806" s="14" t="s">
        <v>4904</v>
      </c>
      <c r="E3806" s="17" t="s">
        <v>1976</v>
      </c>
      <c r="F3806" s="37"/>
      <c r="G3806" s="37"/>
      <c r="H3806" s="108"/>
      <c r="I3806" s="108"/>
      <c r="J3806" s="108"/>
      <c r="K3806" s="110" t="s">
        <v>5</v>
      </c>
      <c r="L3806" s="139"/>
      <c r="M3806" s="33"/>
      <c r="N3806" s="33">
        <v>45462</v>
      </c>
      <c r="O3806" s="32">
        <v>6162</v>
      </c>
      <c r="P3806" s="6"/>
      <c r="Q3806" s="339"/>
      <c r="S3806" s="308" t="s">
        <v>4879</v>
      </c>
      <c r="U3806" s="21"/>
      <c r="V3806" s="260">
        <v>120</v>
      </c>
      <c r="W3806" s="1136" t="e">
        <f t="shared" si="290"/>
        <v>#VALUE!</v>
      </c>
    </row>
    <row r="3807" spans="1:51" s="7" customFormat="1" ht="18" customHeight="1">
      <c r="B3807" s="12" t="s">
        <v>300</v>
      </c>
      <c r="C3807" s="6" t="s">
        <v>4903</v>
      </c>
      <c r="D3807" s="14" t="s">
        <v>4904</v>
      </c>
      <c r="E3807" s="22">
        <v>12701</v>
      </c>
      <c r="F3807" s="24">
        <v>12</v>
      </c>
      <c r="G3807" s="22" t="s">
        <v>4905</v>
      </c>
      <c r="H3807" s="108">
        <v>10</v>
      </c>
      <c r="I3807" s="109">
        <v>23</v>
      </c>
      <c r="J3807" s="8">
        <f>H3807*I3807</f>
        <v>230</v>
      </c>
      <c r="K3807" s="39">
        <v>1.07</v>
      </c>
      <c r="L3807" s="39">
        <f>K3807*J3807</f>
        <v>246.10000000000002</v>
      </c>
      <c r="M3807" s="117" t="s">
        <v>349</v>
      </c>
      <c r="N3807" s="33">
        <v>45462</v>
      </c>
      <c r="O3807" s="32">
        <v>6162</v>
      </c>
      <c r="P3807" s="391">
        <f>ROUNDUP(S3807/V3807/VLOOKUP(B3807,$C$2:$F$6,3,FALSE),2)</f>
        <v>0.62</v>
      </c>
      <c r="Q3807" s="322">
        <v>0.62</v>
      </c>
      <c r="R3807" s="322">
        <f>Q3807*J3807</f>
        <v>142.6</v>
      </c>
      <c r="S3807" s="92">
        <v>51.6</v>
      </c>
      <c r="T3807" s="7">
        <f>S3807*J3807</f>
        <v>11868</v>
      </c>
      <c r="U3807" s="959"/>
      <c r="V3807" s="260">
        <v>120</v>
      </c>
      <c r="W3807" s="1136">
        <f>(((K3807*V3807)-S3807)/(K3807*V3807))</f>
        <v>0.59813084112149539</v>
      </c>
    </row>
    <row r="3808" spans="1:51" s="7" customFormat="1" ht="18" customHeight="1">
      <c r="B3808" s="12" t="s">
        <v>300</v>
      </c>
      <c r="C3808" s="6" t="s">
        <v>4903</v>
      </c>
      <c r="D3808" s="14" t="s">
        <v>4904</v>
      </c>
      <c r="E3808" s="22">
        <v>12701</v>
      </c>
      <c r="F3808" s="24">
        <v>12</v>
      </c>
      <c r="G3808" s="22" t="s">
        <v>4798</v>
      </c>
      <c r="H3808" s="108">
        <v>10</v>
      </c>
      <c r="I3808" s="109">
        <v>9</v>
      </c>
      <c r="J3808" s="8">
        <f>H3808*I3808</f>
        <v>90</v>
      </c>
      <c r="K3808" s="39">
        <v>1.07</v>
      </c>
      <c r="L3808" s="39">
        <f>K3808*J3808</f>
        <v>96.300000000000011</v>
      </c>
      <c r="M3808" s="117" t="s">
        <v>349</v>
      </c>
      <c r="N3808" s="33">
        <v>45462</v>
      </c>
      <c r="O3808" s="32">
        <v>6162</v>
      </c>
      <c r="P3808" s="391">
        <f>ROUNDUP(S3808/V3808/VLOOKUP(B3808,$C$2:$F$6,3,FALSE),2)</f>
        <v>0.62</v>
      </c>
      <c r="Q3808" s="322">
        <v>0.62</v>
      </c>
      <c r="R3808" s="322">
        <f>Q3808*J3808</f>
        <v>55.8</v>
      </c>
      <c r="S3808" s="92">
        <v>51.6</v>
      </c>
      <c r="T3808" s="7">
        <f>S3808*J3808</f>
        <v>4644</v>
      </c>
      <c r="U3808" s="959"/>
      <c r="V3808" s="260">
        <v>120</v>
      </c>
      <c r="W3808" s="1136">
        <f t="shared" si="290"/>
        <v>0.59813084112149539</v>
      </c>
    </row>
    <row r="3809" spans="1:51" s="7" customFormat="1" ht="18" customHeight="1">
      <c r="B3809" s="12"/>
      <c r="C3809" s="6" t="s">
        <v>4903</v>
      </c>
      <c r="D3809" s="14" t="s">
        <v>4904</v>
      </c>
      <c r="E3809" s="22"/>
      <c r="F3809" s="102"/>
      <c r="G3809" s="22" t="s">
        <v>316</v>
      </c>
      <c r="H3809" s="8"/>
      <c r="I3809" s="35"/>
      <c r="J3809" s="38">
        <v>1</v>
      </c>
      <c r="K3809" s="39">
        <v>12</v>
      </c>
      <c r="L3809" s="39">
        <f>K3809*J3809</f>
        <v>12</v>
      </c>
      <c r="M3809" s="91"/>
      <c r="N3809" s="33">
        <v>45462</v>
      </c>
      <c r="O3809" s="32">
        <v>6162</v>
      </c>
      <c r="P3809" s="6" t="s">
        <v>3</v>
      </c>
      <c r="Q3809" s="39">
        <v>12</v>
      </c>
      <c r="R3809" s="322">
        <f>Q3809*J3809</f>
        <v>12</v>
      </c>
      <c r="S3809" s="7">
        <v>0</v>
      </c>
      <c r="T3809" s="7">
        <f>S3809*J3809</f>
        <v>0</v>
      </c>
      <c r="U3809" s="21"/>
      <c r="V3809" s="260">
        <v>120</v>
      </c>
      <c r="W3809" s="1136">
        <f t="shared" si="290"/>
        <v>1</v>
      </c>
    </row>
    <row r="3810" spans="1:51" s="191" customFormat="1" ht="18" customHeight="1">
      <c r="B3810" s="190"/>
      <c r="C3810" s="179" t="s">
        <v>4903</v>
      </c>
      <c r="D3810" s="180" t="s">
        <v>4904</v>
      </c>
      <c r="E3810" s="217"/>
      <c r="F3810" s="182"/>
      <c r="G3810" s="182" t="s">
        <v>250</v>
      </c>
      <c r="H3810" s="184" t="s">
        <v>374</v>
      </c>
      <c r="I3810" s="185"/>
      <c r="J3810" s="183"/>
      <c r="K3810" s="203">
        <v>40</v>
      </c>
      <c r="L3810" s="203">
        <v>40</v>
      </c>
      <c r="M3810" s="187"/>
      <c r="N3810" s="187">
        <v>45462</v>
      </c>
      <c r="O3810" s="186">
        <v>6162</v>
      </c>
      <c r="P3810" s="179"/>
      <c r="Q3810" s="203">
        <v>40</v>
      </c>
      <c r="R3810" s="203">
        <v>40</v>
      </c>
      <c r="S3810" s="92">
        <v>4583</v>
      </c>
      <c r="T3810" s="92">
        <v>4583</v>
      </c>
      <c r="U3810" s="335"/>
      <c r="V3810" s="260">
        <v>120</v>
      </c>
      <c r="W3810" s="1136">
        <f t="shared" si="290"/>
        <v>4.5208333333333336E-2</v>
      </c>
    </row>
    <row r="3811" spans="1:51" s="7" customFormat="1" ht="15" customHeight="1">
      <c r="B3811" s="12"/>
      <c r="C3811" s="6" t="s">
        <v>4906</v>
      </c>
      <c r="D3811" s="14" t="s">
        <v>4907</v>
      </c>
      <c r="E3811" s="19"/>
      <c r="F3811" s="24"/>
      <c r="G3811" s="22"/>
      <c r="H3811" s="60"/>
      <c r="I3811" s="61"/>
      <c r="J3811" s="60"/>
      <c r="K3811" s="16" t="s">
        <v>102</v>
      </c>
      <c r="L3811" s="33"/>
      <c r="M3811" s="33"/>
      <c r="N3811" s="878">
        <v>45441</v>
      </c>
      <c r="O3811" s="879">
        <v>6165</v>
      </c>
      <c r="P3811" s="123" t="s">
        <v>8</v>
      </c>
      <c r="Q3811" s="230" t="s">
        <v>226</v>
      </c>
      <c r="R3811" s="323"/>
      <c r="S3811" s="325"/>
      <c r="T3811" s="92"/>
      <c r="U3811" s="1293"/>
      <c r="V3811" s="260">
        <v>120</v>
      </c>
      <c r="W3811" s="1136" t="e">
        <f t="shared" si="290"/>
        <v>#VALUE!</v>
      </c>
    </row>
    <row r="3812" spans="1:51" s="143" customFormat="1" ht="18" customHeight="1">
      <c r="B3812" s="276" t="s">
        <v>306</v>
      </c>
      <c r="C3812" s="142" t="s">
        <v>4906</v>
      </c>
      <c r="D3812" s="90" t="s">
        <v>4907</v>
      </c>
      <c r="E3812" s="22" t="s">
        <v>4908</v>
      </c>
      <c r="F3812" s="116"/>
      <c r="G3812" s="1294"/>
      <c r="H3812" s="140"/>
      <c r="I3812" s="141"/>
      <c r="J3812" s="36">
        <v>1</v>
      </c>
      <c r="K3812" s="154">
        <v>200</v>
      </c>
      <c r="L3812" s="154"/>
      <c r="M3812" s="848" t="s">
        <v>323</v>
      </c>
      <c r="N3812" s="878">
        <v>45441</v>
      </c>
      <c r="O3812" s="879">
        <v>6165</v>
      </c>
      <c r="P3812" s="154">
        <v>200</v>
      </c>
      <c r="Q3812" s="154">
        <v>200</v>
      </c>
      <c r="R3812" s="1295">
        <f>Q3812*J3812</f>
        <v>200</v>
      </c>
      <c r="S3812" s="1296">
        <v>23775</v>
      </c>
      <c r="T3812" s="1297">
        <f>S3812*J3812</f>
        <v>23775</v>
      </c>
      <c r="U3812" s="1298"/>
      <c r="V3812" s="279">
        <v>120</v>
      </c>
      <c r="W3812" s="1199">
        <f t="shared" si="290"/>
        <v>9.3749999999999997E-3</v>
      </c>
      <c r="X3812" s="1299"/>
    </row>
    <row r="3813" spans="1:51" s="191" customFormat="1" ht="15">
      <c r="B3813" s="190"/>
      <c r="C3813" s="179" t="s">
        <v>4906</v>
      </c>
      <c r="D3813" s="180" t="s">
        <v>4907</v>
      </c>
      <c r="E3813" s="217"/>
      <c r="F3813" s="182"/>
      <c r="G3813" s="910" t="s">
        <v>250</v>
      </c>
      <c r="H3813" s="184" t="s">
        <v>251</v>
      </c>
      <c r="I3813" s="185"/>
      <c r="J3813" s="183"/>
      <c r="K3813" s="192">
        <v>0</v>
      </c>
      <c r="L3813" s="187"/>
      <c r="M3813" s="187"/>
      <c r="N3813" s="187"/>
      <c r="O3813" s="186"/>
      <c r="P3813" s="179"/>
      <c r="Q3813" s="255">
        <v>0</v>
      </c>
      <c r="S3813" s="274">
        <v>0</v>
      </c>
      <c r="T3813" s="198">
        <v>0</v>
      </c>
      <c r="U3813" s="271"/>
      <c r="V3813" s="260">
        <v>120</v>
      </c>
      <c r="W3813" s="1136" t="e">
        <f t="shared" si="290"/>
        <v>#DIV/0!</v>
      </c>
    </row>
    <row r="3814" spans="1:51" customFormat="1" ht="18" customHeight="1">
      <c r="A3814" s="1"/>
      <c r="B3814" s="26"/>
      <c r="C3814" s="6" t="s">
        <v>4909</v>
      </c>
      <c r="D3814" s="14" t="s">
        <v>4762</v>
      </c>
      <c r="E3814" s="19" t="s">
        <v>4847</v>
      </c>
      <c r="F3814" s="107"/>
      <c r="G3814" s="22"/>
      <c r="H3814" s="108"/>
      <c r="I3814" s="109"/>
      <c r="J3814" s="108"/>
      <c r="K3814" s="110" t="s">
        <v>5</v>
      </c>
      <c r="L3814" s="33"/>
      <c r="M3814" s="33"/>
      <c r="N3814" s="33">
        <v>45447</v>
      </c>
      <c r="O3814" s="32">
        <v>6178</v>
      </c>
      <c r="P3814" s="14"/>
      <c r="Q3814" s="254"/>
      <c r="R3814" s="1"/>
      <c r="S3814" s="261"/>
      <c r="T3814" s="92"/>
      <c r="U3814" s="264"/>
      <c r="V3814" s="260">
        <v>120</v>
      </c>
    </row>
    <row r="3815" spans="1:51" customFormat="1" ht="18" customHeight="1">
      <c r="B3815" s="12" t="s">
        <v>302</v>
      </c>
      <c r="C3815" s="6" t="s">
        <v>4909</v>
      </c>
      <c r="D3815" s="14" t="s">
        <v>4762</v>
      </c>
      <c r="E3815" s="19" t="s">
        <v>4910</v>
      </c>
      <c r="F3815" s="107" t="s">
        <v>3340</v>
      </c>
      <c r="G3815" s="22" t="s">
        <v>4842</v>
      </c>
      <c r="H3815" s="60"/>
      <c r="I3815" s="61"/>
      <c r="J3815" s="60">
        <v>1</v>
      </c>
      <c r="K3815" s="39">
        <v>17.75</v>
      </c>
      <c r="L3815" s="39">
        <f>K3815*J3815</f>
        <v>17.75</v>
      </c>
      <c r="M3815" s="117" t="s">
        <v>323</v>
      </c>
      <c r="N3815" s="33">
        <v>45447</v>
      </c>
      <c r="O3815" s="32">
        <v>6178</v>
      </c>
      <c r="P3815" s="391">
        <f>ROUNDUP(S3815/V3815/VLOOKUP(B3815,$C$2:$F$6,3,FALSE),2)</f>
        <v>13.45</v>
      </c>
      <c r="Q3815" s="254">
        <v>13.45</v>
      </c>
      <c r="R3815" s="323">
        <f>Q3815*J3815</f>
        <v>13.45</v>
      </c>
      <c r="S3815" s="273">
        <v>1420</v>
      </c>
      <c r="T3815" s="287">
        <f>S3815*J3815</f>
        <v>1420</v>
      </c>
      <c r="U3815" s="264"/>
      <c r="V3815" s="260">
        <v>120</v>
      </c>
      <c r="W3815" s="1136">
        <f t="shared" ref="W3815:W3822" si="291">(((K3815*V3815)-S3815)/(K3815*V3815))</f>
        <v>0.33333333333333331</v>
      </c>
    </row>
    <row r="3816" spans="1:51" s="7" customFormat="1" ht="18" customHeight="1">
      <c r="B3816" s="12"/>
      <c r="C3816" s="6" t="s">
        <v>4909</v>
      </c>
      <c r="D3816" s="14" t="s">
        <v>4762</v>
      </c>
      <c r="E3816" s="22"/>
      <c r="F3816" s="102"/>
      <c r="G3816" s="22" t="s">
        <v>4329</v>
      </c>
      <c r="H3816" s="8"/>
      <c r="I3816" s="35"/>
      <c r="J3816" s="38">
        <v>1</v>
      </c>
      <c r="K3816" s="39">
        <v>12</v>
      </c>
      <c r="L3816" s="39">
        <f>K3816*J3816</f>
        <v>12</v>
      </c>
      <c r="M3816" s="91"/>
      <c r="N3816" s="33">
        <v>45447</v>
      </c>
      <c r="O3816" s="32">
        <v>6178</v>
      </c>
      <c r="P3816" s="6" t="s">
        <v>3</v>
      </c>
      <c r="Q3816" s="39">
        <v>12</v>
      </c>
      <c r="R3816" s="322">
        <f>Q3816*J3816</f>
        <v>12</v>
      </c>
      <c r="S3816" s="7">
        <v>1000</v>
      </c>
      <c r="T3816" s="7">
        <f>S3816*J3816</f>
        <v>1000</v>
      </c>
      <c r="U3816" s="21"/>
      <c r="V3816" s="260">
        <v>120</v>
      </c>
      <c r="W3816" s="1136">
        <f t="shared" si="291"/>
        <v>0.30555555555555558</v>
      </c>
    </row>
    <row r="3817" spans="1:51" s="7" customFormat="1" ht="18" customHeight="1">
      <c r="B3817" s="12"/>
      <c r="C3817" s="6" t="s">
        <v>4909</v>
      </c>
      <c r="D3817" s="14" t="s">
        <v>4762</v>
      </c>
      <c r="E3817" s="82"/>
      <c r="F3817" s="102"/>
      <c r="G3817" s="22" t="s">
        <v>316</v>
      </c>
      <c r="H3817" s="8"/>
      <c r="I3817" s="35"/>
      <c r="J3817" s="38">
        <v>1</v>
      </c>
      <c r="K3817" s="39">
        <v>12</v>
      </c>
      <c r="L3817" s="39">
        <f>K3817*J3817</f>
        <v>12</v>
      </c>
      <c r="M3817" s="91"/>
      <c r="N3817" s="33">
        <v>45447</v>
      </c>
      <c r="O3817" s="32">
        <v>6178</v>
      </c>
      <c r="P3817" s="6"/>
      <c r="Q3817" s="322">
        <v>12</v>
      </c>
      <c r="R3817" s="322">
        <f>Q3817*J3817</f>
        <v>12</v>
      </c>
      <c r="S3817" s="7">
        <v>0</v>
      </c>
      <c r="T3817" s="7">
        <f>S3817*J3817</f>
        <v>0</v>
      </c>
      <c r="U3817" s="21"/>
      <c r="V3817" s="260">
        <v>120</v>
      </c>
      <c r="W3817" s="1136">
        <f t="shared" si="291"/>
        <v>1</v>
      </c>
    </row>
    <row r="3818" spans="1:51" s="191" customFormat="1" ht="15.75">
      <c r="B3818" s="190"/>
      <c r="C3818" s="179" t="s">
        <v>4909</v>
      </c>
      <c r="D3818" s="180" t="s">
        <v>4762</v>
      </c>
      <c r="E3818" s="181"/>
      <c r="F3818" s="182"/>
      <c r="G3818" s="309" t="s">
        <v>324</v>
      </c>
      <c r="H3818" s="184" t="s">
        <v>251</v>
      </c>
      <c r="I3818" s="185"/>
      <c r="J3818" s="183"/>
      <c r="K3818" s="192">
        <v>0</v>
      </c>
      <c r="L3818" s="187"/>
      <c r="M3818" s="187"/>
      <c r="N3818" s="187">
        <v>45447</v>
      </c>
      <c r="O3818" s="186">
        <v>6178</v>
      </c>
      <c r="P3818" s="179"/>
      <c r="Q3818" s="255">
        <v>0</v>
      </c>
      <c r="S3818" s="274">
        <v>0</v>
      </c>
      <c r="T3818" s="198">
        <v>0</v>
      </c>
      <c r="U3818" s="271"/>
      <c r="V3818" s="260">
        <v>120</v>
      </c>
      <c r="W3818" s="1136" t="e">
        <f t="shared" si="291"/>
        <v>#DIV/0!</v>
      </c>
    </row>
    <row r="3819" spans="1:51" customFormat="1" ht="18" customHeight="1">
      <c r="A3819" s="1"/>
      <c r="B3819" s="26"/>
      <c r="C3819" s="6" t="s">
        <v>4911</v>
      </c>
      <c r="D3819" s="14" t="s">
        <v>4693</v>
      </c>
      <c r="E3819" s="19" t="s">
        <v>59</v>
      </c>
      <c r="F3819" s="107"/>
      <c r="G3819" s="22"/>
      <c r="H3819" s="108"/>
      <c r="I3819" s="109"/>
      <c r="J3819" s="108"/>
      <c r="K3819" s="110" t="s">
        <v>5</v>
      </c>
      <c r="L3819" s="33"/>
      <c r="M3819" s="33"/>
      <c r="N3819" s="33">
        <v>45453</v>
      </c>
      <c r="O3819" s="32">
        <v>6195</v>
      </c>
      <c r="P3819" s="14"/>
      <c r="Q3819" s="254"/>
      <c r="R3819" s="1"/>
      <c r="S3819" s="261"/>
      <c r="T3819" s="92"/>
      <c r="U3819" s="264"/>
      <c r="V3819" s="260">
        <v>120</v>
      </c>
      <c r="W3819" s="1136" t="e">
        <f t="shared" si="291"/>
        <v>#VALUE!</v>
      </c>
      <c r="X3819" s="1"/>
      <c r="Y3819" s="1"/>
      <c r="Z3819" s="1"/>
      <c r="AA3819" s="1"/>
      <c r="AB3819" s="1"/>
      <c r="AC3819" s="1"/>
      <c r="AD3819" s="1"/>
      <c r="AE3819" s="1"/>
      <c r="AF3819" s="1"/>
      <c r="AG3819" s="1"/>
      <c r="AH3819" s="1"/>
      <c r="AI3819" s="1"/>
      <c r="AJ3819" s="1"/>
      <c r="AK3819" s="1"/>
      <c r="AL3819" s="1"/>
      <c r="AM3819" s="1"/>
      <c r="AN3819" s="1"/>
      <c r="AO3819" s="1"/>
      <c r="AP3819" s="1"/>
      <c r="AQ3819" s="1"/>
      <c r="AR3819" s="1"/>
      <c r="AS3819" s="1"/>
      <c r="AT3819" s="1"/>
      <c r="AU3819" s="1"/>
      <c r="AV3819" s="1"/>
      <c r="AW3819" s="1"/>
      <c r="AX3819" s="1"/>
      <c r="AY3819" s="1"/>
    </row>
    <row r="3820" spans="1:51" customFormat="1" ht="18" customHeight="1">
      <c r="B3820" s="12" t="s">
        <v>302</v>
      </c>
      <c r="C3820" s="6" t="s">
        <v>4911</v>
      </c>
      <c r="D3820" s="14" t="s">
        <v>4693</v>
      </c>
      <c r="E3820" s="22">
        <v>2440</v>
      </c>
      <c r="F3820" s="107">
        <v>140</v>
      </c>
      <c r="G3820" s="22" t="s">
        <v>4912</v>
      </c>
      <c r="H3820" s="108">
        <v>68</v>
      </c>
      <c r="I3820" s="109">
        <v>1</v>
      </c>
      <c r="J3820" s="8">
        <f>H3820*I3820</f>
        <v>68</v>
      </c>
      <c r="K3820" s="39">
        <v>3.13</v>
      </c>
      <c r="L3820" s="39">
        <f>K3820*J3820</f>
        <v>212.84</v>
      </c>
      <c r="M3820" s="117" t="s">
        <v>323</v>
      </c>
      <c r="N3820" s="33">
        <v>45453</v>
      </c>
      <c r="O3820" s="32">
        <v>6195</v>
      </c>
      <c r="P3820" s="391">
        <f>ROUNDUP(S3820/V3820/VLOOKUP(B3820,$C$2:$F$6,3,FALSE),2)</f>
        <v>2.8499999999999996</v>
      </c>
      <c r="Q3820" s="254">
        <v>2.85</v>
      </c>
      <c r="R3820" s="323">
        <f>Q3820*J3820</f>
        <v>193.8</v>
      </c>
      <c r="S3820" s="257">
        <v>300</v>
      </c>
      <c r="T3820" s="287">
        <f>S3820*J3820</f>
        <v>20400</v>
      </c>
      <c r="U3820" s="264"/>
      <c r="V3820" s="260">
        <v>120</v>
      </c>
      <c r="W3820" s="1136">
        <f t="shared" si="291"/>
        <v>0.20127795527156542</v>
      </c>
      <c r="X3820" s="1"/>
      <c r="Y3820" s="1"/>
      <c r="Z3820" s="1"/>
      <c r="AA3820" s="1"/>
      <c r="AB3820" s="1"/>
      <c r="AC3820" s="1"/>
      <c r="AD3820" s="1"/>
      <c r="AE3820" s="1"/>
      <c r="AF3820" s="1"/>
      <c r="AG3820" s="1"/>
      <c r="AH3820" s="1"/>
      <c r="AI3820" s="1"/>
      <c r="AJ3820" s="1"/>
      <c r="AK3820" s="1"/>
      <c r="AL3820" s="1"/>
      <c r="AM3820" s="1"/>
      <c r="AN3820" s="1"/>
      <c r="AO3820" s="1"/>
      <c r="AP3820" s="1"/>
      <c r="AQ3820" s="1"/>
      <c r="AR3820" s="1"/>
      <c r="AS3820" s="1"/>
      <c r="AT3820" s="1"/>
      <c r="AU3820" s="1"/>
      <c r="AV3820" s="1"/>
      <c r="AW3820" s="1"/>
      <c r="AX3820" s="1"/>
      <c r="AY3820" s="1"/>
    </row>
    <row r="3821" spans="1:51" s="7" customFormat="1" ht="15">
      <c r="B3821" s="12"/>
      <c r="C3821" s="6" t="s">
        <v>4911</v>
      </c>
      <c r="D3821" s="14" t="s">
        <v>4693</v>
      </c>
      <c r="E3821" s="49"/>
      <c r="F3821" s="102"/>
      <c r="G3821" s="22" t="s">
        <v>316</v>
      </c>
      <c r="H3821" s="38"/>
      <c r="I3821" s="35"/>
      <c r="J3821" s="38">
        <v>1</v>
      </c>
      <c r="K3821" s="39">
        <v>20</v>
      </c>
      <c r="L3821" s="39">
        <f>K3821*J3821</f>
        <v>20</v>
      </c>
      <c r="M3821" s="91"/>
      <c r="N3821" s="33">
        <v>45453</v>
      </c>
      <c r="O3821" s="32">
        <v>6195</v>
      </c>
      <c r="P3821" s="722"/>
      <c r="Q3821" s="322">
        <v>20</v>
      </c>
      <c r="R3821" s="322">
        <f>Q3821*J3821</f>
        <v>20</v>
      </c>
      <c r="S3821" s="7">
        <v>1800</v>
      </c>
      <c r="T3821" s="7">
        <f>S3821*J3821</f>
        <v>1800</v>
      </c>
      <c r="U3821" s="21"/>
      <c r="V3821" s="260">
        <v>120</v>
      </c>
      <c r="W3821" s="1136">
        <f t="shared" si="291"/>
        <v>0.25</v>
      </c>
    </row>
    <row r="3822" spans="1:51" s="191" customFormat="1" ht="15" customHeight="1">
      <c r="B3822" s="190"/>
      <c r="C3822" s="179" t="s">
        <v>4911</v>
      </c>
      <c r="D3822" s="180" t="s">
        <v>4693</v>
      </c>
      <c r="E3822" s="181"/>
      <c r="F3822" s="182"/>
      <c r="G3822" s="182" t="s">
        <v>2738</v>
      </c>
      <c r="H3822" s="184" t="s">
        <v>251</v>
      </c>
      <c r="I3822" s="185"/>
      <c r="J3822" s="183"/>
      <c r="K3822" s="192">
        <v>0</v>
      </c>
      <c r="L3822" s="187"/>
      <c r="M3822" s="187"/>
      <c r="N3822" s="187">
        <v>45453</v>
      </c>
      <c r="O3822" s="186">
        <v>6195</v>
      </c>
      <c r="P3822" s="179"/>
      <c r="Q3822" s="203"/>
      <c r="R3822" s="203"/>
      <c r="S3822" s="203"/>
      <c r="T3822" s="203"/>
      <c r="U3822" s="271"/>
      <c r="V3822" s="260">
        <v>120</v>
      </c>
      <c r="W3822" s="1136" t="e">
        <f t="shared" si="291"/>
        <v>#DIV/0!</v>
      </c>
    </row>
    <row r="3823" spans="1:51" s="7" customFormat="1" ht="18" customHeight="1">
      <c r="B3823" s="12"/>
      <c r="C3823" s="965" t="s">
        <v>4913</v>
      </c>
      <c r="D3823" s="14" t="s">
        <v>3112</v>
      </c>
      <c r="E3823" s="19" t="s">
        <v>4639</v>
      </c>
      <c r="F3823" s="107"/>
      <c r="G3823" s="22"/>
      <c r="H3823" s="108"/>
      <c r="I3823" s="109"/>
      <c r="J3823" s="108"/>
      <c r="K3823" s="29" t="s">
        <v>5</v>
      </c>
      <c r="L3823" s="39"/>
      <c r="M3823" s="91"/>
      <c r="N3823" s="33">
        <v>45450</v>
      </c>
      <c r="O3823" s="32">
        <v>6201</v>
      </c>
      <c r="P3823" s="14"/>
      <c r="Q3823" s="322"/>
      <c r="U3823" s="14"/>
      <c r="V3823" s="1258">
        <v>120</v>
      </c>
    </row>
    <row r="3824" spans="1:51" s="7" customFormat="1" ht="18" customHeight="1">
      <c r="B3824" s="12" t="s">
        <v>302</v>
      </c>
      <c r="C3824" s="965" t="s">
        <v>4913</v>
      </c>
      <c r="D3824" s="14" t="s">
        <v>3112</v>
      </c>
      <c r="E3824" s="22" t="s">
        <v>4633</v>
      </c>
      <c r="F3824" s="107">
        <v>145</v>
      </c>
      <c r="G3824" s="396" t="s">
        <v>4634</v>
      </c>
      <c r="H3824" s="18">
        <v>58.4</v>
      </c>
      <c r="I3824" s="61">
        <v>1</v>
      </c>
      <c r="J3824" s="18">
        <f>H3824*I3824</f>
        <v>58.4</v>
      </c>
      <c r="K3824" s="39">
        <v>9.8699999999999992</v>
      </c>
      <c r="L3824" s="39">
        <f>K3824*J3824</f>
        <v>576.4079999999999</v>
      </c>
      <c r="M3824" s="117" t="s">
        <v>323</v>
      </c>
      <c r="N3824" s="33">
        <v>45450</v>
      </c>
      <c r="O3824" s="32">
        <v>6201</v>
      </c>
      <c r="P3824" s="391">
        <f>ROUNDUP(S3824/V3824/VLOOKUP(B3824,$C$2:$F$6,3,FALSE),2)</f>
        <v>6.7299999999999995</v>
      </c>
      <c r="Q3824" s="322">
        <v>6.73</v>
      </c>
      <c r="R3824" s="322">
        <f>Q3824*J3824</f>
        <v>393.03200000000004</v>
      </c>
      <c r="S3824" s="7">
        <v>710</v>
      </c>
      <c r="T3824" s="7">
        <f>S3824*J3824</f>
        <v>41464</v>
      </c>
      <c r="U3824" s="21"/>
      <c r="V3824" s="260">
        <v>120</v>
      </c>
      <c r="W3824" s="1136">
        <f t="shared" ref="W3824:W3861" si="292">(((K3824*V3824)-S3824)/(K3824*V3824))</f>
        <v>0.40054035798716642</v>
      </c>
    </row>
    <row r="3825" spans="1:51" s="7" customFormat="1" ht="18" customHeight="1">
      <c r="B3825" s="12"/>
      <c r="C3825" s="965" t="s">
        <v>4913</v>
      </c>
      <c r="D3825" s="14" t="s">
        <v>3112</v>
      </c>
      <c r="E3825" s="22"/>
      <c r="F3825" s="102"/>
      <c r="G3825" s="22" t="s">
        <v>316</v>
      </c>
      <c r="H3825" s="8"/>
      <c r="I3825" s="35"/>
      <c r="J3825" s="38">
        <v>1</v>
      </c>
      <c r="K3825" s="39">
        <v>20</v>
      </c>
      <c r="L3825" s="39">
        <f>K3825*J3825</f>
        <v>20</v>
      </c>
      <c r="M3825" s="91"/>
      <c r="N3825" s="33">
        <v>45450</v>
      </c>
      <c r="O3825" s="32">
        <v>6201</v>
      </c>
      <c r="P3825" s="6" t="s">
        <v>3</v>
      </c>
      <c r="Q3825" s="39">
        <v>20</v>
      </c>
      <c r="R3825" s="322">
        <f>Q3825*J3825</f>
        <v>20</v>
      </c>
      <c r="S3825" s="7">
        <v>0</v>
      </c>
      <c r="T3825" s="7">
        <f>S3825*J3825</f>
        <v>0</v>
      </c>
      <c r="U3825" s="21"/>
      <c r="V3825" s="260">
        <v>120</v>
      </c>
      <c r="W3825" s="1136">
        <f t="shared" si="292"/>
        <v>1</v>
      </c>
    </row>
    <row r="3826" spans="1:51" s="191" customFormat="1" ht="18" customHeight="1">
      <c r="B3826" s="190"/>
      <c r="C3826" s="966" t="s">
        <v>4913</v>
      </c>
      <c r="D3826" s="180" t="s">
        <v>3112</v>
      </c>
      <c r="E3826" s="217"/>
      <c r="F3826" s="182"/>
      <c r="G3826" s="182" t="s">
        <v>250</v>
      </c>
      <c r="H3826" s="184" t="s">
        <v>251</v>
      </c>
      <c r="I3826" s="185"/>
      <c r="J3826" s="183"/>
      <c r="K3826" s="192">
        <v>0</v>
      </c>
      <c r="L3826" s="192">
        <v>0</v>
      </c>
      <c r="M3826" s="187"/>
      <c r="N3826" s="187">
        <v>45450</v>
      </c>
      <c r="O3826" s="186">
        <v>6201</v>
      </c>
      <c r="P3826" s="179"/>
      <c r="Q3826" s="334">
        <v>0</v>
      </c>
      <c r="R3826" s="334">
        <v>0</v>
      </c>
      <c r="S3826" s="197">
        <v>0</v>
      </c>
      <c r="T3826" s="197">
        <v>0</v>
      </c>
      <c r="U3826" s="335"/>
      <c r="V3826" s="260">
        <v>120</v>
      </c>
      <c r="W3826" s="1136" t="e">
        <f t="shared" si="292"/>
        <v>#DIV/0!</v>
      </c>
    </row>
    <row r="3827" spans="1:51" customFormat="1" ht="18" customHeight="1">
      <c r="A3827" s="1"/>
      <c r="B3827" s="26"/>
      <c r="C3827" s="6" t="s">
        <v>4914</v>
      </c>
      <c r="D3827" s="19" t="s">
        <v>2211</v>
      </c>
      <c r="E3827" s="19" t="s">
        <v>4915</v>
      </c>
      <c r="F3827" s="107"/>
      <c r="G3827" s="22"/>
      <c r="H3827" s="108"/>
      <c r="I3827" s="109"/>
      <c r="J3827" s="108"/>
      <c r="K3827" s="110" t="s">
        <v>5</v>
      </c>
      <c r="L3827" s="33"/>
      <c r="M3827" s="33"/>
      <c r="N3827" s="33">
        <v>45453</v>
      </c>
      <c r="O3827" s="32">
        <v>6207</v>
      </c>
      <c r="P3827" s="14"/>
      <c r="Q3827" s="254"/>
      <c r="R3827" s="1"/>
      <c r="S3827" s="1300" t="s">
        <v>4917</v>
      </c>
      <c r="T3827" s="92"/>
      <c r="U3827" s="264"/>
      <c r="V3827" s="260">
        <v>120</v>
      </c>
      <c r="W3827" s="1136" t="e">
        <f t="shared" si="292"/>
        <v>#VALUE!</v>
      </c>
      <c r="X3827" s="1"/>
      <c r="Y3827" s="1"/>
      <c r="Z3827" s="1"/>
      <c r="AA3827" s="1"/>
      <c r="AB3827" s="1"/>
      <c r="AC3827" s="1"/>
      <c r="AD3827" s="1"/>
      <c r="AE3827" s="1"/>
      <c r="AF3827" s="1"/>
      <c r="AG3827" s="1"/>
      <c r="AH3827" s="1"/>
      <c r="AI3827" s="1"/>
      <c r="AJ3827" s="1"/>
      <c r="AK3827" s="1"/>
      <c r="AL3827" s="1"/>
      <c r="AM3827" s="1"/>
      <c r="AN3827" s="1"/>
      <c r="AO3827" s="1"/>
      <c r="AP3827" s="1"/>
      <c r="AQ3827" s="1"/>
      <c r="AR3827" s="1"/>
      <c r="AS3827" s="1"/>
      <c r="AT3827" s="1"/>
      <c r="AU3827" s="1"/>
      <c r="AV3827" s="1"/>
      <c r="AW3827" s="1"/>
      <c r="AX3827" s="1"/>
      <c r="AY3827" s="1"/>
    </row>
    <row r="3828" spans="1:51" s="7" customFormat="1" ht="18" customHeight="1">
      <c r="B3828" s="12" t="s">
        <v>300</v>
      </c>
      <c r="C3828" s="6" t="s">
        <v>4914</v>
      </c>
      <c r="D3828" s="19" t="s">
        <v>2211</v>
      </c>
      <c r="E3828" s="22" t="s">
        <v>4916</v>
      </c>
      <c r="F3828" s="24">
        <v>20</v>
      </c>
      <c r="G3828" s="22" t="s">
        <v>22</v>
      </c>
      <c r="H3828" s="108"/>
      <c r="I3828" s="109"/>
      <c r="J3828" s="8">
        <v>1</v>
      </c>
      <c r="K3828" s="39">
        <v>1.58</v>
      </c>
      <c r="L3828" s="39">
        <f>K3828*J3828</f>
        <v>1.58</v>
      </c>
      <c r="M3828" s="117" t="s">
        <v>377</v>
      </c>
      <c r="N3828" s="33">
        <v>45453</v>
      </c>
      <c r="O3828" s="32">
        <v>6207</v>
      </c>
      <c r="P3828" s="391">
        <f>ROUNDUP(S3828/V3828/VLOOKUP(B3828,$C$2:$F$6,3,FALSE),2)</f>
        <v>0.93</v>
      </c>
      <c r="Q3828" s="322">
        <v>0.93</v>
      </c>
      <c r="R3828" s="322">
        <f>Q3828*J3828</f>
        <v>0.93</v>
      </c>
      <c r="S3828" s="92">
        <f>52*1.5</f>
        <v>78</v>
      </c>
      <c r="T3828" s="7">
        <f>S3828*J3828</f>
        <v>78</v>
      </c>
      <c r="U3828" s="959"/>
      <c r="V3828" s="260">
        <v>120</v>
      </c>
      <c r="W3828" s="1136">
        <f t="shared" si="292"/>
        <v>0.58860759493670889</v>
      </c>
    </row>
    <row r="3829" spans="1:51" s="7" customFormat="1" ht="18" customHeight="1">
      <c r="B3829" s="12" t="s">
        <v>300</v>
      </c>
      <c r="C3829" s="6" t="s">
        <v>4914</v>
      </c>
      <c r="D3829" s="19" t="s">
        <v>2211</v>
      </c>
      <c r="E3829" s="22" t="s">
        <v>4916</v>
      </c>
      <c r="F3829" s="24">
        <v>36</v>
      </c>
      <c r="G3829" s="22" t="s">
        <v>22</v>
      </c>
      <c r="H3829" s="108"/>
      <c r="I3829" s="109"/>
      <c r="J3829" s="8">
        <v>1</v>
      </c>
      <c r="K3829" s="39">
        <v>2.64</v>
      </c>
      <c r="L3829" s="39">
        <f>K3829*J3829</f>
        <v>2.64</v>
      </c>
      <c r="M3829" s="117" t="s">
        <v>377</v>
      </c>
      <c r="N3829" s="33">
        <v>45453</v>
      </c>
      <c r="O3829" s="32">
        <v>6207</v>
      </c>
      <c r="P3829" s="391">
        <f>ROUNDUP(S3829/V3829/VLOOKUP(B3829,$C$2:$F$6,3,FALSE),2)</f>
        <v>1.56</v>
      </c>
      <c r="Q3829" s="322">
        <v>1.56</v>
      </c>
      <c r="R3829" s="322">
        <f>Q3829*J3829</f>
        <v>1.56</v>
      </c>
      <c r="S3829" s="92">
        <f>87*1.5</f>
        <v>130.5</v>
      </c>
      <c r="T3829" s="7">
        <f>S3829*J3829</f>
        <v>130.5</v>
      </c>
      <c r="U3829" s="959"/>
      <c r="V3829" s="260">
        <v>120</v>
      </c>
      <c r="W3829" s="1136">
        <f t="shared" si="292"/>
        <v>0.58806818181818188</v>
      </c>
    </row>
    <row r="3830" spans="1:51" s="7" customFormat="1" ht="18" customHeight="1">
      <c r="B3830" s="12"/>
      <c r="C3830" s="6" t="s">
        <v>4914</v>
      </c>
      <c r="D3830" s="19" t="s">
        <v>2211</v>
      </c>
      <c r="E3830" s="22"/>
      <c r="F3830" s="102"/>
      <c r="G3830" s="22" t="s">
        <v>316</v>
      </c>
      <c r="H3830" s="8"/>
      <c r="I3830" s="35"/>
      <c r="J3830" s="38">
        <v>1</v>
      </c>
      <c r="K3830" s="39">
        <v>12</v>
      </c>
      <c r="L3830" s="39">
        <f>K3830*J3830</f>
        <v>12</v>
      </c>
      <c r="M3830" s="91"/>
      <c r="N3830" s="33">
        <v>45453</v>
      </c>
      <c r="O3830" s="32">
        <v>6207</v>
      </c>
      <c r="P3830" s="6" t="s">
        <v>3</v>
      </c>
      <c r="Q3830" s="39">
        <v>12</v>
      </c>
      <c r="R3830" s="322">
        <f>Q3830*J3830</f>
        <v>12</v>
      </c>
      <c r="S3830" s="7">
        <v>0</v>
      </c>
      <c r="T3830" s="7">
        <f>S3830*J3830</f>
        <v>0</v>
      </c>
      <c r="U3830" s="21"/>
      <c r="V3830" s="260">
        <v>120</v>
      </c>
      <c r="W3830" s="1136">
        <f t="shared" si="292"/>
        <v>1</v>
      </c>
    </row>
    <row r="3831" spans="1:51" s="191" customFormat="1" ht="18" customHeight="1">
      <c r="B3831" s="190"/>
      <c r="C3831" s="179" t="s">
        <v>4914</v>
      </c>
      <c r="D3831" s="1301" t="s">
        <v>2211</v>
      </c>
      <c r="E3831" s="217"/>
      <c r="F3831" s="182"/>
      <c r="G3831" s="182" t="s">
        <v>250</v>
      </c>
      <c r="H3831" s="184" t="s">
        <v>374</v>
      </c>
      <c r="I3831" s="185"/>
      <c r="J3831" s="183"/>
      <c r="K3831" s="203">
        <v>10</v>
      </c>
      <c r="L3831" s="203">
        <v>10</v>
      </c>
      <c r="M3831" s="187"/>
      <c r="N3831" s="187">
        <v>45453</v>
      </c>
      <c r="O3831" s="186">
        <v>6207</v>
      </c>
      <c r="P3831" s="179"/>
      <c r="Q3831" s="203">
        <v>10</v>
      </c>
      <c r="R3831" s="203">
        <v>10</v>
      </c>
      <c r="S3831" s="7">
        <v>1198</v>
      </c>
      <c r="T3831" s="7">
        <v>1198</v>
      </c>
      <c r="U3831" s="335"/>
      <c r="V3831" s="260">
        <v>120</v>
      </c>
      <c r="W3831" s="1136">
        <f t="shared" si="292"/>
        <v>1.6666666666666668E-3</v>
      </c>
    </row>
    <row r="3832" spans="1:51" customFormat="1" ht="18" customHeight="1">
      <c r="A3832" s="1"/>
      <c r="B3832" s="26"/>
      <c r="C3832" s="6" t="s">
        <v>4918</v>
      </c>
      <c r="D3832" s="19" t="s">
        <v>2211</v>
      </c>
      <c r="E3832" s="19" t="s">
        <v>4915</v>
      </c>
      <c r="F3832" s="107"/>
      <c r="G3832" s="22"/>
      <c r="H3832" s="108"/>
      <c r="I3832" s="109"/>
      <c r="J3832" s="108"/>
      <c r="K3832" s="110" t="s">
        <v>5</v>
      </c>
      <c r="L3832" s="33"/>
      <c r="M3832" s="33"/>
      <c r="N3832" s="33">
        <v>45467</v>
      </c>
      <c r="O3832" s="32">
        <v>6238</v>
      </c>
      <c r="P3832" s="14"/>
      <c r="Q3832" s="254"/>
      <c r="R3832" s="1"/>
      <c r="S3832" s="1300"/>
      <c r="T3832" s="92"/>
      <c r="U3832" s="264"/>
      <c r="V3832" s="260">
        <v>120</v>
      </c>
      <c r="W3832" s="1136" t="e">
        <f t="shared" si="292"/>
        <v>#VALUE!</v>
      </c>
      <c r="X3832" s="1"/>
      <c r="Y3832" s="1"/>
      <c r="Z3832" s="1"/>
      <c r="AA3832" s="1"/>
      <c r="AB3832" s="1"/>
      <c r="AC3832" s="1"/>
      <c r="AD3832" s="1"/>
      <c r="AE3832" s="1"/>
      <c r="AF3832" s="1"/>
      <c r="AG3832" s="1"/>
      <c r="AH3832" s="1"/>
      <c r="AI3832" s="1"/>
      <c r="AJ3832" s="1"/>
      <c r="AK3832" s="1"/>
      <c r="AL3832" s="1"/>
      <c r="AM3832" s="1"/>
      <c r="AN3832" s="1"/>
      <c r="AO3832" s="1"/>
      <c r="AP3832" s="1"/>
      <c r="AQ3832" s="1"/>
      <c r="AR3832" s="1"/>
      <c r="AS3832" s="1"/>
      <c r="AT3832" s="1"/>
      <c r="AU3832" s="1"/>
      <c r="AV3832" s="1"/>
      <c r="AW3832" s="1"/>
      <c r="AX3832" s="1"/>
      <c r="AY3832" s="1"/>
    </row>
    <row r="3833" spans="1:51" s="7" customFormat="1" ht="18" customHeight="1">
      <c r="B3833" s="12" t="s">
        <v>300</v>
      </c>
      <c r="C3833" s="6" t="s">
        <v>4918</v>
      </c>
      <c r="D3833" s="19" t="s">
        <v>2211</v>
      </c>
      <c r="E3833" s="22" t="s">
        <v>4916</v>
      </c>
      <c r="F3833" s="24">
        <v>20</v>
      </c>
      <c r="G3833" s="22" t="s">
        <v>22</v>
      </c>
      <c r="H3833" s="108">
        <v>30</v>
      </c>
      <c r="I3833" s="109">
        <v>22</v>
      </c>
      <c r="J3833" s="8">
        <f>H3833*I3833</f>
        <v>660</v>
      </c>
      <c r="K3833" s="39">
        <v>0.79</v>
      </c>
      <c r="L3833" s="39">
        <f>K3833*J3833</f>
        <v>521.4</v>
      </c>
      <c r="M3833" s="117" t="s">
        <v>377</v>
      </c>
      <c r="N3833" s="33">
        <v>45467</v>
      </c>
      <c r="O3833" s="32">
        <v>6238</v>
      </c>
      <c r="P3833" s="391">
        <f>ROUNDUP(S3833/V3833/VLOOKUP(B3833,$C$2:$F$6,3,FALSE),2)</f>
        <v>0.62</v>
      </c>
      <c r="Q3833" s="322">
        <v>0.62</v>
      </c>
      <c r="R3833" s="322">
        <f>Q3833*J3833</f>
        <v>409.2</v>
      </c>
      <c r="S3833" s="92">
        <f>52</f>
        <v>52</v>
      </c>
      <c r="T3833" s="7">
        <f>S3833*J3833</f>
        <v>34320</v>
      </c>
      <c r="U3833" s="959"/>
      <c r="V3833" s="260">
        <v>120</v>
      </c>
      <c r="W3833" s="1136">
        <f t="shared" si="292"/>
        <v>0.45147679324894524</v>
      </c>
    </row>
    <row r="3834" spans="1:51" s="7" customFormat="1" ht="18" customHeight="1">
      <c r="B3834" s="12" t="s">
        <v>300</v>
      </c>
      <c r="C3834" s="6" t="s">
        <v>4918</v>
      </c>
      <c r="D3834" s="19" t="s">
        <v>2211</v>
      </c>
      <c r="E3834" s="22" t="s">
        <v>4916</v>
      </c>
      <c r="F3834" s="24">
        <v>36</v>
      </c>
      <c r="G3834" s="22" t="s">
        <v>22</v>
      </c>
      <c r="H3834" s="108">
        <v>30</v>
      </c>
      <c r="I3834" s="109">
        <v>2</v>
      </c>
      <c r="J3834" s="8">
        <f>H3834*I3834</f>
        <v>60</v>
      </c>
      <c r="K3834" s="39">
        <v>1.32</v>
      </c>
      <c r="L3834" s="39">
        <f>K3834*J3834</f>
        <v>79.2</v>
      </c>
      <c r="M3834" s="117" t="s">
        <v>377</v>
      </c>
      <c r="N3834" s="33">
        <v>45467</v>
      </c>
      <c r="O3834" s="32">
        <v>6238</v>
      </c>
      <c r="P3834" s="391">
        <f>ROUNDUP(S3834/V3834/VLOOKUP(B3834,$C$2:$F$6,3,FALSE),2)</f>
        <v>1.04</v>
      </c>
      <c r="Q3834" s="322">
        <v>1.04</v>
      </c>
      <c r="R3834" s="322">
        <f>Q3834*J3834</f>
        <v>62.400000000000006</v>
      </c>
      <c r="S3834" s="92">
        <f>87</f>
        <v>87</v>
      </c>
      <c r="T3834" s="7">
        <f>S3834*J3834</f>
        <v>5220</v>
      </c>
      <c r="U3834" s="959"/>
      <c r="V3834" s="260">
        <v>120</v>
      </c>
      <c r="W3834" s="1136">
        <f t="shared" si="292"/>
        <v>0.4507575757575758</v>
      </c>
    </row>
    <row r="3835" spans="1:51" s="7" customFormat="1" ht="18" customHeight="1">
      <c r="B3835" s="12"/>
      <c r="C3835" s="6" t="s">
        <v>4918</v>
      </c>
      <c r="D3835" s="19" t="s">
        <v>2211</v>
      </c>
      <c r="E3835" s="22"/>
      <c r="F3835" s="102"/>
      <c r="G3835" s="22" t="s">
        <v>316</v>
      </c>
      <c r="H3835" s="8"/>
      <c r="I3835" s="35"/>
      <c r="J3835" s="38">
        <v>1</v>
      </c>
      <c r="K3835" s="39">
        <v>12</v>
      </c>
      <c r="L3835" s="39">
        <f>K3835*J3835</f>
        <v>12</v>
      </c>
      <c r="M3835" s="91"/>
      <c r="N3835" s="33">
        <v>45467</v>
      </c>
      <c r="O3835" s="32">
        <v>6238</v>
      </c>
      <c r="P3835" s="6" t="s">
        <v>3</v>
      </c>
      <c r="Q3835" s="39">
        <v>12</v>
      </c>
      <c r="R3835" s="322">
        <f>Q3835*J3835</f>
        <v>12</v>
      </c>
      <c r="U3835" s="21"/>
      <c r="V3835" s="260">
        <v>120</v>
      </c>
      <c r="W3835" s="1136">
        <f t="shared" si="292"/>
        <v>1</v>
      </c>
    </row>
    <row r="3836" spans="1:51" s="191" customFormat="1" ht="18" customHeight="1">
      <c r="B3836" s="190"/>
      <c r="C3836" s="179" t="s">
        <v>4918</v>
      </c>
      <c r="D3836" s="1301" t="s">
        <v>2211</v>
      </c>
      <c r="E3836" s="217"/>
      <c r="F3836" s="182"/>
      <c r="G3836" s="182" t="s">
        <v>250</v>
      </c>
      <c r="H3836" s="184" t="s">
        <v>374</v>
      </c>
      <c r="I3836" s="185"/>
      <c r="J3836" s="183"/>
      <c r="K3836" s="203">
        <v>50</v>
      </c>
      <c r="L3836" s="203">
        <v>50</v>
      </c>
      <c r="M3836" s="187"/>
      <c r="N3836" s="187">
        <v>45467</v>
      </c>
      <c r="O3836" s="186">
        <v>6238</v>
      </c>
      <c r="P3836" s="179"/>
      <c r="Q3836" s="203">
        <v>50</v>
      </c>
      <c r="R3836" s="203">
        <v>50</v>
      </c>
      <c r="S3836" s="7">
        <v>5418</v>
      </c>
      <c r="T3836" s="7">
        <v>5418</v>
      </c>
      <c r="U3836" s="335"/>
      <c r="V3836" s="260">
        <v>120</v>
      </c>
      <c r="W3836" s="1136">
        <f t="shared" si="292"/>
        <v>9.7000000000000003E-2</v>
      </c>
    </row>
    <row r="3837" spans="1:51" customFormat="1" ht="18" customHeight="1">
      <c r="A3837" s="1"/>
      <c r="B3837" s="26"/>
      <c r="C3837" s="6" t="s">
        <v>4919</v>
      </c>
      <c r="D3837" s="19" t="s">
        <v>4920</v>
      </c>
      <c r="E3837" s="17" t="s">
        <v>160</v>
      </c>
      <c r="F3837" s="107"/>
      <c r="G3837" s="22"/>
      <c r="H3837" s="108"/>
      <c r="I3837" s="109"/>
      <c r="J3837" s="108"/>
      <c r="K3837" s="110" t="s">
        <v>5</v>
      </c>
      <c r="L3837" s="33"/>
      <c r="M3837" s="33"/>
      <c r="N3837" s="33">
        <v>45467</v>
      </c>
      <c r="O3837" s="32">
        <v>6242</v>
      </c>
      <c r="P3837" s="14"/>
      <c r="Q3837" s="254"/>
      <c r="R3837" s="1"/>
      <c r="S3837" s="1300"/>
      <c r="T3837" s="92"/>
      <c r="U3837" s="264"/>
      <c r="V3837" s="260">
        <v>120</v>
      </c>
      <c r="W3837" s="1136" t="e">
        <f t="shared" si="292"/>
        <v>#VALUE!</v>
      </c>
      <c r="X3837" s="1"/>
      <c r="Y3837" s="1"/>
      <c r="Z3837" s="1"/>
      <c r="AA3837" s="1"/>
      <c r="AB3837" s="1"/>
      <c r="AC3837" s="1"/>
      <c r="AD3837" s="1"/>
      <c r="AE3837" s="1"/>
      <c r="AF3837" s="1"/>
      <c r="AG3837" s="1"/>
      <c r="AH3837" s="1"/>
      <c r="AI3837" s="1"/>
      <c r="AJ3837" s="1"/>
      <c r="AK3837" s="1"/>
      <c r="AL3837" s="1"/>
      <c r="AM3837" s="1"/>
      <c r="AN3837" s="1"/>
      <c r="AO3837" s="1"/>
      <c r="AP3837" s="1"/>
      <c r="AQ3837" s="1"/>
      <c r="AR3837" s="1"/>
      <c r="AS3837" s="1"/>
      <c r="AT3837" s="1"/>
      <c r="AU3837" s="1"/>
      <c r="AV3837" s="1"/>
      <c r="AW3837" s="1"/>
      <c r="AX3837" s="1"/>
      <c r="AY3837" s="1"/>
    </row>
    <row r="3838" spans="1:51" s="7" customFormat="1" ht="18" customHeight="1">
      <c r="B3838" s="12" t="s">
        <v>300</v>
      </c>
      <c r="C3838" s="6" t="s">
        <v>4919</v>
      </c>
      <c r="D3838" s="19" t="s">
        <v>4920</v>
      </c>
      <c r="E3838" s="22" t="s">
        <v>4921</v>
      </c>
      <c r="F3838" s="24">
        <v>38</v>
      </c>
      <c r="G3838" s="22" t="s">
        <v>4795</v>
      </c>
      <c r="H3838" s="108">
        <v>30</v>
      </c>
      <c r="I3838" s="109">
        <v>10</v>
      </c>
      <c r="J3838" s="8">
        <f>H3838*I3838</f>
        <v>300</v>
      </c>
      <c r="K3838" s="39">
        <v>1.48</v>
      </c>
      <c r="L3838" s="39">
        <f>K3838*J3838</f>
        <v>444</v>
      </c>
      <c r="M3838" s="117" t="s">
        <v>323</v>
      </c>
      <c r="N3838" s="33">
        <v>45467</v>
      </c>
      <c r="O3838" s="32">
        <v>6242</v>
      </c>
      <c r="P3838" s="391">
        <f>ROUNDUP(S3838/V3838/VLOOKUP(B3838,$C$2:$F$6,3,FALSE),2)</f>
        <v>1.27</v>
      </c>
      <c r="Q3838" s="322">
        <v>1.27</v>
      </c>
      <c r="R3838" s="322">
        <f>Q3838*J3838</f>
        <v>381</v>
      </c>
      <c r="S3838" s="92">
        <v>106</v>
      </c>
      <c r="T3838" s="7">
        <f>S3838*J3838</f>
        <v>31800</v>
      </c>
      <c r="U3838" s="959"/>
      <c r="V3838" s="260">
        <v>120</v>
      </c>
      <c r="W3838" s="1136">
        <f t="shared" si="292"/>
        <v>0.40315315315315314</v>
      </c>
    </row>
    <row r="3839" spans="1:51" s="7" customFormat="1" ht="18" customHeight="1">
      <c r="B3839" s="12" t="s">
        <v>300</v>
      </c>
      <c r="C3839" s="6" t="s">
        <v>4919</v>
      </c>
      <c r="D3839" s="19" t="s">
        <v>4920</v>
      </c>
      <c r="E3839" s="22" t="s">
        <v>4921</v>
      </c>
      <c r="F3839" s="24">
        <v>38</v>
      </c>
      <c r="G3839" s="22" t="s">
        <v>4922</v>
      </c>
      <c r="H3839" s="108">
        <v>30</v>
      </c>
      <c r="I3839" s="109">
        <v>6</v>
      </c>
      <c r="J3839" s="8">
        <f>H3839*I3839</f>
        <v>180</v>
      </c>
      <c r="K3839" s="39">
        <v>1.48</v>
      </c>
      <c r="L3839" s="39">
        <f>K3839*J3839</f>
        <v>266.39999999999998</v>
      </c>
      <c r="M3839" s="117" t="s">
        <v>323</v>
      </c>
      <c r="N3839" s="33">
        <v>45467</v>
      </c>
      <c r="O3839" s="32">
        <v>6242</v>
      </c>
      <c r="P3839" s="391">
        <f>ROUNDUP(S3839/V3839/VLOOKUP(B3839,$C$2:$F$6,3,FALSE),2)</f>
        <v>1.27</v>
      </c>
      <c r="Q3839" s="322">
        <v>1.27</v>
      </c>
      <c r="R3839" s="322">
        <f>Q3839*J3839</f>
        <v>228.6</v>
      </c>
      <c r="S3839" s="92">
        <v>106</v>
      </c>
      <c r="T3839" s="7">
        <f>S3839*J3839</f>
        <v>19080</v>
      </c>
      <c r="U3839" s="959"/>
      <c r="V3839" s="260">
        <v>120</v>
      </c>
      <c r="W3839" s="1136">
        <f t="shared" si="292"/>
        <v>0.40315315315315314</v>
      </c>
    </row>
    <row r="3840" spans="1:51" s="7" customFormat="1" ht="18" customHeight="1">
      <c r="B3840" s="12"/>
      <c r="C3840" s="6" t="s">
        <v>4919</v>
      </c>
      <c r="D3840" s="19" t="s">
        <v>4920</v>
      </c>
      <c r="E3840" s="22"/>
      <c r="F3840" s="102"/>
      <c r="G3840" s="22" t="s">
        <v>316</v>
      </c>
      <c r="H3840" s="8"/>
      <c r="I3840" s="35"/>
      <c r="J3840" s="38">
        <v>1</v>
      </c>
      <c r="K3840" s="39">
        <v>12</v>
      </c>
      <c r="L3840" s="39">
        <f>K3840*J3840</f>
        <v>12</v>
      </c>
      <c r="M3840" s="91"/>
      <c r="N3840" s="33">
        <v>45467</v>
      </c>
      <c r="O3840" s="32">
        <v>6242</v>
      </c>
      <c r="P3840" s="6" t="s">
        <v>3</v>
      </c>
      <c r="Q3840" s="39">
        <v>12</v>
      </c>
      <c r="R3840" s="322">
        <f>Q3840*J3840</f>
        <v>12</v>
      </c>
      <c r="S3840" s="7">
        <v>0</v>
      </c>
      <c r="T3840" s="7">
        <f>S3840*J3840</f>
        <v>0</v>
      </c>
      <c r="U3840" s="21"/>
      <c r="V3840" s="260">
        <v>120</v>
      </c>
      <c r="W3840" s="1136">
        <f t="shared" si="292"/>
        <v>1</v>
      </c>
    </row>
    <row r="3841" spans="1:51" s="191" customFormat="1" ht="18" customHeight="1">
      <c r="B3841" s="190"/>
      <c r="C3841" s="179" t="s">
        <v>4919</v>
      </c>
      <c r="D3841" s="1301" t="s">
        <v>4920</v>
      </c>
      <c r="E3841" s="217"/>
      <c r="F3841" s="182"/>
      <c r="G3841" s="182" t="s">
        <v>250</v>
      </c>
      <c r="H3841" s="184" t="s">
        <v>374</v>
      </c>
      <c r="I3841" s="185"/>
      <c r="J3841" s="183"/>
      <c r="K3841" s="203">
        <v>94</v>
      </c>
      <c r="L3841" s="203">
        <v>94</v>
      </c>
      <c r="M3841" s="187"/>
      <c r="N3841" s="187">
        <v>45467</v>
      </c>
      <c r="O3841" s="186">
        <v>6242</v>
      </c>
      <c r="P3841" s="179"/>
      <c r="Q3841" s="203">
        <v>94</v>
      </c>
      <c r="R3841" s="203">
        <v>94</v>
      </c>
      <c r="S3841" s="7">
        <v>11217</v>
      </c>
      <c r="T3841" s="7">
        <v>11217</v>
      </c>
      <c r="U3841" s="335"/>
      <c r="V3841" s="260">
        <v>120</v>
      </c>
      <c r="W3841" s="1136">
        <f t="shared" si="292"/>
        <v>5.5851063829787237E-3</v>
      </c>
    </row>
    <row r="3842" spans="1:51" customFormat="1" ht="18" customHeight="1">
      <c r="A3842" s="1"/>
      <c r="B3842" s="26"/>
      <c r="C3842" s="965" t="s">
        <v>4938</v>
      </c>
      <c r="D3842" s="14" t="s">
        <v>4832</v>
      </c>
      <c r="E3842" s="19" t="s">
        <v>4923</v>
      </c>
      <c r="F3842" s="107"/>
      <c r="G3842" s="22"/>
      <c r="H3842" s="108"/>
      <c r="I3842" s="109"/>
      <c r="J3842" s="108"/>
      <c r="K3842" s="110" t="s">
        <v>5</v>
      </c>
      <c r="L3842" s="33"/>
      <c r="M3842" s="33"/>
      <c r="N3842" s="33">
        <v>45492</v>
      </c>
      <c r="O3842" s="32">
        <v>6177</v>
      </c>
      <c r="P3842" s="14"/>
      <c r="Q3842" s="254"/>
      <c r="R3842" s="1"/>
      <c r="S3842" s="1308" t="s">
        <v>4979</v>
      </c>
      <c r="T3842" s="1308" t="s">
        <v>4979</v>
      </c>
      <c r="U3842" s="264"/>
      <c r="V3842" s="260">
        <v>120</v>
      </c>
      <c r="W3842" s="1136" t="e">
        <f t="shared" si="292"/>
        <v>#VALUE!</v>
      </c>
      <c r="X3842" s="1"/>
      <c r="Y3842" s="1"/>
      <c r="Z3842" s="1"/>
      <c r="AA3842" s="1"/>
      <c r="AB3842" s="1"/>
      <c r="AC3842" s="1"/>
      <c r="AD3842" s="1"/>
      <c r="AE3842" s="1"/>
      <c r="AF3842" s="1"/>
      <c r="AG3842" s="1"/>
      <c r="AH3842" s="1"/>
      <c r="AI3842" s="1"/>
      <c r="AJ3842" s="1"/>
      <c r="AK3842" s="1"/>
      <c r="AL3842" s="1"/>
      <c r="AM3842" s="1"/>
      <c r="AN3842" s="1"/>
      <c r="AO3842" s="1"/>
      <c r="AP3842" s="1"/>
      <c r="AQ3842" s="1"/>
      <c r="AR3842" s="1"/>
      <c r="AS3842" s="1"/>
      <c r="AT3842" s="1"/>
      <c r="AU3842" s="1"/>
      <c r="AV3842" s="1"/>
      <c r="AW3842" s="1"/>
      <c r="AX3842" s="1"/>
      <c r="AY3842" s="1"/>
    </row>
    <row r="3843" spans="1:51" customFormat="1" ht="18" customHeight="1">
      <c r="B3843" s="12" t="s">
        <v>302</v>
      </c>
      <c r="C3843" s="965" t="s">
        <v>4938</v>
      </c>
      <c r="D3843" s="14" t="s">
        <v>4832</v>
      </c>
      <c r="E3843" s="22" t="s">
        <v>4874</v>
      </c>
      <c r="F3843" s="107">
        <v>150</v>
      </c>
      <c r="G3843" s="22" t="s">
        <v>4924</v>
      </c>
      <c r="H3843" s="108">
        <v>11</v>
      </c>
      <c r="I3843" s="109">
        <v>1</v>
      </c>
      <c r="J3843" s="8">
        <f>H3843*I3843</f>
        <v>11</v>
      </c>
      <c r="K3843" s="39">
        <v>21.88</v>
      </c>
      <c r="L3843" s="39">
        <f>K3843*J3843</f>
        <v>240.67999999999998</v>
      </c>
      <c r="M3843" s="117" t="s">
        <v>323</v>
      </c>
      <c r="N3843" s="33">
        <v>45492</v>
      </c>
      <c r="O3843" s="32">
        <v>6177</v>
      </c>
      <c r="P3843" s="391"/>
      <c r="Q3843" s="254">
        <v>19.89</v>
      </c>
      <c r="R3843" s="323">
        <f>Q3843*J3843</f>
        <v>218.79000000000002</v>
      </c>
      <c r="S3843" s="287">
        <v>27100</v>
      </c>
      <c r="T3843" s="287">
        <v>27100</v>
      </c>
      <c r="U3843" s="264"/>
      <c r="V3843" s="260">
        <v>120</v>
      </c>
      <c r="W3843" s="1136">
        <f t="shared" si="292"/>
        <v>-9.3214503351614884</v>
      </c>
      <c r="X3843" s="1"/>
      <c r="Y3843" s="1"/>
      <c r="Z3843" s="1"/>
      <c r="AA3843" s="1"/>
      <c r="AB3843" s="1"/>
      <c r="AC3843" s="1"/>
      <c r="AD3843" s="1"/>
      <c r="AE3843" s="1"/>
      <c r="AF3843" s="1"/>
      <c r="AG3843" s="1"/>
      <c r="AH3843" s="1"/>
      <c r="AI3843" s="1"/>
      <c r="AJ3843" s="1"/>
      <c r="AK3843" s="1"/>
      <c r="AL3843" s="1"/>
      <c r="AM3843" s="1"/>
      <c r="AN3843" s="1"/>
      <c r="AO3843" s="1"/>
      <c r="AP3843" s="1"/>
      <c r="AQ3843" s="1"/>
      <c r="AR3843" s="1"/>
      <c r="AS3843" s="1"/>
      <c r="AT3843" s="1"/>
      <c r="AU3843" s="1"/>
      <c r="AV3843" s="1"/>
      <c r="AW3843" s="1"/>
      <c r="AX3843" s="1"/>
      <c r="AY3843" s="1"/>
    </row>
    <row r="3844" spans="1:51" s="7" customFormat="1" ht="18" customHeight="1">
      <c r="B3844" s="12" t="s">
        <v>306</v>
      </c>
      <c r="C3844" s="965" t="s">
        <v>4938</v>
      </c>
      <c r="D3844" s="14" t="s">
        <v>4832</v>
      </c>
      <c r="E3844" s="22"/>
      <c r="F3844" s="102"/>
      <c r="G3844" s="22" t="s">
        <v>4329</v>
      </c>
      <c r="H3844" s="8"/>
      <c r="I3844" s="35"/>
      <c r="J3844" s="38">
        <v>1</v>
      </c>
      <c r="K3844" s="39">
        <v>15</v>
      </c>
      <c r="L3844" s="39">
        <f>K3844*J3844</f>
        <v>15</v>
      </c>
      <c r="M3844" s="91"/>
      <c r="N3844" s="33">
        <v>45492</v>
      </c>
      <c r="O3844" s="32">
        <v>6177</v>
      </c>
      <c r="P3844" s="6" t="s">
        <v>3</v>
      </c>
      <c r="Q3844" s="39">
        <v>15</v>
      </c>
      <c r="R3844" s="322">
        <f>Q3844*J3844</f>
        <v>15</v>
      </c>
      <c r="U3844" s="21"/>
      <c r="V3844" s="260">
        <v>120</v>
      </c>
      <c r="W3844" s="1136">
        <f t="shared" si="292"/>
        <v>1</v>
      </c>
    </row>
    <row r="3845" spans="1:51" s="7" customFormat="1" ht="18" customHeight="1">
      <c r="B3845" s="12" t="s">
        <v>306</v>
      </c>
      <c r="C3845" s="965" t="s">
        <v>4938</v>
      </c>
      <c r="D3845" s="14" t="s">
        <v>4832</v>
      </c>
      <c r="E3845" s="49"/>
      <c r="F3845" s="102"/>
      <c r="G3845" s="22" t="s">
        <v>3034</v>
      </c>
      <c r="H3845" s="8"/>
      <c r="I3845" s="35"/>
      <c r="J3845" s="38">
        <v>1</v>
      </c>
      <c r="K3845" s="39">
        <v>320</v>
      </c>
      <c r="L3845" s="39">
        <f>K3845*J3845</f>
        <v>320</v>
      </c>
      <c r="M3845" s="91"/>
      <c r="N3845" s="33">
        <v>45492</v>
      </c>
      <c r="O3845" s="32">
        <v>6177</v>
      </c>
      <c r="P3845" s="391"/>
      <c r="Q3845" s="39">
        <v>57.77</v>
      </c>
      <c r="R3845" s="322">
        <f>Q3845*J3845</f>
        <v>57.77</v>
      </c>
      <c r="U3845" s="21"/>
      <c r="V3845" s="260">
        <v>120</v>
      </c>
      <c r="W3845" s="1136">
        <f t="shared" si="292"/>
        <v>1</v>
      </c>
    </row>
    <row r="3846" spans="1:51" s="7" customFormat="1" ht="18" customHeight="1">
      <c r="B3846" s="12"/>
      <c r="C3846" s="965" t="s">
        <v>4938</v>
      </c>
      <c r="D3846" s="14" t="s">
        <v>4832</v>
      </c>
      <c r="E3846" s="49"/>
      <c r="F3846" s="102"/>
      <c r="G3846" s="22" t="s">
        <v>316</v>
      </c>
      <c r="H3846" s="8"/>
      <c r="I3846" s="35"/>
      <c r="J3846" s="38">
        <v>1</v>
      </c>
      <c r="K3846" s="39">
        <v>40</v>
      </c>
      <c r="L3846" s="39">
        <f>K3846*J3846</f>
        <v>40</v>
      </c>
      <c r="M3846" s="91"/>
      <c r="N3846" s="33">
        <v>45492</v>
      </c>
      <c r="O3846" s="32">
        <v>6177</v>
      </c>
      <c r="P3846" s="6" t="s">
        <v>3</v>
      </c>
      <c r="Q3846" s="39">
        <v>40</v>
      </c>
      <c r="R3846" s="322">
        <f>Q3846*J3846</f>
        <v>40</v>
      </c>
      <c r="S3846" s="7">
        <v>0</v>
      </c>
      <c r="T3846" s="7">
        <v>0</v>
      </c>
      <c r="U3846" s="21"/>
      <c r="V3846" s="260">
        <v>120</v>
      </c>
      <c r="W3846" s="1136">
        <f t="shared" si="292"/>
        <v>1</v>
      </c>
    </row>
    <row r="3847" spans="1:51" s="191" customFormat="1" ht="18" customHeight="1">
      <c r="B3847" s="190"/>
      <c r="C3847" s="966" t="s">
        <v>4938</v>
      </c>
      <c r="D3847" s="180" t="s">
        <v>4832</v>
      </c>
      <c r="E3847" s="181"/>
      <c r="F3847" s="622"/>
      <c r="G3847" s="182" t="s">
        <v>250</v>
      </c>
      <c r="H3847" s="184" t="s">
        <v>374</v>
      </c>
      <c r="I3847" s="185"/>
      <c r="J3847" s="183"/>
      <c r="K3847" s="203">
        <v>127</v>
      </c>
      <c r="L3847" s="203">
        <v>127</v>
      </c>
      <c r="M3847" s="187"/>
      <c r="N3847" s="187">
        <v>45492</v>
      </c>
      <c r="O3847" s="186">
        <v>6177</v>
      </c>
      <c r="P3847" s="179"/>
      <c r="Q3847" s="203">
        <v>127</v>
      </c>
      <c r="R3847" s="203">
        <v>127</v>
      </c>
      <c r="S3847" s="1135">
        <v>9258</v>
      </c>
      <c r="T3847" s="1135">
        <v>9258</v>
      </c>
      <c r="U3847" s="335"/>
      <c r="V3847" s="260">
        <v>120</v>
      </c>
      <c r="W3847" s="1136">
        <f t="shared" si="292"/>
        <v>0.39251968503937007</v>
      </c>
    </row>
    <row r="3848" spans="1:51" s="7" customFormat="1" ht="18" customHeight="1">
      <c r="B3848" s="12"/>
      <c r="C3848" s="6" t="s">
        <v>4932</v>
      </c>
      <c r="D3848" s="14" t="s">
        <v>2004</v>
      </c>
      <c r="E3848" s="17" t="s">
        <v>160</v>
      </c>
      <c r="F3848" s="319"/>
      <c r="G3848" s="299"/>
      <c r="H3848" s="300" t="s">
        <v>355</v>
      </c>
      <c r="I3848" s="320"/>
      <c r="J3848" s="321"/>
      <c r="K3848" s="110" t="s">
        <v>101</v>
      </c>
      <c r="L3848" s="139"/>
      <c r="M3848" s="33"/>
      <c r="N3848" s="33">
        <v>45475</v>
      </c>
      <c r="O3848" s="32">
        <v>6257</v>
      </c>
      <c r="P3848" s="6"/>
      <c r="Q3848" s="322"/>
      <c r="U3848" s="39"/>
      <c r="V3848" s="260">
        <v>120</v>
      </c>
      <c r="W3848" s="1136" t="e">
        <f t="shared" si="292"/>
        <v>#VALUE!</v>
      </c>
    </row>
    <row r="3849" spans="1:51" s="7" customFormat="1" ht="18" customHeight="1">
      <c r="B3849" s="12" t="s">
        <v>300</v>
      </c>
      <c r="C3849" s="6" t="s">
        <v>4932</v>
      </c>
      <c r="D3849" s="14" t="s">
        <v>2004</v>
      </c>
      <c r="E3849" s="22">
        <v>14552</v>
      </c>
      <c r="F3849" s="24">
        <v>25</v>
      </c>
      <c r="G3849" s="22" t="s">
        <v>12</v>
      </c>
      <c r="H3849" s="108">
        <v>30</v>
      </c>
      <c r="I3849" s="109">
        <v>7</v>
      </c>
      <c r="J3849" s="8">
        <f>H3849*I3849</f>
        <v>210</v>
      </c>
      <c r="K3849" s="39">
        <v>1.0900000000000001</v>
      </c>
      <c r="L3849" s="39">
        <f>K3849*J3849</f>
        <v>228.9</v>
      </c>
      <c r="M3849" s="117" t="s">
        <v>323</v>
      </c>
      <c r="N3849" s="33">
        <v>45475</v>
      </c>
      <c r="O3849" s="32">
        <v>6257</v>
      </c>
      <c r="P3849" s="391">
        <f>ROUNDUP(S3849/V3849/VLOOKUP(B3849,$C$2:$F$6,3,FALSE),2)</f>
        <v>0.86</v>
      </c>
      <c r="Q3849" s="358">
        <v>0.86</v>
      </c>
      <c r="R3849" s="322">
        <f>Q3849*J3849</f>
        <v>180.6</v>
      </c>
      <c r="S3849" s="7">
        <v>72</v>
      </c>
      <c r="T3849" s="7">
        <f>S3849*J3849</f>
        <v>15120</v>
      </c>
      <c r="U3849" s="267"/>
      <c r="V3849" s="260">
        <v>120</v>
      </c>
      <c r="W3849" s="1136">
        <f t="shared" si="292"/>
        <v>0.44954128440366975</v>
      </c>
    </row>
    <row r="3850" spans="1:51" s="7" customFormat="1" ht="18" customHeight="1">
      <c r="B3850" s="12"/>
      <c r="C3850" s="6" t="s">
        <v>4932</v>
      </c>
      <c r="D3850" s="14" t="s">
        <v>2004</v>
      </c>
      <c r="E3850" s="82"/>
      <c r="F3850" s="102"/>
      <c r="G3850" s="22" t="s">
        <v>316</v>
      </c>
      <c r="H3850" s="8"/>
      <c r="I3850" s="35"/>
      <c r="J3850" s="38">
        <v>1</v>
      </c>
      <c r="K3850" s="39">
        <v>12</v>
      </c>
      <c r="L3850" s="39">
        <f>K3850*J3850</f>
        <v>12</v>
      </c>
      <c r="M3850" s="91"/>
      <c r="N3850" s="33">
        <v>45475</v>
      </c>
      <c r="O3850" s="32">
        <v>6257</v>
      </c>
      <c r="P3850" s="6"/>
      <c r="Q3850" s="322">
        <v>12</v>
      </c>
      <c r="R3850" s="322">
        <v>12</v>
      </c>
      <c r="S3850" s="7">
        <v>1100</v>
      </c>
      <c r="T3850" s="7">
        <f>S3850*J3850</f>
        <v>1100</v>
      </c>
      <c r="U3850" s="21"/>
      <c r="V3850" s="260">
        <v>120</v>
      </c>
      <c r="W3850" s="1136">
        <f t="shared" si="292"/>
        <v>0.2361111111111111</v>
      </c>
    </row>
    <row r="3851" spans="1:51" s="191" customFormat="1" ht="18" customHeight="1">
      <c r="B3851" s="190"/>
      <c r="C3851" s="179" t="s">
        <v>4932</v>
      </c>
      <c r="D3851" s="180" t="s">
        <v>2004</v>
      </c>
      <c r="E3851" s="181"/>
      <c r="F3851" s="622"/>
      <c r="G3851" s="182" t="s">
        <v>250</v>
      </c>
      <c r="H3851" s="184" t="s">
        <v>251</v>
      </c>
      <c r="I3851" s="185"/>
      <c r="J3851" s="183"/>
      <c r="K3851" s="192">
        <v>0</v>
      </c>
      <c r="L3851" s="188"/>
      <c r="M3851" s="187"/>
      <c r="N3851" s="187">
        <v>45475</v>
      </c>
      <c r="O3851" s="186">
        <v>6257</v>
      </c>
      <c r="P3851" s="179"/>
      <c r="Q3851" s="725">
        <v>0</v>
      </c>
      <c r="S3851" s="197">
        <v>0</v>
      </c>
      <c r="T3851" s="198">
        <v>0</v>
      </c>
      <c r="U3851" s="335"/>
      <c r="V3851" s="260">
        <v>120</v>
      </c>
      <c r="W3851" s="1136" t="e">
        <f t="shared" si="292"/>
        <v>#DIV/0!</v>
      </c>
    </row>
    <row r="3852" spans="1:51" s="7" customFormat="1" ht="18" customHeight="1">
      <c r="B3852" s="12"/>
      <c r="C3852" s="6" t="s">
        <v>4931</v>
      </c>
      <c r="D3852" s="14" t="s">
        <v>2171</v>
      </c>
      <c r="E3852" s="19" t="s">
        <v>10</v>
      </c>
      <c r="F3852" s="107"/>
      <c r="G3852" s="1256"/>
      <c r="H3852" s="108"/>
      <c r="I3852" s="109"/>
      <c r="J3852" s="108"/>
      <c r="K3852" s="29" t="s">
        <v>5</v>
      </c>
      <c r="L3852" s="139"/>
      <c r="M3852" s="33"/>
      <c r="N3852" s="33">
        <v>45490</v>
      </c>
      <c r="O3852" s="32">
        <v>6254</v>
      </c>
      <c r="P3852" s="14"/>
      <c r="Q3852" s="322"/>
      <c r="U3852" s="14"/>
      <c r="V3852" s="260">
        <v>120</v>
      </c>
      <c r="W3852" s="1136" t="e">
        <f t="shared" si="292"/>
        <v>#VALUE!</v>
      </c>
    </row>
    <row r="3853" spans="1:51" s="7" customFormat="1" ht="18" customHeight="1">
      <c r="B3853" s="12" t="s">
        <v>302</v>
      </c>
      <c r="C3853" s="6" t="s">
        <v>4931</v>
      </c>
      <c r="D3853" s="14" t="s">
        <v>2171</v>
      </c>
      <c r="E3853" s="22" t="s">
        <v>190</v>
      </c>
      <c r="F3853" s="107">
        <v>160</v>
      </c>
      <c r="G3853" s="22" t="s">
        <v>4925</v>
      </c>
      <c r="H3853" s="1255">
        <v>50</v>
      </c>
      <c r="I3853" s="109">
        <v>2</v>
      </c>
      <c r="J3853" s="8">
        <f t="shared" ref="J3853:J3859" si="293">I3853*H3853</f>
        <v>100</v>
      </c>
      <c r="K3853" s="39">
        <v>5.56</v>
      </c>
      <c r="L3853" s="39">
        <f t="shared" ref="L3853:L3860" si="294">K3853*J3853</f>
        <v>556</v>
      </c>
      <c r="M3853" s="117" t="s">
        <v>322</v>
      </c>
      <c r="N3853" s="33">
        <v>45490</v>
      </c>
      <c r="O3853" s="32">
        <v>6254</v>
      </c>
      <c r="P3853" s="391">
        <f t="shared" ref="P3853:P3859" si="295">ROUNDUP(S3853/V3853/VLOOKUP(B3853,$C$2:$F$6,3,FALSE),2)</f>
        <v>3.7899999999999996</v>
      </c>
      <c r="Q3853" s="322">
        <v>3.79</v>
      </c>
      <c r="R3853" s="322">
        <f t="shared" ref="R3853:R3860" si="296">Q3853*J3853</f>
        <v>379</v>
      </c>
      <c r="S3853" s="7">
        <v>400</v>
      </c>
      <c r="T3853" s="7">
        <f t="shared" ref="T3853:T3860" si="297">S3853*J3853</f>
        <v>40000</v>
      </c>
      <c r="U3853" s="21"/>
      <c r="V3853" s="260">
        <v>120</v>
      </c>
      <c r="W3853" s="1136">
        <f t="shared" si="292"/>
        <v>0.40047961630695439</v>
      </c>
    </row>
    <row r="3854" spans="1:51" s="7" customFormat="1" ht="18" customHeight="1">
      <c r="B3854" s="12" t="s">
        <v>302</v>
      </c>
      <c r="C3854" s="6" t="s">
        <v>4931</v>
      </c>
      <c r="D3854" s="14" t="s">
        <v>2171</v>
      </c>
      <c r="E3854" s="22" t="s">
        <v>190</v>
      </c>
      <c r="F3854" s="107">
        <v>160</v>
      </c>
      <c r="G3854" s="1257" t="s">
        <v>4926</v>
      </c>
      <c r="H3854" s="1255">
        <v>50</v>
      </c>
      <c r="I3854" s="109">
        <v>1</v>
      </c>
      <c r="J3854" s="8">
        <f t="shared" si="293"/>
        <v>50</v>
      </c>
      <c r="K3854" s="39">
        <v>5.56</v>
      </c>
      <c r="L3854" s="39">
        <f t="shared" si="294"/>
        <v>278</v>
      </c>
      <c r="M3854" s="117" t="s">
        <v>322</v>
      </c>
      <c r="N3854" s="33">
        <v>45490</v>
      </c>
      <c r="O3854" s="32">
        <v>6254</v>
      </c>
      <c r="P3854" s="391">
        <f t="shared" si="295"/>
        <v>3.7899999999999996</v>
      </c>
      <c r="Q3854" s="322">
        <v>3.79</v>
      </c>
      <c r="R3854" s="322">
        <f t="shared" si="296"/>
        <v>189.5</v>
      </c>
      <c r="S3854" s="7">
        <v>400</v>
      </c>
      <c r="T3854" s="7">
        <f t="shared" si="297"/>
        <v>20000</v>
      </c>
      <c r="U3854" s="21"/>
      <c r="V3854" s="260">
        <v>120</v>
      </c>
      <c r="W3854" s="1136">
        <f t="shared" si="292"/>
        <v>0.40047961630695439</v>
      </c>
    </row>
    <row r="3855" spans="1:51" s="7" customFormat="1" ht="18" customHeight="1">
      <c r="B3855" s="12" t="s">
        <v>302</v>
      </c>
      <c r="C3855" s="6" t="s">
        <v>4931</v>
      </c>
      <c r="D3855" s="14" t="s">
        <v>2171</v>
      </c>
      <c r="E3855" s="22" t="s">
        <v>207</v>
      </c>
      <c r="F3855" s="107">
        <v>152</v>
      </c>
      <c r="G3855" s="22" t="s">
        <v>4927</v>
      </c>
      <c r="H3855" s="1255">
        <v>50</v>
      </c>
      <c r="I3855" s="109">
        <v>3</v>
      </c>
      <c r="J3855" s="8">
        <f t="shared" si="293"/>
        <v>150</v>
      </c>
      <c r="K3855" s="39">
        <v>4.7300000000000004</v>
      </c>
      <c r="L3855" s="39">
        <f t="shared" si="294"/>
        <v>709.50000000000011</v>
      </c>
      <c r="M3855" s="403" t="s">
        <v>322</v>
      </c>
      <c r="N3855" s="33">
        <v>45490</v>
      </c>
      <c r="O3855" s="32">
        <v>6254</v>
      </c>
      <c r="P3855" s="391">
        <f t="shared" si="295"/>
        <v>3.2199999999999998</v>
      </c>
      <c r="Q3855" s="322">
        <v>3.22</v>
      </c>
      <c r="R3855" s="322">
        <f t="shared" si="296"/>
        <v>483.00000000000006</v>
      </c>
      <c r="S3855" s="7">
        <v>340</v>
      </c>
      <c r="T3855" s="7">
        <f t="shared" si="297"/>
        <v>51000</v>
      </c>
      <c r="U3855" s="21"/>
      <c r="V3855" s="260">
        <v>120</v>
      </c>
      <c r="W3855" s="1136">
        <f t="shared" si="292"/>
        <v>0.4009866102889359</v>
      </c>
    </row>
    <row r="3856" spans="1:51" s="7" customFormat="1" ht="18" customHeight="1">
      <c r="B3856" s="12" t="s">
        <v>302</v>
      </c>
      <c r="C3856" s="6" t="s">
        <v>4931</v>
      </c>
      <c r="D3856" s="14" t="s">
        <v>2171</v>
      </c>
      <c r="E3856" s="22" t="s">
        <v>207</v>
      </c>
      <c r="F3856" s="107">
        <v>152</v>
      </c>
      <c r="G3856" s="1257" t="s">
        <v>4928</v>
      </c>
      <c r="H3856" s="1255">
        <v>50</v>
      </c>
      <c r="I3856" s="109">
        <v>4</v>
      </c>
      <c r="J3856" s="8">
        <f t="shared" si="293"/>
        <v>200</v>
      </c>
      <c r="K3856" s="39">
        <v>4.7300000000000004</v>
      </c>
      <c r="L3856" s="39">
        <f t="shared" si="294"/>
        <v>946.00000000000011</v>
      </c>
      <c r="M3856" s="403" t="s">
        <v>322</v>
      </c>
      <c r="N3856" s="33">
        <v>45490</v>
      </c>
      <c r="O3856" s="32">
        <v>6254</v>
      </c>
      <c r="P3856" s="391">
        <f t="shared" si="295"/>
        <v>3.2199999999999998</v>
      </c>
      <c r="Q3856" s="322">
        <v>3.22</v>
      </c>
      <c r="R3856" s="322">
        <f t="shared" si="296"/>
        <v>644</v>
      </c>
      <c r="S3856" s="7">
        <v>340</v>
      </c>
      <c r="T3856" s="7">
        <f t="shared" si="297"/>
        <v>68000</v>
      </c>
      <c r="U3856" s="21"/>
      <c r="V3856" s="260">
        <v>120</v>
      </c>
      <c r="W3856" s="1136">
        <f t="shared" si="292"/>
        <v>0.4009866102889359</v>
      </c>
    </row>
    <row r="3857" spans="1:51" s="7" customFormat="1" ht="18" customHeight="1">
      <c r="B3857" s="12" t="s">
        <v>302</v>
      </c>
      <c r="C3857" s="6" t="s">
        <v>4931</v>
      </c>
      <c r="D3857" s="14" t="s">
        <v>2171</v>
      </c>
      <c r="E3857" s="22" t="s">
        <v>207</v>
      </c>
      <c r="F3857" s="107">
        <v>152</v>
      </c>
      <c r="G3857" s="1257" t="s">
        <v>4925</v>
      </c>
      <c r="H3857" s="1255">
        <v>50</v>
      </c>
      <c r="I3857" s="109">
        <v>4</v>
      </c>
      <c r="J3857" s="8">
        <f t="shared" si="293"/>
        <v>200</v>
      </c>
      <c r="K3857" s="39">
        <v>4.7300000000000004</v>
      </c>
      <c r="L3857" s="39">
        <f t="shared" si="294"/>
        <v>946.00000000000011</v>
      </c>
      <c r="M3857" s="403" t="s">
        <v>322</v>
      </c>
      <c r="N3857" s="33">
        <v>45490</v>
      </c>
      <c r="O3857" s="32">
        <v>6254</v>
      </c>
      <c r="P3857" s="391">
        <f t="shared" si="295"/>
        <v>3.2199999999999998</v>
      </c>
      <c r="Q3857" s="322">
        <v>3.22</v>
      </c>
      <c r="R3857" s="322">
        <f t="shared" si="296"/>
        <v>644</v>
      </c>
      <c r="S3857" s="7">
        <v>340</v>
      </c>
      <c r="T3857" s="7">
        <f t="shared" si="297"/>
        <v>68000</v>
      </c>
      <c r="U3857" s="21"/>
      <c r="V3857" s="260">
        <v>120</v>
      </c>
      <c r="W3857" s="1136">
        <f t="shared" si="292"/>
        <v>0.4009866102889359</v>
      </c>
    </row>
    <row r="3858" spans="1:51" s="7" customFormat="1" ht="18" customHeight="1">
      <c r="B3858" s="12" t="s">
        <v>302</v>
      </c>
      <c r="C3858" s="6" t="s">
        <v>4931</v>
      </c>
      <c r="D3858" s="14" t="s">
        <v>2171</v>
      </c>
      <c r="E3858" s="22" t="s">
        <v>207</v>
      </c>
      <c r="F3858" s="107">
        <v>152</v>
      </c>
      <c r="G3858" s="1257" t="s">
        <v>4929</v>
      </c>
      <c r="H3858" s="1255">
        <v>50</v>
      </c>
      <c r="I3858" s="109">
        <v>1</v>
      </c>
      <c r="J3858" s="8">
        <f t="shared" si="293"/>
        <v>50</v>
      </c>
      <c r="K3858" s="39">
        <v>4.7300000000000004</v>
      </c>
      <c r="L3858" s="39">
        <f t="shared" si="294"/>
        <v>236.50000000000003</v>
      </c>
      <c r="M3858" s="403" t="s">
        <v>322</v>
      </c>
      <c r="N3858" s="33">
        <v>45490</v>
      </c>
      <c r="O3858" s="32">
        <v>6254</v>
      </c>
      <c r="P3858" s="391">
        <f t="shared" si="295"/>
        <v>3.2199999999999998</v>
      </c>
      <c r="Q3858" s="322">
        <v>3.22</v>
      </c>
      <c r="R3858" s="322">
        <f t="shared" si="296"/>
        <v>161</v>
      </c>
      <c r="S3858" s="7">
        <v>340</v>
      </c>
      <c r="T3858" s="7">
        <f t="shared" si="297"/>
        <v>17000</v>
      </c>
      <c r="U3858" s="21"/>
      <c r="V3858" s="260">
        <v>120</v>
      </c>
      <c r="W3858" s="1136">
        <f t="shared" si="292"/>
        <v>0.4009866102889359</v>
      </c>
    </row>
    <row r="3859" spans="1:51" s="7" customFormat="1" ht="18" customHeight="1">
      <c r="B3859" s="12" t="s">
        <v>302</v>
      </c>
      <c r="C3859" s="6" t="s">
        <v>4931</v>
      </c>
      <c r="D3859" s="14" t="s">
        <v>2171</v>
      </c>
      <c r="E3859" s="22" t="s">
        <v>207</v>
      </c>
      <c r="F3859" s="107">
        <v>152</v>
      </c>
      <c r="G3859" s="1257" t="s">
        <v>4930</v>
      </c>
      <c r="H3859" s="1255">
        <v>50</v>
      </c>
      <c r="I3859" s="109">
        <v>1</v>
      </c>
      <c r="J3859" s="8">
        <f t="shared" si="293"/>
        <v>50</v>
      </c>
      <c r="K3859" s="39">
        <v>4.7300000000000004</v>
      </c>
      <c r="L3859" s="39">
        <f t="shared" si="294"/>
        <v>236.50000000000003</v>
      </c>
      <c r="M3859" s="403" t="s">
        <v>322</v>
      </c>
      <c r="N3859" s="33">
        <v>45490</v>
      </c>
      <c r="O3859" s="32">
        <v>6254</v>
      </c>
      <c r="P3859" s="391">
        <f t="shared" si="295"/>
        <v>3.2199999999999998</v>
      </c>
      <c r="Q3859" s="322">
        <v>3.22</v>
      </c>
      <c r="R3859" s="322">
        <f t="shared" si="296"/>
        <v>161</v>
      </c>
      <c r="S3859" s="7">
        <v>340</v>
      </c>
      <c r="T3859" s="7">
        <f t="shared" si="297"/>
        <v>17000</v>
      </c>
      <c r="U3859" s="21"/>
      <c r="V3859" s="260">
        <v>120</v>
      </c>
      <c r="W3859" s="1136">
        <f t="shared" si="292"/>
        <v>0.4009866102889359</v>
      </c>
    </row>
    <row r="3860" spans="1:51" s="7" customFormat="1" ht="18" customHeight="1">
      <c r="B3860" s="12"/>
      <c r="C3860" s="6" t="s">
        <v>4931</v>
      </c>
      <c r="D3860" s="14" t="s">
        <v>2171</v>
      </c>
      <c r="E3860" s="22"/>
      <c r="F3860" s="102"/>
      <c r="G3860" s="22" t="s">
        <v>316</v>
      </c>
      <c r="H3860" s="8"/>
      <c r="I3860" s="35"/>
      <c r="J3860" s="38">
        <v>1</v>
      </c>
      <c r="K3860" s="39">
        <v>20</v>
      </c>
      <c r="L3860" s="39">
        <f t="shared" si="294"/>
        <v>20</v>
      </c>
      <c r="M3860" s="91"/>
      <c r="N3860" s="33">
        <v>45490</v>
      </c>
      <c r="O3860" s="32">
        <v>6254</v>
      </c>
      <c r="P3860" s="6" t="s">
        <v>3</v>
      </c>
      <c r="Q3860" s="39">
        <v>20</v>
      </c>
      <c r="R3860" s="322">
        <f t="shared" si="296"/>
        <v>20</v>
      </c>
      <c r="S3860" s="7">
        <v>1800</v>
      </c>
      <c r="T3860" s="7">
        <f t="shared" si="297"/>
        <v>1800</v>
      </c>
      <c r="U3860" s="21"/>
      <c r="V3860" s="260">
        <v>120</v>
      </c>
      <c r="W3860" s="1136">
        <f t="shared" si="292"/>
        <v>0.25</v>
      </c>
    </row>
    <row r="3861" spans="1:51" s="191" customFormat="1" ht="15.75">
      <c r="B3861" s="190"/>
      <c r="C3861" s="179" t="s">
        <v>4931</v>
      </c>
      <c r="D3861" s="180" t="s">
        <v>2171</v>
      </c>
      <c r="E3861" s="181"/>
      <c r="F3861" s="182"/>
      <c r="G3861" s="309" t="s">
        <v>324</v>
      </c>
      <c r="H3861" s="184" t="s">
        <v>252</v>
      </c>
      <c r="I3861" s="185"/>
      <c r="J3861" s="183"/>
      <c r="K3861" s="203">
        <v>1042</v>
      </c>
      <c r="L3861" s="203">
        <v>1042</v>
      </c>
      <c r="M3861" s="187"/>
      <c r="N3861" s="187">
        <v>45490</v>
      </c>
      <c r="O3861" s="186">
        <v>6254</v>
      </c>
      <c r="P3861" s="179"/>
      <c r="Q3861" s="203">
        <v>1042</v>
      </c>
      <c r="R3861" s="203">
        <v>1042</v>
      </c>
      <c r="S3861" s="1201">
        <v>127793</v>
      </c>
      <c r="T3861" s="1201">
        <v>127793</v>
      </c>
      <c r="U3861" s="271"/>
      <c r="V3861" s="260">
        <v>120</v>
      </c>
      <c r="W3861" s="1136">
        <f t="shared" si="292"/>
        <v>-2.201695457453615E-2</v>
      </c>
    </row>
    <row r="3862" spans="1:51" s="7" customFormat="1" ht="18" customHeight="1">
      <c r="B3862" s="12"/>
      <c r="C3862" s="965" t="s">
        <v>4933</v>
      </c>
      <c r="D3862" s="14" t="s">
        <v>3112</v>
      </c>
      <c r="E3862" s="19" t="s">
        <v>4645</v>
      </c>
      <c r="F3862" s="22"/>
      <c r="G3862" s="37"/>
      <c r="H3862" s="108"/>
      <c r="I3862" s="108"/>
      <c r="J3862" s="108"/>
      <c r="K3862" s="110" t="s">
        <v>5</v>
      </c>
      <c r="L3862" s="33"/>
      <c r="M3862" s="33"/>
      <c r="N3862" s="33">
        <v>45475</v>
      </c>
      <c r="O3862" s="32">
        <v>6258</v>
      </c>
      <c r="P3862" s="6"/>
      <c r="Q3862" s="223"/>
      <c r="S3862" s="1174" t="s">
        <v>330</v>
      </c>
      <c r="T3862" s="92"/>
      <c r="U3862" s="266"/>
      <c r="V3862" s="260">
        <v>120</v>
      </c>
    </row>
    <row r="3863" spans="1:51" s="7" customFormat="1" ht="15.95" customHeight="1">
      <c r="B3863" s="12" t="s">
        <v>300</v>
      </c>
      <c r="C3863" s="965" t="s">
        <v>4933</v>
      </c>
      <c r="D3863" s="14" t="s">
        <v>3112</v>
      </c>
      <c r="E3863" s="22" t="s">
        <v>4934</v>
      </c>
      <c r="F3863" s="37">
        <v>9</v>
      </c>
      <c r="G3863" s="37" t="s">
        <v>277</v>
      </c>
      <c r="H3863" s="60">
        <v>30</v>
      </c>
      <c r="I3863" s="61">
        <v>12</v>
      </c>
      <c r="J3863" s="60">
        <f>H3863*I3863</f>
        <v>360</v>
      </c>
      <c r="K3863" s="39">
        <v>0.36</v>
      </c>
      <c r="L3863" s="39">
        <f>K3863*J3863</f>
        <v>129.6</v>
      </c>
      <c r="M3863" s="117" t="s">
        <v>323</v>
      </c>
      <c r="N3863" s="33">
        <v>45475</v>
      </c>
      <c r="O3863" s="32">
        <v>6258</v>
      </c>
      <c r="P3863" s="391">
        <f>ROUNDUP(S3863/V3863/VLOOKUP(B3863,$C$2:$F$6,3,FALSE),2)</f>
        <v>0.21000000000000002</v>
      </c>
      <c r="Q3863" s="254">
        <v>0.21</v>
      </c>
      <c r="R3863" s="323">
        <f>Q3863*J3863</f>
        <v>75.599999999999994</v>
      </c>
      <c r="S3863" s="1200">
        <v>17.600000000000001</v>
      </c>
      <c r="T3863" s="92">
        <f>S3863*J3863</f>
        <v>6336.0000000000009</v>
      </c>
      <c r="U3863" s="1200">
        <v>19.366</v>
      </c>
      <c r="V3863" s="260">
        <v>120</v>
      </c>
      <c r="W3863" s="1136">
        <f t="shared" ref="W3863:W3904" si="298">(((K3863*V3863)-S3863)/(K3863*V3863))</f>
        <v>0.59259259259259256</v>
      </c>
    </row>
    <row r="3864" spans="1:51" s="7" customFormat="1" ht="15.95" customHeight="1">
      <c r="B3864" s="12" t="s">
        <v>300</v>
      </c>
      <c r="C3864" s="965" t="s">
        <v>4933</v>
      </c>
      <c r="D3864" s="14" t="s">
        <v>3112</v>
      </c>
      <c r="E3864" s="22" t="s">
        <v>4934</v>
      </c>
      <c r="F3864" s="37">
        <v>12</v>
      </c>
      <c r="G3864" s="37" t="s">
        <v>277</v>
      </c>
      <c r="H3864" s="60">
        <v>30</v>
      </c>
      <c r="I3864" s="61">
        <v>4</v>
      </c>
      <c r="J3864" s="60">
        <f>H3864*I3864</f>
        <v>120</v>
      </c>
      <c r="K3864" s="39">
        <v>0.41</v>
      </c>
      <c r="L3864" s="39">
        <f>K3864*J3864</f>
        <v>49.199999999999996</v>
      </c>
      <c r="M3864" s="117" t="s">
        <v>323</v>
      </c>
      <c r="N3864" s="33">
        <v>45475</v>
      </c>
      <c r="O3864" s="32">
        <v>6258</v>
      </c>
      <c r="P3864" s="391">
        <f>ROUNDUP(S3864/V3864/VLOOKUP(B3864,$C$2:$F$6,3,FALSE),2)</f>
        <v>0.24000000000000002</v>
      </c>
      <c r="Q3864" s="254">
        <v>0.24</v>
      </c>
      <c r="R3864" s="323">
        <f>Q3864*J3864</f>
        <v>28.799999999999997</v>
      </c>
      <c r="S3864" s="1200">
        <v>20.03</v>
      </c>
      <c r="T3864" s="92">
        <f>S3864*J3864</f>
        <v>2403.6000000000004</v>
      </c>
      <c r="U3864" s="1200">
        <v>22.033000000000001</v>
      </c>
      <c r="V3864" s="260">
        <v>120</v>
      </c>
      <c r="W3864" s="1136">
        <f t="shared" si="298"/>
        <v>0.59288617886178852</v>
      </c>
    </row>
    <row r="3865" spans="1:51" s="7" customFormat="1" ht="15.95" customHeight="1">
      <c r="B3865" s="12" t="s">
        <v>300</v>
      </c>
      <c r="C3865" s="965" t="s">
        <v>4933</v>
      </c>
      <c r="D3865" s="14" t="s">
        <v>3112</v>
      </c>
      <c r="E3865" s="22" t="s">
        <v>4934</v>
      </c>
      <c r="F3865" s="37">
        <v>25</v>
      </c>
      <c r="G3865" s="37" t="s">
        <v>277</v>
      </c>
      <c r="H3865" s="60">
        <v>30</v>
      </c>
      <c r="I3865" s="61">
        <v>4</v>
      </c>
      <c r="J3865" s="60">
        <f>H3865*I3865</f>
        <v>120</v>
      </c>
      <c r="K3865" s="39">
        <v>0.72</v>
      </c>
      <c r="L3865" s="39">
        <f>K3865*J3865</f>
        <v>86.399999999999991</v>
      </c>
      <c r="M3865" s="117" t="s">
        <v>323</v>
      </c>
      <c r="N3865" s="33">
        <v>45475</v>
      </c>
      <c r="O3865" s="32">
        <v>6258</v>
      </c>
      <c r="P3865" s="391">
        <f>ROUNDUP(S3865/V3865/VLOOKUP(B3865,$C$2:$F$6,3,FALSE),2)</f>
        <v>0.42</v>
      </c>
      <c r="Q3865" s="254">
        <v>0.42</v>
      </c>
      <c r="R3865" s="323">
        <f>Q3865*J3865</f>
        <v>50.4</v>
      </c>
      <c r="S3865" s="1200">
        <v>35.17</v>
      </c>
      <c r="T3865" s="92">
        <f>S3865*J3865</f>
        <v>4220.4000000000005</v>
      </c>
      <c r="U3865" s="1200">
        <v>38.700000000000003</v>
      </c>
      <c r="V3865" s="260">
        <v>120</v>
      </c>
      <c r="W3865" s="1136">
        <f t="shared" si="298"/>
        <v>0.59293981481481473</v>
      </c>
    </row>
    <row r="3866" spans="1:51" s="7" customFormat="1" ht="18" customHeight="1">
      <c r="B3866" s="12"/>
      <c r="C3866" s="965" t="s">
        <v>4933</v>
      </c>
      <c r="D3866" s="14" t="s">
        <v>3112</v>
      </c>
      <c r="E3866" s="19" t="s">
        <v>4694</v>
      </c>
      <c r="F3866" s="107"/>
      <c r="G3866" s="22"/>
      <c r="H3866" s="108"/>
      <c r="I3866" s="109"/>
      <c r="J3866" s="108"/>
      <c r="K3866" s="29" t="s">
        <v>5</v>
      </c>
      <c r="L3866" s="39"/>
      <c r="M3866" s="91"/>
      <c r="N3866" s="33">
        <v>45475</v>
      </c>
      <c r="O3866" s="32">
        <v>6258</v>
      </c>
      <c r="P3866" s="14"/>
      <c r="Q3866" s="322"/>
      <c r="U3866" s="14"/>
      <c r="V3866" s="384">
        <v>120</v>
      </c>
      <c r="W3866" s="1136" t="e">
        <f t="shared" si="298"/>
        <v>#VALUE!</v>
      </c>
    </row>
    <row r="3867" spans="1:51" s="7" customFormat="1" ht="18" customHeight="1">
      <c r="B3867" s="12" t="s">
        <v>302</v>
      </c>
      <c r="C3867" s="965" t="s">
        <v>4933</v>
      </c>
      <c r="D3867" s="14" t="s">
        <v>3112</v>
      </c>
      <c r="E3867" s="22" t="s">
        <v>4695</v>
      </c>
      <c r="F3867" s="107" t="s">
        <v>4696</v>
      </c>
      <c r="G3867" s="396" t="s">
        <v>4697</v>
      </c>
      <c r="H3867" s="108">
        <v>11</v>
      </c>
      <c r="I3867" s="109">
        <v>1</v>
      </c>
      <c r="J3867" s="131">
        <f>I3867*H3867</f>
        <v>11</v>
      </c>
      <c r="K3867" s="39">
        <v>9.5500000000000007</v>
      </c>
      <c r="L3867" s="39">
        <f>K3867*J3867</f>
        <v>105.05000000000001</v>
      </c>
      <c r="M3867" s="117" t="s">
        <v>323</v>
      </c>
      <c r="N3867" s="33">
        <v>45475</v>
      </c>
      <c r="O3867" s="32">
        <v>6258</v>
      </c>
      <c r="P3867" s="391">
        <f>ROUNDUP(S3867/V3867/VLOOKUP(B3867,$C$2:$F$6,3,FALSE),2)</f>
        <v>7.96</v>
      </c>
      <c r="Q3867" s="322">
        <v>7.96</v>
      </c>
      <c r="R3867" s="322">
        <f>Q3867*J3867</f>
        <v>87.56</v>
      </c>
      <c r="S3867" s="92">
        <v>840</v>
      </c>
      <c r="T3867" s="7">
        <f>S3867*J3867</f>
        <v>9240</v>
      </c>
      <c r="U3867" s="21"/>
      <c r="V3867" s="260">
        <v>120</v>
      </c>
      <c r="W3867" s="1136">
        <f t="shared" si="298"/>
        <v>0.26701570680628273</v>
      </c>
    </row>
    <row r="3868" spans="1:51" s="7" customFormat="1" ht="18" customHeight="1">
      <c r="B3868" s="12"/>
      <c r="C3868" s="965" t="s">
        <v>4933</v>
      </c>
      <c r="D3868" s="14" t="s">
        <v>3112</v>
      </c>
      <c r="E3868" s="49"/>
      <c r="F3868" s="102"/>
      <c r="G3868" s="22" t="s">
        <v>316</v>
      </c>
      <c r="H3868" s="8"/>
      <c r="I3868" s="35"/>
      <c r="J3868" s="38">
        <v>2</v>
      </c>
      <c r="K3868" s="39">
        <v>12</v>
      </c>
      <c r="L3868" s="39">
        <f>K3868*J3868</f>
        <v>24</v>
      </c>
      <c r="M3868" s="91"/>
      <c r="N3868" s="33">
        <v>45475</v>
      </c>
      <c r="O3868" s="32">
        <v>6258</v>
      </c>
      <c r="P3868" s="6" t="s">
        <v>3</v>
      </c>
      <c r="Q3868" s="39">
        <v>12</v>
      </c>
      <c r="R3868" s="322">
        <f>Q3868*J3868</f>
        <v>24</v>
      </c>
      <c r="S3868" s="7">
        <v>0</v>
      </c>
      <c r="T3868" s="7">
        <f>S3868*J3868</f>
        <v>0</v>
      </c>
      <c r="U3868" s="21"/>
      <c r="V3868" s="260">
        <v>120</v>
      </c>
      <c r="W3868" s="1136">
        <f t="shared" si="298"/>
        <v>1</v>
      </c>
    </row>
    <row r="3869" spans="1:51" s="191" customFormat="1" ht="18" customHeight="1">
      <c r="B3869" s="190"/>
      <c r="C3869" s="966" t="s">
        <v>4933</v>
      </c>
      <c r="D3869" s="180" t="s">
        <v>3112</v>
      </c>
      <c r="E3869" s="217"/>
      <c r="F3869" s="182"/>
      <c r="G3869" s="182" t="s">
        <v>250</v>
      </c>
      <c r="H3869" s="184" t="s">
        <v>251</v>
      </c>
      <c r="I3869" s="185"/>
      <c r="J3869" s="183"/>
      <c r="K3869" s="192">
        <v>0</v>
      </c>
      <c r="L3869" s="187"/>
      <c r="M3869" s="187"/>
      <c r="N3869" s="187">
        <v>45475</v>
      </c>
      <c r="O3869" s="186">
        <v>6258</v>
      </c>
      <c r="P3869" s="179"/>
      <c r="Q3869" s="255">
        <v>0</v>
      </c>
      <c r="R3869" s="322">
        <v>0</v>
      </c>
      <c r="S3869" s="275">
        <v>0</v>
      </c>
      <c r="T3869" s="198">
        <v>0</v>
      </c>
      <c r="U3869" s="271"/>
      <c r="V3869" s="260">
        <v>120</v>
      </c>
      <c r="W3869" s="1136" t="e">
        <f t="shared" si="298"/>
        <v>#DIV/0!</v>
      </c>
    </row>
    <row r="3870" spans="1:51" customFormat="1" ht="18" customHeight="1">
      <c r="A3870" s="1"/>
      <c r="B3870" s="26"/>
      <c r="C3870" s="6" t="s">
        <v>4939</v>
      </c>
      <c r="D3870" s="14" t="s">
        <v>3067</v>
      </c>
      <c r="E3870" s="19" t="s">
        <v>59</v>
      </c>
      <c r="F3870" s="107"/>
      <c r="G3870" s="22"/>
      <c r="H3870" s="108"/>
      <c r="I3870" s="109"/>
      <c r="J3870" s="108"/>
      <c r="K3870" s="110" t="s">
        <v>5</v>
      </c>
      <c r="L3870" s="33"/>
      <c r="M3870" s="33"/>
      <c r="N3870" s="33">
        <v>45476</v>
      </c>
      <c r="O3870" s="32">
        <v>6265</v>
      </c>
      <c r="P3870" s="14"/>
      <c r="Q3870" s="254"/>
      <c r="R3870" s="1"/>
      <c r="S3870" s="261"/>
      <c r="T3870" s="92"/>
      <c r="U3870" s="264"/>
      <c r="V3870" s="260">
        <v>120</v>
      </c>
      <c r="W3870" s="1136" t="e">
        <f t="shared" si="298"/>
        <v>#VALUE!</v>
      </c>
      <c r="X3870" s="1"/>
      <c r="Y3870" s="1"/>
      <c r="Z3870" s="1"/>
      <c r="AA3870" s="1"/>
      <c r="AB3870" s="1"/>
      <c r="AC3870" s="1"/>
      <c r="AD3870" s="1"/>
      <c r="AE3870" s="1"/>
      <c r="AF3870" s="1"/>
      <c r="AG3870" s="1"/>
      <c r="AH3870" s="1"/>
      <c r="AI3870" s="1"/>
      <c r="AJ3870" s="1"/>
      <c r="AK3870" s="1"/>
      <c r="AL3870" s="1"/>
      <c r="AM3870" s="1"/>
      <c r="AN3870" s="1"/>
      <c r="AO3870" s="1"/>
      <c r="AP3870" s="1"/>
      <c r="AQ3870" s="1"/>
      <c r="AR3870" s="1"/>
      <c r="AS3870" s="1"/>
      <c r="AT3870" s="1"/>
      <c r="AU3870" s="1"/>
      <c r="AV3870" s="1"/>
      <c r="AW3870" s="1"/>
      <c r="AX3870" s="1"/>
      <c r="AY3870" s="1"/>
    </row>
    <row r="3871" spans="1:51" customFormat="1" ht="18" customHeight="1">
      <c r="B3871" s="12" t="s">
        <v>302</v>
      </c>
      <c r="C3871" s="6" t="s">
        <v>4939</v>
      </c>
      <c r="D3871" s="14" t="s">
        <v>3067</v>
      </c>
      <c r="E3871" s="22">
        <v>2440</v>
      </c>
      <c r="F3871" s="107">
        <v>140</v>
      </c>
      <c r="G3871" s="22" t="s">
        <v>4935</v>
      </c>
      <c r="H3871" s="108">
        <v>58</v>
      </c>
      <c r="I3871" s="109">
        <v>13</v>
      </c>
      <c r="J3871" s="8">
        <f>H3871*I3871</f>
        <v>754</v>
      </c>
      <c r="K3871" s="39">
        <v>3.13</v>
      </c>
      <c r="L3871" s="39">
        <f>K3871*J3871</f>
        <v>2360.02</v>
      </c>
      <c r="M3871" s="117" t="s">
        <v>323</v>
      </c>
      <c r="N3871" s="33">
        <v>45476</v>
      </c>
      <c r="O3871" s="32">
        <v>6265</v>
      </c>
      <c r="P3871" s="391">
        <f>ROUNDUP(S3871/V3871/VLOOKUP(B3871,$C$2:$F$6,3,FALSE),2)</f>
        <v>2.8499999999999996</v>
      </c>
      <c r="Q3871" s="254">
        <v>2.85</v>
      </c>
      <c r="R3871" s="323">
        <f>Q3871*J3871</f>
        <v>2148.9</v>
      </c>
      <c r="S3871" s="257">
        <v>300</v>
      </c>
      <c r="T3871" s="287">
        <f>S3871*J3871</f>
        <v>226200</v>
      </c>
      <c r="U3871" s="264"/>
      <c r="V3871" s="260">
        <v>120</v>
      </c>
      <c r="W3871" s="1136">
        <f t="shared" si="298"/>
        <v>0.20127795527156542</v>
      </c>
      <c r="X3871" s="1"/>
      <c r="Y3871" s="1"/>
      <c r="Z3871" s="1"/>
      <c r="AA3871" s="1"/>
      <c r="AB3871" s="1"/>
      <c r="AC3871" s="1"/>
      <c r="AD3871" s="1"/>
      <c r="AE3871" s="1"/>
      <c r="AF3871" s="1"/>
      <c r="AG3871" s="1"/>
      <c r="AH3871" s="1"/>
      <c r="AI3871" s="1"/>
      <c r="AJ3871" s="1"/>
      <c r="AK3871" s="1"/>
      <c r="AL3871" s="1"/>
      <c r="AM3871" s="1"/>
      <c r="AN3871" s="1"/>
      <c r="AO3871" s="1"/>
      <c r="AP3871" s="1"/>
      <c r="AQ3871" s="1"/>
      <c r="AR3871" s="1"/>
      <c r="AS3871" s="1"/>
      <c r="AT3871" s="1"/>
      <c r="AU3871" s="1"/>
      <c r="AV3871" s="1"/>
      <c r="AW3871" s="1"/>
      <c r="AX3871" s="1"/>
      <c r="AY3871" s="1"/>
    </row>
    <row r="3872" spans="1:51" customFormat="1" ht="18" customHeight="1">
      <c r="B3872" s="12" t="s">
        <v>302</v>
      </c>
      <c r="C3872" s="6" t="s">
        <v>4939</v>
      </c>
      <c r="D3872" s="14" t="s">
        <v>3067</v>
      </c>
      <c r="E3872" s="22">
        <v>2440</v>
      </c>
      <c r="F3872" s="107">
        <v>140</v>
      </c>
      <c r="G3872" s="22" t="s">
        <v>4936</v>
      </c>
      <c r="H3872" s="108">
        <v>58</v>
      </c>
      <c r="I3872" s="109">
        <v>2</v>
      </c>
      <c r="J3872" s="8">
        <f>H3872*I3872</f>
        <v>116</v>
      </c>
      <c r="K3872" s="39">
        <v>3.13</v>
      </c>
      <c r="L3872" s="39">
        <f>K3872*J3872</f>
        <v>363.08</v>
      </c>
      <c r="M3872" s="117" t="s">
        <v>323</v>
      </c>
      <c r="N3872" s="33">
        <v>45476</v>
      </c>
      <c r="O3872" s="32">
        <v>6265</v>
      </c>
      <c r="P3872" s="391">
        <f>ROUNDUP(S3872/V3872/VLOOKUP(B3872,$C$2:$F$6,3,FALSE),2)</f>
        <v>2.8499999999999996</v>
      </c>
      <c r="Q3872" s="254">
        <v>2.85</v>
      </c>
      <c r="R3872" s="323">
        <f>Q3872*J3872</f>
        <v>330.6</v>
      </c>
      <c r="S3872" s="257">
        <v>300</v>
      </c>
      <c r="T3872" s="287">
        <f>S3872*J3872</f>
        <v>34800</v>
      </c>
      <c r="U3872" s="264"/>
      <c r="V3872" s="260">
        <v>120</v>
      </c>
      <c r="W3872" s="1136">
        <f t="shared" si="298"/>
        <v>0.20127795527156542</v>
      </c>
      <c r="X3872" s="1"/>
      <c r="Y3872" s="1"/>
      <c r="Z3872" s="1"/>
      <c r="AA3872" s="1"/>
      <c r="AB3872" s="1"/>
      <c r="AC3872" s="1"/>
      <c r="AD3872" s="1"/>
      <c r="AE3872" s="1"/>
      <c r="AF3872" s="1"/>
      <c r="AG3872" s="1"/>
      <c r="AH3872" s="1"/>
      <c r="AI3872" s="1"/>
      <c r="AJ3872" s="1"/>
      <c r="AK3872" s="1"/>
      <c r="AL3872" s="1"/>
      <c r="AM3872" s="1"/>
      <c r="AN3872" s="1"/>
      <c r="AO3872" s="1"/>
      <c r="AP3872" s="1"/>
      <c r="AQ3872" s="1"/>
      <c r="AR3872" s="1"/>
      <c r="AS3872" s="1"/>
      <c r="AT3872" s="1"/>
      <c r="AU3872" s="1"/>
      <c r="AV3872" s="1"/>
      <c r="AW3872" s="1"/>
      <c r="AX3872" s="1"/>
      <c r="AY3872" s="1"/>
    </row>
    <row r="3873" spans="1:51" s="7" customFormat="1" ht="15">
      <c r="B3873" s="12"/>
      <c r="C3873" s="6" t="s">
        <v>4939</v>
      </c>
      <c r="D3873" s="14" t="s">
        <v>3067</v>
      </c>
      <c r="E3873" s="49"/>
      <c r="F3873" s="102"/>
      <c r="G3873" s="22" t="s">
        <v>316</v>
      </c>
      <c r="H3873" s="38"/>
      <c r="I3873" s="35"/>
      <c r="J3873" s="38">
        <v>1</v>
      </c>
      <c r="K3873" s="39">
        <v>20</v>
      </c>
      <c r="L3873" s="39">
        <f>K3873*J3873</f>
        <v>20</v>
      </c>
      <c r="M3873" s="91"/>
      <c r="N3873" s="33">
        <v>45476</v>
      </c>
      <c r="O3873" s="32">
        <v>6265</v>
      </c>
      <c r="P3873" s="722"/>
      <c r="Q3873" s="322">
        <v>20</v>
      </c>
      <c r="R3873" s="322">
        <f>Q3873*J3873</f>
        <v>20</v>
      </c>
      <c r="S3873" s="7">
        <v>1800</v>
      </c>
      <c r="T3873" s="7">
        <f>S3873*J3873</f>
        <v>1800</v>
      </c>
      <c r="U3873" s="21"/>
      <c r="V3873" s="260">
        <v>120</v>
      </c>
      <c r="W3873" s="1136">
        <f t="shared" si="298"/>
        <v>0.25</v>
      </c>
    </row>
    <row r="3874" spans="1:51" s="191" customFormat="1" ht="15">
      <c r="B3874" s="190"/>
      <c r="C3874" s="179" t="s">
        <v>4939</v>
      </c>
      <c r="D3874" s="180" t="s">
        <v>3067</v>
      </c>
      <c r="E3874" s="181"/>
      <c r="F3874" s="182"/>
      <c r="G3874" s="182" t="s">
        <v>2738</v>
      </c>
      <c r="H3874" s="184" t="s">
        <v>251</v>
      </c>
      <c r="I3874" s="185"/>
      <c r="J3874" s="183"/>
      <c r="K3874" s="192">
        <v>0</v>
      </c>
      <c r="L3874" s="187"/>
      <c r="M3874" s="187"/>
      <c r="N3874" s="187">
        <v>45476</v>
      </c>
      <c r="O3874" s="186">
        <v>6265</v>
      </c>
      <c r="P3874" s="179"/>
      <c r="Q3874" s="203"/>
      <c r="R3874" s="203"/>
      <c r="S3874" s="203"/>
      <c r="T3874" s="203"/>
      <c r="U3874" s="271"/>
      <c r="V3874" s="260">
        <v>120</v>
      </c>
      <c r="W3874" s="1136" t="e">
        <f t="shared" si="298"/>
        <v>#DIV/0!</v>
      </c>
    </row>
    <row r="3875" spans="1:51" customFormat="1" ht="18" customHeight="1">
      <c r="A3875" s="1"/>
      <c r="B3875" s="26"/>
      <c r="C3875" s="6" t="s">
        <v>4939</v>
      </c>
      <c r="D3875" s="14" t="s">
        <v>3067</v>
      </c>
      <c r="E3875" s="19" t="s">
        <v>59</v>
      </c>
      <c r="F3875" s="107"/>
      <c r="G3875" s="22"/>
      <c r="H3875" s="108"/>
      <c r="I3875" s="109"/>
      <c r="J3875" s="108"/>
      <c r="K3875" s="110" t="s">
        <v>5</v>
      </c>
      <c r="L3875" s="33"/>
      <c r="M3875" s="33"/>
      <c r="N3875" s="33">
        <v>45523</v>
      </c>
      <c r="O3875" s="32">
        <v>6407</v>
      </c>
      <c r="P3875" s="14"/>
      <c r="Q3875" s="254"/>
      <c r="R3875" s="1"/>
      <c r="S3875" s="261"/>
      <c r="T3875" s="92"/>
      <c r="U3875" s="264"/>
      <c r="V3875" s="260">
        <v>120</v>
      </c>
      <c r="W3875" s="1136" t="e">
        <f t="shared" si="298"/>
        <v>#VALUE!</v>
      </c>
      <c r="X3875" s="1"/>
      <c r="Y3875" s="1"/>
      <c r="Z3875" s="1"/>
      <c r="AA3875" s="1"/>
      <c r="AB3875" s="1"/>
      <c r="AC3875" s="1"/>
      <c r="AD3875" s="1"/>
      <c r="AE3875" s="1"/>
      <c r="AF3875" s="1"/>
      <c r="AG3875" s="1"/>
      <c r="AH3875" s="1"/>
      <c r="AI3875" s="1"/>
      <c r="AJ3875" s="1"/>
      <c r="AK3875" s="1"/>
      <c r="AL3875" s="1"/>
      <c r="AM3875" s="1"/>
      <c r="AN3875" s="1"/>
      <c r="AO3875" s="1"/>
      <c r="AP3875" s="1"/>
      <c r="AQ3875" s="1"/>
      <c r="AR3875" s="1"/>
      <c r="AS3875" s="1"/>
      <c r="AT3875" s="1"/>
      <c r="AU3875" s="1"/>
      <c r="AV3875" s="1"/>
      <c r="AW3875" s="1"/>
      <c r="AX3875" s="1"/>
      <c r="AY3875" s="1"/>
    </row>
    <row r="3876" spans="1:51" customFormat="1" ht="18" customHeight="1">
      <c r="B3876" s="12" t="s">
        <v>302</v>
      </c>
      <c r="C3876" s="6" t="s">
        <v>4939</v>
      </c>
      <c r="D3876" s="14" t="s">
        <v>3067</v>
      </c>
      <c r="E3876" s="22">
        <v>2440</v>
      </c>
      <c r="F3876" s="107">
        <v>140</v>
      </c>
      <c r="G3876" s="22" t="s">
        <v>4935</v>
      </c>
      <c r="H3876" s="108">
        <v>58</v>
      </c>
      <c r="I3876" s="109">
        <v>4</v>
      </c>
      <c r="J3876" s="8">
        <f>H3876*I3876</f>
        <v>232</v>
      </c>
      <c r="K3876" s="39">
        <v>3.13</v>
      </c>
      <c r="L3876" s="39">
        <f>K3876*J3876</f>
        <v>726.16</v>
      </c>
      <c r="M3876" s="117" t="s">
        <v>323</v>
      </c>
      <c r="N3876" s="33">
        <v>45523</v>
      </c>
      <c r="O3876" s="32">
        <v>6407</v>
      </c>
      <c r="P3876" s="391">
        <f>ROUNDUP(S3876/V3876/VLOOKUP(B3876,$C$2:$F$6,3,FALSE),2)</f>
        <v>2.8499999999999996</v>
      </c>
      <c r="Q3876" s="254">
        <v>2.85</v>
      </c>
      <c r="R3876" s="323">
        <f>Q3876*J3876</f>
        <v>661.2</v>
      </c>
      <c r="S3876" s="257">
        <v>300</v>
      </c>
      <c r="T3876" s="287">
        <f>S3876*J3876</f>
        <v>69600</v>
      </c>
      <c r="U3876" s="264"/>
      <c r="V3876" s="260">
        <v>120</v>
      </c>
      <c r="W3876" s="1136">
        <f t="shared" si="298"/>
        <v>0.20127795527156542</v>
      </c>
      <c r="X3876" s="1"/>
      <c r="Y3876" s="1"/>
      <c r="Z3876" s="1"/>
      <c r="AA3876" s="1"/>
      <c r="AB3876" s="1"/>
      <c r="AC3876" s="1"/>
      <c r="AD3876" s="1"/>
      <c r="AE3876" s="1"/>
      <c r="AF3876" s="1"/>
      <c r="AG3876" s="1"/>
      <c r="AH3876" s="1"/>
      <c r="AI3876" s="1"/>
      <c r="AJ3876" s="1"/>
      <c r="AK3876" s="1"/>
      <c r="AL3876" s="1"/>
      <c r="AM3876" s="1"/>
      <c r="AN3876" s="1"/>
      <c r="AO3876" s="1"/>
      <c r="AP3876" s="1"/>
      <c r="AQ3876" s="1"/>
      <c r="AR3876" s="1"/>
      <c r="AS3876" s="1"/>
      <c r="AT3876" s="1"/>
      <c r="AU3876" s="1"/>
      <c r="AV3876" s="1"/>
      <c r="AW3876" s="1"/>
      <c r="AX3876" s="1"/>
      <c r="AY3876" s="1"/>
    </row>
    <row r="3877" spans="1:51" s="7" customFormat="1" ht="15">
      <c r="B3877" s="12"/>
      <c r="C3877" s="6" t="s">
        <v>4939</v>
      </c>
      <c r="D3877" s="14" t="s">
        <v>3067</v>
      </c>
      <c r="E3877" s="49"/>
      <c r="F3877" s="102"/>
      <c r="G3877" s="22" t="s">
        <v>316</v>
      </c>
      <c r="H3877" s="38"/>
      <c r="I3877" s="35"/>
      <c r="J3877" s="38">
        <v>1</v>
      </c>
      <c r="K3877" s="39">
        <v>20</v>
      </c>
      <c r="L3877" s="39">
        <f>K3877*J3877</f>
        <v>20</v>
      </c>
      <c r="M3877" s="91"/>
      <c r="N3877" s="33">
        <v>45523</v>
      </c>
      <c r="O3877" s="32">
        <v>6407</v>
      </c>
      <c r="P3877" s="722"/>
      <c r="Q3877" s="322">
        <v>20</v>
      </c>
      <c r="R3877" s="322">
        <f>Q3877*J3877</f>
        <v>20</v>
      </c>
      <c r="S3877" s="7">
        <v>0</v>
      </c>
      <c r="T3877" s="7">
        <f>S3877*J3877</f>
        <v>0</v>
      </c>
      <c r="U3877" s="21"/>
      <c r="V3877" s="260">
        <v>120</v>
      </c>
      <c r="W3877" s="1136">
        <f t="shared" si="298"/>
        <v>1</v>
      </c>
    </row>
    <row r="3878" spans="1:51" s="191" customFormat="1" ht="15">
      <c r="B3878" s="190"/>
      <c r="C3878" s="179" t="s">
        <v>4939</v>
      </c>
      <c r="D3878" s="180" t="s">
        <v>3067</v>
      </c>
      <c r="E3878" s="181"/>
      <c r="F3878" s="182"/>
      <c r="G3878" s="182" t="s">
        <v>2738</v>
      </c>
      <c r="H3878" s="184" t="s">
        <v>251</v>
      </c>
      <c r="I3878" s="185"/>
      <c r="J3878" s="183"/>
      <c r="K3878" s="192">
        <v>0</v>
      </c>
      <c r="L3878" s="187"/>
      <c r="M3878" s="187"/>
      <c r="N3878" s="187">
        <v>45523</v>
      </c>
      <c r="O3878" s="186">
        <v>6407</v>
      </c>
      <c r="P3878" s="179"/>
      <c r="Q3878" s="203"/>
      <c r="R3878" s="203"/>
      <c r="S3878" s="203"/>
      <c r="T3878" s="203"/>
      <c r="U3878" s="271"/>
      <c r="V3878" s="260">
        <v>120</v>
      </c>
      <c r="W3878" s="1136" t="e">
        <f t="shared" si="298"/>
        <v>#DIV/0!</v>
      </c>
    </row>
    <row r="3879" spans="1:51" customFormat="1" ht="18" customHeight="1">
      <c r="A3879" s="1"/>
      <c r="B3879" s="26"/>
      <c r="C3879" s="6" t="s">
        <v>4940</v>
      </c>
      <c r="D3879" s="14" t="s">
        <v>3067</v>
      </c>
      <c r="E3879" s="19" t="s">
        <v>59</v>
      </c>
      <c r="F3879" s="107"/>
      <c r="G3879" s="22"/>
      <c r="H3879" s="108"/>
      <c r="I3879" s="109"/>
      <c r="J3879" s="108"/>
      <c r="K3879" s="110" t="s">
        <v>5</v>
      </c>
      <c r="L3879" s="33"/>
      <c r="M3879" s="33"/>
      <c r="N3879" s="33">
        <v>45476</v>
      </c>
      <c r="O3879" s="32">
        <v>6266</v>
      </c>
      <c r="P3879" s="14"/>
      <c r="Q3879" s="254"/>
      <c r="R3879" s="1"/>
      <c r="S3879" s="261"/>
      <c r="T3879" s="92"/>
      <c r="U3879" s="264"/>
      <c r="V3879" s="260">
        <v>120</v>
      </c>
      <c r="W3879" s="1136" t="e">
        <f t="shared" si="298"/>
        <v>#VALUE!</v>
      </c>
      <c r="X3879" s="1"/>
      <c r="Y3879" s="1"/>
      <c r="Z3879" s="1"/>
      <c r="AA3879" s="1"/>
      <c r="AB3879" s="1"/>
      <c r="AC3879" s="1"/>
      <c r="AD3879" s="1"/>
      <c r="AE3879" s="1"/>
      <c r="AF3879" s="1"/>
      <c r="AG3879" s="1"/>
      <c r="AH3879" s="1"/>
      <c r="AI3879" s="1"/>
      <c r="AJ3879" s="1"/>
      <c r="AK3879" s="1"/>
      <c r="AL3879" s="1"/>
      <c r="AM3879" s="1"/>
      <c r="AN3879" s="1"/>
      <c r="AO3879" s="1"/>
      <c r="AP3879" s="1"/>
      <c r="AQ3879" s="1"/>
      <c r="AR3879" s="1"/>
      <c r="AS3879" s="1"/>
      <c r="AT3879" s="1"/>
      <c r="AU3879" s="1"/>
      <c r="AV3879" s="1"/>
      <c r="AW3879" s="1"/>
      <c r="AX3879" s="1"/>
      <c r="AY3879" s="1"/>
    </row>
    <row r="3880" spans="1:51" customFormat="1" ht="18" customHeight="1">
      <c r="B3880" s="12" t="s">
        <v>302</v>
      </c>
      <c r="C3880" s="6" t="s">
        <v>4940</v>
      </c>
      <c r="D3880" s="14" t="s">
        <v>3067</v>
      </c>
      <c r="E3880" s="22">
        <v>2440</v>
      </c>
      <c r="F3880" s="107">
        <v>140</v>
      </c>
      <c r="G3880" s="22" t="s">
        <v>3311</v>
      </c>
      <c r="H3880" s="108">
        <v>58</v>
      </c>
      <c r="I3880" s="109">
        <v>8</v>
      </c>
      <c r="J3880" s="8">
        <f>H3880*I3880</f>
        <v>464</v>
      </c>
      <c r="K3880" s="39">
        <v>3.13</v>
      </c>
      <c r="L3880" s="39">
        <f>K3880*J3880</f>
        <v>1452.32</v>
      </c>
      <c r="M3880" s="117" t="s">
        <v>323</v>
      </c>
      <c r="N3880" s="33">
        <v>45476</v>
      </c>
      <c r="O3880" s="32">
        <v>6266</v>
      </c>
      <c r="P3880" s="391">
        <f>ROUNDUP(S3880/V3880/VLOOKUP(B3880,$C$2:$F$6,3,FALSE),2)</f>
        <v>2.8499999999999996</v>
      </c>
      <c r="Q3880" s="254">
        <v>2.85</v>
      </c>
      <c r="R3880" s="323">
        <f>Q3880*J3880</f>
        <v>1322.4</v>
      </c>
      <c r="S3880" s="257">
        <v>300</v>
      </c>
      <c r="T3880" s="287">
        <f>S3880*J3880</f>
        <v>139200</v>
      </c>
      <c r="U3880" s="264"/>
      <c r="V3880" s="260">
        <v>120</v>
      </c>
      <c r="W3880" s="1136">
        <f t="shared" si="298"/>
        <v>0.20127795527156542</v>
      </c>
      <c r="X3880" s="1"/>
      <c r="Y3880" s="1"/>
      <c r="Z3880" s="1"/>
      <c r="AA3880" s="1"/>
      <c r="AB3880" s="1"/>
      <c r="AC3880" s="1"/>
      <c r="AD3880" s="1"/>
      <c r="AE3880" s="1"/>
      <c r="AF3880" s="1"/>
      <c r="AG3880" s="1"/>
      <c r="AH3880" s="1"/>
      <c r="AI3880" s="1"/>
      <c r="AJ3880" s="1"/>
      <c r="AK3880" s="1"/>
      <c r="AL3880" s="1"/>
      <c r="AM3880" s="1"/>
      <c r="AN3880" s="1"/>
      <c r="AO3880" s="1"/>
      <c r="AP3880" s="1"/>
      <c r="AQ3880" s="1"/>
      <c r="AR3880" s="1"/>
      <c r="AS3880" s="1"/>
      <c r="AT3880" s="1"/>
      <c r="AU3880" s="1"/>
      <c r="AV3880" s="1"/>
      <c r="AW3880" s="1"/>
      <c r="AX3880" s="1"/>
      <c r="AY3880" s="1"/>
    </row>
    <row r="3881" spans="1:51" customFormat="1" ht="18" customHeight="1">
      <c r="B3881" s="12" t="s">
        <v>302</v>
      </c>
      <c r="C3881" s="6" t="s">
        <v>4940</v>
      </c>
      <c r="D3881" s="14" t="s">
        <v>3067</v>
      </c>
      <c r="E3881" s="22">
        <v>2440</v>
      </c>
      <c r="F3881" s="107">
        <v>140</v>
      </c>
      <c r="G3881" s="22" t="s">
        <v>4937</v>
      </c>
      <c r="H3881" s="108">
        <v>58</v>
      </c>
      <c r="I3881" s="109">
        <v>2</v>
      </c>
      <c r="J3881" s="8">
        <f>H3881*I3881</f>
        <v>116</v>
      </c>
      <c r="K3881" s="39">
        <v>3.13</v>
      </c>
      <c r="L3881" s="39">
        <f>K3881*J3881</f>
        <v>363.08</v>
      </c>
      <c r="M3881" s="117" t="s">
        <v>323</v>
      </c>
      <c r="N3881" s="33">
        <v>45476</v>
      </c>
      <c r="O3881" s="32">
        <v>6266</v>
      </c>
      <c r="P3881" s="391">
        <f>ROUNDUP(S3881/V3881/VLOOKUP(B3881,$C$2:$F$6,3,FALSE),2)</f>
        <v>2.8499999999999996</v>
      </c>
      <c r="Q3881" s="254">
        <v>2.85</v>
      </c>
      <c r="R3881" s="323">
        <f>Q3881*J3881</f>
        <v>330.6</v>
      </c>
      <c r="S3881" s="257">
        <v>300</v>
      </c>
      <c r="T3881" s="287">
        <f>S3881*J3881</f>
        <v>34800</v>
      </c>
      <c r="U3881" s="264"/>
      <c r="V3881" s="260">
        <v>120</v>
      </c>
      <c r="W3881" s="1136">
        <f t="shared" si="298"/>
        <v>0.20127795527156542</v>
      </c>
      <c r="X3881" s="1"/>
      <c r="Y3881" s="1"/>
      <c r="Z3881" s="1"/>
      <c r="AA3881" s="1"/>
      <c r="AB3881" s="1"/>
      <c r="AC3881" s="1"/>
      <c r="AD3881" s="1"/>
      <c r="AE3881" s="1"/>
      <c r="AF3881" s="1"/>
      <c r="AG3881" s="1"/>
      <c r="AH3881" s="1"/>
      <c r="AI3881" s="1"/>
      <c r="AJ3881" s="1"/>
      <c r="AK3881" s="1"/>
      <c r="AL3881" s="1"/>
      <c r="AM3881" s="1"/>
      <c r="AN3881" s="1"/>
      <c r="AO3881" s="1"/>
      <c r="AP3881" s="1"/>
      <c r="AQ3881" s="1"/>
      <c r="AR3881" s="1"/>
      <c r="AS3881" s="1"/>
      <c r="AT3881" s="1"/>
      <c r="AU3881" s="1"/>
      <c r="AV3881" s="1"/>
      <c r="AW3881" s="1"/>
      <c r="AX3881" s="1"/>
      <c r="AY3881" s="1"/>
    </row>
    <row r="3882" spans="1:51" s="7" customFormat="1" ht="15">
      <c r="B3882" s="12"/>
      <c r="C3882" s="6" t="s">
        <v>4940</v>
      </c>
      <c r="D3882" s="14" t="s">
        <v>3067</v>
      </c>
      <c r="E3882" s="49"/>
      <c r="F3882" s="102"/>
      <c r="G3882" s="22" t="s">
        <v>316</v>
      </c>
      <c r="H3882" s="38"/>
      <c r="I3882" s="35"/>
      <c r="J3882" s="38">
        <v>1</v>
      </c>
      <c r="K3882" s="39">
        <v>20</v>
      </c>
      <c r="L3882" s="39">
        <f>K3882*J3882</f>
        <v>20</v>
      </c>
      <c r="M3882" s="91"/>
      <c r="N3882" s="33">
        <v>45476</v>
      </c>
      <c r="O3882" s="32">
        <v>6266</v>
      </c>
      <c r="P3882" s="722"/>
      <c r="Q3882" s="322">
        <v>20</v>
      </c>
      <c r="R3882" s="322">
        <f>Q3882*J3882</f>
        <v>20</v>
      </c>
      <c r="S3882" s="7">
        <v>1800</v>
      </c>
      <c r="T3882" s="7">
        <f>S3882*J3882</f>
        <v>1800</v>
      </c>
      <c r="U3882" s="21"/>
      <c r="V3882" s="260">
        <v>120</v>
      </c>
      <c r="W3882" s="1136">
        <f t="shared" si="298"/>
        <v>0.25</v>
      </c>
    </row>
    <row r="3883" spans="1:51" s="191" customFormat="1" ht="15">
      <c r="B3883" s="190"/>
      <c r="C3883" s="179" t="s">
        <v>4940</v>
      </c>
      <c r="D3883" s="180" t="s">
        <v>3067</v>
      </c>
      <c r="E3883" s="181"/>
      <c r="F3883" s="182"/>
      <c r="G3883" s="182" t="s">
        <v>2738</v>
      </c>
      <c r="H3883" s="184" t="s">
        <v>251</v>
      </c>
      <c r="I3883" s="185"/>
      <c r="J3883" s="183"/>
      <c r="K3883" s="192">
        <v>0</v>
      </c>
      <c r="L3883" s="187"/>
      <c r="M3883" s="187"/>
      <c r="N3883" s="187">
        <v>45476</v>
      </c>
      <c r="O3883" s="186">
        <v>6266</v>
      </c>
      <c r="P3883" s="179"/>
      <c r="Q3883" s="203"/>
      <c r="R3883" s="203"/>
      <c r="S3883" s="203"/>
      <c r="T3883" s="203"/>
      <c r="U3883" s="271"/>
      <c r="V3883" s="260">
        <v>120</v>
      </c>
      <c r="W3883" s="1136" t="e">
        <f t="shared" si="298"/>
        <v>#DIV/0!</v>
      </c>
    </row>
    <row r="3884" spans="1:51" customFormat="1" ht="18" customHeight="1">
      <c r="A3884" s="1"/>
      <c r="B3884" s="26"/>
      <c r="C3884" s="6" t="s">
        <v>4941</v>
      </c>
      <c r="D3884" s="14" t="s">
        <v>3238</v>
      </c>
      <c r="E3884" s="19" t="s">
        <v>59</v>
      </c>
      <c r="F3884" s="107"/>
      <c r="G3884" s="22"/>
      <c r="H3884" s="108"/>
      <c r="I3884" s="109"/>
      <c r="J3884" s="108"/>
      <c r="K3884" s="110" t="s">
        <v>5</v>
      </c>
      <c r="L3884" s="33"/>
      <c r="M3884" s="33"/>
      <c r="N3884" s="33">
        <v>45525</v>
      </c>
      <c r="O3884" s="32">
        <v>6255</v>
      </c>
      <c r="P3884" s="14"/>
      <c r="Q3884" s="254"/>
      <c r="R3884" s="1"/>
      <c r="S3884" s="261"/>
      <c r="T3884" s="92"/>
      <c r="U3884" s="264"/>
      <c r="V3884" s="260">
        <v>120</v>
      </c>
      <c r="W3884" s="1136" t="e">
        <f t="shared" si="298"/>
        <v>#VALUE!</v>
      </c>
      <c r="X3884" s="1"/>
      <c r="Y3884" s="1"/>
      <c r="Z3884" s="1"/>
      <c r="AA3884" s="1"/>
      <c r="AB3884" s="1"/>
      <c r="AC3884" s="1"/>
      <c r="AD3884" s="1"/>
      <c r="AE3884" s="1"/>
      <c r="AF3884" s="1"/>
      <c r="AG3884" s="1"/>
      <c r="AH3884" s="1"/>
      <c r="AI3884" s="1"/>
      <c r="AJ3884" s="1"/>
      <c r="AK3884" s="1"/>
      <c r="AL3884" s="1"/>
      <c r="AM3884" s="1"/>
      <c r="AN3884" s="1"/>
      <c r="AO3884" s="1"/>
      <c r="AP3884" s="1"/>
      <c r="AQ3884" s="1"/>
      <c r="AR3884" s="1"/>
      <c r="AS3884" s="1"/>
      <c r="AT3884" s="1"/>
      <c r="AU3884" s="1"/>
      <c r="AV3884" s="1"/>
      <c r="AW3884" s="1"/>
      <c r="AX3884" s="1"/>
      <c r="AY3884" s="1"/>
    </row>
    <row r="3885" spans="1:51" customFormat="1" ht="18" customHeight="1">
      <c r="B3885" s="12" t="s">
        <v>302</v>
      </c>
      <c r="C3885" s="6" t="s">
        <v>4941</v>
      </c>
      <c r="D3885" s="14" t="s">
        <v>3238</v>
      </c>
      <c r="E3885" s="22">
        <v>2440</v>
      </c>
      <c r="F3885" s="107">
        <v>140</v>
      </c>
      <c r="G3885" s="22" t="s">
        <v>3311</v>
      </c>
      <c r="H3885" s="108">
        <v>58</v>
      </c>
      <c r="I3885" s="109">
        <v>14</v>
      </c>
      <c r="J3885" s="8">
        <f>H3885*I3885</f>
        <v>812</v>
      </c>
      <c r="K3885" s="39">
        <v>3.19</v>
      </c>
      <c r="L3885" s="39">
        <f>K3885*J3885</f>
        <v>2590.2799999999997</v>
      </c>
      <c r="M3885" s="117" t="s">
        <v>323</v>
      </c>
      <c r="N3885" s="33">
        <v>45525</v>
      </c>
      <c r="O3885" s="32">
        <v>6255</v>
      </c>
      <c r="P3885" s="391">
        <f>ROUNDUP(S3885/V3885/VLOOKUP(B3885,$C$2:$F$6,3,FALSE),2)</f>
        <v>2.8499999999999996</v>
      </c>
      <c r="Q3885" s="254">
        <v>2.85</v>
      </c>
      <c r="R3885" s="323">
        <f>Q3885*J3885</f>
        <v>2314.2000000000003</v>
      </c>
      <c r="S3885" s="257">
        <v>300</v>
      </c>
      <c r="T3885" s="287">
        <f>S3885*J3885</f>
        <v>243600</v>
      </c>
      <c r="U3885" s="264"/>
      <c r="V3885" s="260">
        <v>120</v>
      </c>
      <c r="W3885" s="1136">
        <f t="shared" si="298"/>
        <v>0.21630094043887149</v>
      </c>
      <c r="X3885" s="1"/>
      <c r="Y3885" s="1"/>
      <c r="Z3885" s="1"/>
      <c r="AA3885" s="1"/>
      <c r="AB3885" s="1"/>
      <c r="AC3885" s="1"/>
      <c r="AD3885" s="1"/>
      <c r="AE3885" s="1"/>
      <c r="AF3885" s="1"/>
      <c r="AG3885" s="1"/>
      <c r="AH3885" s="1"/>
      <c r="AI3885" s="1"/>
      <c r="AJ3885" s="1"/>
      <c r="AK3885" s="1"/>
      <c r="AL3885" s="1"/>
      <c r="AM3885" s="1"/>
      <c r="AN3885" s="1"/>
      <c r="AO3885" s="1"/>
      <c r="AP3885" s="1"/>
      <c r="AQ3885" s="1"/>
      <c r="AR3885" s="1"/>
      <c r="AS3885" s="1"/>
      <c r="AT3885" s="1"/>
      <c r="AU3885" s="1"/>
      <c r="AV3885" s="1"/>
      <c r="AW3885" s="1"/>
      <c r="AX3885" s="1"/>
      <c r="AY3885" s="1"/>
    </row>
    <row r="3886" spans="1:51" s="7" customFormat="1" ht="15">
      <c r="B3886" s="12"/>
      <c r="C3886" s="6" t="s">
        <v>4941</v>
      </c>
      <c r="D3886" s="14" t="s">
        <v>3238</v>
      </c>
      <c r="E3886" s="22"/>
      <c r="F3886" s="102"/>
      <c r="G3886" s="22" t="s">
        <v>316</v>
      </c>
      <c r="H3886" s="38"/>
      <c r="I3886" s="35"/>
      <c r="J3886" s="38">
        <v>1</v>
      </c>
      <c r="K3886" s="39">
        <v>20</v>
      </c>
      <c r="L3886" s="39">
        <f>K3886*J3886</f>
        <v>20</v>
      </c>
      <c r="M3886" s="91"/>
      <c r="N3886" s="33">
        <v>45525</v>
      </c>
      <c r="O3886" s="32">
        <v>6255</v>
      </c>
      <c r="P3886" s="722"/>
      <c r="Q3886" s="322">
        <v>20</v>
      </c>
      <c r="R3886" s="322">
        <f>Q3886*J3886</f>
        <v>20</v>
      </c>
      <c r="S3886" s="7">
        <v>1800</v>
      </c>
      <c r="T3886" s="7">
        <f>S3886*J3886</f>
        <v>1800</v>
      </c>
      <c r="U3886" s="21"/>
      <c r="V3886" s="260">
        <v>120</v>
      </c>
      <c r="W3886" s="1136">
        <f t="shared" si="298"/>
        <v>0.25</v>
      </c>
    </row>
    <row r="3887" spans="1:51" s="191" customFormat="1" ht="15">
      <c r="B3887" s="190"/>
      <c r="C3887" s="179" t="s">
        <v>4941</v>
      </c>
      <c r="D3887" s="180" t="s">
        <v>3238</v>
      </c>
      <c r="E3887" s="217"/>
      <c r="F3887" s="182"/>
      <c r="G3887" s="182" t="s">
        <v>2738</v>
      </c>
      <c r="H3887" s="184" t="s">
        <v>251</v>
      </c>
      <c r="I3887" s="185"/>
      <c r="J3887" s="183"/>
      <c r="K3887" s="192">
        <v>0</v>
      </c>
      <c r="L3887" s="187"/>
      <c r="M3887" s="187"/>
      <c r="N3887" s="187">
        <v>45525</v>
      </c>
      <c r="O3887" s="186">
        <v>6255</v>
      </c>
      <c r="P3887" s="179"/>
      <c r="Q3887" s="203"/>
      <c r="R3887" s="203"/>
      <c r="S3887" s="203"/>
      <c r="T3887" s="203"/>
      <c r="U3887" s="271"/>
      <c r="V3887" s="260">
        <v>120</v>
      </c>
      <c r="W3887" s="1136" t="e">
        <f t="shared" si="298"/>
        <v>#DIV/0!</v>
      </c>
    </row>
    <row r="3888" spans="1:51" customFormat="1" ht="18" customHeight="1">
      <c r="A3888" s="1"/>
      <c r="B3888" s="26"/>
      <c r="C3888" s="6" t="s">
        <v>4942</v>
      </c>
      <c r="D3888" s="14" t="s">
        <v>3238</v>
      </c>
      <c r="E3888" s="19" t="s">
        <v>59</v>
      </c>
      <c r="F3888" s="107"/>
      <c r="G3888" s="22"/>
      <c r="H3888" s="108"/>
      <c r="I3888" s="109"/>
      <c r="J3888" s="108"/>
      <c r="K3888" s="110" t="s">
        <v>5</v>
      </c>
      <c r="L3888" s="33"/>
      <c r="M3888" s="33"/>
      <c r="N3888" s="33">
        <v>45525</v>
      </c>
      <c r="O3888" s="32">
        <v>6256</v>
      </c>
      <c r="P3888" s="14"/>
      <c r="Q3888" s="254"/>
      <c r="R3888" s="1"/>
      <c r="S3888" s="261"/>
      <c r="T3888" s="92"/>
      <c r="U3888" s="264"/>
      <c r="V3888" s="260">
        <v>120</v>
      </c>
      <c r="W3888" s="1136" t="e">
        <f t="shared" si="298"/>
        <v>#VALUE!</v>
      </c>
      <c r="X3888" s="1"/>
      <c r="Y3888" s="1"/>
      <c r="Z3888" s="1"/>
      <c r="AA3888" s="1"/>
      <c r="AB3888" s="1"/>
      <c r="AC3888" s="1"/>
      <c r="AD3888" s="1"/>
      <c r="AE3888" s="1"/>
      <c r="AF3888" s="1"/>
      <c r="AG3888" s="1"/>
      <c r="AH3888" s="1"/>
      <c r="AI3888" s="1"/>
      <c r="AJ3888" s="1"/>
      <c r="AK3888" s="1"/>
      <c r="AL3888" s="1"/>
      <c r="AM3888" s="1"/>
      <c r="AN3888" s="1"/>
      <c r="AO3888" s="1"/>
      <c r="AP3888" s="1"/>
      <c r="AQ3888" s="1"/>
      <c r="AR3888" s="1"/>
      <c r="AS3888" s="1"/>
      <c r="AT3888" s="1"/>
      <c r="AU3888" s="1"/>
      <c r="AV3888" s="1"/>
      <c r="AW3888" s="1"/>
      <c r="AX3888" s="1"/>
      <c r="AY3888" s="1"/>
    </row>
    <row r="3889" spans="2:51" customFormat="1" ht="18" customHeight="1">
      <c r="B3889" s="12" t="s">
        <v>302</v>
      </c>
      <c r="C3889" s="6" t="s">
        <v>4942</v>
      </c>
      <c r="D3889" s="14" t="s">
        <v>3238</v>
      </c>
      <c r="E3889" s="22">
        <v>2440</v>
      </c>
      <c r="F3889" s="107">
        <v>140</v>
      </c>
      <c r="G3889" s="22" t="s">
        <v>3311</v>
      </c>
      <c r="H3889" s="108">
        <v>58</v>
      </c>
      <c r="I3889" s="109">
        <v>9</v>
      </c>
      <c r="J3889" s="8">
        <f>H3889*I3889</f>
        <v>522</v>
      </c>
      <c r="K3889" s="39">
        <v>3.19</v>
      </c>
      <c r="L3889" s="39">
        <f>K3889*J3889</f>
        <v>1665.18</v>
      </c>
      <c r="M3889" s="117" t="s">
        <v>323</v>
      </c>
      <c r="N3889" s="33">
        <v>45525</v>
      </c>
      <c r="O3889" s="32">
        <v>6256</v>
      </c>
      <c r="P3889" s="391">
        <f>ROUNDUP(S3889/V3889/VLOOKUP(B3889,$C$2:$F$6,3,FALSE),2)</f>
        <v>2.8499999999999996</v>
      </c>
      <c r="Q3889" s="254">
        <v>2.85</v>
      </c>
      <c r="R3889" s="323">
        <f>Q3889*J3889</f>
        <v>1487.7</v>
      </c>
      <c r="S3889" s="257">
        <v>300</v>
      </c>
      <c r="T3889" s="287">
        <f>S3889*J3889</f>
        <v>156600</v>
      </c>
      <c r="U3889" s="264"/>
      <c r="V3889" s="260">
        <v>120</v>
      </c>
      <c r="W3889" s="1136">
        <f t="shared" si="298"/>
        <v>0.21630094043887149</v>
      </c>
      <c r="X3889" s="1"/>
      <c r="Y3889" s="1"/>
      <c r="Z3889" s="1"/>
      <c r="AA3889" s="1"/>
      <c r="AB3889" s="1"/>
      <c r="AC3889" s="1"/>
      <c r="AD3889" s="1"/>
      <c r="AE3889" s="1"/>
      <c r="AF3889" s="1"/>
      <c r="AG3889" s="1"/>
      <c r="AH3889" s="1"/>
      <c r="AI3889" s="1"/>
      <c r="AJ3889" s="1"/>
      <c r="AK3889" s="1"/>
      <c r="AL3889" s="1"/>
      <c r="AM3889" s="1"/>
      <c r="AN3889" s="1"/>
      <c r="AO3889" s="1"/>
      <c r="AP3889" s="1"/>
      <c r="AQ3889" s="1"/>
      <c r="AR3889" s="1"/>
      <c r="AS3889" s="1"/>
      <c r="AT3889" s="1"/>
      <c r="AU3889" s="1"/>
      <c r="AV3889" s="1"/>
      <c r="AW3889" s="1"/>
      <c r="AX3889" s="1"/>
      <c r="AY3889" s="1"/>
    </row>
    <row r="3890" spans="2:51" s="7" customFormat="1" ht="15">
      <c r="B3890" s="12"/>
      <c r="C3890" s="6" t="s">
        <v>4942</v>
      </c>
      <c r="D3890" s="14" t="s">
        <v>3238</v>
      </c>
      <c r="E3890" s="22"/>
      <c r="F3890" s="102"/>
      <c r="G3890" s="22" t="s">
        <v>316</v>
      </c>
      <c r="H3890" s="38"/>
      <c r="I3890" s="35"/>
      <c r="J3890" s="38">
        <v>1</v>
      </c>
      <c r="K3890" s="39">
        <v>20</v>
      </c>
      <c r="L3890" s="39">
        <f>K3890*J3890</f>
        <v>20</v>
      </c>
      <c r="M3890" s="91"/>
      <c r="N3890" s="33">
        <v>45525</v>
      </c>
      <c r="O3890" s="32">
        <v>6256</v>
      </c>
      <c r="P3890" s="722"/>
      <c r="Q3890" s="322">
        <v>20</v>
      </c>
      <c r="R3890" s="322">
        <f>Q3890*J3890</f>
        <v>20</v>
      </c>
      <c r="S3890" s="7">
        <v>1800</v>
      </c>
      <c r="T3890" s="7">
        <f>S3890*J3890</f>
        <v>1800</v>
      </c>
      <c r="U3890" s="21"/>
      <c r="V3890" s="260">
        <v>120</v>
      </c>
      <c r="W3890" s="1136">
        <f t="shared" si="298"/>
        <v>0.25</v>
      </c>
    </row>
    <row r="3891" spans="2:51" s="191" customFormat="1" ht="15">
      <c r="B3891" s="190"/>
      <c r="C3891" s="179" t="s">
        <v>4942</v>
      </c>
      <c r="D3891" s="180" t="s">
        <v>3238</v>
      </c>
      <c r="E3891" s="181"/>
      <c r="F3891" s="182"/>
      <c r="G3891" s="182" t="s">
        <v>2738</v>
      </c>
      <c r="H3891" s="184" t="s">
        <v>251</v>
      </c>
      <c r="I3891" s="185"/>
      <c r="J3891" s="183"/>
      <c r="K3891" s="192">
        <v>0</v>
      </c>
      <c r="L3891" s="187"/>
      <c r="M3891" s="187"/>
      <c r="N3891" s="187">
        <v>45525</v>
      </c>
      <c r="O3891" s="186">
        <v>6256</v>
      </c>
      <c r="P3891" s="179"/>
      <c r="Q3891" s="203"/>
      <c r="R3891" s="203"/>
      <c r="S3891" s="203"/>
      <c r="T3891" s="203"/>
      <c r="U3891" s="271"/>
      <c r="V3891" s="260">
        <v>120</v>
      </c>
      <c r="W3891" s="1136" t="e">
        <f t="shared" si="298"/>
        <v>#DIV/0!</v>
      </c>
    </row>
    <row r="3892" spans="2:51" s="7" customFormat="1" ht="18" customHeight="1">
      <c r="B3892" s="12"/>
      <c r="C3892" s="6" t="s">
        <v>4943</v>
      </c>
      <c r="D3892" s="14" t="s">
        <v>3391</v>
      </c>
      <c r="E3892" s="19" t="s">
        <v>10</v>
      </c>
      <c r="F3892" s="107"/>
      <c r="G3892" s="1256"/>
      <c r="H3892" s="108"/>
      <c r="I3892" s="109"/>
      <c r="J3892" s="108"/>
      <c r="K3892" s="29" t="s">
        <v>5</v>
      </c>
      <c r="L3892" s="139"/>
      <c r="M3892" s="33"/>
      <c r="N3892" s="33">
        <v>45527</v>
      </c>
      <c r="O3892" s="32">
        <v>6420</v>
      </c>
      <c r="P3892" s="14"/>
      <c r="Q3892" s="322"/>
      <c r="U3892" s="14"/>
      <c r="V3892" s="260">
        <v>120</v>
      </c>
      <c r="W3892" s="1136" t="e">
        <f t="shared" si="298"/>
        <v>#VALUE!</v>
      </c>
    </row>
    <row r="3893" spans="2:51" s="7" customFormat="1" ht="18" customHeight="1">
      <c r="B3893" s="12" t="s">
        <v>302</v>
      </c>
      <c r="C3893" s="6" t="s">
        <v>4943</v>
      </c>
      <c r="D3893" s="14" t="s">
        <v>3391</v>
      </c>
      <c r="E3893" s="22" t="s">
        <v>190</v>
      </c>
      <c r="F3893" s="107">
        <v>160</v>
      </c>
      <c r="G3893" s="22" t="s">
        <v>4944</v>
      </c>
      <c r="H3893" s="1255">
        <v>50</v>
      </c>
      <c r="I3893" s="109">
        <v>3</v>
      </c>
      <c r="J3893" s="8">
        <f>I3893*H3893</f>
        <v>150</v>
      </c>
      <c r="K3893" s="39">
        <v>5</v>
      </c>
      <c r="L3893" s="39">
        <f>K3893*J3893</f>
        <v>750</v>
      </c>
      <c r="M3893" s="117" t="s">
        <v>322</v>
      </c>
      <c r="N3893" s="33">
        <v>45527</v>
      </c>
      <c r="O3893" s="32">
        <v>6420</v>
      </c>
      <c r="P3893" s="391">
        <f>ROUNDUP(S3893/V3893/VLOOKUP(B3893,$C$2:$F$6,3,FALSE),2)</f>
        <v>3.7899999999999996</v>
      </c>
      <c r="Q3893" s="322">
        <v>3.79</v>
      </c>
      <c r="R3893" s="322">
        <f>Q3893*J3893</f>
        <v>568.5</v>
      </c>
      <c r="S3893" s="7">
        <v>400</v>
      </c>
      <c r="T3893" s="7">
        <f>S3893*J3893</f>
        <v>60000</v>
      </c>
      <c r="U3893" s="21"/>
      <c r="V3893" s="260">
        <v>120</v>
      </c>
      <c r="W3893" s="1136">
        <f t="shared" si="298"/>
        <v>0.33333333333333331</v>
      </c>
    </row>
    <row r="3894" spans="2:51" s="7" customFormat="1" ht="18" customHeight="1">
      <c r="B3894" s="12"/>
      <c r="C3894" s="6" t="s">
        <v>4943</v>
      </c>
      <c r="D3894" s="14" t="s">
        <v>3391</v>
      </c>
      <c r="E3894" s="22"/>
      <c r="F3894" s="102"/>
      <c r="G3894" s="22" t="s">
        <v>316</v>
      </c>
      <c r="H3894" s="8"/>
      <c r="I3894" s="35"/>
      <c r="J3894" s="38">
        <v>1</v>
      </c>
      <c r="K3894" s="39">
        <v>20</v>
      </c>
      <c r="L3894" s="39">
        <f>K3894*J3894</f>
        <v>20</v>
      </c>
      <c r="M3894" s="91"/>
      <c r="N3894" s="33">
        <v>45527</v>
      </c>
      <c r="O3894" s="32">
        <v>6420</v>
      </c>
      <c r="P3894" s="6" t="s">
        <v>3</v>
      </c>
      <c r="Q3894" s="39">
        <v>20</v>
      </c>
      <c r="R3894" s="322">
        <f>Q3894*J3894</f>
        <v>20</v>
      </c>
      <c r="S3894" s="7">
        <v>1800</v>
      </c>
      <c r="T3894" s="7">
        <f>S3894*J3894</f>
        <v>1800</v>
      </c>
      <c r="U3894" s="21"/>
      <c r="V3894" s="260">
        <v>120</v>
      </c>
      <c r="W3894" s="1136">
        <f t="shared" si="298"/>
        <v>0.25</v>
      </c>
    </row>
    <row r="3895" spans="2:51" s="191" customFormat="1" ht="15.75">
      <c r="B3895" s="190"/>
      <c r="C3895" s="179" t="s">
        <v>4943</v>
      </c>
      <c r="D3895" s="180" t="s">
        <v>3391</v>
      </c>
      <c r="E3895" s="181"/>
      <c r="F3895" s="182"/>
      <c r="G3895" s="309" t="s">
        <v>324</v>
      </c>
      <c r="H3895" s="184" t="s">
        <v>251</v>
      </c>
      <c r="I3895" s="185"/>
      <c r="J3895" s="183"/>
      <c r="K3895" s="192">
        <v>0</v>
      </c>
      <c r="L3895" s="187"/>
      <c r="M3895" s="187"/>
      <c r="N3895" s="187">
        <v>45527</v>
      </c>
      <c r="O3895" s="186">
        <v>6420</v>
      </c>
      <c r="P3895" s="179"/>
      <c r="Q3895" s="203"/>
      <c r="R3895" s="203"/>
      <c r="S3895" s="203"/>
      <c r="T3895" s="203"/>
      <c r="U3895" s="271"/>
      <c r="V3895" s="260">
        <v>120</v>
      </c>
      <c r="W3895" s="1136" t="e">
        <f t="shared" si="298"/>
        <v>#DIV/0!</v>
      </c>
    </row>
    <row r="3896" spans="2:51" s="7" customFormat="1" ht="18" customHeight="1">
      <c r="B3896" s="12"/>
      <c r="C3896" s="6" t="s">
        <v>4953</v>
      </c>
      <c r="D3896" s="14" t="s">
        <v>2034</v>
      </c>
      <c r="E3896" s="19" t="s">
        <v>4945</v>
      </c>
      <c r="F3896" s="37"/>
      <c r="G3896" s="37"/>
      <c r="H3896" s="108"/>
      <c r="I3896" s="108"/>
      <c r="J3896" s="108"/>
      <c r="K3896" s="110" t="s">
        <v>101</v>
      </c>
      <c r="L3896" s="139"/>
      <c r="M3896" s="33"/>
      <c r="N3896" s="33">
        <v>45485</v>
      </c>
      <c r="O3896" s="32">
        <v>6281</v>
      </c>
      <c r="P3896" s="6"/>
      <c r="Q3896" s="339"/>
      <c r="U3896" s="21"/>
      <c r="V3896" s="257"/>
      <c r="W3896" s="1136" t="e">
        <f t="shared" si="298"/>
        <v>#VALUE!</v>
      </c>
    </row>
    <row r="3897" spans="2:51" s="7" customFormat="1" ht="18" customHeight="1">
      <c r="B3897" s="12" t="s">
        <v>302</v>
      </c>
      <c r="C3897" s="6" t="s">
        <v>4953</v>
      </c>
      <c r="D3897" s="14" t="s">
        <v>2034</v>
      </c>
      <c r="E3897" s="22" t="s">
        <v>4946</v>
      </c>
      <c r="F3897" s="107">
        <v>92</v>
      </c>
      <c r="G3897" s="22" t="s">
        <v>58</v>
      </c>
      <c r="H3897" s="1255">
        <v>13.7</v>
      </c>
      <c r="I3897" s="109">
        <v>1</v>
      </c>
      <c r="J3897" s="131">
        <f>I3897*H3897</f>
        <v>13.7</v>
      </c>
      <c r="K3897" s="39">
        <v>28.13</v>
      </c>
      <c r="L3897" s="39">
        <f>K3897*J3897</f>
        <v>385.38099999999997</v>
      </c>
      <c r="M3897" s="117" t="s">
        <v>323</v>
      </c>
      <c r="N3897" s="33">
        <v>45485</v>
      </c>
      <c r="O3897" s="32">
        <v>6281</v>
      </c>
      <c r="P3897" s="391">
        <f>ROUNDUP(S3897/V3897/VLOOKUP(B3897,$C$2:$F$6,3,FALSE),2)</f>
        <v>25.57</v>
      </c>
      <c r="Q3897" s="322">
        <v>25.57</v>
      </c>
      <c r="R3897" s="322">
        <f>Q3897*J3897</f>
        <v>350.30899999999997</v>
      </c>
      <c r="S3897" s="7">
        <v>2700</v>
      </c>
      <c r="T3897" s="7">
        <f>S3897*J3897</f>
        <v>36990</v>
      </c>
      <c r="U3897" s="21"/>
      <c r="V3897" s="260">
        <v>120</v>
      </c>
      <c r="W3897" s="1136">
        <f t="shared" si="298"/>
        <v>0.20014219694276572</v>
      </c>
    </row>
    <row r="3898" spans="2:51" s="7" customFormat="1" ht="15">
      <c r="B3898" s="12"/>
      <c r="C3898" s="6" t="s">
        <v>4953</v>
      </c>
      <c r="D3898" s="14" t="s">
        <v>2034</v>
      </c>
      <c r="E3898" s="19" t="s">
        <v>4406</v>
      </c>
      <c r="F3898" s="24"/>
      <c r="G3898" s="22"/>
      <c r="H3898" s="60"/>
      <c r="I3898" s="61"/>
      <c r="J3898" s="60"/>
      <c r="K3898" s="16" t="s">
        <v>101</v>
      </c>
      <c r="L3898" s="33"/>
      <c r="M3898" s="33"/>
      <c r="N3898" s="33">
        <v>45485</v>
      </c>
      <c r="O3898" s="32">
        <v>6281</v>
      </c>
      <c r="P3898" s="6" t="s">
        <v>8</v>
      </c>
      <c r="Q3898" s="252"/>
      <c r="S3898" s="257"/>
      <c r="T3898" s="92"/>
      <c r="U3898" s="265"/>
      <c r="V3898" s="260">
        <v>120</v>
      </c>
      <c r="W3898" s="1136" t="e">
        <f t="shared" si="298"/>
        <v>#VALUE!</v>
      </c>
    </row>
    <row r="3899" spans="2:51" s="7" customFormat="1" ht="17.25" customHeight="1">
      <c r="B3899" s="12" t="s">
        <v>300</v>
      </c>
      <c r="C3899" s="6" t="s">
        <v>4953</v>
      </c>
      <c r="D3899" s="14" t="s">
        <v>2034</v>
      </c>
      <c r="E3899" s="22" t="s">
        <v>4947</v>
      </c>
      <c r="F3899" s="37"/>
      <c r="G3899" s="37" t="s">
        <v>58</v>
      </c>
      <c r="H3899" s="108">
        <v>13.7</v>
      </c>
      <c r="I3899" s="109">
        <v>1</v>
      </c>
      <c r="J3899" s="131">
        <f>H3899*I3899</f>
        <v>13.7</v>
      </c>
      <c r="K3899" s="39">
        <v>9.73</v>
      </c>
      <c r="L3899" s="39">
        <f>K3899*J3899</f>
        <v>133.30099999999999</v>
      </c>
      <c r="M3899" s="117" t="s">
        <v>349</v>
      </c>
      <c r="N3899" s="33">
        <v>45485</v>
      </c>
      <c r="O3899" s="32">
        <v>6281</v>
      </c>
      <c r="P3899" s="391">
        <f>ROUNDUP(S3899/V3899/VLOOKUP(B3899,$C$2:$F$6,3,FALSE),2)</f>
        <v>8.34</v>
      </c>
      <c r="Q3899" s="358">
        <v>8.34</v>
      </c>
      <c r="R3899" s="322">
        <f>Q3899*J3899</f>
        <v>114.258</v>
      </c>
      <c r="S3899" s="7">
        <v>700</v>
      </c>
      <c r="T3899" s="7">
        <f>S3899*J3899</f>
        <v>9590</v>
      </c>
      <c r="U3899" s="267"/>
      <c r="V3899" s="260">
        <v>120</v>
      </c>
      <c r="W3899" s="1136">
        <f t="shared" si="298"/>
        <v>0.4004796163069545</v>
      </c>
    </row>
    <row r="3900" spans="2:51" s="7" customFormat="1" ht="17.25" customHeight="1">
      <c r="B3900" s="12" t="s">
        <v>300</v>
      </c>
      <c r="C3900" s="6" t="s">
        <v>4953</v>
      </c>
      <c r="D3900" s="14" t="s">
        <v>2034</v>
      </c>
      <c r="E3900" s="22" t="s">
        <v>4948</v>
      </c>
      <c r="F3900" s="37"/>
      <c r="G3900" s="37" t="s">
        <v>58</v>
      </c>
      <c r="H3900" s="108">
        <v>13.7</v>
      </c>
      <c r="I3900" s="109">
        <v>1</v>
      </c>
      <c r="J3900" s="131">
        <f>H3900*I3900</f>
        <v>13.7</v>
      </c>
      <c r="K3900" s="39">
        <v>4.8600000000000003</v>
      </c>
      <c r="L3900" s="39">
        <f>K3900*J3900</f>
        <v>66.582000000000008</v>
      </c>
      <c r="M3900" s="117" t="s">
        <v>349</v>
      </c>
      <c r="N3900" s="33">
        <v>45485</v>
      </c>
      <c r="O3900" s="32">
        <v>6281</v>
      </c>
      <c r="P3900" s="391">
        <f>ROUNDUP(S3900/V3900/VLOOKUP(B3900,$C$2:$F$6,3,FALSE),2)</f>
        <v>4.17</v>
      </c>
      <c r="Q3900" s="358">
        <v>4.17</v>
      </c>
      <c r="R3900" s="322">
        <f>Q3900*J3900</f>
        <v>57.128999999999998</v>
      </c>
      <c r="S3900" s="7">
        <v>350</v>
      </c>
      <c r="T3900" s="7">
        <f>S3900*J3900</f>
        <v>4795</v>
      </c>
      <c r="U3900" s="267"/>
      <c r="V3900" s="260">
        <v>120</v>
      </c>
      <c r="W3900" s="1136">
        <f t="shared" si="298"/>
        <v>0.39986282578875176</v>
      </c>
    </row>
    <row r="3901" spans="2:51" s="7" customFormat="1" ht="17.25" customHeight="1">
      <c r="B3901" s="12" t="s">
        <v>300</v>
      </c>
      <c r="C3901" s="6" t="s">
        <v>4953</v>
      </c>
      <c r="D3901" s="14" t="s">
        <v>2034</v>
      </c>
      <c r="E3901" s="22" t="s">
        <v>4949</v>
      </c>
      <c r="F3901" s="37"/>
      <c r="G3901" s="37" t="s">
        <v>58</v>
      </c>
      <c r="H3901" s="108">
        <v>13.7</v>
      </c>
      <c r="I3901" s="109">
        <v>1</v>
      </c>
      <c r="J3901" s="131">
        <f>H3901*I3901</f>
        <v>13.7</v>
      </c>
      <c r="K3901" s="39">
        <v>5.38</v>
      </c>
      <c r="L3901" s="39">
        <f>K3901*J3901</f>
        <v>73.705999999999989</v>
      </c>
      <c r="M3901" s="117" t="s">
        <v>349</v>
      </c>
      <c r="N3901" s="33">
        <v>45485</v>
      </c>
      <c r="O3901" s="32">
        <v>6281</v>
      </c>
      <c r="P3901" s="391">
        <f>ROUNDUP(S3901/V3901/VLOOKUP(B3901,$C$2:$F$6,3,FALSE),2)</f>
        <v>4.6099999999999994</v>
      </c>
      <c r="Q3901" s="358">
        <v>4.6100000000000003</v>
      </c>
      <c r="R3901" s="322">
        <f>Q3901*J3901</f>
        <v>63.157000000000004</v>
      </c>
      <c r="S3901" s="7">
        <v>387</v>
      </c>
      <c r="T3901" s="7">
        <f>S3901*J3901</f>
        <v>5301.9</v>
      </c>
      <c r="U3901" s="267"/>
      <c r="V3901" s="260">
        <v>120</v>
      </c>
      <c r="W3901" s="1136">
        <f t="shared" si="298"/>
        <v>0.40055762081784391</v>
      </c>
    </row>
    <row r="3902" spans="2:51" s="7" customFormat="1" ht="17.25" customHeight="1">
      <c r="B3902" s="12" t="s">
        <v>300</v>
      </c>
      <c r="C3902" s="6" t="s">
        <v>4953</v>
      </c>
      <c r="D3902" s="14" t="s">
        <v>2034</v>
      </c>
      <c r="E3902" s="22" t="s">
        <v>4950</v>
      </c>
      <c r="F3902" s="37"/>
      <c r="G3902" s="37" t="s">
        <v>58</v>
      </c>
      <c r="H3902" s="108">
        <v>13.7</v>
      </c>
      <c r="I3902" s="109">
        <v>1</v>
      </c>
      <c r="J3902" s="131">
        <f>H3902*I3902</f>
        <v>13.7</v>
      </c>
      <c r="K3902" s="39">
        <v>14.45</v>
      </c>
      <c r="L3902" s="39">
        <f>K3902*J3902</f>
        <v>197.96499999999997</v>
      </c>
      <c r="M3902" s="117" t="s">
        <v>349</v>
      </c>
      <c r="N3902" s="33">
        <v>45485</v>
      </c>
      <c r="O3902" s="32">
        <v>6281</v>
      </c>
      <c r="P3902" s="391">
        <f>ROUNDUP(S3902/V3902/VLOOKUP(B3902,$C$2:$F$6,3,FALSE),2)</f>
        <v>12.39</v>
      </c>
      <c r="Q3902" s="358">
        <v>12.39</v>
      </c>
      <c r="R3902" s="322">
        <f>Q3902*J3902</f>
        <v>169.74299999999999</v>
      </c>
      <c r="S3902" s="7">
        <v>1040</v>
      </c>
      <c r="T3902" s="7">
        <f>S3902*J3902</f>
        <v>14248</v>
      </c>
      <c r="U3902" s="267"/>
      <c r="V3902" s="260">
        <v>120</v>
      </c>
      <c r="W3902" s="1136">
        <f t="shared" si="298"/>
        <v>0.40023068050749711</v>
      </c>
    </row>
    <row r="3903" spans="2:51" s="7" customFormat="1" ht="18" customHeight="1">
      <c r="B3903" s="12"/>
      <c r="C3903" s="6" t="s">
        <v>4953</v>
      </c>
      <c r="D3903" s="14" t="s">
        <v>2034</v>
      </c>
      <c r="E3903" s="22"/>
      <c r="F3903" s="102"/>
      <c r="G3903" s="22" t="s">
        <v>316</v>
      </c>
      <c r="H3903" s="8"/>
      <c r="I3903" s="35"/>
      <c r="J3903" s="38">
        <v>3</v>
      </c>
      <c r="K3903" s="39">
        <v>12</v>
      </c>
      <c r="L3903" s="39">
        <f>K3903*J3903</f>
        <v>36</v>
      </c>
      <c r="M3903" s="91"/>
      <c r="N3903" s="33">
        <v>45485</v>
      </c>
      <c r="O3903" s="32">
        <v>6281</v>
      </c>
      <c r="P3903" s="6" t="s">
        <v>3</v>
      </c>
      <c r="Q3903" s="39">
        <v>12</v>
      </c>
      <c r="R3903" s="322">
        <f>Q3903*J3903</f>
        <v>36</v>
      </c>
      <c r="S3903" s="7">
        <v>900</v>
      </c>
      <c r="T3903" s="7">
        <v>900</v>
      </c>
      <c r="U3903" s="21"/>
      <c r="V3903" s="260">
        <v>120</v>
      </c>
      <c r="W3903" s="1136">
        <f t="shared" si="298"/>
        <v>0.375</v>
      </c>
    </row>
    <row r="3904" spans="2:51" s="191" customFormat="1" ht="18" customHeight="1">
      <c r="B3904" s="190"/>
      <c r="C3904" s="179" t="s">
        <v>4953</v>
      </c>
      <c r="D3904" s="180" t="s">
        <v>2034</v>
      </c>
      <c r="E3904" s="181"/>
      <c r="F3904" s="182"/>
      <c r="G3904" s="182" t="s">
        <v>250</v>
      </c>
      <c r="H3904" s="184" t="s">
        <v>252</v>
      </c>
      <c r="I3904" s="185"/>
      <c r="J3904" s="183"/>
      <c r="K3904" s="203">
        <v>60</v>
      </c>
      <c r="L3904" s="203">
        <v>60</v>
      </c>
      <c r="M3904" s="947"/>
      <c r="N3904" s="187">
        <v>45485</v>
      </c>
      <c r="O3904" s="186">
        <v>6281</v>
      </c>
      <c r="P3904" s="179"/>
      <c r="Q3904" s="203">
        <v>60</v>
      </c>
      <c r="R3904" s="203">
        <v>60</v>
      </c>
      <c r="S3904" s="7">
        <v>7091</v>
      </c>
      <c r="T3904" s="7">
        <v>7091</v>
      </c>
      <c r="U3904" s="335"/>
      <c r="V3904" s="260">
        <v>120</v>
      </c>
      <c r="W3904" s="1136">
        <f t="shared" si="298"/>
        <v>1.5138888888888889E-2</v>
      </c>
      <c r="X3904" s="218"/>
    </row>
    <row r="3905" spans="1:51" s="7" customFormat="1" ht="15">
      <c r="B3905" s="12"/>
      <c r="C3905" s="965" t="s">
        <v>4951</v>
      </c>
      <c r="D3905" s="14" t="s">
        <v>3150</v>
      </c>
      <c r="E3905" s="19" t="s">
        <v>2244</v>
      </c>
      <c r="F3905" s="24"/>
      <c r="G3905" s="22"/>
      <c r="H3905" s="60"/>
      <c r="I3905" s="61"/>
      <c r="J3905" s="8"/>
      <c r="K3905" s="110" t="s">
        <v>5</v>
      </c>
      <c r="L3905" s="139"/>
      <c r="M3905" s="33"/>
      <c r="N3905" s="33">
        <v>45485</v>
      </c>
      <c r="O3905" s="32">
        <v>6287</v>
      </c>
      <c r="P3905" s="6" t="s">
        <v>8</v>
      </c>
      <c r="Q3905" s="358"/>
      <c r="U3905" s="120"/>
      <c r="V3905" s="260">
        <v>120</v>
      </c>
      <c r="W3905" s="1136" t="e">
        <f t="shared" ref="W3905:W3912" si="299">(((K3905*V3905)-S3905)/(K3905*V3905))</f>
        <v>#VALUE!</v>
      </c>
    </row>
    <row r="3906" spans="1:51" s="7" customFormat="1" ht="18" customHeight="1">
      <c r="B3906" s="12" t="s">
        <v>300</v>
      </c>
      <c r="C3906" s="965" t="s">
        <v>4951</v>
      </c>
      <c r="D3906" s="14" t="s">
        <v>3150</v>
      </c>
      <c r="E3906" s="22">
        <v>11700</v>
      </c>
      <c r="F3906" s="37">
        <v>9</v>
      </c>
      <c r="G3906" s="22" t="s">
        <v>118</v>
      </c>
      <c r="H3906" s="8">
        <v>10</v>
      </c>
      <c r="I3906" s="35">
        <v>2</v>
      </c>
      <c r="J3906" s="108">
        <f>H3906*I3906</f>
        <v>20</v>
      </c>
      <c r="K3906" s="958">
        <v>1.64</v>
      </c>
      <c r="L3906" s="39">
        <f>K3906*J3906</f>
        <v>32.799999999999997</v>
      </c>
      <c r="M3906" s="117" t="s">
        <v>349</v>
      </c>
      <c r="N3906" s="33">
        <v>45485</v>
      </c>
      <c r="O3906" s="32">
        <v>6287</v>
      </c>
      <c r="P3906" s="391">
        <f>ROUNDUP(S3906/V3906/VLOOKUP(B3906,$C$2:$F$6,3,FALSE),2)</f>
        <v>1.06</v>
      </c>
      <c r="Q3906" s="322">
        <v>1.06</v>
      </c>
      <c r="R3906" s="322">
        <f>Q3906*J3906</f>
        <v>21.200000000000003</v>
      </c>
      <c r="S3906" s="7">
        <v>88.3</v>
      </c>
      <c r="T3906" s="7">
        <f>S3906*J3906</f>
        <v>1766</v>
      </c>
      <c r="U3906" s="39"/>
      <c r="V3906" s="260">
        <v>120</v>
      </c>
      <c r="W3906" s="1136">
        <f t="shared" si="299"/>
        <v>0.55132113821138207</v>
      </c>
    </row>
    <row r="3907" spans="1:51" s="7" customFormat="1" ht="18" customHeight="1">
      <c r="B3907" s="12"/>
      <c r="C3907" s="965" t="s">
        <v>4951</v>
      </c>
      <c r="D3907" s="14" t="s">
        <v>3150</v>
      </c>
      <c r="E3907" s="17" t="s">
        <v>1976</v>
      </c>
      <c r="F3907" s="37"/>
      <c r="G3907" s="37"/>
      <c r="H3907" s="108"/>
      <c r="I3907" s="108"/>
      <c r="J3907" s="108"/>
      <c r="K3907" s="110" t="s">
        <v>5</v>
      </c>
      <c r="L3907" s="139"/>
      <c r="M3907" s="33"/>
      <c r="N3907" s="33">
        <v>45485</v>
      </c>
      <c r="O3907" s="32">
        <v>6287</v>
      </c>
      <c r="P3907" s="6"/>
      <c r="Q3907" s="339"/>
      <c r="S3907" s="308" t="s">
        <v>4879</v>
      </c>
      <c r="U3907" s="21"/>
      <c r="V3907" s="260">
        <v>120</v>
      </c>
      <c r="W3907" s="1136" t="e">
        <f t="shared" si="299"/>
        <v>#VALUE!</v>
      </c>
    </row>
    <row r="3908" spans="1:51" s="7" customFormat="1" ht="18" customHeight="1">
      <c r="B3908" s="12" t="s">
        <v>300</v>
      </c>
      <c r="C3908" s="965" t="s">
        <v>4951</v>
      </c>
      <c r="D3908" s="14" t="s">
        <v>3150</v>
      </c>
      <c r="E3908" s="22">
        <v>12701</v>
      </c>
      <c r="F3908" s="24">
        <v>38</v>
      </c>
      <c r="G3908" s="22" t="s">
        <v>4952</v>
      </c>
      <c r="H3908" s="108">
        <v>10</v>
      </c>
      <c r="I3908" s="109">
        <v>1</v>
      </c>
      <c r="J3908" s="8">
        <f>H3908*I3908</f>
        <v>10</v>
      </c>
      <c r="K3908" s="958">
        <v>2.9</v>
      </c>
      <c r="L3908" s="39">
        <f>K3908*J3908</f>
        <v>29</v>
      </c>
      <c r="M3908" s="117" t="s">
        <v>349</v>
      </c>
      <c r="N3908" s="33">
        <v>45485</v>
      </c>
      <c r="O3908" s="32">
        <v>6287</v>
      </c>
      <c r="P3908" s="391">
        <f>ROUNDUP(S3908/V3908/VLOOKUP(B3908,$C$2:$F$6,3,FALSE),2)</f>
        <v>1.68</v>
      </c>
      <c r="Q3908" s="322">
        <v>1.68</v>
      </c>
      <c r="R3908" s="322">
        <f>Q3908*J3908</f>
        <v>16.8</v>
      </c>
      <c r="S3908" s="92">
        <v>140.6</v>
      </c>
      <c r="T3908" s="7">
        <f>S3908*J3908</f>
        <v>1406</v>
      </c>
      <c r="U3908" s="959"/>
      <c r="V3908" s="260">
        <v>120</v>
      </c>
      <c r="W3908" s="1136">
        <f t="shared" si="299"/>
        <v>0.59597701149425286</v>
      </c>
    </row>
    <row r="3909" spans="1:51" s="7" customFormat="1" ht="18" customHeight="1">
      <c r="B3909" s="12"/>
      <c r="C3909" s="965" t="s">
        <v>4951</v>
      </c>
      <c r="D3909" s="14" t="s">
        <v>3150</v>
      </c>
      <c r="E3909" s="82"/>
      <c r="F3909" s="102"/>
      <c r="G3909" s="22" t="s">
        <v>316</v>
      </c>
      <c r="H3909" s="8"/>
      <c r="I3909" s="35"/>
      <c r="J3909" s="38">
        <v>1</v>
      </c>
      <c r="K3909" s="39">
        <v>12</v>
      </c>
      <c r="L3909" s="39">
        <f>K3909*J3909</f>
        <v>12</v>
      </c>
      <c r="M3909" s="91"/>
      <c r="N3909" s="33">
        <v>45485</v>
      </c>
      <c r="O3909" s="32">
        <v>6287</v>
      </c>
      <c r="P3909" s="6"/>
      <c r="Q3909" s="322">
        <v>12</v>
      </c>
      <c r="R3909" s="322">
        <v>12</v>
      </c>
      <c r="S3909" s="7">
        <v>0</v>
      </c>
      <c r="T3909" s="7">
        <f>S3909*J3909</f>
        <v>0</v>
      </c>
      <c r="U3909" s="21"/>
      <c r="V3909" s="260">
        <v>120</v>
      </c>
      <c r="W3909" s="1136">
        <f t="shared" si="299"/>
        <v>1</v>
      </c>
    </row>
    <row r="3910" spans="1:51" s="191" customFormat="1" ht="15">
      <c r="B3910" s="190"/>
      <c r="C3910" s="966" t="s">
        <v>4951</v>
      </c>
      <c r="D3910" s="180" t="s">
        <v>3150</v>
      </c>
      <c r="E3910" s="181"/>
      <c r="F3910" s="182"/>
      <c r="G3910" s="182" t="s">
        <v>2738</v>
      </c>
      <c r="H3910" s="184" t="s">
        <v>251</v>
      </c>
      <c r="I3910" s="185"/>
      <c r="J3910" s="183"/>
      <c r="K3910" s="192">
        <v>0</v>
      </c>
      <c r="L3910" s="187"/>
      <c r="M3910" s="187"/>
      <c r="N3910" s="187">
        <v>45485</v>
      </c>
      <c r="O3910" s="186">
        <v>6287</v>
      </c>
      <c r="P3910" s="179"/>
      <c r="Q3910" s="255">
        <v>0</v>
      </c>
      <c r="S3910" s="274">
        <v>0</v>
      </c>
      <c r="T3910" s="198">
        <v>0</v>
      </c>
      <c r="U3910" s="271"/>
      <c r="V3910" s="260">
        <v>120</v>
      </c>
      <c r="W3910" s="1136" t="e">
        <f t="shared" si="299"/>
        <v>#DIV/0!</v>
      </c>
    </row>
    <row r="3911" spans="1:51" customFormat="1" ht="18" customHeight="1">
      <c r="A3911" s="1"/>
      <c r="B3911" s="26"/>
      <c r="C3911" s="6" t="s">
        <v>4954</v>
      </c>
      <c r="D3911" s="14" t="s">
        <v>4832</v>
      </c>
      <c r="E3911" s="19" t="s">
        <v>59</v>
      </c>
      <c r="F3911" s="107"/>
      <c r="G3911" s="22"/>
      <c r="H3911" s="108"/>
      <c r="I3911" s="109"/>
      <c r="J3911" s="108"/>
      <c r="K3911" s="110" t="s">
        <v>5</v>
      </c>
      <c r="L3911" s="33"/>
      <c r="M3911" s="33"/>
      <c r="N3911" s="33"/>
      <c r="O3911" s="32"/>
      <c r="P3911" s="14"/>
      <c r="Q3911" s="254"/>
      <c r="R3911" s="1"/>
      <c r="S3911" s="261"/>
      <c r="T3911" s="92"/>
      <c r="U3911" s="264"/>
      <c r="V3911" s="260">
        <v>120</v>
      </c>
      <c r="W3911" s="1136" t="e">
        <f t="shared" si="299"/>
        <v>#VALUE!</v>
      </c>
      <c r="X3911" s="1"/>
      <c r="Y3911" s="1"/>
      <c r="Z3911" s="1"/>
      <c r="AA3911" s="1"/>
      <c r="AB3911" s="1"/>
      <c r="AC3911" s="1"/>
      <c r="AD3911" s="1"/>
      <c r="AE3911" s="1"/>
      <c r="AF3911" s="1"/>
      <c r="AG3911" s="1"/>
      <c r="AH3911" s="1"/>
      <c r="AI3911" s="1"/>
      <c r="AJ3911" s="1"/>
      <c r="AK3911" s="1"/>
      <c r="AL3911" s="1"/>
      <c r="AM3911" s="1"/>
      <c r="AN3911" s="1"/>
      <c r="AO3911" s="1"/>
      <c r="AP3911" s="1"/>
      <c r="AQ3911" s="1"/>
      <c r="AR3911" s="1"/>
      <c r="AS3911" s="1"/>
      <c r="AT3911" s="1"/>
      <c r="AU3911" s="1"/>
      <c r="AV3911" s="1"/>
      <c r="AW3911" s="1"/>
      <c r="AX3911" s="1"/>
      <c r="AY3911" s="1"/>
    </row>
    <row r="3912" spans="1:51" customFormat="1" ht="18.75" customHeight="1">
      <c r="B3912" s="12" t="s">
        <v>302</v>
      </c>
      <c r="C3912" s="6" t="s">
        <v>4954</v>
      </c>
      <c r="D3912" s="14" t="s">
        <v>4832</v>
      </c>
      <c r="E3912" s="82" t="s">
        <v>7</v>
      </c>
      <c r="F3912" s="107">
        <v>132</v>
      </c>
      <c r="G3912" s="22" t="s">
        <v>4955</v>
      </c>
      <c r="H3912" s="108">
        <v>50</v>
      </c>
      <c r="I3912" s="109">
        <v>1</v>
      </c>
      <c r="J3912" s="8">
        <f>H3912*I3912</f>
        <v>50</v>
      </c>
      <c r="K3912" s="39">
        <v>5.56</v>
      </c>
      <c r="L3912" s="39">
        <f>K3912*J3912</f>
        <v>278</v>
      </c>
      <c r="M3912" s="117" t="s">
        <v>323</v>
      </c>
      <c r="N3912" s="33"/>
      <c r="O3912" s="32"/>
      <c r="P3912" s="391">
        <f>ROUNDUP(S3912/V3912/VLOOKUP(B3912,$C$2:$F$6,3,FALSE),2)</f>
        <v>3.7899999999999996</v>
      </c>
      <c r="Q3912" s="254">
        <v>3.79</v>
      </c>
      <c r="R3912" s="323">
        <f>Q3912*J3912</f>
        <v>189.5</v>
      </c>
      <c r="S3912" s="257">
        <v>400</v>
      </c>
      <c r="T3912" s="287">
        <f>S3912*J3912</f>
        <v>20000</v>
      </c>
      <c r="U3912" s="264"/>
      <c r="V3912" s="260">
        <v>120</v>
      </c>
      <c r="W3912" s="1136">
        <f t="shared" si="299"/>
        <v>0.40047961630695439</v>
      </c>
      <c r="X3912" s="1"/>
      <c r="Y3912" s="1"/>
      <c r="Z3912" s="1"/>
      <c r="AA3912" s="1"/>
      <c r="AB3912" s="1"/>
      <c r="AC3912" s="1"/>
      <c r="AD3912" s="1"/>
      <c r="AE3912" s="1"/>
      <c r="AF3912" s="1"/>
      <c r="AG3912" s="1"/>
      <c r="AH3912" s="1"/>
      <c r="AI3912" s="1"/>
      <c r="AJ3912" s="1"/>
      <c r="AK3912" s="1"/>
      <c r="AL3912" s="1"/>
      <c r="AM3912" s="1"/>
      <c r="AN3912" s="1"/>
      <c r="AO3912" s="1"/>
      <c r="AP3912" s="1"/>
      <c r="AQ3912" s="1"/>
      <c r="AR3912" s="1"/>
      <c r="AS3912" s="1"/>
      <c r="AT3912" s="1"/>
      <c r="AU3912" s="1"/>
      <c r="AV3912" s="1"/>
      <c r="AW3912" s="1"/>
      <c r="AX3912" s="1"/>
      <c r="AY3912" s="1"/>
    </row>
    <row r="3913" spans="1:51" customFormat="1" ht="18.75" customHeight="1">
      <c r="B3913" s="12" t="s">
        <v>302</v>
      </c>
      <c r="C3913" s="6" t="s">
        <v>4954</v>
      </c>
      <c r="D3913" s="14" t="s">
        <v>4832</v>
      </c>
      <c r="E3913" s="82" t="s">
        <v>7</v>
      </c>
      <c r="F3913" s="107">
        <v>132</v>
      </c>
      <c r="G3913" s="22" t="s">
        <v>4956</v>
      </c>
      <c r="H3913" s="108">
        <v>50</v>
      </c>
      <c r="I3913" s="109">
        <v>1</v>
      </c>
      <c r="J3913" s="8">
        <f>H3913*I3913</f>
        <v>50</v>
      </c>
      <c r="K3913" s="39">
        <v>5.56</v>
      </c>
      <c r="L3913" s="39">
        <f>K3913*J3913</f>
        <v>278</v>
      </c>
      <c r="M3913" s="117" t="s">
        <v>323</v>
      </c>
      <c r="N3913" s="33"/>
      <c r="O3913" s="32"/>
      <c r="P3913" s="391">
        <f>ROUNDUP(S3913/V3913/VLOOKUP(B3913,$C$2:$F$6,3,FALSE),2)</f>
        <v>3.7899999999999996</v>
      </c>
      <c r="Q3913" s="254">
        <v>3.79</v>
      </c>
      <c r="R3913" s="323">
        <f>Q3913*J3913</f>
        <v>189.5</v>
      </c>
      <c r="S3913" s="257">
        <v>400</v>
      </c>
      <c r="T3913" s="287">
        <f>S3913*J3913</f>
        <v>20000</v>
      </c>
      <c r="U3913" s="264"/>
      <c r="V3913" s="260">
        <v>120</v>
      </c>
      <c r="W3913" s="1136">
        <f>(((K3913*V3913)-S3913)/(K3913*V3913))</f>
        <v>0.40047961630695439</v>
      </c>
      <c r="X3913" s="1"/>
      <c r="Y3913" s="1"/>
      <c r="Z3913" s="1"/>
      <c r="AA3913" s="1"/>
      <c r="AB3913" s="1"/>
      <c r="AC3913" s="1"/>
      <c r="AD3913" s="1"/>
      <c r="AE3913" s="1"/>
      <c r="AF3913" s="1"/>
      <c r="AG3913" s="1"/>
      <c r="AH3913" s="1"/>
      <c r="AI3913" s="1"/>
      <c r="AJ3913" s="1"/>
      <c r="AK3913" s="1"/>
      <c r="AL3913" s="1"/>
      <c r="AM3913" s="1"/>
      <c r="AN3913" s="1"/>
      <c r="AO3913" s="1"/>
      <c r="AP3913" s="1"/>
      <c r="AQ3913" s="1"/>
      <c r="AR3913" s="1"/>
      <c r="AS3913" s="1"/>
      <c r="AT3913" s="1"/>
      <c r="AU3913" s="1"/>
      <c r="AV3913" s="1"/>
      <c r="AW3913" s="1"/>
      <c r="AX3913" s="1"/>
      <c r="AY3913" s="1"/>
    </row>
    <row r="3914" spans="1:51" s="7" customFormat="1" ht="18" customHeight="1">
      <c r="B3914" s="12"/>
      <c r="C3914" s="6" t="s">
        <v>4954</v>
      </c>
      <c r="D3914" s="14" t="s">
        <v>4832</v>
      </c>
      <c r="E3914" s="22"/>
      <c r="F3914" s="102"/>
      <c r="G3914" s="22" t="s">
        <v>316</v>
      </c>
      <c r="H3914" s="8"/>
      <c r="I3914" s="35"/>
      <c r="J3914" s="38">
        <v>1</v>
      </c>
      <c r="K3914" s="39">
        <v>20</v>
      </c>
      <c r="L3914" s="39">
        <f>K3914*J3914</f>
        <v>20</v>
      </c>
      <c r="M3914" s="91"/>
      <c r="N3914" s="33"/>
      <c r="O3914" s="32"/>
      <c r="P3914" s="6" t="s">
        <v>3</v>
      </c>
      <c r="Q3914" s="39">
        <v>20</v>
      </c>
      <c r="R3914" s="322">
        <f>Q3914*J3914</f>
        <v>20</v>
      </c>
      <c r="S3914" s="7">
        <v>1800</v>
      </c>
      <c r="T3914" s="7">
        <f>S3914*J3914</f>
        <v>1800</v>
      </c>
      <c r="U3914" s="21"/>
      <c r="V3914" s="260">
        <v>120</v>
      </c>
      <c r="W3914" s="1136">
        <f>(((K3914*V3914)-S3914)/(K3914*V3914))</f>
        <v>0.25</v>
      </c>
    </row>
    <row r="3915" spans="1:51" s="191" customFormat="1" ht="15.75">
      <c r="B3915" s="190"/>
      <c r="C3915" s="179" t="s">
        <v>4954</v>
      </c>
      <c r="D3915" s="180" t="s">
        <v>4832</v>
      </c>
      <c r="E3915" s="181"/>
      <c r="F3915" s="182"/>
      <c r="G3915" s="309" t="s">
        <v>324</v>
      </c>
      <c r="H3915" s="184" t="s">
        <v>374</v>
      </c>
      <c r="I3915" s="185"/>
      <c r="J3915" s="183"/>
      <c r="K3915" s="203" t="s">
        <v>216</v>
      </c>
      <c r="L3915" s="203" t="s">
        <v>216</v>
      </c>
      <c r="M3915" s="187"/>
      <c r="N3915" s="187"/>
      <c r="O3915" s="186"/>
      <c r="P3915" s="179"/>
      <c r="Q3915" s="203" t="s">
        <v>216</v>
      </c>
      <c r="R3915" s="203" t="s">
        <v>216</v>
      </c>
      <c r="S3915" s="203" t="s">
        <v>216</v>
      </c>
      <c r="T3915" s="203" t="s">
        <v>216</v>
      </c>
      <c r="U3915" s="271"/>
      <c r="V3915" s="260">
        <v>120</v>
      </c>
      <c r="W3915" s="1136" t="e">
        <f>(((K3915*V3915)-S3915)/(K3915*V3915))</f>
        <v>#VALUE!</v>
      </c>
    </row>
    <row r="3916" spans="1:51" s="7" customFormat="1" ht="18" customHeight="1">
      <c r="B3916" s="12"/>
      <c r="C3916" s="965" t="s">
        <v>4957</v>
      </c>
      <c r="D3916" s="14" t="s">
        <v>2162</v>
      </c>
      <c r="E3916" s="19" t="s">
        <v>2163</v>
      </c>
      <c r="F3916" s="37"/>
      <c r="G3916" s="37"/>
      <c r="H3916" s="108"/>
      <c r="I3916" s="108"/>
      <c r="J3916" s="108"/>
      <c r="K3916" s="110" t="s">
        <v>5</v>
      </c>
      <c r="L3916" s="139"/>
      <c r="M3916" s="33"/>
      <c r="N3916" s="33">
        <v>45496</v>
      </c>
      <c r="O3916" s="32">
        <v>6323</v>
      </c>
      <c r="P3916" s="6"/>
      <c r="Q3916" s="339"/>
      <c r="U3916" s="21"/>
      <c r="V3916" s="260">
        <v>120</v>
      </c>
      <c r="W3916" s="1136" t="e">
        <f t="shared" ref="W3916:W3945" si="300">(((K3916*V3916)-S3916)/(K3916*V3916))</f>
        <v>#VALUE!</v>
      </c>
    </row>
    <row r="3917" spans="1:51" s="7" customFormat="1" ht="18" customHeight="1">
      <c r="B3917" s="12" t="s">
        <v>300</v>
      </c>
      <c r="C3917" s="965" t="s">
        <v>4957</v>
      </c>
      <c r="D3917" s="14" t="s">
        <v>2162</v>
      </c>
      <c r="E3917" s="22">
        <v>5603</v>
      </c>
      <c r="F3917" s="37"/>
      <c r="G3917" s="22" t="s">
        <v>185</v>
      </c>
      <c r="H3917" s="108">
        <v>50</v>
      </c>
      <c r="I3917" s="950">
        <v>4</v>
      </c>
      <c r="J3917" s="8">
        <f>I3917*H3917</f>
        <v>200</v>
      </c>
      <c r="K3917" s="39">
        <v>0.34</v>
      </c>
      <c r="L3917" s="39">
        <f>K3917*J3917</f>
        <v>68</v>
      </c>
      <c r="M3917" s="117" t="s">
        <v>349</v>
      </c>
      <c r="N3917" s="33">
        <v>45496</v>
      </c>
      <c r="O3917" s="32">
        <v>6323</v>
      </c>
      <c r="P3917" s="391">
        <f>ROUNDUP(S3917/V3917/VLOOKUP(B3917,$C$2:$F$6,3,FALSE),2)</f>
        <v>0.22</v>
      </c>
      <c r="Q3917" s="322">
        <v>0.22</v>
      </c>
      <c r="R3917" s="322">
        <f>Q3917*J3917</f>
        <v>44</v>
      </c>
      <c r="S3917" s="7">
        <v>18.3</v>
      </c>
      <c r="T3917" s="7">
        <f>S3917*J3917</f>
        <v>3660</v>
      </c>
      <c r="U3917" s="21"/>
      <c r="V3917" s="260">
        <v>120</v>
      </c>
      <c r="W3917" s="1136">
        <f t="shared" si="300"/>
        <v>0.55147058823529416</v>
      </c>
    </row>
    <row r="3918" spans="1:51" s="7" customFormat="1" ht="18" customHeight="1">
      <c r="B3918" s="12" t="s">
        <v>300</v>
      </c>
      <c r="C3918" s="965" t="s">
        <v>4957</v>
      </c>
      <c r="D3918" s="14" t="s">
        <v>2162</v>
      </c>
      <c r="E3918" s="22">
        <v>5603</v>
      </c>
      <c r="F3918" s="37"/>
      <c r="G3918" s="22" t="s">
        <v>4958</v>
      </c>
      <c r="H3918" s="108">
        <v>50</v>
      </c>
      <c r="I3918" s="950">
        <v>3</v>
      </c>
      <c r="J3918" s="8">
        <f>I3918*H3918</f>
        <v>150</v>
      </c>
      <c r="K3918" s="39">
        <v>0.34</v>
      </c>
      <c r="L3918" s="39">
        <f>K3918*J3918</f>
        <v>51.000000000000007</v>
      </c>
      <c r="M3918" s="117" t="s">
        <v>349</v>
      </c>
      <c r="N3918" s="33">
        <v>45496</v>
      </c>
      <c r="O3918" s="32">
        <v>6323</v>
      </c>
      <c r="P3918" s="391">
        <f>ROUNDUP(S3918/V3918/VLOOKUP(B3918,$C$2:$F$6,3,FALSE),2)</f>
        <v>0.22</v>
      </c>
      <c r="Q3918" s="322">
        <v>0.22</v>
      </c>
      <c r="R3918" s="322">
        <f>Q3918*J3918</f>
        <v>33</v>
      </c>
      <c r="S3918" s="7">
        <v>18.3</v>
      </c>
      <c r="T3918" s="7">
        <f>S3918*J3918</f>
        <v>2745</v>
      </c>
      <c r="U3918" s="21"/>
      <c r="V3918" s="260">
        <v>120</v>
      </c>
      <c r="W3918" s="1136">
        <f>(((K3918*V3918)-S3918)/(K3918*V3918))</f>
        <v>0.55147058823529416</v>
      </c>
    </row>
    <row r="3919" spans="1:51" s="7" customFormat="1" ht="18" customHeight="1">
      <c r="B3919" s="12" t="s">
        <v>300</v>
      </c>
      <c r="C3919" s="965" t="s">
        <v>4957</v>
      </c>
      <c r="D3919" s="14" t="s">
        <v>2162</v>
      </c>
      <c r="E3919" s="22">
        <v>5603</v>
      </c>
      <c r="F3919" s="37"/>
      <c r="G3919" s="22" t="s">
        <v>4959</v>
      </c>
      <c r="H3919" s="108">
        <v>50</v>
      </c>
      <c r="I3919" s="950">
        <v>5</v>
      </c>
      <c r="J3919" s="8">
        <f>I3919*H3919</f>
        <v>250</v>
      </c>
      <c r="K3919" s="39">
        <v>0.34</v>
      </c>
      <c r="L3919" s="39">
        <f>K3919*J3919</f>
        <v>85</v>
      </c>
      <c r="M3919" s="117" t="s">
        <v>349</v>
      </c>
      <c r="N3919" s="33">
        <v>45496</v>
      </c>
      <c r="O3919" s="32">
        <v>6323</v>
      </c>
      <c r="P3919" s="391">
        <f>ROUNDUP(S3919/V3919/VLOOKUP(B3919,$C$2:$F$6,3,FALSE),2)</f>
        <v>0.22</v>
      </c>
      <c r="Q3919" s="322">
        <v>0.22</v>
      </c>
      <c r="R3919" s="322">
        <f>Q3919*J3919</f>
        <v>55</v>
      </c>
      <c r="S3919" s="7">
        <v>18.3</v>
      </c>
      <c r="T3919" s="7">
        <f>S3919*J3919</f>
        <v>4575</v>
      </c>
      <c r="U3919" s="21"/>
      <c r="V3919" s="260">
        <v>120</v>
      </c>
      <c r="W3919" s="1136">
        <f>(((K3919*V3919)-S3919)/(K3919*V3919))</f>
        <v>0.55147058823529416</v>
      </c>
    </row>
    <row r="3920" spans="1:51" s="7" customFormat="1" ht="18" customHeight="1">
      <c r="B3920" s="12" t="s">
        <v>300</v>
      </c>
      <c r="C3920" s="965" t="s">
        <v>4957</v>
      </c>
      <c r="D3920" s="14" t="s">
        <v>2162</v>
      </c>
      <c r="E3920" s="22">
        <v>5603</v>
      </c>
      <c r="F3920" s="37"/>
      <c r="G3920" s="22" t="s">
        <v>4960</v>
      </c>
      <c r="H3920" s="108">
        <v>50</v>
      </c>
      <c r="I3920" s="950">
        <v>2</v>
      </c>
      <c r="J3920" s="8">
        <f>I3920*H3920</f>
        <v>100</v>
      </c>
      <c r="K3920" s="39">
        <v>0.34</v>
      </c>
      <c r="L3920" s="39">
        <f>K3920*J3920</f>
        <v>34</v>
      </c>
      <c r="M3920" s="117" t="s">
        <v>349</v>
      </c>
      <c r="N3920" s="33">
        <v>45496</v>
      </c>
      <c r="O3920" s="32">
        <v>6323</v>
      </c>
      <c r="P3920" s="391">
        <f>ROUNDUP(S3920/V3920/VLOOKUP(B3920,$C$2:$F$6,3,FALSE),2)</f>
        <v>0.22</v>
      </c>
      <c r="Q3920" s="322">
        <v>0.22</v>
      </c>
      <c r="R3920" s="322">
        <f>Q3920*J3920</f>
        <v>22</v>
      </c>
      <c r="S3920" s="7">
        <v>18.3</v>
      </c>
      <c r="T3920" s="7">
        <f>S3920*J3920</f>
        <v>1830</v>
      </c>
      <c r="U3920" s="21"/>
      <c r="V3920" s="260">
        <v>120</v>
      </c>
      <c r="W3920" s="1136">
        <f>(((K3920*V3920)-S3920)/(K3920*V3920))</f>
        <v>0.55147058823529416</v>
      </c>
    </row>
    <row r="3921" spans="1:51" s="7" customFormat="1" ht="18" customHeight="1">
      <c r="B3921" s="12"/>
      <c r="C3921" s="965" t="s">
        <v>4957</v>
      </c>
      <c r="D3921" s="14" t="s">
        <v>2162</v>
      </c>
      <c r="E3921" s="22"/>
      <c r="F3921" s="102"/>
      <c r="G3921" s="22" t="s">
        <v>316</v>
      </c>
      <c r="H3921" s="8"/>
      <c r="I3921" s="35"/>
      <c r="J3921" s="38">
        <v>1</v>
      </c>
      <c r="K3921" s="39">
        <v>12</v>
      </c>
      <c r="L3921" s="39">
        <f>K3921*J3921</f>
        <v>12</v>
      </c>
      <c r="M3921" s="91"/>
      <c r="N3921" s="33">
        <v>45496</v>
      </c>
      <c r="O3921" s="32">
        <v>6323</v>
      </c>
      <c r="P3921" s="6" t="s">
        <v>3</v>
      </c>
      <c r="Q3921" s="39">
        <v>12</v>
      </c>
      <c r="R3921" s="322">
        <f>Q3921*J3921</f>
        <v>12</v>
      </c>
      <c r="S3921" s="7">
        <v>1100</v>
      </c>
      <c r="T3921" s="7">
        <f>S3921*J3921</f>
        <v>1100</v>
      </c>
      <c r="U3921" s="21"/>
      <c r="V3921" s="260">
        <v>120</v>
      </c>
      <c r="W3921" s="1136">
        <f t="shared" si="300"/>
        <v>0.2361111111111111</v>
      </c>
    </row>
    <row r="3922" spans="1:51" s="191" customFormat="1" ht="18" customHeight="1">
      <c r="B3922" s="190"/>
      <c r="C3922" s="966" t="s">
        <v>4957</v>
      </c>
      <c r="D3922" s="180" t="s">
        <v>2162</v>
      </c>
      <c r="E3922" s="217"/>
      <c r="F3922" s="182"/>
      <c r="G3922" s="182" t="s">
        <v>250</v>
      </c>
      <c r="H3922" s="184" t="s">
        <v>251</v>
      </c>
      <c r="I3922" s="185"/>
      <c r="J3922" s="183"/>
      <c r="K3922" s="192">
        <v>0</v>
      </c>
      <c r="L3922" s="192">
        <v>0</v>
      </c>
      <c r="M3922" s="187"/>
      <c r="N3922" s="187">
        <v>45496</v>
      </c>
      <c r="O3922" s="186">
        <v>6323</v>
      </c>
      <c r="P3922" s="179"/>
      <c r="Q3922" s="334">
        <v>0</v>
      </c>
      <c r="R3922" s="334">
        <v>0</v>
      </c>
      <c r="S3922" s="197">
        <v>0</v>
      </c>
      <c r="T3922" s="197">
        <v>0</v>
      </c>
      <c r="U3922" s="335"/>
      <c r="V3922" s="260">
        <v>120</v>
      </c>
      <c r="W3922" s="1136" t="e">
        <f t="shared" si="300"/>
        <v>#DIV/0!</v>
      </c>
    </row>
    <row r="3923" spans="1:51" customFormat="1" ht="18" customHeight="1">
      <c r="A3923" s="1"/>
      <c r="B3923" s="26"/>
      <c r="C3923" s="6" t="s">
        <v>4962</v>
      </c>
      <c r="D3923" s="14" t="s">
        <v>4963</v>
      </c>
      <c r="E3923" s="19" t="s">
        <v>59</v>
      </c>
      <c r="F3923" s="107"/>
      <c r="G3923" s="22"/>
      <c r="H3923" s="108"/>
      <c r="I3923" s="109"/>
      <c r="J3923" s="108"/>
      <c r="K3923" s="110" t="s">
        <v>5</v>
      </c>
      <c r="L3923" s="33"/>
      <c r="M3923" s="33"/>
      <c r="N3923" s="33">
        <v>45525</v>
      </c>
      <c r="O3923" s="32">
        <v>6321</v>
      </c>
      <c r="P3923" s="14"/>
      <c r="Q3923" s="254"/>
      <c r="R3923" s="1"/>
      <c r="S3923" s="261"/>
      <c r="T3923" s="92"/>
      <c r="U3923" s="264"/>
      <c r="V3923" s="260">
        <v>120</v>
      </c>
      <c r="W3923" s="1136" t="e">
        <f t="shared" si="300"/>
        <v>#VALUE!</v>
      </c>
      <c r="X3923" s="1"/>
      <c r="Y3923" s="1"/>
      <c r="Z3923" s="1"/>
      <c r="AA3923" s="1"/>
      <c r="AB3923" s="1"/>
      <c r="AC3923" s="1"/>
      <c r="AD3923" s="1"/>
      <c r="AE3923" s="1"/>
      <c r="AF3923" s="1"/>
      <c r="AG3923" s="1"/>
      <c r="AH3923" s="1"/>
      <c r="AI3923" s="1"/>
      <c r="AJ3923" s="1"/>
      <c r="AK3923" s="1"/>
      <c r="AL3923" s="1"/>
      <c r="AM3923" s="1"/>
      <c r="AN3923" s="1"/>
      <c r="AO3923" s="1"/>
      <c r="AP3923" s="1"/>
      <c r="AQ3923" s="1"/>
      <c r="AR3923" s="1"/>
      <c r="AS3923" s="1"/>
      <c r="AT3923" s="1"/>
      <c r="AU3923" s="1"/>
      <c r="AV3923" s="1"/>
      <c r="AW3923" s="1"/>
      <c r="AX3923" s="1"/>
      <c r="AY3923" s="1"/>
    </row>
    <row r="3924" spans="1:51" customFormat="1" ht="18" customHeight="1">
      <c r="B3924" s="12" t="s">
        <v>302</v>
      </c>
      <c r="C3924" s="6" t="s">
        <v>4962</v>
      </c>
      <c r="D3924" s="14" t="s">
        <v>4963</v>
      </c>
      <c r="E3924" s="22">
        <v>2440</v>
      </c>
      <c r="F3924" s="107">
        <v>140</v>
      </c>
      <c r="G3924" s="22" t="s">
        <v>4961</v>
      </c>
      <c r="H3924" s="108">
        <v>58</v>
      </c>
      <c r="I3924" s="109">
        <v>1</v>
      </c>
      <c r="J3924" s="8">
        <f>H3924*I3924</f>
        <v>58</v>
      </c>
      <c r="K3924" s="39">
        <v>4.17</v>
      </c>
      <c r="L3924" s="39">
        <f>K3924*J3924</f>
        <v>241.85999999999999</v>
      </c>
      <c r="M3924" s="117" t="s">
        <v>323</v>
      </c>
      <c r="N3924" s="33">
        <v>45525</v>
      </c>
      <c r="O3924" s="32">
        <v>6321</v>
      </c>
      <c r="P3924" s="391">
        <f>ROUNDUP(S3924/V3924/VLOOKUP(B3924,$C$2:$F$6,3,FALSE),2)</f>
        <v>2.8499999999999996</v>
      </c>
      <c r="Q3924" s="254">
        <v>2.85</v>
      </c>
      <c r="R3924" s="323">
        <f>Q3924*J3924</f>
        <v>165.3</v>
      </c>
      <c r="S3924" s="257">
        <v>300</v>
      </c>
      <c r="T3924" s="287">
        <f>S3924*J3924</f>
        <v>17400</v>
      </c>
      <c r="U3924" s="264"/>
      <c r="V3924" s="260">
        <v>120</v>
      </c>
      <c r="W3924" s="1136">
        <f t="shared" si="300"/>
        <v>0.40047961630695439</v>
      </c>
      <c r="X3924" s="1"/>
      <c r="Y3924" s="1"/>
      <c r="Z3924" s="1"/>
      <c r="AA3924" s="1"/>
      <c r="AB3924" s="1"/>
      <c r="AC3924" s="1"/>
      <c r="AD3924" s="1"/>
      <c r="AE3924" s="1"/>
      <c r="AF3924" s="1"/>
      <c r="AG3924" s="1"/>
      <c r="AH3924" s="1"/>
      <c r="AI3924" s="1"/>
      <c r="AJ3924" s="1"/>
      <c r="AK3924" s="1"/>
      <c r="AL3924" s="1"/>
      <c r="AM3924" s="1"/>
      <c r="AN3924" s="1"/>
      <c r="AO3924" s="1"/>
      <c r="AP3924" s="1"/>
      <c r="AQ3924" s="1"/>
      <c r="AR3924" s="1"/>
      <c r="AS3924" s="1"/>
      <c r="AT3924" s="1"/>
      <c r="AU3924" s="1"/>
      <c r="AV3924" s="1"/>
      <c r="AW3924" s="1"/>
      <c r="AX3924" s="1"/>
      <c r="AY3924" s="1"/>
    </row>
    <row r="3925" spans="1:51" s="7" customFormat="1" ht="15">
      <c r="B3925" s="12"/>
      <c r="C3925" s="6" t="s">
        <v>4962</v>
      </c>
      <c r="D3925" s="14" t="s">
        <v>4963</v>
      </c>
      <c r="E3925" s="49"/>
      <c r="F3925" s="102"/>
      <c r="G3925" s="22" t="s">
        <v>316</v>
      </c>
      <c r="H3925" s="38"/>
      <c r="I3925" s="35"/>
      <c r="J3925" s="38">
        <v>1</v>
      </c>
      <c r="K3925" s="39">
        <v>20</v>
      </c>
      <c r="L3925" s="39">
        <f>K3925*J3925</f>
        <v>20</v>
      </c>
      <c r="M3925" s="91"/>
      <c r="N3925" s="33">
        <v>45525</v>
      </c>
      <c r="O3925" s="32">
        <v>6321</v>
      </c>
      <c r="P3925" s="722"/>
      <c r="Q3925" s="322">
        <v>20</v>
      </c>
      <c r="R3925" s="322">
        <f>Q3925*J3925</f>
        <v>20</v>
      </c>
      <c r="S3925" s="7">
        <v>1800</v>
      </c>
      <c r="T3925" s="7">
        <f>S3925*J3925</f>
        <v>1800</v>
      </c>
      <c r="U3925" s="21"/>
      <c r="V3925" s="260">
        <v>120</v>
      </c>
      <c r="W3925" s="1136">
        <f t="shared" si="300"/>
        <v>0.25</v>
      </c>
    </row>
    <row r="3926" spans="1:51" s="191" customFormat="1" ht="15">
      <c r="B3926" s="190"/>
      <c r="C3926" s="179" t="s">
        <v>4962</v>
      </c>
      <c r="D3926" s="180" t="s">
        <v>4963</v>
      </c>
      <c r="E3926" s="181"/>
      <c r="F3926" s="182"/>
      <c r="G3926" s="182" t="s">
        <v>2738</v>
      </c>
      <c r="H3926" s="184" t="s">
        <v>374</v>
      </c>
      <c r="I3926" s="185"/>
      <c r="J3926" s="183"/>
      <c r="K3926" s="203">
        <v>160</v>
      </c>
      <c r="L3926" s="203">
        <v>160</v>
      </c>
      <c r="M3926" s="187"/>
      <c r="N3926" s="187">
        <v>45525</v>
      </c>
      <c r="O3926" s="186">
        <v>6321</v>
      </c>
      <c r="P3926" s="179"/>
      <c r="Q3926" s="203">
        <v>160</v>
      </c>
      <c r="R3926" s="203">
        <v>160</v>
      </c>
      <c r="S3926" s="7">
        <v>10007</v>
      </c>
      <c r="T3926" s="7">
        <v>10007</v>
      </c>
      <c r="U3926" s="271"/>
      <c r="V3926" s="260">
        <v>120</v>
      </c>
      <c r="W3926" s="1136">
        <f>(((K3926*V3926)-S3926)/(K3926*V3926))</f>
        <v>0.47880208333333335</v>
      </c>
    </row>
    <row r="3927" spans="1:51" s="7" customFormat="1" ht="18" customHeight="1">
      <c r="B3927" s="12"/>
      <c r="C3927" s="965" t="s">
        <v>4965</v>
      </c>
      <c r="D3927" s="14" t="s">
        <v>2162</v>
      </c>
      <c r="E3927" s="19" t="s">
        <v>200</v>
      </c>
      <c r="F3927" s="37"/>
      <c r="G3927" s="37"/>
      <c r="H3927" s="108"/>
      <c r="I3927" s="108"/>
      <c r="J3927" s="108"/>
      <c r="K3927" s="29" t="s">
        <v>5</v>
      </c>
      <c r="L3927" s="139"/>
      <c r="M3927" s="33"/>
      <c r="N3927" s="33">
        <v>45497</v>
      </c>
      <c r="O3927" s="32">
        <v>6324</v>
      </c>
      <c r="P3927" s="6"/>
      <c r="Q3927" s="339"/>
      <c r="U3927" s="21"/>
      <c r="V3927" s="260">
        <v>120</v>
      </c>
      <c r="W3927" s="1136" t="e">
        <f t="shared" si="300"/>
        <v>#VALUE!</v>
      </c>
    </row>
    <row r="3928" spans="1:51" s="7" customFormat="1" ht="18" customHeight="1">
      <c r="B3928" s="12" t="s">
        <v>300</v>
      </c>
      <c r="C3928" s="965" t="s">
        <v>4965</v>
      </c>
      <c r="D3928" s="14" t="s">
        <v>2162</v>
      </c>
      <c r="E3928" s="22" t="s">
        <v>2950</v>
      </c>
      <c r="F3928" s="37"/>
      <c r="G3928" s="839" t="s">
        <v>4964</v>
      </c>
      <c r="H3928" s="108">
        <v>30</v>
      </c>
      <c r="I3928" s="109">
        <v>2</v>
      </c>
      <c r="J3928" s="8">
        <f>H3928*I3928</f>
        <v>60</v>
      </c>
      <c r="K3928" s="39">
        <v>0.84</v>
      </c>
      <c r="L3928" s="39">
        <f>K3928*J3928</f>
        <v>50.4</v>
      </c>
      <c r="M3928" s="117" t="s">
        <v>349</v>
      </c>
      <c r="N3928" s="33">
        <v>45497</v>
      </c>
      <c r="O3928" s="32">
        <v>6324</v>
      </c>
      <c r="P3928" s="391">
        <f>ROUNDUP(S3928/V3928/VLOOKUP(B3928,$C$2:$F$6,3,FALSE),2)</f>
        <v>0.54</v>
      </c>
      <c r="Q3928" s="322">
        <v>0.54</v>
      </c>
      <c r="R3928" s="322">
        <f>Q3928*J3928</f>
        <v>32.400000000000006</v>
      </c>
      <c r="S3928" s="7">
        <v>45</v>
      </c>
      <c r="T3928" s="7">
        <f>S3928*J3928</f>
        <v>2700</v>
      </c>
      <c r="U3928" s="778"/>
      <c r="V3928" s="260">
        <v>120</v>
      </c>
      <c r="W3928" s="1136">
        <f t="shared" si="300"/>
        <v>0.5535714285714286</v>
      </c>
    </row>
    <row r="3929" spans="1:51" s="7" customFormat="1" ht="18" customHeight="1">
      <c r="B3929" s="12" t="s">
        <v>300</v>
      </c>
      <c r="C3929" s="965" t="s">
        <v>4965</v>
      </c>
      <c r="D3929" s="14" t="s">
        <v>2162</v>
      </c>
      <c r="E3929" s="22" t="s">
        <v>2950</v>
      </c>
      <c r="F3929" s="37"/>
      <c r="G3929" s="839" t="s">
        <v>161</v>
      </c>
      <c r="H3929" s="108">
        <v>30</v>
      </c>
      <c r="I3929" s="109">
        <v>2</v>
      </c>
      <c r="J3929" s="8">
        <f>H3929*I3929</f>
        <v>60</v>
      </c>
      <c r="K3929" s="39">
        <v>0.84</v>
      </c>
      <c r="L3929" s="39">
        <f>K3929*J3929</f>
        <v>50.4</v>
      </c>
      <c r="M3929" s="117" t="s">
        <v>349</v>
      </c>
      <c r="N3929" s="33">
        <v>45497</v>
      </c>
      <c r="O3929" s="32">
        <v>6324</v>
      </c>
      <c r="P3929" s="391">
        <f>ROUNDUP(S3929/V3929/VLOOKUP(B3929,$C$2:$F$6,3,FALSE),2)</f>
        <v>0.54</v>
      </c>
      <c r="Q3929" s="322">
        <v>0.54</v>
      </c>
      <c r="R3929" s="322">
        <f>Q3929*J3929</f>
        <v>32.400000000000006</v>
      </c>
      <c r="S3929" s="7">
        <v>45</v>
      </c>
      <c r="T3929" s="7">
        <f>S3929*J3929</f>
        <v>2700</v>
      </c>
      <c r="U3929" s="778"/>
      <c r="V3929" s="260">
        <v>120</v>
      </c>
      <c r="W3929" s="1136">
        <f>(((K3929*V3929)-S3929)/(K3929*V3929))</f>
        <v>0.5535714285714286</v>
      </c>
    </row>
    <row r="3930" spans="1:51" s="7" customFormat="1" ht="18" customHeight="1">
      <c r="B3930" s="12"/>
      <c r="C3930" s="965" t="s">
        <v>4965</v>
      </c>
      <c r="D3930" s="14" t="s">
        <v>2162</v>
      </c>
      <c r="E3930" s="22"/>
      <c r="F3930" s="102"/>
      <c r="G3930" s="22" t="s">
        <v>316</v>
      </c>
      <c r="H3930" s="8"/>
      <c r="I3930" s="35"/>
      <c r="J3930" s="38">
        <v>1</v>
      </c>
      <c r="K3930" s="39">
        <v>12</v>
      </c>
      <c r="L3930" s="39">
        <f>K3930*J3930</f>
        <v>12</v>
      </c>
      <c r="M3930" s="91"/>
      <c r="N3930" s="33">
        <v>45497</v>
      </c>
      <c r="O3930" s="32">
        <v>6324</v>
      </c>
      <c r="P3930" s="6" t="s">
        <v>3</v>
      </c>
      <c r="Q3930" s="39">
        <v>12</v>
      </c>
      <c r="R3930" s="322">
        <f>Q3930*J3930</f>
        <v>12</v>
      </c>
      <c r="S3930" s="7">
        <v>900</v>
      </c>
      <c r="T3930" s="7">
        <f>S3930*J3930</f>
        <v>900</v>
      </c>
      <c r="U3930" s="21"/>
      <c r="V3930" s="260">
        <v>120</v>
      </c>
      <c r="W3930" s="1136">
        <f t="shared" si="300"/>
        <v>0.375</v>
      </c>
    </row>
    <row r="3931" spans="1:51" s="191" customFormat="1" ht="18" customHeight="1">
      <c r="B3931" s="190"/>
      <c r="C3931" s="966" t="s">
        <v>4965</v>
      </c>
      <c r="D3931" s="180" t="s">
        <v>2162</v>
      </c>
      <c r="E3931" s="217"/>
      <c r="F3931" s="182"/>
      <c r="G3931" s="182" t="s">
        <v>250</v>
      </c>
      <c r="H3931" s="184" t="s">
        <v>251</v>
      </c>
      <c r="I3931" s="185"/>
      <c r="J3931" s="183"/>
      <c r="K3931" s="192">
        <v>0</v>
      </c>
      <c r="L3931" s="192">
        <v>0</v>
      </c>
      <c r="M3931" s="187"/>
      <c r="N3931" s="187">
        <v>45497</v>
      </c>
      <c r="O3931" s="186">
        <v>6324</v>
      </c>
      <c r="P3931" s="179"/>
      <c r="Q3931" s="334">
        <v>0</v>
      </c>
      <c r="R3931" s="334">
        <v>0</v>
      </c>
      <c r="S3931" s="197">
        <v>0</v>
      </c>
      <c r="T3931" s="197">
        <v>0</v>
      </c>
      <c r="U3931" s="335"/>
      <c r="V3931" s="260">
        <v>120</v>
      </c>
      <c r="W3931" s="1136" t="e">
        <f t="shared" si="300"/>
        <v>#DIV/0!</v>
      </c>
    </row>
    <row r="3932" spans="1:51" customFormat="1" ht="18" customHeight="1">
      <c r="B3932" s="26"/>
      <c r="C3932" s="6" t="s">
        <v>4966</v>
      </c>
      <c r="D3932" s="14" t="s">
        <v>1970</v>
      </c>
      <c r="E3932" s="19" t="s">
        <v>227</v>
      </c>
      <c r="F3932" s="37"/>
      <c r="G3932" s="37"/>
      <c r="H3932" s="108"/>
      <c r="I3932" s="108"/>
      <c r="J3932" s="108"/>
      <c r="K3932" s="29" t="s">
        <v>101</v>
      </c>
      <c r="L3932" s="139"/>
      <c r="M3932" s="33"/>
      <c r="N3932" s="33">
        <v>45503</v>
      </c>
      <c r="O3932" s="32">
        <v>6342</v>
      </c>
      <c r="P3932" s="6"/>
      <c r="Q3932" s="339"/>
      <c r="R3932" s="1"/>
      <c r="S3932" s="7"/>
      <c r="T3932" s="7"/>
      <c r="U3932" s="21"/>
      <c r="V3932" s="260">
        <v>120</v>
      </c>
      <c r="W3932" s="1136" t="e">
        <f t="shared" si="300"/>
        <v>#VALUE!</v>
      </c>
    </row>
    <row r="3933" spans="1:51" customFormat="1" ht="18" customHeight="1">
      <c r="B3933" s="26" t="s">
        <v>300</v>
      </c>
      <c r="C3933" s="6" t="s">
        <v>4966</v>
      </c>
      <c r="D3933" s="14" t="s">
        <v>1970</v>
      </c>
      <c r="E3933" s="22">
        <v>2250</v>
      </c>
      <c r="F3933" s="37">
        <v>15</v>
      </c>
      <c r="G3933" s="22" t="s">
        <v>277</v>
      </c>
      <c r="H3933" s="108">
        <v>30</v>
      </c>
      <c r="I3933" s="109">
        <v>1</v>
      </c>
      <c r="J3933" s="8">
        <f>H3933*I3933</f>
        <v>30</v>
      </c>
      <c r="K3933" s="39">
        <v>0.43</v>
      </c>
      <c r="L3933" s="39">
        <f>K3933*J3933</f>
        <v>12.9</v>
      </c>
      <c r="M3933" s="117" t="s">
        <v>349</v>
      </c>
      <c r="N3933" s="33">
        <v>45503</v>
      </c>
      <c r="O3933" s="32">
        <v>6342</v>
      </c>
      <c r="P3933" s="391">
        <f>ROUNDUP(S3933/V3933/VLOOKUP(B3933,$C$2:$F$6,3,FALSE),2)</f>
        <v>0.28000000000000003</v>
      </c>
      <c r="Q3933" s="322">
        <v>0.28000000000000003</v>
      </c>
      <c r="R3933" s="322">
        <f>Q3933*J3933</f>
        <v>8.4</v>
      </c>
      <c r="S3933" s="7">
        <v>23.1</v>
      </c>
      <c r="T3933" s="7">
        <f>S3933*J3933</f>
        <v>693</v>
      </c>
      <c r="U3933" s="39"/>
      <c r="V3933" s="260">
        <v>120</v>
      </c>
      <c r="W3933" s="1136">
        <f>(((K3933*V3933)-S3933)/(K3933*V3933))</f>
        <v>0.55232558139534882</v>
      </c>
    </row>
    <row r="3934" spans="1:51" customFormat="1" ht="18" customHeight="1">
      <c r="B3934" s="26" t="s">
        <v>300</v>
      </c>
      <c r="C3934" s="6" t="s">
        <v>4966</v>
      </c>
      <c r="D3934" s="14" t="s">
        <v>1970</v>
      </c>
      <c r="E3934" s="22">
        <v>2250</v>
      </c>
      <c r="F3934" s="37">
        <v>36</v>
      </c>
      <c r="G3934" s="22" t="s">
        <v>277</v>
      </c>
      <c r="H3934" s="108">
        <v>30</v>
      </c>
      <c r="I3934" s="109">
        <v>2</v>
      </c>
      <c r="J3934" s="8">
        <f>H3934*I3934</f>
        <v>60</v>
      </c>
      <c r="K3934" s="39">
        <v>1.08</v>
      </c>
      <c r="L3934" s="39">
        <f>K3934*J3934</f>
        <v>64.800000000000011</v>
      </c>
      <c r="M3934" s="117" t="s">
        <v>349</v>
      </c>
      <c r="N3934" s="33">
        <v>45503</v>
      </c>
      <c r="O3934" s="32">
        <v>6342</v>
      </c>
      <c r="P3934" s="391">
        <f>ROUNDUP(S3934/V3934/VLOOKUP(B3934,$C$2:$F$6,3,FALSE),2)</f>
        <v>0.69000000000000006</v>
      </c>
      <c r="Q3934" s="322">
        <v>0.69</v>
      </c>
      <c r="R3934" s="322">
        <f>Q3934*J3934</f>
        <v>41.4</v>
      </c>
      <c r="S3934" s="7">
        <v>57.93</v>
      </c>
      <c r="T3934" s="7">
        <f>S3934*J3934</f>
        <v>3475.8</v>
      </c>
      <c r="U3934" s="39"/>
      <c r="V3934" s="260">
        <v>120</v>
      </c>
      <c r="W3934" s="1136">
        <f t="shared" si="300"/>
        <v>0.55300925925925926</v>
      </c>
    </row>
    <row r="3935" spans="1:51" s="7" customFormat="1" ht="18" customHeight="1">
      <c r="B3935" s="12"/>
      <c r="C3935" s="6" t="s">
        <v>4966</v>
      </c>
      <c r="D3935" s="14" t="s">
        <v>1970</v>
      </c>
      <c r="E3935" s="82"/>
      <c r="F3935" s="102"/>
      <c r="G3935" s="22" t="s">
        <v>316</v>
      </c>
      <c r="H3935" s="8"/>
      <c r="I3935" s="35"/>
      <c r="J3935" s="38">
        <v>1</v>
      </c>
      <c r="K3935" s="39">
        <v>12</v>
      </c>
      <c r="L3935" s="39">
        <f>K3935*J3935</f>
        <v>12</v>
      </c>
      <c r="M3935" s="91"/>
      <c r="N3935" s="33">
        <v>45503</v>
      </c>
      <c r="O3935" s="32">
        <v>6342</v>
      </c>
      <c r="P3935" s="391">
        <v>12</v>
      </c>
      <c r="Q3935" s="322">
        <v>12</v>
      </c>
      <c r="R3935" s="322">
        <f>Q3935*J3935</f>
        <v>12</v>
      </c>
      <c r="S3935" s="197">
        <v>0</v>
      </c>
      <c r="T3935" s="198">
        <v>0</v>
      </c>
      <c r="U3935" s="21"/>
      <c r="V3935" s="260">
        <v>120</v>
      </c>
      <c r="W3935" s="1136">
        <f t="shared" si="300"/>
        <v>1</v>
      </c>
    </row>
    <row r="3936" spans="1:51" s="191" customFormat="1" ht="18" customHeight="1">
      <c r="B3936" s="190"/>
      <c r="C3936" s="179" t="s">
        <v>4966</v>
      </c>
      <c r="D3936" s="180" t="s">
        <v>1970</v>
      </c>
      <c r="E3936" s="181"/>
      <c r="F3936" s="622"/>
      <c r="G3936" s="182" t="s">
        <v>250</v>
      </c>
      <c r="H3936" s="184" t="s">
        <v>251</v>
      </c>
      <c r="I3936" s="185"/>
      <c r="J3936" s="183"/>
      <c r="K3936" s="192">
        <v>0</v>
      </c>
      <c r="L3936" s="188"/>
      <c r="M3936" s="187"/>
      <c r="N3936" s="187">
        <v>45503</v>
      </c>
      <c r="O3936" s="186">
        <v>6342</v>
      </c>
      <c r="P3936" s="179"/>
      <c r="Q3936" s="725">
        <v>0</v>
      </c>
      <c r="S3936" s="197">
        <v>0</v>
      </c>
      <c r="T3936" s="198">
        <v>0</v>
      </c>
      <c r="U3936" s="335"/>
      <c r="V3936" s="260">
        <v>120</v>
      </c>
      <c r="W3936" s="1136" t="e">
        <f t="shared" si="300"/>
        <v>#DIV/0!</v>
      </c>
    </row>
    <row r="3937" spans="1:51" customFormat="1" ht="18" customHeight="1">
      <c r="A3937" s="1"/>
      <c r="B3937" s="26"/>
      <c r="C3937" s="6" t="s">
        <v>4967</v>
      </c>
      <c r="D3937" s="14" t="s">
        <v>2912</v>
      </c>
      <c r="E3937" s="19" t="s">
        <v>4763</v>
      </c>
      <c r="F3937" s="107"/>
      <c r="G3937" s="22"/>
      <c r="H3937" s="108"/>
      <c r="I3937" s="109"/>
      <c r="J3937" s="108"/>
      <c r="K3937" s="110" t="s">
        <v>5</v>
      </c>
      <c r="L3937" s="33"/>
      <c r="M3937" s="33"/>
      <c r="N3937" s="33">
        <v>45504</v>
      </c>
      <c r="O3937" s="32">
        <v>6347</v>
      </c>
      <c r="P3937" s="14"/>
      <c r="Q3937" s="254"/>
      <c r="R3937" s="1"/>
      <c r="S3937" s="261"/>
      <c r="T3937" s="92"/>
      <c r="U3937" s="264"/>
      <c r="V3937" s="260">
        <v>120</v>
      </c>
      <c r="W3937" s="1136" t="e">
        <f t="shared" si="300"/>
        <v>#VALUE!</v>
      </c>
      <c r="X3937" s="1"/>
      <c r="Y3937" s="1"/>
      <c r="Z3937" s="1"/>
      <c r="AA3937" s="1"/>
      <c r="AB3937" s="1"/>
      <c r="AC3937" s="1"/>
      <c r="AD3937" s="1"/>
      <c r="AE3937" s="1"/>
      <c r="AF3937" s="1"/>
      <c r="AG3937" s="1"/>
      <c r="AH3937" s="1"/>
      <c r="AI3937" s="1"/>
      <c r="AJ3937" s="1"/>
      <c r="AK3937" s="1"/>
      <c r="AL3937" s="1"/>
      <c r="AM3937" s="1"/>
      <c r="AN3937" s="1"/>
      <c r="AO3937" s="1"/>
      <c r="AP3937" s="1"/>
      <c r="AQ3937" s="1"/>
      <c r="AR3937" s="1"/>
      <c r="AS3937" s="1"/>
      <c r="AT3937" s="1"/>
      <c r="AU3937" s="1"/>
      <c r="AV3937" s="1"/>
      <c r="AW3937" s="1"/>
      <c r="AX3937" s="1"/>
      <c r="AY3937" s="1"/>
    </row>
    <row r="3938" spans="1:51" customFormat="1" ht="18" customHeight="1">
      <c r="B3938" s="12" t="s">
        <v>302</v>
      </c>
      <c r="C3938" s="6" t="s">
        <v>4967</v>
      </c>
      <c r="D3938" s="14" t="s">
        <v>2912</v>
      </c>
      <c r="E3938" s="22" t="s">
        <v>4829</v>
      </c>
      <c r="F3938" s="107">
        <v>155</v>
      </c>
      <c r="G3938" s="22" t="s">
        <v>4968</v>
      </c>
      <c r="H3938" s="108">
        <v>45</v>
      </c>
      <c r="I3938" s="109">
        <v>1</v>
      </c>
      <c r="J3938" s="8">
        <f>H3938*I3938</f>
        <v>45</v>
      </c>
      <c r="K3938" s="39">
        <v>51.05</v>
      </c>
      <c r="L3938" s="39">
        <f>K3938*J3938</f>
        <v>2297.25</v>
      </c>
      <c r="M3938" s="117" t="s">
        <v>323</v>
      </c>
      <c r="N3938" s="33">
        <v>45504</v>
      </c>
      <c r="O3938" s="32">
        <v>6347</v>
      </c>
      <c r="P3938" s="391">
        <f>ROUNDUP(S3938/V3938/VLOOKUP(B3938,$C$2:$F$6,3,FALSE),2)</f>
        <v>46.41</v>
      </c>
      <c r="Q3938" s="254">
        <v>46.41</v>
      </c>
      <c r="R3938" s="323">
        <f>Q3938*J3938</f>
        <v>2088.4499999999998</v>
      </c>
      <c r="S3938" s="257">
        <v>4900</v>
      </c>
      <c r="T3938" s="287">
        <f>S3938*J3938</f>
        <v>220500</v>
      </c>
      <c r="U3938" s="264"/>
      <c r="V3938" s="260">
        <v>120</v>
      </c>
      <c r="W3938" s="1136">
        <f t="shared" si="300"/>
        <v>0.20013059092393079</v>
      </c>
      <c r="X3938" s="1"/>
      <c r="Y3938" s="1"/>
      <c r="Z3938" s="1"/>
      <c r="AA3938" s="1"/>
      <c r="AB3938" s="1"/>
      <c r="AC3938" s="1"/>
      <c r="AD3938" s="1"/>
      <c r="AE3938" s="1"/>
      <c r="AF3938" s="1"/>
      <c r="AG3938" s="1"/>
      <c r="AH3938" s="1"/>
      <c r="AI3938" s="1"/>
      <c r="AJ3938" s="1"/>
      <c r="AK3938" s="1"/>
      <c r="AL3938" s="1"/>
      <c r="AM3938" s="1"/>
      <c r="AN3938" s="1"/>
      <c r="AO3938" s="1"/>
      <c r="AP3938" s="1"/>
      <c r="AQ3938" s="1"/>
      <c r="AR3938" s="1"/>
      <c r="AS3938" s="1"/>
      <c r="AT3938" s="1"/>
      <c r="AU3938" s="1"/>
      <c r="AV3938" s="1"/>
      <c r="AW3938" s="1"/>
      <c r="AX3938" s="1"/>
      <c r="AY3938" s="1"/>
    </row>
    <row r="3939" spans="1:51" s="7" customFormat="1" ht="18" customHeight="1">
      <c r="B3939" s="12"/>
      <c r="C3939" s="6" t="s">
        <v>4967</v>
      </c>
      <c r="D3939" s="14" t="s">
        <v>2912</v>
      </c>
      <c r="E3939" s="22"/>
      <c r="F3939" s="102"/>
      <c r="G3939" s="22" t="s">
        <v>4329</v>
      </c>
      <c r="H3939" s="8"/>
      <c r="I3939" s="35"/>
      <c r="J3939" s="38">
        <v>1</v>
      </c>
      <c r="K3939" s="39">
        <v>15</v>
      </c>
      <c r="L3939" s="39">
        <f>K3939*J3939</f>
        <v>15</v>
      </c>
      <c r="M3939" s="91"/>
      <c r="N3939" s="33">
        <v>45504</v>
      </c>
      <c r="O3939" s="32">
        <v>6347</v>
      </c>
      <c r="P3939" s="6" t="s">
        <v>3</v>
      </c>
      <c r="Q3939" s="39">
        <v>15</v>
      </c>
      <c r="R3939" s="322">
        <f>Q3939*J3939</f>
        <v>15</v>
      </c>
      <c r="S3939" s="7">
        <v>1000</v>
      </c>
      <c r="T3939" s="7">
        <f>S3939*J3939</f>
        <v>1000</v>
      </c>
      <c r="U3939" s="21"/>
      <c r="V3939" s="260">
        <v>120</v>
      </c>
      <c r="W3939" s="1136">
        <f t="shared" si="300"/>
        <v>0.44444444444444442</v>
      </c>
    </row>
    <row r="3940" spans="1:51" customFormat="1" ht="18" customHeight="1">
      <c r="A3940" s="1"/>
      <c r="B3940" s="26"/>
      <c r="C3940" s="6" t="s">
        <v>4967</v>
      </c>
      <c r="D3940" s="14" t="s">
        <v>2912</v>
      </c>
      <c r="E3940" s="19" t="s">
        <v>4873</v>
      </c>
      <c r="F3940" s="107"/>
      <c r="G3940" s="22"/>
      <c r="H3940" s="108"/>
      <c r="I3940" s="109"/>
      <c r="J3940" s="108"/>
      <c r="K3940" s="110" t="s">
        <v>5</v>
      </c>
      <c r="L3940" s="33"/>
      <c r="M3940" s="33"/>
      <c r="N3940" s="33">
        <v>45504</v>
      </c>
      <c r="O3940" s="32">
        <v>6347</v>
      </c>
      <c r="P3940" s="14"/>
      <c r="Q3940" s="254"/>
      <c r="R3940" s="1"/>
      <c r="S3940" s="261"/>
      <c r="T3940" s="92"/>
      <c r="U3940" s="264"/>
      <c r="V3940" s="260">
        <v>120</v>
      </c>
      <c r="W3940" s="1136" t="e">
        <f t="shared" si="300"/>
        <v>#VALUE!</v>
      </c>
      <c r="X3940" s="1"/>
      <c r="Y3940" s="1"/>
      <c r="Z3940" s="1"/>
      <c r="AA3940" s="1"/>
      <c r="AB3940" s="1"/>
      <c r="AC3940" s="1"/>
      <c r="AD3940" s="1"/>
      <c r="AE3940" s="1"/>
      <c r="AF3940" s="1"/>
      <c r="AG3940" s="1"/>
      <c r="AH3940" s="1"/>
      <c r="AI3940" s="1"/>
      <c r="AJ3940" s="1"/>
      <c r="AK3940" s="1"/>
      <c r="AL3940" s="1"/>
      <c r="AM3940" s="1"/>
      <c r="AN3940" s="1"/>
      <c r="AO3940" s="1"/>
      <c r="AP3940" s="1"/>
      <c r="AQ3940" s="1"/>
      <c r="AR3940" s="1"/>
      <c r="AS3940" s="1"/>
      <c r="AT3940" s="1"/>
      <c r="AU3940" s="1"/>
      <c r="AV3940" s="1"/>
      <c r="AW3940" s="1"/>
      <c r="AX3940" s="1"/>
      <c r="AY3940" s="1"/>
    </row>
    <row r="3941" spans="1:51" customFormat="1" ht="18" customHeight="1">
      <c r="B3941" s="12" t="s">
        <v>302</v>
      </c>
      <c r="C3941" s="6" t="s">
        <v>4967</v>
      </c>
      <c r="D3941" s="14" t="s">
        <v>2912</v>
      </c>
      <c r="E3941" s="22" t="s">
        <v>4874</v>
      </c>
      <c r="F3941" s="107">
        <v>150</v>
      </c>
      <c r="G3941" s="22" t="s">
        <v>353</v>
      </c>
      <c r="H3941" s="108">
        <v>20</v>
      </c>
      <c r="I3941" s="109">
        <v>1</v>
      </c>
      <c r="J3941" s="8">
        <f>H3941*I3941</f>
        <v>20</v>
      </c>
      <c r="K3941" s="39">
        <v>21.88</v>
      </c>
      <c r="L3941" s="39">
        <f>K3941*J3941</f>
        <v>437.59999999999997</v>
      </c>
      <c r="M3941" s="117" t="s">
        <v>323</v>
      </c>
      <c r="N3941" s="33">
        <v>45504</v>
      </c>
      <c r="O3941" s="32">
        <v>6347</v>
      </c>
      <c r="P3941" s="391">
        <f>ROUNDUP(S3941/V3941/VLOOKUP(B3941,$C$2:$F$6,3,FALSE),2)</f>
        <v>19.89</v>
      </c>
      <c r="Q3941" s="254">
        <v>19.89</v>
      </c>
      <c r="R3941" s="323">
        <f>Q3941*J3941</f>
        <v>397.8</v>
      </c>
      <c r="S3941" s="257">
        <v>2100</v>
      </c>
      <c r="T3941" s="287">
        <f>S3941*J3941</f>
        <v>42000</v>
      </c>
      <c r="U3941" s="264"/>
      <c r="V3941" s="260">
        <v>120</v>
      </c>
      <c r="W3941" s="1136">
        <f t="shared" si="300"/>
        <v>0.20018281535648991</v>
      </c>
      <c r="X3941" s="1"/>
      <c r="Y3941" s="1"/>
      <c r="Z3941" s="1"/>
      <c r="AA3941" s="1"/>
      <c r="AB3941" s="1"/>
      <c r="AC3941" s="1"/>
      <c r="AD3941" s="1"/>
      <c r="AE3941" s="1"/>
      <c r="AF3941" s="1"/>
      <c r="AG3941" s="1"/>
      <c r="AH3941" s="1"/>
      <c r="AI3941" s="1"/>
      <c r="AJ3941" s="1"/>
      <c r="AK3941" s="1"/>
      <c r="AL3941" s="1"/>
      <c r="AM3941" s="1"/>
      <c r="AN3941" s="1"/>
      <c r="AO3941" s="1"/>
      <c r="AP3941" s="1"/>
      <c r="AQ3941" s="1"/>
      <c r="AR3941" s="1"/>
      <c r="AS3941" s="1"/>
      <c r="AT3941" s="1"/>
      <c r="AU3941" s="1"/>
      <c r="AV3941" s="1"/>
      <c r="AW3941" s="1"/>
      <c r="AX3941" s="1"/>
      <c r="AY3941" s="1"/>
    </row>
    <row r="3942" spans="1:51" customFormat="1" ht="18" customHeight="1">
      <c r="B3942" s="12" t="s">
        <v>302</v>
      </c>
      <c r="C3942" s="6" t="s">
        <v>4967</v>
      </c>
      <c r="D3942" s="14" t="s">
        <v>2912</v>
      </c>
      <c r="E3942" s="22" t="s">
        <v>4874</v>
      </c>
      <c r="F3942" s="107">
        <v>150</v>
      </c>
      <c r="G3942" s="22" t="s">
        <v>353</v>
      </c>
      <c r="H3942" s="108">
        <v>15</v>
      </c>
      <c r="I3942" s="109">
        <v>1</v>
      </c>
      <c r="J3942" s="8">
        <f>H3942*I3942</f>
        <v>15</v>
      </c>
      <c r="K3942" s="39">
        <v>21.88</v>
      </c>
      <c r="L3942" s="39">
        <f>K3942*J3942</f>
        <v>328.2</v>
      </c>
      <c r="M3942" s="117" t="s">
        <v>323</v>
      </c>
      <c r="N3942" s="33">
        <v>45504</v>
      </c>
      <c r="O3942" s="32">
        <v>6347</v>
      </c>
      <c r="P3942" s="391">
        <f>ROUNDUP(S3942/V3942/VLOOKUP(B3942,$C$2:$F$6,3,FALSE),2)</f>
        <v>19.89</v>
      </c>
      <c r="Q3942" s="254">
        <v>19.89</v>
      </c>
      <c r="R3942" s="323">
        <f>Q3942*J3942</f>
        <v>298.35000000000002</v>
      </c>
      <c r="S3942" s="257">
        <v>2100</v>
      </c>
      <c r="T3942" s="287">
        <f>S3942*J3942</f>
        <v>31500</v>
      </c>
      <c r="U3942" s="264"/>
      <c r="V3942" s="260">
        <v>120</v>
      </c>
      <c r="W3942" s="1136">
        <f>(((K3942*V3942)-S3942)/(K3942*V3942))</f>
        <v>0.20018281535648991</v>
      </c>
      <c r="X3942" s="1"/>
      <c r="Y3942" s="1"/>
      <c r="Z3942" s="1"/>
      <c r="AA3942" s="1"/>
      <c r="AB3942" s="1"/>
      <c r="AC3942" s="1"/>
      <c r="AD3942" s="1"/>
      <c r="AE3942" s="1"/>
      <c r="AF3942" s="1"/>
      <c r="AG3942" s="1"/>
      <c r="AH3942" s="1"/>
      <c r="AI3942" s="1"/>
      <c r="AJ3942" s="1"/>
      <c r="AK3942" s="1"/>
      <c r="AL3942" s="1"/>
      <c r="AM3942" s="1"/>
      <c r="AN3942" s="1"/>
      <c r="AO3942" s="1"/>
      <c r="AP3942" s="1"/>
      <c r="AQ3942" s="1"/>
      <c r="AR3942" s="1"/>
      <c r="AS3942" s="1"/>
      <c r="AT3942" s="1"/>
      <c r="AU3942" s="1"/>
      <c r="AV3942" s="1"/>
      <c r="AW3942" s="1"/>
      <c r="AX3942" s="1"/>
      <c r="AY3942" s="1"/>
    </row>
    <row r="3943" spans="1:51" s="7" customFormat="1" ht="18" customHeight="1">
      <c r="B3943" s="12"/>
      <c r="C3943" s="6" t="s">
        <v>4967</v>
      </c>
      <c r="D3943" s="14" t="s">
        <v>2912</v>
      </c>
      <c r="E3943" s="22"/>
      <c r="F3943" s="102"/>
      <c r="G3943" s="22" t="s">
        <v>4329</v>
      </c>
      <c r="H3943" s="8"/>
      <c r="I3943" s="35"/>
      <c r="J3943" s="38">
        <v>2</v>
      </c>
      <c r="K3943" s="39">
        <v>15</v>
      </c>
      <c r="L3943" s="39">
        <f>K3943*J3943</f>
        <v>30</v>
      </c>
      <c r="M3943" s="91"/>
      <c r="N3943" s="33">
        <v>45504</v>
      </c>
      <c r="O3943" s="32">
        <v>6347</v>
      </c>
      <c r="P3943" s="6" t="s">
        <v>3</v>
      </c>
      <c r="Q3943" s="39">
        <v>15</v>
      </c>
      <c r="R3943" s="322">
        <f>Q3943*J3943</f>
        <v>30</v>
      </c>
      <c r="S3943" s="7">
        <v>1000</v>
      </c>
      <c r="T3943" s="7">
        <v>1000</v>
      </c>
      <c r="U3943" s="21"/>
      <c r="V3943" s="260">
        <v>120</v>
      </c>
      <c r="W3943" s="1136">
        <f t="shared" si="300"/>
        <v>0.44444444444444442</v>
      </c>
    </row>
    <row r="3944" spans="1:51" s="7" customFormat="1" ht="18" customHeight="1">
      <c r="B3944" s="12"/>
      <c r="C3944" s="6" t="s">
        <v>4967</v>
      </c>
      <c r="D3944" s="14" t="s">
        <v>2912</v>
      </c>
      <c r="E3944" s="22"/>
      <c r="F3944" s="102"/>
      <c r="G3944" s="22" t="s">
        <v>316</v>
      </c>
      <c r="H3944" s="8"/>
      <c r="I3944" s="35"/>
      <c r="J3944" s="38">
        <v>1</v>
      </c>
      <c r="K3944" s="39">
        <v>20</v>
      </c>
      <c r="L3944" s="39">
        <f>K3944*J3944</f>
        <v>20</v>
      </c>
      <c r="M3944" s="91"/>
      <c r="N3944" s="33">
        <v>45504</v>
      </c>
      <c r="O3944" s="32">
        <v>6347</v>
      </c>
      <c r="P3944" s="6" t="s">
        <v>3</v>
      </c>
      <c r="Q3944" s="39">
        <v>20</v>
      </c>
      <c r="R3944" s="322">
        <f>Q3944*J3944</f>
        <v>20</v>
      </c>
      <c r="S3944" s="7">
        <v>1000</v>
      </c>
      <c r="T3944" s="7">
        <f>S3944*J3944</f>
        <v>1000</v>
      </c>
      <c r="U3944" s="21"/>
      <c r="V3944" s="260">
        <v>120</v>
      </c>
      <c r="W3944" s="1136">
        <f t="shared" si="300"/>
        <v>0.58333333333333337</v>
      </c>
    </row>
    <row r="3945" spans="1:51" s="191" customFormat="1" ht="18" customHeight="1">
      <c r="B3945" s="190"/>
      <c r="C3945" s="179" t="s">
        <v>4967</v>
      </c>
      <c r="D3945" s="180" t="s">
        <v>2912</v>
      </c>
      <c r="E3945" s="181"/>
      <c r="F3945" s="622"/>
      <c r="G3945" s="182" t="s">
        <v>250</v>
      </c>
      <c r="H3945" s="184" t="s">
        <v>251</v>
      </c>
      <c r="I3945" s="185"/>
      <c r="J3945" s="183"/>
      <c r="K3945" s="192">
        <v>0</v>
      </c>
      <c r="L3945" s="188"/>
      <c r="M3945" s="187"/>
      <c r="N3945" s="187">
        <v>45504</v>
      </c>
      <c r="O3945" s="186">
        <v>6347</v>
      </c>
      <c r="P3945" s="179"/>
      <c r="Q3945" s="725">
        <v>0</v>
      </c>
      <c r="S3945" s="197">
        <v>0</v>
      </c>
      <c r="T3945" s="198">
        <v>0</v>
      </c>
      <c r="U3945" s="335"/>
      <c r="V3945" s="260">
        <v>120</v>
      </c>
      <c r="W3945" s="1136" t="e">
        <f t="shared" si="300"/>
        <v>#DIV/0!</v>
      </c>
    </row>
    <row r="3946" spans="1:51" customFormat="1" ht="18" customHeight="1">
      <c r="A3946" s="1"/>
      <c r="B3946" s="26"/>
      <c r="C3946" s="6" t="s">
        <v>4969</v>
      </c>
      <c r="D3946" s="14" t="s">
        <v>4840</v>
      </c>
      <c r="E3946" s="19" t="s">
        <v>4847</v>
      </c>
      <c r="F3946" s="107"/>
      <c r="G3946" s="22"/>
      <c r="H3946" s="108"/>
      <c r="I3946" s="109"/>
      <c r="J3946" s="108"/>
      <c r="K3946" s="110" t="s">
        <v>5</v>
      </c>
      <c r="L3946" s="33"/>
      <c r="M3946" s="33"/>
      <c r="N3946" s="33">
        <v>45504</v>
      </c>
      <c r="O3946" s="32">
        <v>6346</v>
      </c>
      <c r="P3946" s="14"/>
      <c r="Q3946" s="254"/>
      <c r="R3946" s="1"/>
      <c r="S3946" s="261"/>
      <c r="T3946" s="92"/>
      <c r="U3946" s="264"/>
      <c r="V3946" s="260">
        <v>120</v>
      </c>
    </row>
    <row r="3947" spans="1:51" customFormat="1" ht="18" customHeight="1">
      <c r="B3947" s="12" t="s">
        <v>302</v>
      </c>
      <c r="C3947" s="6" t="s">
        <v>4969</v>
      </c>
      <c r="D3947" s="14" t="s">
        <v>4840</v>
      </c>
      <c r="E3947" s="19" t="s">
        <v>4841</v>
      </c>
      <c r="F3947" s="107" t="s">
        <v>3340</v>
      </c>
      <c r="G3947" s="22" t="s">
        <v>4842</v>
      </c>
      <c r="H3947" s="18">
        <v>58.8</v>
      </c>
      <c r="I3947" s="61">
        <v>1</v>
      </c>
      <c r="J3947" s="18">
        <f>H3947*I3947</f>
        <v>58.8</v>
      </c>
      <c r="K3947" s="39">
        <v>17.75</v>
      </c>
      <c r="L3947" s="39">
        <f>K3947*J3947</f>
        <v>1043.7</v>
      </c>
      <c r="M3947" s="117" t="s">
        <v>323</v>
      </c>
      <c r="N3947" s="33">
        <v>45504</v>
      </c>
      <c r="O3947" s="32">
        <v>6346</v>
      </c>
      <c r="P3947" s="391">
        <f>ROUNDUP(S3947/V3947/VLOOKUP(B3947,$C$2:$F$6,3,FALSE),2)</f>
        <v>13.45</v>
      </c>
      <c r="Q3947" s="254">
        <v>13.45</v>
      </c>
      <c r="R3947" s="323">
        <f>Q3947*J3947</f>
        <v>790.8599999999999</v>
      </c>
      <c r="S3947" s="273">
        <v>1420</v>
      </c>
      <c r="T3947" s="287">
        <f>S3947*J3947</f>
        <v>83496</v>
      </c>
      <c r="U3947" s="264"/>
      <c r="V3947" s="260">
        <v>120</v>
      </c>
      <c r="W3947" s="1136">
        <f>(((K3947*V3947)-S3947)/(K3947*V3947))</f>
        <v>0.33333333333333331</v>
      </c>
    </row>
    <row r="3948" spans="1:51" s="7" customFormat="1" ht="18" customHeight="1">
      <c r="B3948" s="12"/>
      <c r="C3948" s="6" t="s">
        <v>4969</v>
      </c>
      <c r="D3948" s="14" t="s">
        <v>4840</v>
      </c>
      <c r="E3948" s="82"/>
      <c r="F3948" s="102"/>
      <c r="G3948" s="22" t="s">
        <v>316</v>
      </c>
      <c r="H3948" s="8"/>
      <c r="I3948" s="35"/>
      <c r="J3948" s="38">
        <v>1</v>
      </c>
      <c r="K3948" s="39">
        <v>20</v>
      </c>
      <c r="L3948" s="39">
        <f>K3948*J3948</f>
        <v>20</v>
      </c>
      <c r="M3948" s="91"/>
      <c r="N3948" s="33">
        <v>45504</v>
      </c>
      <c r="O3948" s="32">
        <v>6346</v>
      </c>
      <c r="P3948" s="6"/>
      <c r="Q3948" s="322">
        <v>20</v>
      </c>
      <c r="R3948" s="322">
        <f>Q3948*J3948</f>
        <v>20</v>
      </c>
      <c r="S3948" s="7">
        <v>0</v>
      </c>
      <c r="T3948" s="7">
        <f>S3948*J3948</f>
        <v>0</v>
      </c>
      <c r="U3948" s="21"/>
      <c r="V3948" s="260">
        <v>120</v>
      </c>
      <c r="W3948" s="1136">
        <f>(((K3948*V3948)-S3948)/(K3948*V3948))</f>
        <v>1</v>
      </c>
    </row>
    <row r="3949" spans="1:51" s="191" customFormat="1" ht="17.25">
      <c r="B3949" s="190"/>
      <c r="C3949" s="179" t="s">
        <v>4969</v>
      </c>
      <c r="D3949" s="180" t="s">
        <v>4840</v>
      </c>
      <c r="E3949" s="181"/>
      <c r="F3949" s="182"/>
      <c r="G3949" s="309" t="s">
        <v>324</v>
      </c>
      <c r="H3949" s="184" t="s">
        <v>374</v>
      </c>
      <c r="I3949" s="185"/>
      <c r="J3949" s="183"/>
      <c r="K3949" s="203">
        <v>166</v>
      </c>
      <c r="L3949" s="203">
        <v>166</v>
      </c>
      <c r="M3949" s="187"/>
      <c r="N3949" s="187">
        <v>45504</v>
      </c>
      <c r="O3949" s="186">
        <v>6346</v>
      </c>
      <c r="P3949" s="179"/>
      <c r="Q3949" s="203">
        <v>166</v>
      </c>
      <c r="R3949" s="203">
        <v>166</v>
      </c>
      <c r="S3949" s="1135">
        <v>19897</v>
      </c>
      <c r="T3949" s="1135">
        <v>19897</v>
      </c>
      <c r="U3949" s="271"/>
      <c r="V3949" s="260">
        <v>120</v>
      </c>
      <c r="W3949" s="1136">
        <f>(((K3949*V3949)-S3949)/(K3949*V3949))</f>
        <v>1.1546184738955823E-3</v>
      </c>
    </row>
    <row r="3950" spans="1:51" s="7" customFormat="1" ht="18" customHeight="1">
      <c r="B3950" s="12"/>
      <c r="C3950" s="965" t="s">
        <v>4972</v>
      </c>
      <c r="D3950" s="14" t="s">
        <v>1970</v>
      </c>
      <c r="E3950" s="19" t="s">
        <v>4645</v>
      </c>
      <c r="F3950" s="22"/>
      <c r="G3950" s="37"/>
      <c r="H3950" s="108"/>
      <c r="I3950" s="108"/>
      <c r="J3950" s="108"/>
      <c r="K3950" s="110" t="s">
        <v>5</v>
      </c>
      <c r="L3950" s="33"/>
      <c r="M3950" s="33"/>
      <c r="N3950" s="33">
        <v>45504</v>
      </c>
      <c r="O3950" s="32">
        <v>6348</v>
      </c>
      <c r="P3950" s="6"/>
      <c r="Q3950" s="223"/>
      <c r="S3950" s="1174" t="s">
        <v>330</v>
      </c>
      <c r="T3950" s="92"/>
      <c r="U3950" s="266"/>
      <c r="V3950" s="260">
        <v>120</v>
      </c>
    </row>
    <row r="3951" spans="1:51" s="7" customFormat="1" ht="15.95" customHeight="1">
      <c r="B3951" s="12" t="s">
        <v>300</v>
      </c>
      <c r="C3951" s="965" t="s">
        <v>4972</v>
      </c>
      <c r="D3951" s="14" t="s">
        <v>1970</v>
      </c>
      <c r="E3951" s="22" t="s">
        <v>4934</v>
      </c>
      <c r="F3951" s="37">
        <v>12</v>
      </c>
      <c r="G3951" s="37" t="s">
        <v>4970</v>
      </c>
      <c r="H3951" s="60">
        <v>30</v>
      </c>
      <c r="I3951" s="61">
        <v>1</v>
      </c>
      <c r="J3951" s="60">
        <f>H3951*I3951</f>
        <v>30</v>
      </c>
      <c r="K3951" s="39">
        <v>0.41</v>
      </c>
      <c r="L3951" s="39">
        <f>K3951*J3951</f>
        <v>12.299999999999999</v>
      </c>
      <c r="M3951" s="117" t="s">
        <v>323</v>
      </c>
      <c r="N3951" s="33">
        <v>45504</v>
      </c>
      <c r="O3951" s="32">
        <v>6348</v>
      </c>
      <c r="P3951" s="391">
        <f>ROUNDUP(S3951/V3951/VLOOKUP(B3951,$C$2:$F$6,3,FALSE),2)</f>
        <v>0.24000000000000002</v>
      </c>
      <c r="Q3951" s="254">
        <v>0.24</v>
      </c>
      <c r="R3951" s="323">
        <f>Q3951*J3951</f>
        <v>7.1999999999999993</v>
      </c>
      <c r="S3951" s="1200">
        <v>20.033000000000001</v>
      </c>
      <c r="T3951" s="92">
        <f>S3951*J3951</f>
        <v>600.99</v>
      </c>
      <c r="U3951" s="1200">
        <v>22.033000000000001</v>
      </c>
      <c r="V3951" s="260">
        <v>120</v>
      </c>
      <c r="W3951" s="1136">
        <f t="shared" ref="W3951:W3957" si="301">(((K3951*V3951)-S3951)/(K3951*V3951))</f>
        <v>0.59282520325203247</v>
      </c>
    </row>
    <row r="3952" spans="1:51" s="7" customFormat="1" ht="15.95" customHeight="1">
      <c r="B3952" s="12" t="s">
        <v>300</v>
      </c>
      <c r="C3952" s="965" t="s">
        <v>4972</v>
      </c>
      <c r="D3952" s="14" t="s">
        <v>1970</v>
      </c>
      <c r="E3952" s="22" t="s">
        <v>4934</v>
      </c>
      <c r="F3952" s="37">
        <v>38</v>
      </c>
      <c r="G3952" s="37" t="s">
        <v>4971</v>
      </c>
      <c r="H3952" s="60">
        <v>30</v>
      </c>
      <c r="I3952" s="61">
        <v>1</v>
      </c>
      <c r="J3952" s="60">
        <f>H3952*I3952</f>
        <v>30</v>
      </c>
      <c r="K3952" s="39">
        <v>1.08</v>
      </c>
      <c r="L3952" s="39">
        <f>K3952*J3952</f>
        <v>32.400000000000006</v>
      </c>
      <c r="M3952" s="117" t="s">
        <v>323</v>
      </c>
      <c r="N3952" s="33">
        <v>45504</v>
      </c>
      <c r="O3952" s="32">
        <v>6348</v>
      </c>
      <c r="P3952" s="391">
        <f>ROUNDUP(S3952/V3952/VLOOKUP(B3952,$C$2:$F$6,3,FALSE),2)</f>
        <v>0.63</v>
      </c>
      <c r="Q3952" s="254">
        <v>0.63</v>
      </c>
      <c r="R3952" s="323">
        <f>Q3952*J3952</f>
        <v>18.899999999999999</v>
      </c>
      <c r="S3952" s="1200">
        <v>52.667000000000002</v>
      </c>
      <c r="T3952" s="92">
        <f>S3952*J3952</f>
        <v>1580.01</v>
      </c>
      <c r="U3952" s="1200">
        <v>57.93</v>
      </c>
      <c r="V3952" s="260">
        <v>120</v>
      </c>
      <c r="W3952" s="1136">
        <f t="shared" si="301"/>
        <v>0.59361882716049386</v>
      </c>
    </row>
    <row r="3953" spans="2:23" s="7" customFormat="1" ht="18" customHeight="1">
      <c r="B3953" s="12"/>
      <c r="C3953" s="965" t="s">
        <v>4972</v>
      </c>
      <c r="D3953" s="14" t="s">
        <v>1970</v>
      </c>
      <c r="E3953" s="19" t="s">
        <v>2599</v>
      </c>
      <c r="F3953" s="22"/>
      <c r="G3953" s="37"/>
      <c r="H3953" s="108"/>
      <c r="I3953" s="108"/>
      <c r="J3953" s="108"/>
      <c r="K3953" s="110" t="s">
        <v>5</v>
      </c>
      <c r="L3953" s="33"/>
      <c r="M3953" s="33"/>
      <c r="N3953" s="33">
        <v>45504</v>
      </c>
      <c r="O3953" s="32">
        <v>6348</v>
      </c>
      <c r="P3953" s="6"/>
      <c r="Q3953" s="223"/>
      <c r="S3953" s="1174" t="s">
        <v>330</v>
      </c>
      <c r="T3953" s="92"/>
      <c r="U3953" s="266"/>
      <c r="V3953" s="260">
        <v>120</v>
      </c>
    </row>
    <row r="3954" spans="2:23" s="7" customFormat="1" ht="18" customHeight="1">
      <c r="B3954" s="12" t="s">
        <v>306</v>
      </c>
      <c r="C3954" s="965" t="s">
        <v>4972</v>
      </c>
      <c r="D3954" s="14" t="s">
        <v>1970</v>
      </c>
      <c r="E3954" s="22" t="s">
        <v>4976</v>
      </c>
      <c r="F3954" s="102"/>
      <c r="G3954" s="22"/>
      <c r="H3954" s="8"/>
      <c r="I3954" s="35"/>
      <c r="J3954" s="38">
        <v>1</v>
      </c>
      <c r="K3954" s="39">
        <v>10</v>
      </c>
      <c r="L3954" s="39">
        <f>K3954*J3954</f>
        <v>10</v>
      </c>
      <c r="M3954" s="117" t="s">
        <v>323</v>
      </c>
      <c r="N3954" s="33">
        <v>45504</v>
      </c>
      <c r="O3954" s="32">
        <v>6348</v>
      </c>
      <c r="P3954" s="391">
        <f>ROUNDUP(S3954/V3954/VLOOKUP(B3954,$C$2:$F$6,3,FALSE),2)</f>
        <v>7.58</v>
      </c>
      <c r="Q3954" s="39">
        <v>7.58</v>
      </c>
      <c r="R3954" s="322">
        <f>Q3954*J3954</f>
        <v>7.58</v>
      </c>
      <c r="S3954" s="7">
        <v>800</v>
      </c>
      <c r="T3954" s="7">
        <f>S3954*J3954</f>
        <v>800</v>
      </c>
      <c r="U3954" s="21"/>
      <c r="V3954" s="260">
        <v>120</v>
      </c>
      <c r="W3954" s="1136">
        <f>(((K3954*V3954)-S3954)/(K3954*V3954))</f>
        <v>0.33333333333333331</v>
      </c>
    </row>
    <row r="3955" spans="2:23" s="7" customFormat="1" ht="15.95" customHeight="1">
      <c r="B3955" s="12" t="s">
        <v>306</v>
      </c>
      <c r="C3955" s="965" t="s">
        <v>4972</v>
      </c>
      <c r="D3955" s="14" t="s">
        <v>1970</v>
      </c>
      <c r="E3955" s="22" t="s">
        <v>4977</v>
      </c>
      <c r="F3955" s="37"/>
      <c r="G3955" s="37"/>
      <c r="H3955" s="60"/>
      <c r="I3955" s="61"/>
      <c r="J3955" s="38">
        <v>1</v>
      </c>
      <c r="K3955" s="39">
        <v>15</v>
      </c>
      <c r="L3955" s="39">
        <f>K3955*J3955</f>
        <v>15</v>
      </c>
      <c r="M3955" s="117" t="s">
        <v>323</v>
      </c>
      <c r="N3955" s="33">
        <v>45504</v>
      </c>
      <c r="O3955" s="32">
        <v>6348</v>
      </c>
      <c r="P3955" s="391">
        <f>ROUNDUP(S3955/V3955/VLOOKUP(B3955,$C$2:$F$6,3,FALSE),2)</f>
        <v>11.37</v>
      </c>
      <c r="Q3955" s="39">
        <v>11.37</v>
      </c>
      <c r="R3955" s="322">
        <f>Q3955*J3955</f>
        <v>11.37</v>
      </c>
      <c r="S3955" s="7">
        <v>1200</v>
      </c>
      <c r="T3955" s="7">
        <f>S3955*J3955</f>
        <v>1200</v>
      </c>
      <c r="U3955" s="1305"/>
      <c r="V3955" s="260">
        <v>120</v>
      </c>
      <c r="W3955" s="1136">
        <f>(((K3955*V3955)-S3955)/(K3955*V3955))</f>
        <v>0.33333333333333331</v>
      </c>
    </row>
    <row r="3956" spans="2:23" s="7" customFormat="1" ht="18" customHeight="1">
      <c r="B3956" s="12"/>
      <c r="C3956" s="965" t="s">
        <v>4972</v>
      </c>
      <c r="D3956" s="14" t="s">
        <v>1970</v>
      </c>
      <c r="E3956" s="49"/>
      <c r="F3956" s="102"/>
      <c r="G3956" s="22" t="s">
        <v>316</v>
      </c>
      <c r="H3956" s="8"/>
      <c r="I3956" s="35"/>
      <c r="J3956" s="38">
        <v>1</v>
      </c>
      <c r="K3956" s="39">
        <v>12</v>
      </c>
      <c r="L3956" s="39">
        <f>K3956*J3956</f>
        <v>12</v>
      </c>
      <c r="M3956" s="91"/>
      <c r="N3956" s="33">
        <v>45504</v>
      </c>
      <c r="O3956" s="32">
        <v>6348</v>
      </c>
      <c r="P3956" s="6" t="s">
        <v>3</v>
      </c>
      <c r="Q3956" s="39">
        <v>12</v>
      </c>
      <c r="R3956" s="322">
        <f>Q3956*J3956</f>
        <v>12</v>
      </c>
      <c r="S3956" s="7">
        <v>0</v>
      </c>
      <c r="T3956" s="7">
        <f>S3956*J3956</f>
        <v>0</v>
      </c>
      <c r="U3956" s="21"/>
      <c r="V3956" s="260">
        <v>120</v>
      </c>
      <c r="W3956" s="1136">
        <f t="shared" si="301"/>
        <v>1</v>
      </c>
    </row>
    <row r="3957" spans="2:23" s="191" customFormat="1" ht="18" customHeight="1">
      <c r="B3957" s="190"/>
      <c r="C3957" s="966" t="s">
        <v>4972</v>
      </c>
      <c r="D3957" s="180" t="s">
        <v>1970</v>
      </c>
      <c r="E3957" s="217"/>
      <c r="F3957" s="182"/>
      <c r="G3957" s="182" t="s">
        <v>250</v>
      </c>
      <c r="H3957" s="184" t="s">
        <v>251</v>
      </c>
      <c r="I3957" s="185"/>
      <c r="J3957" s="183"/>
      <c r="K3957" s="192">
        <v>0</v>
      </c>
      <c r="L3957" s="187"/>
      <c r="M3957" s="187"/>
      <c r="N3957" s="187">
        <v>45504</v>
      </c>
      <c r="O3957" s="186">
        <v>6348</v>
      </c>
      <c r="P3957" s="179"/>
      <c r="Q3957" s="255">
        <v>0</v>
      </c>
      <c r="R3957" s="322">
        <v>0</v>
      </c>
      <c r="S3957" s="275">
        <v>0</v>
      </c>
      <c r="T3957" s="198">
        <v>0</v>
      </c>
      <c r="U3957" s="271"/>
      <c r="V3957" s="260">
        <v>120</v>
      </c>
      <c r="W3957" s="1136" t="e">
        <f t="shared" si="301"/>
        <v>#DIV/0!</v>
      </c>
    </row>
    <row r="3958" spans="2:23" s="7" customFormat="1" ht="18" customHeight="1">
      <c r="B3958" s="12"/>
      <c r="C3958" s="1303" t="s">
        <v>4973</v>
      </c>
      <c r="D3958" s="14"/>
      <c r="E3958" s="19" t="s">
        <v>4645</v>
      </c>
      <c r="F3958" s="22"/>
      <c r="G3958" s="37"/>
      <c r="H3958" s="108"/>
      <c r="I3958" s="108"/>
      <c r="J3958" s="108"/>
      <c r="K3958" s="110" t="s">
        <v>5</v>
      </c>
      <c r="L3958" s="33"/>
      <c r="M3958" s="33"/>
      <c r="N3958" s="33"/>
      <c r="O3958" s="1306" t="s">
        <v>4978</v>
      </c>
      <c r="P3958" s="6"/>
      <c r="Q3958" s="223"/>
      <c r="S3958" s="1174" t="s">
        <v>330</v>
      </c>
      <c r="T3958" s="92"/>
      <c r="U3958" s="266"/>
      <c r="V3958" s="260">
        <v>120</v>
      </c>
    </row>
    <row r="3959" spans="2:23" s="7" customFormat="1" ht="15.95" customHeight="1">
      <c r="B3959" s="12" t="s">
        <v>300</v>
      </c>
      <c r="C3959" s="1303" t="s">
        <v>4973</v>
      </c>
      <c r="D3959" s="14"/>
      <c r="E3959" s="22" t="s">
        <v>4934</v>
      </c>
      <c r="F3959" s="37">
        <v>4</v>
      </c>
      <c r="G3959" s="37" t="s">
        <v>118</v>
      </c>
      <c r="H3959" s="60">
        <v>30</v>
      </c>
      <c r="I3959" s="61">
        <v>1</v>
      </c>
      <c r="J3959" s="60">
        <f>H3959*I3959</f>
        <v>30</v>
      </c>
      <c r="K3959" s="39"/>
      <c r="L3959" s="39"/>
      <c r="M3959" s="117" t="s">
        <v>323</v>
      </c>
      <c r="N3959" s="33"/>
      <c r="O3959" s="1306" t="s">
        <v>4978</v>
      </c>
      <c r="P3959" s="391"/>
      <c r="Q3959" s="254"/>
      <c r="R3959" s="323"/>
      <c r="S3959" s="1200">
        <v>16.033000000000001</v>
      </c>
      <c r="T3959" s="92">
        <f>S3959*J3959</f>
        <v>480.99</v>
      </c>
      <c r="U3959" s="1200"/>
      <c r="V3959" s="260">
        <v>120</v>
      </c>
      <c r="W3959" s="1136" t="e">
        <f>(((K3959*V3959)-S3959)/(K3959*V3959))</f>
        <v>#DIV/0!</v>
      </c>
    </row>
    <row r="3960" spans="2:23" s="7" customFormat="1" ht="18" customHeight="1">
      <c r="B3960" s="12"/>
      <c r="C3960" s="1303" t="s">
        <v>4973</v>
      </c>
      <c r="D3960" s="14"/>
      <c r="E3960" s="19" t="s">
        <v>4975</v>
      </c>
      <c r="F3960" s="22"/>
      <c r="G3960" s="37"/>
      <c r="H3960" s="108"/>
      <c r="I3960" s="108"/>
      <c r="J3960" s="108"/>
      <c r="K3960" s="110" t="s">
        <v>5</v>
      </c>
      <c r="L3960" s="33"/>
      <c r="M3960" s="33"/>
      <c r="N3960" s="33"/>
      <c r="O3960" s="1306" t="s">
        <v>4978</v>
      </c>
      <c r="P3960" s="6"/>
      <c r="Q3960" s="223"/>
      <c r="S3960" s="1174"/>
      <c r="T3960" s="92"/>
      <c r="U3960" s="266"/>
      <c r="V3960" s="260">
        <v>120</v>
      </c>
    </row>
    <row r="3961" spans="2:23" s="7" customFormat="1" ht="15.95" customHeight="1">
      <c r="B3961" s="12" t="s">
        <v>300</v>
      </c>
      <c r="C3961" s="1303" t="s">
        <v>4973</v>
      </c>
      <c r="D3961" s="14"/>
      <c r="E3961" s="22" t="s">
        <v>4974</v>
      </c>
      <c r="F3961" s="37">
        <v>4</v>
      </c>
      <c r="G3961" s="37" t="s">
        <v>118</v>
      </c>
      <c r="H3961" s="60">
        <v>30</v>
      </c>
      <c r="I3961" s="61">
        <v>1</v>
      </c>
      <c r="J3961" s="60">
        <f>H3961*I3961</f>
        <v>30</v>
      </c>
      <c r="K3961" s="39"/>
      <c r="L3961" s="39"/>
      <c r="M3961" s="117" t="s">
        <v>323</v>
      </c>
      <c r="N3961" s="33"/>
      <c r="O3961" s="1306" t="s">
        <v>4978</v>
      </c>
      <c r="P3961" s="391"/>
      <c r="Q3961" s="254"/>
      <c r="R3961" s="323"/>
      <c r="S3961" s="1200">
        <v>9.7330000000000005</v>
      </c>
      <c r="T3961" s="92">
        <f>S3961*J3961</f>
        <v>291.99</v>
      </c>
      <c r="U3961" s="1200"/>
      <c r="V3961" s="260">
        <v>120</v>
      </c>
      <c r="W3961" s="1136" t="e">
        <f t="shared" ref="W3961:W3966" si="302">(((K3961*V3961)-S3961)/(K3961*V3961))</f>
        <v>#DIV/0!</v>
      </c>
    </row>
    <row r="3962" spans="2:23" s="7" customFormat="1" ht="18" customHeight="1">
      <c r="B3962" s="12"/>
      <c r="C3962" s="1303" t="s">
        <v>4973</v>
      </c>
      <c r="D3962" s="14"/>
      <c r="E3962" s="17" t="s">
        <v>1976</v>
      </c>
      <c r="F3962" s="37"/>
      <c r="G3962" s="37"/>
      <c r="H3962" s="108"/>
      <c r="I3962" s="108"/>
      <c r="J3962" s="108"/>
      <c r="K3962" s="110" t="s">
        <v>5</v>
      </c>
      <c r="L3962" s="139"/>
      <c r="M3962" s="33"/>
      <c r="N3962" s="33"/>
      <c r="O3962" s="1306" t="s">
        <v>4978</v>
      </c>
      <c r="P3962" s="6"/>
      <c r="Q3962" s="339"/>
      <c r="S3962" s="308" t="s">
        <v>4879</v>
      </c>
      <c r="U3962" s="21"/>
      <c r="V3962" s="260">
        <v>120</v>
      </c>
      <c r="W3962" s="1136" t="e">
        <f t="shared" si="302"/>
        <v>#VALUE!</v>
      </c>
    </row>
    <row r="3963" spans="2:23" s="7" customFormat="1" ht="18" customHeight="1">
      <c r="B3963" s="12" t="s">
        <v>300</v>
      </c>
      <c r="C3963" s="1303" t="s">
        <v>4973</v>
      </c>
      <c r="D3963" s="14"/>
      <c r="E3963" s="22">
        <v>12701</v>
      </c>
      <c r="F3963" s="24">
        <v>4</v>
      </c>
      <c r="G3963" s="22" t="s">
        <v>4952</v>
      </c>
      <c r="H3963" s="108">
        <v>40</v>
      </c>
      <c r="I3963" s="109">
        <v>1</v>
      </c>
      <c r="J3963" s="8">
        <f>H3963*I3963</f>
        <v>40</v>
      </c>
      <c r="K3963" s="958"/>
      <c r="L3963" s="39"/>
      <c r="M3963" s="117" t="s">
        <v>349</v>
      </c>
      <c r="N3963" s="33"/>
      <c r="O3963" s="1306" t="s">
        <v>4978</v>
      </c>
      <c r="P3963" s="391"/>
      <c r="Q3963" s="322"/>
      <c r="R3963" s="322"/>
      <c r="S3963" s="92">
        <v>39.575000000000003</v>
      </c>
      <c r="T3963" s="7">
        <f>S3963*J3963</f>
        <v>1583</v>
      </c>
      <c r="U3963" s="959"/>
      <c r="V3963" s="260">
        <v>120</v>
      </c>
      <c r="W3963" s="1136" t="e">
        <f t="shared" si="302"/>
        <v>#DIV/0!</v>
      </c>
    </row>
    <row r="3964" spans="2:23" s="191" customFormat="1" ht="18" customHeight="1">
      <c r="B3964" s="190"/>
      <c r="C3964" s="1304" t="s">
        <v>4973</v>
      </c>
      <c r="D3964" s="180"/>
      <c r="E3964" s="217"/>
      <c r="F3964" s="182"/>
      <c r="G3964" s="182" t="s">
        <v>250</v>
      </c>
      <c r="H3964" s="184" t="s">
        <v>251</v>
      </c>
      <c r="I3964" s="185"/>
      <c r="J3964" s="183"/>
      <c r="K3964" s="192">
        <v>0</v>
      </c>
      <c r="L3964" s="187"/>
      <c r="M3964" s="187"/>
      <c r="N3964" s="187"/>
      <c r="O3964" s="1307" t="s">
        <v>4978</v>
      </c>
      <c r="P3964" s="179"/>
      <c r="Q3964" s="255">
        <v>0</v>
      </c>
      <c r="R3964" s="322">
        <v>0</v>
      </c>
      <c r="S3964" s="275">
        <v>800</v>
      </c>
      <c r="T3964" s="275">
        <v>800</v>
      </c>
      <c r="U3964" s="271"/>
      <c r="V3964" s="260">
        <v>120</v>
      </c>
      <c r="W3964" s="1136" t="e">
        <f t="shared" si="302"/>
        <v>#DIV/0!</v>
      </c>
    </row>
    <row r="3965" spans="2:23" s="7" customFormat="1" ht="15">
      <c r="B3965" s="12"/>
      <c r="C3965" s="6" t="s">
        <v>4986</v>
      </c>
      <c r="D3965" s="14" t="s">
        <v>4193</v>
      </c>
      <c r="E3965" s="19" t="s">
        <v>4406</v>
      </c>
      <c r="F3965" s="24"/>
      <c r="G3965" s="22"/>
      <c r="H3965" s="60"/>
      <c r="I3965" s="61"/>
      <c r="J3965" s="60"/>
      <c r="K3965" s="16" t="s">
        <v>101</v>
      </c>
      <c r="L3965" s="33"/>
      <c r="M3965" s="33"/>
      <c r="N3965" s="33">
        <v>45510</v>
      </c>
      <c r="O3965" s="32">
        <v>6376</v>
      </c>
      <c r="P3965" s="6" t="s">
        <v>8</v>
      </c>
      <c r="Q3965" s="252"/>
      <c r="S3965" s="257"/>
      <c r="T3965" s="92"/>
      <c r="U3965" s="265"/>
      <c r="V3965" s="260">
        <v>120</v>
      </c>
      <c r="W3965" s="1136" t="e">
        <f t="shared" si="302"/>
        <v>#VALUE!</v>
      </c>
    </row>
    <row r="3966" spans="2:23" s="7" customFormat="1" ht="17.25" customHeight="1">
      <c r="B3966" s="12" t="s">
        <v>300</v>
      </c>
      <c r="C3966" s="6" t="s">
        <v>4989</v>
      </c>
      <c r="D3966" s="14" t="s">
        <v>4193</v>
      </c>
      <c r="E3966" s="22" t="s">
        <v>4980</v>
      </c>
      <c r="F3966" s="37"/>
      <c r="G3966" s="37" t="s">
        <v>58</v>
      </c>
      <c r="H3966" s="108"/>
      <c r="I3966" s="109"/>
      <c r="J3966" s="8">
        <v>30</v>
      </c>
      <c r="K3966" s="39">
        <v>0.83</v>
      </c>
      <c r="L3966" s="39">
        <f t="shared" ref="L3966:L3971" si="303">K3966*J3966</f>
        <v>24.9</v>
      </c>
      <c r="M3966" s="117" t="s">
        <v>349</v>
      </c>
      <c r="N3966" s="33">
        <v>45510</v>
      </c>
      <c r="O3966" s="32">
        <v>6376</v>
      </c>
      <c r="P3966" s="391">
        <f>ROUNDUP(S3966/V3966/VLOOKUP(B3966,$C$2:$F$6,3,FALSE),2)</f>
        <v>0.6</v>
      </c>
      <c r="Q3966" s="358">
        <v>0.6</v>
      </c>
      <c r="R3966" s="322">
        <f t="shared" ref="R3966:R3971" si="304">Q3966*J3966</f>
        <v>18</v>
      </c>
      <c r="S3966" s="7">
        <v>50</v>
      </c>
      <c r="T3966" s="7">
        <f t="shared" ref="T3966:T3971" si="305">S3966*J3966</f>
        <v>1500</v>
      </c>
      <c r="U3966" s="267"/>
      <c r="V3966" s="260">
        <v>120</v>
      </c>
      <c r="W3966" s="1136">
        <f t="shared" si="302"/>
        <v>0.49799196787148592</v>
      </c>
    </row>
    <row r="3967" spans="2:23" s="7" customFormat="1" ht="17.25" customHeight="1">
      <c r="B3967" s="12" t="s">
        <v>300</v>
      </c>
      <c r="C3967" s="6" t="s">
        <v>4992</v>
      </c>
      <c r="D3967" s="14" t="s">
        <v>4193</v>
      </c>
      <c r="E3967" s="22" t="s">
        <v>4981</v>
      </c>
      <c r="F3967" s="37"/>
      <c r="G3967" s="37" t="s">
        <v>58</v>
      </c>
      <c r="H3967" s="108"/>
      <c r="I3967" s="109"/>
      <c r="J3967" s="8">
        <v>10</v>
      </c>
      <c r="K3967" s="39">
        <v>0.47</v>
      </c>
      <c r="L3967" s="39">
        <f t="shared" si="303"/>
        <v>4.6999999999999993</v>
      </c>
      <c r="M3967" s="117" t="s">
        <v>349</v>
      </c>
      <c r="N3967" s="33">
        <v>45510</v>
      </c>
      <c r="O3967" s="32">
        <v>6375</v>
      </c>
      <c r="P3967" s="391">
        <f>ROUNDUP(S3967/V3967/VLOOKUP(B3967,$C$2:$F$6,3,FALSE),2)</f>
        <v>0.24000000000000002</v>
      </c>
      <c r="Q3967" s="358">
        <v>0.24</v>
      </c>
      <c r="R3967" s="322">
        <f t="shared" si="304"/>
        <v>2.4</v>
      </c>
      <c r="S3967" s="7">
        <v>20</v>
      </c>
      <c r="T3967" s="7">
        <f t="shared" si="305"/>
        <v>200</v>
      </c>
      <c r="U3967" s="267"/>
      <c r="V3967" s="260">
        <v>120</v>
      </c>
      <c r="W3967" s="1136">
        <f>(((K3967*V3967)-S3967)/(K3967*V3967))</f>
        <v>0.64539007092198586</v>
      </c>
    </row>
    <row r="3968" spans="2:23" s="7" customFormat="1" ht="17.25" customHeight="1">
      <c r="B3968" s="12" t="s">
        <v>300</v>
      </c>
      <c r="C3968" s="6" t="s">
        <v>4990</v>
      </c>
      <c r="D3968" s="14" t="s">
        <v>4193</v>
      </c>
      <c r="E3968" s="22" t="s">
        <v>4981</v>
      </c>
      <c r="F3968" s="37"/>
      <c r="G3968" s="37" t="s">
        <v>58</v>
      </c>
      <c r="H3968" s="108"/>
      <c r="I3968" s="109"/>
      <c r="J3968" s="8">
        <v>20</v>
      </c>
      <c r="K3968" s="39">
        <v>0.47</v>
      </c>
      <c r="L3968" s="39">
        <f t="shared" si="303"/>
        <v>9.3999999999999986</v>
      </c>
      <c r="M3968" s="117" t="s">
        <v>349</v>
      </c>
      <c r="N3968" s="33">
        <v>45510</v>
      </c>
      <c r="O3968" s="32">
        <v>6376</v>
      </c>
      <c r="P3968" s="391">
        <f>ROUNDUP(S3968/V3968/VLOOKUP(B3968,$C$2:$F$6,3,FALSE),2)</f>
        <v>0.24000000000000002</v>
      </c>
      <c r="Q3968" s="358">
        <v>0.24</v>
      </c>
      <c r="R3968" s="322">
        <f t="shared" si="304"/>
        <v>4.8</v>
      </c>
      <c r="S3968" s="7">
        <v>20</v>
      </c>
      <c r="T3968" s="7">
        <f t="shared" si="305"/>
        <v>400</v>
      </c>
      <c r="U3968" s="267"/>
      <c r="V3968" s="260">
        <v>120</v>
      </c>
      <c r="W3968" s="1136">
        <f>(((K3968*V3968)-S3968)/(K3968*V3968))</f>
        <v>0.64539007092198586</v>
      </c>
    </row>
    <row r="3969" spans="1:51" s="7" customFormat="1" ht="17.25" customHeight="1">
      <c r="B3969" s="12" t="s">
        <v>300</v>
      </c>
      <c r="C3969" s="6" t="s">
        <v>4992</v>
      </c>
      <c r="D3969" s="14" t="s">
        <v>4193</v>
      </c>
      <c r="E3969" s="22" t="s">
        <v>4982</v>
      </c>
      <c r="F3969" s="37"/>
      <c r="G3969" s="37" t="s">
        <v>58</v>
      </c>
      <c r="H3969" s="108"/>
      <c r="I3969" s="109"/>
      <c r="J3969" s="8">
        <v>15</v>
      </c>
      <c r="K3969" s="39">
        <v>0.63</v>
      </c>
      <c r="L3969" s="39">
        <f t="shared" si="303"/>
        <v>9.4499999999999993</v>
      </c>
      <c r="M3969" s="117" t="s">
        <v>349</v>
      </c>
      <c r="N3969" s="33">
        <v>45510</v>
      </c>
      <c r="O3969" s="32">
        <v>6375</v>
      </c>
      <c r="P3969" s="391">
        <f>ROUNDUP(S3969/V3969/VLOOKUP(B3969,$C$2:$F$6,3,FALSE),2)</f>
        <v>0.46</v>
      </c>
      <c r="Q3969" s="358">
        <v>0.46</v>
      </c>
      <c r="R3969" s="322">
        <f t="shared" si="304"/>
        <v>6.9</v>
      </c>
      <c r="S3969" s="7">
        <v>38</v>
      </c>
      <c r="T3969" s="7">
        <f t="shared" si="305"/>
        <v>570</v>
      </c>
      <c r="U3969" s="267"/>
      <c r="V3969" s="260">
        <v>120</v>
      </c>
      <c r="W3969" s="1136">
        <f>(((K3969*V3969)-S3969)/(K3969*V3969))</f>
        <v>0.49735449735449733</v>
      </c>
    </row>
    <row r="3970" spans="1:51" s="7" customFormat="1" ht="17.25" customHeight="1">
      <c r="B3970" s="12" t="s">
        <v>300</v>
      </c>
      <c r="C3970" s="6" t="s">
        <v>4991</v>
      </c>
      <c r="D3970" s="14" t="s">
        <v>4193</v>
      </c>
      <c r="E3970" s="22" t="s">
        <v>4982</v>
      </c>
      <c r="F3970" s="37"/>
      <c r="G3970" s="37" t="s">
        <v>58</v>
      </c>
      <c r="H3970" s="108"/>
      <c r="I3970" s="109"/>
      <c r="J3970" s="8">
        <v>10</v>
      </c>
      <c r="K3970" s="39">
        <v>0.63</v>
      </c>
      <c r="L3970" s="39">
        <f t="shared" si="303"/>
        <v>6.3</v>
      </c>
      <c r="M3970" s="117" t="s">
        <v>349</v>
      </c>
      <c r="N3970" s="33">
        <v>45510</v>
      </c>
      <c r="O3970" s="32">
        <v>6376</v>
      </c>
      <c r="P3970" s="391">
        <f>ROUNDUP(S3970/V3970/VLOOKUP(B3970,$C$2:$F$6,3,FALSE),2)</f>
        <v>0.46</v>
      </c>
      <c r="Q3970" s="358">
        <v>0.46</v>
      </c>
      <c r="R3970" s="322">
        <f t="shared" si="304"/>
        <v>4.6000000000000005</v>
      </c>
      <c r="S3970" s="7">
        <v>38</v>
      </c>
      <c r="T3970" s="7">
        <f t="shared" si="305"/>
        <v>380</v>
      </c>
      <c r="U3970" s="267"/>
      <c r="V3970" s="260">
        <v>120</v>
      </c>
      <c r="W3970" s="1136">
        <f t="shared" ref="W3970:W3978" si="306">(((K3970*V3970)-S3970)/(K3970*V3970))</f>
        <v>0.49735449735449733</v>
      </c>
    </row>
    <row r="3971" spans="1:51" s="7" customFormat="1" ht="18" customHeight="1">
      <c r="B3971" s="12"/>
      <c r="C3971" s="6" t="s">
        <v>4987</v>
      </c>
      <c r="D3971" s="14" t="s">
        <v>4193</v>
      </c>
      <c r="E3971" s="49"/>
      <c r="F3971" s="102"/>
      <c r="G3971" s="22" t="s">
        <v>316</v>
      </c>
      <c r="H3971" s="8"/>
      <c r="I3971" s="35"/>
      <c r="J3971" s="38">
        <v>1</v>
      </c>
      <c r="K3971" s="39">
        <v>12</v>
      </c>
      <c r="L3971" s="39">
        <f t="shared" si="303"/>
        <v>12</v>
      </c>
      <c r="M3971" s="91"/>
      <c r="N3971" s="33">
        <v>45510</v>
      </c>
      <c r="O3971" s="32">
        <v>6376</v>
      </c>
      <c r="P3971" s="6" t="s">
        <v>3</v>
      </c>
      <c r="Q3971" s="39">
        <v>12</v>
      </c>
      <c r="R3971" s="322">
        <f t="shared" si="304"/>
        <v>12</v>
      </c>
      <c r="S3971" s="7">
        <v>900</v>
      </c>
      <c r="T3971" s="7">
        <f t="shared" si="305"/>
        <v>900</v>
      </c>
      <c r="U3971" s="21"/>
      <c r="V3971" s="260">
        <v>120</v>
      </c>
      <c r="W3971" s="1136">
        <f t="shared" si="306"/>
        <v>0.375</v>
      </c>
    </row>
    <row r="3972" spans="1:51" s="191" customFormat="1" ht="18" customHeight="1">
      <c r="B3972" s="190"/>
      <c r="C3972" s="179" t="s">
        <v>4987</v>
      </c>
      <c r="D3972" s="180" t="s">
        <v>4193</v>
      </c>
      <c r="E3972" s="217"/>
      <c r="F3972" s="182"/>
      <c r="G3972" s="182" t="s">
        <v>250</v>
      </c>
      <c r="H3972" s="184" t="s">
        <v>251</v>
      </c>
      <c r="I3972" s="185"/>
      <c r="J3972" s="183"/>
      <c r="K3972" s="192">
        <v>0</v>
      </c>
      <c r="L3972" s="187"/>
      <c r="M3972" s="187"/>
      <c r="N3972" s="187">
        <v>45510</v>
      </c>
      <c r="O3972" s="186">
        <v>6376</v>
      </c>
      <c r="P3972" s="179"/>
      <c r="Q3972" s="255">
        <v>0</v>
      </c>
      <c r="R3972" s="322">
        <v>0</v>
      </c>
      <c r="S3972" s="275">
        <v>0</v>
      </c>
      <c r="T3972" s="198">
        <v>0</v>
      </c>
      <c r="U3972" s="271"/>
      <c r="V3972" s="260">
        <v>120</v>
      </c>
      <c r="W3972" s="1136" t="e">
        <f t="shared" si="306"/>
        <v>#DIV/0!</v>
      </c>
    </row>
    <row r="3973" spans="1:51" s="7" customFormat="1" ht="15.75">
      <c r="B3973" s="12"/>
      <c r="C3973" s="6" t="s">
        <v>5000</v>
      </c>
      <c r="D3973" s="14" t="s">
        <v>4193</v>
      </c>
      <c r="E3973" s="19" t="s">
        <v>4988</v>
      </c>
      <c r="F3973" s="24"/>
      <c r="G3973" s="22"/>
      <c r="H3973" s="60"/>
      <c r="I3973" s="61"/>
      <c r="J3973" s="60"/>
      <c r="K3973" s="16" t="s">
        <v>101</v>
      </c>
      <c r="L3973" s="33"/>
      <c r="M3973" s="117" t="s">
        <v>349</v>
      </c>
      <c r="N3973" s="33">
        <v>45537</v>
      </c>
      <c r="O3973" s="32">
        <v>6449</v>
      </c>
      <c r="P3973" s="6" t="s">
        <v>8</v>
      </c>
      <c r="Q3973" s="252"/>
      <c r="S3973" s="257"/>
      <c r="T3973" s="92"/>
      <c r="U3973" s="265"/>
      <c r="V3973" s="260">
        <v>120</v>
      </c>
      <c r="W3973" s="1136" t="e">
        <f t="shared" si="306"/>
        <v>#VALUE!</v>
      </c>
    </row>
    <row r="3974" spans="1:51" s="7" customFormat="1" ht="17.25" customHeight="1">
      <c r="B3974" s="12" t="s">
        <v>300</v>
      </c>
      <c r="C3974" s="6" t="s">
        <v>5000</v>
      </c>
      <c r="D3974" s="14" t="s">
        <v>4193</v>
      </c>
      <c r="E3974" s="19" t="s">
        <v>5030</v>
      </c>
      <c r="F3974" s="37"/>
      <c r="G3974" s="37" t="s">
        <v>5003</v>
      </c>
      <c r="H3974" s="108"/>
      <c r="I3974" s="109"/>
      <c r="J3974" s="8">
        <v>10</v>
      </c>
      <c r="K3974" s="39">
        <v>1.25</v>
      </c>
      <c r="L3974" s="39">
        <f t="shared" ref="L3974:L3980" si="307">K3974*J3974</f>
        <v>12.5</v>
      </c>
      <c r="M3974" s="117" t="s">
        <v>349</v>
      </c>
      <c r="N3974" s="33">
        <v>45537</v>
      </c>
      <c r="O3974" s="32">
        <v>6449</v>
      </c>
      <c r="P3974" s="391">
        <f t="shared" ref="P3974:P3979" si="308">ROUNDUP(S3974/V3974/VLOOKUP(B3974,$C$2:$F$6,3,FALSE),2)</f>
        <v>0.9</v>
      </c>
      <c r="Q3974" s="39">
        <v>0.9</v>
      </c>
      <c r="R3974" s="322">
        <f t="shared" ref="R3974:R3980" si="309">Q3974*J3974</f>
        <v>9</v>
      </c>
      <c r="S3974" s="7">
        <v>75</v>
      </c>
      <c r="T3974" s="7">
        <f t="shared" ref="T3974:T3979" si="310">S3974*J3974</f>
        <v>750</v>
      </c>
      <c r="U3974" s="21"/>
      <c r="V3974" s="260">
        <v>120</v>
      </c>
      <c r="W3974" s="1136">
        <f>(((K3974*V3974)-S3974)/(K3974*V3974))</f>
        <v>0.5</v>
      </c>
    </row>
    <row r="3975" spans="1:51" s="7" customFormat="1" ht="17.25" customHeight="1">
      <c r="B3975" s="12" t="s">
        <v>306</v>
      </c>
      <c r="C3975" s="6" t="s">
        <v>5000</v>
      </c>
      <c r="D3975" s="14" t="s">
        <v>4193</v>
      </c>
      <c r="E3975" s="19" t="s">
        <v>5031</v>
      </c>
      <c r="F3975" s="37"/>
      <c r="G3975" s="37" t="s">
        <v>5003</v>
      </c>
      <c r="H3975" s="108"/>
      <c r="I3975" s="109"/>
      <c r="J3975" s="38">
        <v>1</v>
      </c>
      <c r="K3975" s="39">
        <v>95</v>
      </c>
      <c r="L3975" s="39">
        <f t="shared" si="307"/>
        <v>95</v>
      </c>
      <c r="M3975" s="117" t="s">
        <v>349</v>
      </c>
      <c r="N3975" s="33">
        <v>45537</v>
      </c>
      <c r="O3975" s="32">
        <v>6449</v>
      </c>
      <c r="P3975" s="391">
        <f t="shared" si="308"/>
        <v>56.82</v>
      </c>
      <c r="Q3975" s="39">
        <v>56.82</v>
      </c>
      <c r="R3975" s="322">
        <f t="shared" si="309"/>
        <v>56.82</v>
      </c>
      <c r="S3975" s="7">
        <v>6000</v>
      </c>
      <c r="T3975" s="7">
        <f t="shared" si="310"/>
        <v>6000</v>
      </c>
      <c r="U3975" s="21"/>
      <c r="V3975" s="260">
        <v>120</v>
      </c>
      <c r="W3975" s="1136">
        <f>(((K3975*V3975)-S3975)/(K3975*V3975))</f>
        <v>0.47368421052631576</v>
      </c>
    </row>
    <row r="3976" spans="1:51" s="7" customFormat="1" ht="17.25" customHeight="1">
      <c r="B3976" s="12" t="s">
        <v>300</v>
      </c>
      <c r="C3976" s="6" t="s">
        <v>5001</v>
      </c>
      <c r="D3976" s="14" t="s">
        <v>4193</v>
      </c>
      <c r="E3976" s="19" t="s">
        <v>5032</v>
      </c>
      <c r="F3976" s="37"/>
      <c r="G3976" s="37" t="s">
        <v>5004</v>
      </c>
      <c r="H3976" s="108"/>
      <c r="I3976" s="109"/>
      <c r="J3976" s="8">
        <v>10</v>
      </c>
      <c r="K3976" s="39">
        <v>0.5</v>
      </c>
      <c r="L3976" s="39">
        <f t="shared" si="307"/>
        <v>5</v>
      </c>
      <c r="M3976" s="117" t="s">
        <v>349</v>
      </c>
      <c r="N3976" s="33">
        <v>45537</v>
      </c>
      <c r="O3976" s="32">
        <v>6449</v>
      </c>
      <c r="P3976" s="391">
        <f t="shared" si="308"/>
        <v>0.36</v>
      </c>
      <c r="Q3976" s="39">
        <v>0.36</v>
      </c>
      <c r="R3976" s="322">
        <f t="shared" si="309"/>
        <v>3.5999999999999996</v>
      </c>
      <c r="S3976" s="7">
        <v>30</v>
      </c>
      <c r="T3976" s="7">
        <f t="shared" si="310"/>
        <v>300</v>
      </c>
      <c r="U3976" s="21"/>
      <c r="V3976" s="260">
        <v>120</v>
      </c>
      <c r="W3976" s="1136">
        <f>(((K3976*V3976)-S3976)/(K3976*V3976))</f>
        <v>0.5</v>
      </c>
    </row>
    <row r="3977" spans="1:51" s="7" customFormat="1" ht="17.25" customHeight="1">
      <c r="B3977" s="12" t="s">
        <v>306</v>
      </c>
      <c r="C3977" s="6" t="s">
        <v>5001</v>
      </c>
      <c r="D3977" s="14" t="s">
        <v>4193</v>
      </c>
      <c r="E3977" s="19" t="s">
        <v>5033</v>
      </c>
      <c r="F3977" s="37"/>
      <c r="G3977" s="37" t="s">
        <v>5004</v>
      </c>
      <c r="H3977" s="108"/>
      <c r="I3977" s="109"/>
      <c r="J3977" s="38">
        <v>1</v>
      </c>
      <c r="K3977" s="39">
        <v>95</v>
      </c>
      <c r="L3977" s="39">
        <f t="shared" si="307"/>
        <v>95</v>
      </c>
      <c r="M3977" s="117" t="s">
        <v>349</v>
      </c>
      <c r="N3977" s="33">
        <v>45537</v>
      </c>
      <c r="O3977" s="32">
        <v>6449</v>
      </c>
      <c r="P3977" s="391">
        <f t="shared" si="308"/>
        <v>56.82</v>
      </c>
      <c r="Q3977" s="39">
        <v>56.82</v>
      </c>
      <c r="R3977" s="322">
        <f t="shared" si="309"/>
        <v>56.82</v>
      </c>
      <c r="S3977" s="7">
        <v>6000</v>
      </c>
      <c r="T3977" s="7">
        <f t="shared" si="310"/>
        <v>6000</v>
      </c>
      <c r="U3977" s="21"/>
      <c r="V3977" s="260">
        <v>120</v>
      </c>
      <c r="W3977" s="1136">
        <f>(((K3977*V3977)-S3977)/(K3977*V3977))</f>
        <v>0.47368421052631576</v>
      </c>
    </row>
    <row r="3978" spans="1:51" s="7" customFormat="1" ht="17.25" customHeight="1">
      <c r="B3978" s="12" t="s">
        <v>300</v>
      </c>
      <c r="C3978" s="6" t="s">
        <v>5002</v>
      </c>
      <c r="D3978" s="14" t="s">
        <v>4193</v>
      </c>
      <c r="E3978" s="19" t="s">
        <v>5034</v>
      </c>
      <c r="F3978" s="37"/>
      <c r="G3978" s="37" t="s">
        <v>5005</v>
      </c>
      <c r="H3978" s="108"/>
      <c r="I3978" s="109"/>
      <c r="J3978" s="8">
        <v>10</v>
      </c>
      <c r="K3978" s="39">
        <v>0.95</v>
      </c>
      <c r="L3978" s="39">
        <f t="shared" si="307"/>
        <v>9.5</v>
      </c>
      <c r="M3978" s="117" t="s">
        <v>349</v>
      </c>
      <c r="N3978" s="33">
        <v>45537</v>
      </c>
      <c r="O3978" s="32">
        <v>6449</v>
      </c>
      <c r="P3978" s="391">
        <f t="shared" si="308"/>
        <v>0.68</v>
      </c>
      <c r="Q3978" s="39">
        <v>0.68</v>
      </c>
      <c r="R3978" s="322">
        <f t="shared" si="309"/>
        <v>6.8000000000000007</v>
      </c>
      <c r="S3978" s="7">
        <v>57</v>
      </c>
      <c r="T3978" s="7">
        <f t="shared" si="310"/>
        <v>570</v>
      </c>
      <c r="U3978" s="21"/>
      <c r="V3978" s="260">
        <v>120</v>
      </c>
      <c r="W3978" s="1136">
        <f t="shared" si="306"/>
        <v>0.5</v>
      </c>
    </row>
    <row r="3979" spans="1:51" s="7" customFormat="1" ht="17.25" customHeight="1">
      <c r="B3979" s="12" t="s">
        <v>306</v>
      </c>
      <c r="C3979" s="6" t="s">
        <v>5002</v>
      </c>
      <c r="D3979" s="14" t="s">
        <v>4193</v>
      </c>
      <c r="E3979" s="19" t="s">
        <v>5035</v>
      </c>
      <c r="F3979" s="37"/>
      <c r="G3979" s="37" t="s">
        <v>5005</v>
      </c>
      <c r="H3979" s="108"/>
      <c r="I3979" s="109"/>
      <c r="J3979" s="38">
        <v>1</v>
      </c>
      <c r="K3979" s="39">
        <v>95</v>
      </c>
      <c r="L3979" s="39">
        <f t="shared" si="307"/>
        <v>95</v>
      </c>
      <c r="M3979" s="117" t="s">
        <v>349</v>
      </c>
      <c r="N3979" s="33">
        <v>45537</v>
      </c>
      <c r="O3979" s="32">
        <v>6449</v>
      </c>
      <c r="P3979" s="391">
        <f t="shared" si="308"/>
        <v>56.82</v>
      </c>
      <c r="Q3979" s="39">
        <v>56.82</v>
      </c>
      <c r="R3979" s="322">
        <f t="shared" si="309"/>
        <v>56.82</v>
      </c>
      <c r="S3979" s="7">
        <v>6000</v>
      </c>
      <c r="T3979" s="7">
        <f t="shared" si="310"/>
        <v>6000</v>
      </c>
      <c r="U3979" s="21"/>
      <c r="V3979" s="260">
        <v>120</v>
      </c>
      <c r="W3979" s="1136">
        <f t="shared" ref="W3979:W3996" si="311">(((K3979*V3979)-S3979)/(K3979*V3979))</f>
        <v>0.47368421052631576</v>
      </c>
    </row>
    <row r="3980" spans="1:51" s="7" customFormat="1" ht="18" customHeight="1">
      <c r="B3980" s="12"/>
      <c r="C3980" s="6" t="s">
        <v>5002</v>
      </c>
      <c r="D3980" s="14" t="s">
        <v>4193</v>
      </c>
      <c r="E3980" s="49"/>
      <c r="F3980" s="102"/>
      <c r="G3980" s="22" t="s">
        <v>316</v>
      </c>
      <c r="H3980" s="8"/>
      <c r="I3980" s="35"/>
      <c r="J3980" s="38">
        <v>1</v>
      </c>
      <c r="K3980" s="39">
        <v>12</v>
      </c>
      <c r="L3980" s="39">
        <f t="shared" si="307"/>
        <v>12</v>
      </c>
      <c r="M3980" s="117" t="s">
        <v>349</v>
      </c>
      <c r="N3980" s="33">
        <v>45537</v>
      </c>
      <c r="O3980" s="32">
        <v>6449</v>
      </c>
      <c r="P3980" s="6" t="s">
        <v>3</v>
      </c>
      <c r="Q3980" s="39">
        <v>12</v>
      </c>
      <c r="R3980" s="322">
        <f t="shared" si="309"/>
        <v>12</v>
      </c>
      <c r="S3980" s="7">
        <v>0</v>
      </c>
      <c r="T3980" s="7">
        <v>0</v>
      </c>
      <c r="U3980" s="21"/>
      <c r="V3980" s="260">
        <v>120</v>
      </c>
      <c r="W3980" s="1136">
        <f t="shared" si="311"/>
        <v>1</v>
      </c>
    </row>
    <row r="3981" spans="1:51" s="191" customFormat="1" ht="18" customHeight="1">
      <c r="B3981" s="190"/>
      <c r="C3981" s="179" t="s">
        <v>5002</v>
      </c>
      <c r="D3981" s="180" t="s">
        <v>4193</v>
      </c>
      <c r="E3981" s="217"/>
      <c r="F3981" s="182"/>
      <c r="G3981" s="182" t="s">
        <v>250</v>
      </c>
      <c r="H3981" s="184" t="s">
        <v>251</v>
      </c>
      <c r="I3981" s="185"/>
      <c r="J3981" s="183"/>
      <c r="K3981" s="192">
        <v>0</v>
      </c>
      <c r="L3981" s="187"/>
      <c r="M3981" s="1310" t="s">
        <v>349</v>
      </c>
      <c r="N3981" s="187">
        <v>45537</v>
      </c>
      <c r="O3981" s="186">
        <v>6449</v>
      </c>
      <c r="P3981" s="179"/>
      <c r="Q3981" s="255">
        <v>0</v>
      </c>
      <c r="R3981" s="322">
        <v>0</v>
      </c>
      <c r="S3981" s="275">
        <v>0</v>
      </c>
      <c r="T3981" s="198">
        <v>0</v>
      </c>
      <c r="U3981" s="271"/>
      <c r="V3981" s="260">
        <v>120</v>
      </c>
      <c r="W3981" s="1136" t="e">
        <f t="shared" si="311"/>
        <v>#DIV/0!</v>
      </c>
    </row>
    <row r="3982" spans="1:51" customFormat="1" ht="18" customHeight="1">
      <c r="A3982" s="1"/>
      <c r="B3982" s="26"/>
      <c r="C3982" s="6" t="s">
        <v>4983</v>
      </c>
      <c r="D3982" s="14" t="s">
        <v>3238</v>
      </c>
      <c r="E3982" s="19" t="s">
        <v>59</v>
      </c>
      <c r="F3982" s="107"/>
      <c r="G3982" s="22"/>
      <c r="H3982" s="108"/>
      <c r="I3982" s="109"/>
      <c r="J3982" s="108"/>
      <c r="K3982" s="110" t="s">
        <v>5</v>
      </c>
      <c r="L3982" s="33"/>
      <c r="M3982" s="33"/>
      <c r="N3982" s="33">
        <v>45510</v>
      </c>
      <c r="O3982" s="32">
        <v>6374</v>
      </c>
      <c r="P3982" s="14"/>
      <c r="Q3982" s="254"/>
      <c r="R3982" s="1"/>
      <c r="S3982" s="261"/>
      <c r="T3982" s="92"/>
      <c r="U3982" s="264"/>
      <c r="V3982" s="260">
        <v>120</v>
      </c>
      <c r="W3982" s="1136" t="e">
        <f t="shared" si="311"/>
        <v>#VALUE!</v>
      </c>
      <c r="X3982" s="1"/>
      <c r="Y3982" s="1"/>
      <c r="Z3982" s="1"/>
      <c r="AA3982" s="1"/>
      <c r="AB3982" s="1"/>
      <c r="AC3982" s="1"/>
      <c r="AD3982" s="1"/>
      <c r="AE3982" s="1"/>
      <c r="AF3982" s="1"/>
      <c r="AG3982" s="1"/>
      <c r="AH3982" s="1"/>
      <c r="AI3982" s="1"/>
      <c r="AJ3982" s="1"/>
      <c r="AK3982" s="1"/>
      <c r="AL3982" s="1"/>
      <c r="AM3982" s="1"/>
      <c r="AN3982" s="1"/>
      <c r="AO3982" s="1"/>
      <c r="AP3982" s="1"/>
      <c r="AQ3982" s="1"/>
      <c r="AR3982" s="1"/>
      <c r="AS3982" s="1"/>
      <c r="AT3982" s="1"/>
      <c r="AU3982" s="1"/>
      <c r="AV3982" s="1"/>
      <c r="AW3982" s="1"/>
      <c r="AX3982" s="1"/>
      <c r="AY3982" s="1"/>
    </row>
    <row r="3983" spans="1:51" customFormat="1" ht="18" customHeight="1">
      <c r="B3983" s="12" t="s">
        <v>302</v>
      </c>
      <c r="C3983" s="6" t="s">
        <v>4983</v>
      </c>
      <c r="D3983" s="14" t="s">
        <v>3238</v>
      </c>
      <c r="E3983" s="22">
        <v>2440</v>
      </c>
      <c r="F3983" s="107">
        <v>140</v>
      </c>
      <c r="G3983" s="22" t="s">
        <v>4984</v>
      </c>
      <c r="H3983" s="108"/>
      <c r="I3983" s="109"/>
      <c r="J3983" s="8">
        <v>25</v>
      </c>
      <c r="K3983" s="39">
        <v>4.17</v>
      </c>
      <c r="L3983" s="39">
        <f>K3983*J3983</f>
        <v>104.25</v>
      </c>
      <c r="M3983" s="117" t="s">
        <v>323</v>
      </c>
      <c r="N3983" s="33">
        <v>45510</v>
      </c>
      <c r="O3983" s="32">
        <v>6374</v>
      </c>
      <c r="P3983" s="391">
        <f>ROUNDUP(S3983/V3983/VLOOKUP(B3983,$C$2:$F$6,3,FALSE),2)</f>
        <v>2.8499999999999996</v>
      </c>
      <c r="Q3983" s="254">
        <v>2.85</v>
      </c>
      <c r="R3983" s="323">
        <f>Q3983*J3983</f>
        <v>71.25</v>
      </c>
      <c r="S3983" s="257">
        <v>300</v>
      </c>
      <c r="T3983" s="287">
        <f>S3983*J3983</f>
        <v>7500</v>
      </c>
      <c r="U3983" s="264"/>
      <c r="V3983" s="260">
        <v>120</v>
      </c>
      <c r="W3983" s="1136">
        <f t="shared" si="311"/>
        <v>0.40047961630695439</v>
      </c>
      <c r="X3983" s="1"/>
      <c r="Y3983" s="1"/>
      <c r="Z3983" s="1"/>
      <c r="AA3983" s="1"/>
      <c r="AB3983" s="1"/>
      <c r="AC3983" s="1"/>
      <c r="AD3983" s="1"/>
      <c r="AE3983" s="1"/>
      <c r="AF3983" s="1"/>
      <c r="AG3983" s="1"/>
      <c r="AH3983" s="1"/>
      <c r="AI3983" s="1"/>
      <c r="AJ3983" s="1"/>
      <c r="AK3983" s="1"/>
      <c r="AL3983" s="1"/>
      <c r="AM3983" s="1"/>
      <c r="AN3983" s="1"/>
      <c r="AO3983" s="1"/>
      <c r="AP3983" s="1"/>
      <c r="AQ3983" s="1"/>
      <c r="AR3983" s="1"/>
      <c r="AS3983" s="1"/>
      <c r="AT3983" s="1"/>
      <c r="AU3983" s="1"/>
      <c r="AV3983" s="1"/>
      <c r="AW3983" s="1"/>
      <c r="AX3983" s="1"/>
      <c r="AY3983" s="1"/>
    </row>
    <row r="3984" spans="1:51" customFormat="1" ht="18" customHeight="1">
      <c r="B3984" s="12" t="s">
        <v>302</v>
      </c>
      <c r="C3984" s="6" t="s">
        <v>4983</v>
      </c>
      <c r="D3984" s="14" t="s">
        <v>3238</v>
      </c>
      <c r="E3984" s="22">
        <v>2440</v>
      </c>
      <c r="F3984" s="107">
        <v>140</v>
      </c>
      <c r="G3984" s="22" t="s">
        <v>4985</v>
      </c>
      <c r="H3984" s="108"/>
      <c r="I3984" s="109"/>
      <c r="J3984" s="8">
        <v>25</v>
      </c>
      <c r="K3984" s="39">
        <v>4.17</v>
      </c>
      <c r="L3984" s="39">
        <f>K3984*J3984</f>
        <v>104.25</v>
      </c>
      <c r="M3984" s="117" t="s">
        <v>323</v>
      </c>
      <c r="N3984" s="33">
        <v>45510</v>
      </c>
      <c r="O3984" s="32">
        <v>6374</v>
      </c>
      <c r="P3984" s="391">
        <f>ROUNDUP(S3984/V3984/VLOOKUP(B3984,$C$2:$F$6,3,FALSE),2)</f>
        <v>2.8499999999999996</v>
      </c>
      <c r="Q3984" s="254">
        <v>2.85</v>
      </c>
      <c r="R3984" s="323">
        <f>Q3984*J3984</f>
        <v>71.25</v>
      </c>
      <c r="S3984" s="257">
        <v>300</v>
      </c>
      <c r="T3984" s="287">
        <f>S3984*J3984</f>
        <v>7500</v>
      </c>
      <c r="U3984" s="264"/>
      <c r="V3984" s="260">
        <v>120</v>
      </c>
      <c r="W3984" s="1136">
        <f t="shared" si="311"/>
        <v>0.40047961630695439</v>
      </c>
      <c r="X3984" s="1"/>
      <c r="Y3984" s="1"/>
      <c r="Z3984" s="1"/>
      <c r="AA3984" s="1"/>
      <c r="AB3984" s="1"/>
      <c r="AC3984" s="1"/>
      <c r="AD3984" s="1"/>
      <c r="AE3984" s="1"/>
      <c r="AF3984" s="1"/>
      <c r="AG3984" s="1"/>
      <c r="AH3984" s="1"/>
      <c r="AI3984" s="1"/>
      <c r="AJ3984" s="1"/>
      <c r="AK3984" s="1"/>
      <c r="AL3984" s="1"/>
      <c r="AM3984" s="1"/>
      <c r="AN3984" s="1"/>
      <c r="AO3984" s="1"/>
      <c r="AP3984" s="1"/>
      <c r="AQ3984" s="1"/>
      <c r="AR3984" s="1"/>
      <c r="AS3984" s="1"/>
      <c r="AT3984" s="1"/>
      <c r="AU3984" s="1"/>
      <c r="AV3984" s="1"/>
      <c r="AW3984" s="1"/>
      <c r="AX3984" s="1"/>
      <c r="AY3984" s="1"/>
    </row>
    <row r="3985" spans="1:51" s="7" customFormat="1" ht="15">
      <c r="B3985" s="12"/>
      <c r="C3985" s="6" t="s">
        <v>4983</v>
      </c>
      <c r="D3985" s="14" t="s">
        <v>3238</v>
      </c>
      <c r="E3985" s="49"/>
      <c r="F3985" s="102"/>
      <c r="G3985" s="22" t="s">
        <v>4329</v>
      </c>
      <c r="H3985" s="38"/>
      <c r="I3985" s="35"/>
      <c r="J3985" s="38">
        <v>2</v>
      </c>
      <c r="K3985" s="39">
        <v>15</v>
      </c>
      <c r="L3985" s="39">
        <f>K3985*J3985</f>
        <v>30</v>
      </c>
      <c r="M3985" s="91"/>
      <c r="N3985" s="33">
        <v>45510</v>
      </c>
      <c r="O3985" s="32">
        <v>6374</v>
      </c>
      <c r="P3985" s="722"/>
      <c r="Q3985" s="322">
        <v>15</v>
      </c>
      <c r="R3985" s="322">
        <f>Q3985*J3985</f>
        <v>30</v>
      </c>
      <c r="S3985" s="7">
        <v>1000</v>
      </c>
      <c r="T3985" s="7">
        <f>S3985*J3985</f>
        <v>2000</v>
      </c>
      <c r="U3985" s="21"/>
      <c r="V3985" s="260">
        <v>120</v>
      </c>
      <c r="W3985" s="1136">
        <f t="shared" si="311"/>
        <v>0.44444444444444442</v>
      </c>
    </row>
    <row r="3986" spans="1:51" s="7" customFormat="1" ht="15">
      <c r="B3986" s="12"/>
      <c r="C3986" s="6" t="s">
        <v>4983</v>
      </c>
      <c r="D3986" s="14" t="s">
        <v>3238</v>
      </c>
      <c r="E3986" s="49"/>
      <c r="F3986" s="102"/>
      <c r="G3986" s="22" t="s">
        <v>316</v>
      </c>
      <c r="H3986" s="38"/>
      <c r="I3986" s="35"/>
      <c r="J3986" s="38">
        <v>1</v>
      </c>
      <c r="K3986" s="39">
        <v>20</v>
      </c>
      <c r="L3986" s="39">
        <f>K3986*J3986</f>
        <v>20</v>
      </c>
      <c r="M3986" s="91"/>
      <c r="N3986" s="33">
        <v>45510</v>
      </c>
      <c r="O3986" s="32">
        <v>6374</v>
      </c>
      <c r="P3986" s="722"/>
      <c r="Q3986" s="322">
        <v>20</v>
      </c>
      <c r="R3986" s="322">
        <f>Q3986*J3986</f>
        <v>20</v>
      </c>
      <c r="S3986" s="7">
        <v>1000</v>
      </c>
      <c r="T3986" s="7">
        <f>S3986*J3986</f>
        <v>1000</v>
      </c>
      <c r="U3986" s="21"/>
      <c r="V3986" s="260">
        <v>120</v>
      </c>
      <c r="W3986" s="1136">
        <f t="shared" si="311"/>
        <v>0.58333333333333337</v>
      </c>
    </row>
    <row r="3987" spans="1:51" s="191" customFormat="1" ht="15">
      <c r="B3987" s="190"/>
      <c r="C3987" s="179" t="s">
        <v>4983</v>
      </c>
      <c r="D3987" s="180" t="s">
        <v>3238</v>
      </c>
      <c r="E3987" s="181"/>
      <c r="F3987" s="182"/>
      <c r="G3987" s="182" t="s">
        <v>2738</v>
      </c>
      <c r="H3987" s="184" t="s">
        <v>251</v>
      </c>
      <c r="I3987" s="185"/>
      <c r="J3987" s="183"/>
      <c r="K3987" s="192">
        <v>0</v>
      </c>
      <c r="L3987" s="187"/>
      <c r="M3987" s="187"/>
      <c r="N3987" s="187">
        <v>45510</v>
      </c>
      <c r="O3987" s="186">
        <v>6374</v>
      </c>
      <c r="P3987" s="179"/>
      <c r="Q3987" s="203"/>
      <c r="R3987" s="203"/>
      <c r="S3987" s="203"/>
      <c r="T3987" s="203"/>
      <c r="U3987" s="271"/>
      <c r="V3987" s="260">
        <v>120</v>
      </c>
      <c r="W3987" s="1136" t="e">
        <f t="shared" si="311"/>
        <v>#DIV/0!</v>
      </c>
    </row>
    <row r="3988" spans="1:51" ht="15">
      <c r="C3988" s="6" t="s">
        <v>4993</v>
      </c>
      <c r="D3988" s="14" t="s">
        <v>3067</v>
      </c>
      <c r="E3988" s="19" t="s">
        <v>4626</v>
      </c>
      <c r="F3988" s="107"/>
      <c r="G3988" s="22"/>
      <c r="H3988" s="108"/>
      <c r="I3988" s="109"/>
      <c r="J3988" s="108"/>
      <c r="K3988" s="110" t="s">
        <v>5</v>
      </c>
      <c r="L3988" s="33"/>
      <c r="M3988" s="33"/>
      <c r="N3988" s="33">
        <v>45512</v>
      </c>
      <c r="O3988" s="32">
        <v>6385</v>
      </c>
      <c r="P3988" s="14"/>
      <c r="Q3988" s="254"/>
      <c r="S3988" s="1196"/>
      <c r="T3988" s="92"/>
      <c r="U3988" s="264"/>
      <c r="V3988" s="260">
        <v>120</v>
      </c>
      <c r="W3988" s="1136" t="e">
        <f t="shared" si="311"/>
        <v>#VALUE!</v>
      </c>
    </row>
    <row r="3989" spans="1:51" ht="15.75">
      <c r="B3989" s="12" t="s">
        <v>302</v>
      </c>
      <c r="C3989" s="6" t="s">
        <v>4993</v>
      </c>
      <c r="D3989" s="14" t="s">
        <v>3067</v>
      </c>
      <c r="E3989" s="221" t="s">
        <v>4622</v>
      </c>
      <c r="F3989" s="133" t="s">
        <v>3061</v>
      </c>
      <c r="G3989" s="396" t="s">
        <v>4625</v>
      </c>
      <c r="H3989" s="18">
        <v>44.3</v>
      </c>
      <c r="I3989" s="61">
        <v>1</v>
      </c>
      <c r="J3989" s="131">
        <f>H3989*I3989</f>
        <v>44.3</v>
      </c>
      <c r="K3989" s="322">
        <v>23.36</v>
      </c>
      <c r="L3989" s="39">
        <f>K3989*J3989</f>
        <v>1034.848</v>
      </c>
      <c r="M3989" s="117" t="s">
        <v>323</v>
      </c>
      <c r="N3989" s="33">
        <v>45512</v>
      </c>
      <c r="O3989" s="32">
        <v>6385</v>
      </c>
      <c r="P3989" s="391">
        <f>ROUNDUP(S3989/V3989/VLOOKUP(B3989,$C$2:$F$6,3,FALSE),2)</f>
        <v>18.28</v>
      </c>
      <c r="Q3989" s="254">
        <v>18.28</v>
      </c>
      <c r="R3989" s="323">
        <f>Q3989*J3989</f>
        <v>809.80399999999997</v>
      </c>
      <c r="S3989" s="273">
        <v>1930</v>
      </c>
      <c r="T3989" s="287">
        <f>S3989*J3989</f>
        <v>85499</v>
      </c>
      <c r="U3989" s="264"/>
      <c r="V3989" s="260">
        <v>120</v>
      </c>
      <c r="W3989" s="1136">
        <f t="shared" si="311"/>
        <v>0.31150114155251135</v>
      </c>
    </row>
    <row r="3990" spans="1:51" ht="15.75">
      <c r="B3990" s="12" t="s">
        <v>302</v>
      </c>
      <c r="C3990" s="6" t="s">
        <v>4993</v>
      </c>
      <c r="D3990" s="14" t="s">
        <v>3067</v>
      </c>
      <c r="E3990" s="221" t="s">
        <v>4622</v>
      </c>
      <c r="F3990" s="133" t="s">
        <v>3061</v>
      </c>
      <c r="G3990" s="396" t="s">
        <v>4625</v>
      </c>
      <c r="H3990" s="18">
        <v>43.9</v>
      </c>
      <c r="I3990" s="61">
        <v>1</v>
      </c>
      <c r="J3990" s="131">
        <f>H3990*I3990</f>
        <v>43.9</v>
      </c>
      <c r="K3990" s="322">
        <v>23.36</v>
      </c>
      <c r="L3990" s="39">
        <f>K3990*J3990</f>
        <v>1025.5039999999999</v>
      </c>
      <c r="M3990" s="117" t="s">
        <v>323</v>
      </c>
      <c r="N3990" s="33">
        <v>45512</v>
      </c>
      <c r="O3990" s="32">
        <v>6385</v>
      </c>
      <c r="P3990" s="391">
        <f>ROUNDUP(S3990/V3990/VLOOKUP(B3990,$C$2:$F$6,3,FALSE),2)</f>
        <v>18.28</v>
      </c>
      <c r="Q3990" s="254">
        <v>18.28</v>
      </c>
      <c r="R3990" s="323">
        <f>Q3990*J3990</f>
        <v>802.49200000000008</v>
      </c>
      <c r="S3990" s="273">
        <v>1930</v>
      </c>
      <c r="T3990" s="287">
        <f>S3990*J3990</f>
        <v>84727</v>
      </c>
      <c r="U3990" s="264"/>
      <c r="V3990" s="260">
        <v>120</v>
      </c>
      <c r="W3990" s="1136">
        <f t="shared" si="311"/>
        <v>0.31150114155251135</v>
      </c>
    </row>
    <row r="3991" spans="1:51" s="7" customFormat="1" ht="18" customHeight="1">
      <c r="B3991" s="12"/>
      <c r="C3991" s="6" t="s">
        <v>4993</v>
      </c>
      <c r="D3991" s="14" t="s">
        <v>3067</v>
      </c>
      <c r="E3991" s="22"/>
      <c r="F3991" s="102"/>
      <c r="G3991" s="22" t="s">
        <v>316</v>
      </c>
      <c r="H3991" s="8"/>
      <c r="I3991" s="35"/>
      <c r="J3991" s="38">
        <v>1</v>
      </c>
      <c r="K3991" s="39">
        <v>20</v>
      </c>
      <c r="L3991" s="39">
        <f>K3991*J3991</f>
        <v>20</v>
      </c>
      <c r="M3991" s="91"/>
      <c r="N3991" s="33">
        <v>45512</v>
      </c>
      <c r="O3991" s="32">
        <v>6385</v>
      </c>
      <c r="P3991" s="6"/>
      <c r="Q3991" s="322">
        <v>20</v>
      </c>
      <c r="R3991" s="322">
        <f>Q3991*J3991</f>
        <v>20</v>
      </c>
      <c r="S3991" s="7">
        <v>0</v>
      </c>
      <c r="T3991" s="7">
        <f>S3991*J3991</f>
        <v>0</v>
      </c>
      <c r="U3991" s="21"/>
      <c r="V3991" s="260">
        <v>120</v>
      </c>
      <c r="W3991" s="1136">
        <f t="shared" si="311"/>
        <v>1</v>
      </c>
    </row>
    <row r="3992" spans="1:51" s="191" customFormat="1" ht="18" customHeight="1">
      <c r="B3992" s="190"/>
      <c r="C3992" s="179" t="s">
        <v>4993</v>
      </c>
      <c r="D3992" s="180" t="s">
        <v>3067</v>
      </c>
      <c r="E3992" s="217"/>
      <c r="F3992" s="182"/>
      <c r="G3992" s="182" t="s">
        <v>250</v>
      </c>
      <c r="H3992" s="184" t="s">
        <v>251</v>
      </c>
      <c r="I3992" s="185"/>
      <c r="J3992" s="183"/>
      <c r="K3992" s="192">
        <v>0</v>
      </c>
      <c r="L3992" s="187"/>
      <c r="M3992" s="187"/>
      <c r="N3992" s="187">
        <v>45512</v>
      </c>
      <c r="O3992" s="186">
        <v>6385</v>
      </c>
      <c r="P3992" s="179"/>
      <c r="Q3992" s="255">
        <v>0</v>
      </c>
      <c r="R3992" s="322">
        <v>0</v>
      </c>
      <c r="S3992" s="275">
        <v>0</v>
      </c>
      <c r="T3992" s="198">
        <v>0</v>
      </c>
      <c r="U3992" s="271"/>
      <c r="V3992" s="260">
        <v>120</v>
      </c>
      <c r="W3992" s="1136" t="e">
        <f t="shared" si="311"/>
        <v>#DIV/0!</v>
      </c>
    </row>
    <row r="3993" spans="1:51" customFormat="1" ht="18" customHeight="1">
      <c r="A3993" s="1"/>
      <c r="B3993" s="26"/>
      <c r="C3993" s="6" t="s">
        <v>4999</v>
      </c>
      <c r="D3993" s="14" t="s">
        <v>4994</v>
      </c>
      <c r="E3993" s="19" t="s">
        <v>4995</v>
      </c>
      <c r="F3993" s="107"/>
      <c r="G3993" s="22"/>
      <c r="H3993" s="108"/>
      <c r="I3993" s="109"/>
      <c r="J3993" s="108"/>
      <c r="K3993" s="110" t="s">
        <v>5</v>
      </c>
      <c r="L3993" s="33"/>
      <c r="M3993" s="33"/>
      <c r="N3993" s="33">
        <v>45539</v>
      </c>
      <c r="O3993" s="32">
        <v>6386</v>
      </c>
      <c r="P3993" s="14"/>
      <c r="Q3993" s="254"/>
      <c r="R3993" s="1"/>
      <c r="S3993" s="261"/>
      <c r="T3993" s="92"/>
      <c r="U3993" s="264"/>
      <c r="V3993" s="260">
        <v>120</v>
      </c>
      <c r="W3993" s="1136" t="e">
        <f t="shared" si="311"/>
        <v>#VALUE!</v>
      </c>
      <c r="X3993" s="1"/>
      <c r="Y3993" s="1"/>
      <c r="Z3993" s="1"/>
      <c r="AA3993" s="1"/>
      <c r="AB3993" s="1"/>
      <c r="AC3993" s="1"/>
      <c r="AD3993" s="1"/>
      <c r="AE3993" s="1"/>
      <c r="AF3993" s="1"/>
      <c r="AG3993" s="1"/>
      <c r="AH3993" s="1"/>
      <c r="AI3993" s="1"/>
      <c r="AJ3993" s="1"/>
      <c r="AK3993" s="1"/>
      <c r="AL3993" s="1"/>
      <c r="AM3993" s="1"/>
      <c r="AN3993" s="1"/>
      <c r="AO3993" s="1"/>
      <c r="AP3993" s="1"/>
      <c r="AQ3993" s="1"/>
      <c r="AR3993" s="1"/>
      <c r="AS3993" s="1"/>
      <c r="AT3993" s="1"/>
      <c r="AU3993" s="1"/>
      <c r="AV3993" s="1"/>
      <c r="AW3993" s="1"/>
      <c r="AX3993" s="1"/>
      <c r="AY3993" s="1"/>
    </row>
    <row r="3994" spans="1:51" customFormat="1" ht="18" customHeight="1">
      <c r="B3994" s="12" t="s">
        <v>302</v>
      </c>
      <c r="C3994" s="6" t="s">
        <v>4999</v>
      </c>
      <c r="D3994" s="14" t="s">
        <v>4994</v>
      </c>
      <c r="E3994" s="22" t="s">
        <v>4996</v>
      </c>
      <c r="F3994" s="107">
        <v>100</v>
      </c>
      <c r="G3994" s="22" t="s">
        <v>4997</v>
      </c>
      <c r="H3994" s="108"/>
      <c r="I3994" s="109"/>
      <c r="J3994" s="8">
        <v>9</v>
      </c>
      <c r="K3994" s="39">
        <v>23.89</v>
      </c>
      <c r="L3994" s="39">
        <f>K3994*J3994</f>
        <v>215.01</v>
      </c>
      <c r="M3994" s="117" t="s">
        <v>323</v>
      </c>
      <c r="N3994" s="33">
        <v>45539</v>
      </c>
      <c r="O3994" s="32">
        <v>6386</v>
      </c>
      <c r="P3994" s="391">
        <f>ROUNDUP(S3994/V3994/VLOOKUP(B3994,$C$2:$F$6,3,FALSE),2)</f>
        <v>16.290000000000003</v>
      </c>
      <c r="Q3994" s="254">
        <v>16.29</v>
      </c>
      <c r="R3994" s="323">
        <f>Q3994*J3994</f>
        <v>146.60999999999999</v>
      </c>
      <c r="S3994" s="257">
        <v>1720</v>
      </c>
      <c r="T3994" s="287">
        <f>S3994*J3994</f>
        <v>15480</v>
      </c>
      <c r="U3994" s="264"/>
      <c r="V3994" s="260">
        <v>120</v>
      </c>
      <c r="W3994" s="1136">
        <f t="shared" si="311"/>
        <v>0.4000279056788057</v>
      </c>
      <c r="X3994" s="1"/>
      <c r="Y3994" s="1"/>
      <c r="Z3994" s="1"/>
      <c r="AA3994" s="1"/>
      <c r="AB3994" s="1"/>
      <c r="AC3994" s="1"/>
      <c r="AD3994" s="1"/>
      <c r="AE3994" s="1"/>
      <c r="AF3994" s="1"/>
      <c r="AG3994" s="1"/>
      <c r="AH3994" s="1"/>
      <c r="AI3994" s="1"/>
      <c r="AJ3994" s="1"/>
      <c r="AK3994" s="1"/>
      <c r="AL3994" s="1"/>
      <c r="AM3994" s="1"/>
      <c r="AN3994" s="1"/>
      <c r="AO3994" s="1"/>
      <c r="AP3994" s="1"/>
      <c r="AQ3994" s="1"/>
      <c r="AR3994" s="1"/>
      <c r="AS3994" s="1"/>
      <c r="AT3994" s="1"/>
      <c r="AU3994" s="1"/>
      <c r="AV3994" s="1"/>
      <c r="AW3994" s="1"/>
      <c r="AX3994" s="1"/>
      <c r="AY3994" s="1"/>
    </row>
    <row r="3995" spans="1:51" s="7" customFormat="1" ht="15">
      <c r="B3995" s="12"/>
      <c r="C3995" s="6" t="s">
        <v>4999</v>
      </c>
      <c r="D3995" s="14" t="s">
        <v>4994</v>
      </c>
      <c r="E3995" s="49"/>
      <c r="F3995" s="102"/>
      <c r="G3995" s="22" t="s">
        <v>316</v>
      </c>
      <c r="H3995" s="38"/>
      <c r="I3995" s="35"/>
      <c r="J3995" s="38">
        <v>1</v>
      </c>
      <c r="K3995" s="39">
        <v>20</v>
      </c>
      <c r="L3995" s="39">
        <f>K3995*J3995</f>
        <v>20</v>
      </c>
      <c r="M3995" s="91"/>
      <c r="N3995" s="33">
        <v>45539</v>
      </c>
      <c r="O3995" s="32">
        <v>6386</v>
      </c>
      <c r="P3995" s="722"/>
      <c r="Q3995" s="322">
        <v>20</v>
      </c>
      <c r="R3995" s="322">
        <f>Q3995*J3995</f>
        <v>20</v>
      </c>
      <c r="S3995" s="7">
        <v>0</v>
      </c>
      <c r="T3995" s="7">
        <f>S3995*J3995</f>
        <v>0</v>
      </c>
      <c r="U3995" s="21"/>
      <c r="V3995" s="260">
        <v>120</v>
      </c>
      <c r="W3995" s="1136">
        <f t="shared" si="311"/>
        <v>1</v>
      </c>
    </row>
    <row r="3996" spans="1:51" s="191" customFormat="1" ht="15">
      <c r="B3996" s="190"/>
      <c r="C3996" s="179" t="s">
        <v>4999</v>
      </c>
      <c r="D3996" s="180" t="s">
        <v>4994</v>
      </c>
      <c r="E3996" s="181"/>
      <c r="F3996" s="182"/>
      <c r="G3996" s="182" t="s">
        <v>2738</v>
      </c>
      <c r="H3996" s="184" t="s">
        <v>251</v>
      </c>
      <c r="I3996" s="185"/>
      <c r="J3996" s="183"/>
      <c r="K3996" s="192">
        <v>0</v>
      </c>
      <c r="L3996" s="187"/>
      <c r="M3996" s="187"/>
      <c r="N3996" s="187">
        <v>45539</v>
      </c>
      <c r="O3996" s="186">
        <v>6386</v>
      </c>
      <c r="P3996" s="179"/>
      <c r="Q3996" s="203"/>
      <c r="R3996" s="203"/>
      <c r="S3996" s="203"/>
      <c r="T3996" s="203"/>
      <c r="U3996" s="271"/>
      <c r="V3996" s="260">
        <v>120</v>
      </c>
      <c r="W3996" s="1136" t="e">
        <f t="shared" si="311"/>
        <v>#DIV/0!</v>
      </c>
    </row>
    <row r="3997" spans="1:51" s="7" customFormat="1" ht="18" customHeight="1">
      <c r="B3997" s="12"/>
      <c r="C3997" s="1303" t="s">
        <v>4973</v>
      </c>
      <c r="D3997" s="14"/>
      <c r="E3997" s="19" t="s">
        <v>4998</v>
      </c>
      <c r="F3997" s="22"/>
      <c r="G3997" s="37"/>
      <c r="H3997" s="108"/>
      <c r="I3997" s="108"/>
      <c r="J3997" s="108"/>
      <c r="K3997" s="110" t="s">
        <v>5</v>
      </c>
      <c r="L3997" s="33"/>
      <c r="M3997" s="33"/>
      <c r="N3997" s="33"/>
      <c r="O3997" s="1306" t="s">
        <v>4978</v>
      </c>
      <c r="P3997" s="6"/>
      <c r="Q3997" s="223"/>
      <c r="S3997" s="1174"/>
      <c r="T3997" s="92"/>
      <c r="U3997" s="266"/>
      <c r="V3997" s="260">
        <v>120</v>
      </c>
    </row>
    <row r="3998" spans="1:51" s="7" customFormat="1" ht="15.95" customHeight="1">
      <c r="B3998" s="12" t="s">
        <v>300</v>
      </c>
      <c r="C3998" s="1303" t="s">
        <v>4973</v>
      </c>
      <c r="D3998" s="14"/>
      <c r="E3998" s="22">
        <v>12740</v>
      </c>
      <c r="F3998" s="37">
        <v>4</v>
      </c>
      <c r="G3998" s="37" t="s">
        <v>118</v>
      </c>
      <c r="H3998" s="60">
        <v>20</v>
      </c>
      <c r="I3998" s="61">
        <v>1</v>
      </c>
      <c r="J3998" s="60">
        <f>H3998*I3998</f>
        <v>20</v>
      </c>
      <c r="K3998" s="39"/>
      <c r="L3998" s="39"/>
      <c r="M3998" s="117" t="s">
        <v>323</v>
      </c>
      <c r="N3998" s="33"/>
      <c r="O3998" s="1306" t="s">
        <v>4978</v>
      </c>
      <c r="P3998" s="391"/>
      <c r="Q3998" s="254"/>
      <c r="R3998" s="323"/>
      <c r="S3998" s="1200">
        <v>53.1</v>
      </c>
      <c r="T3998" s="92">
        <f>S3998*J3998</f>
        <v>1062</v>
      </c>
      <c r="U3998" s="1200"/>
      <c r="V3998" s="260">
        <v>120</v>
      </c>
      <c r="W3998" s="1136" t="e">
        <f>(((K3998*V3998)-S3998)/(K3998*V3998))</f>
        <v>#DIV/0!</v>
      </c>
    </row>
    <row r="3999" spans="1:51" s="191" customFormat="1" ht="18" customHeight="1">
      <c r="B3999" s="190"/>
      <c r="C3999" s="1304" t="s">
        <v>4973</v>
      </c>
      <c r="D3999" s="180"/>
      <c r="E3999" s="217"/>
      <c r="F3999" s="182"/>
      <c r="G3999" s="182" t="s">
        <v>250</v>
      </c>
      <c r="H3999" s="184" t="s">
        <v>251</v>
      </c>
      <c r="I3999" s="185"/>
      <c r="J3999" s="183"/>
      <c r="K3999" s="192">
        <v>0</v>
      </c>
      <c r="L3999" s="187"/>
      <c r="M3999" s="187"/>
      <c r="N3999" s="187"/>
      <c r="O3999" s="1307" t="s">
        <v>4978</v>
      </c>
      <c r="P3999" s="179"/>
      <c r="Q3999" s="255">
        <v>0</v>
      </c>
      <c r="R3999" s="322">
        <v>0</v>
      </c>
      <c r="S3999" s="275">
        <v>800</v>
      </c>
      <c r="T3999" s="275">
        <v>800</v>
      </c>
      <c r="U3999" s="271"/>
      <c r="V3999" s="260">
        <v>120</v>
      </c>
      <c r="W3999" s="1136" t="e">
        <f>(((K3999*V3999)-S3999)/(K3999*V3999))</f>
        <v>#DIV/0!</v>
      </c>
    </row>
    <row r="4000" spans="1:51" s="7" customFormat="1" ht="18" customHeight="1">
      <c r="B4000" s="12"/>
      <c r="C4000" s="6" t="s">
        <v>5015</v>
      </c>
      <c r="D4000" s="14" t="s">
        <v>5006</v>
      </c>
      <c r="E4000" s="19" t="s">
        <v>5014</v>
      </c>
      <c r="F4000" s="37"/>
      <c r="G4000" s="37"/>
      <c r="H4000" s="108"/>
      <c r="I4000" s="108"/>
      <c r="J4000" s="108"/>
      <c r="K4000" s="110" t="s">
        <v>101</v>
      </c>
      <c r="L4000" s="139"/>
      <c r="M4000" s="33"/>
      <c r="N4000" s="33">
        <v>45524</v>
      </c>
      <c r="O4000" s="32">
        <v>6400</v>
      </c>
      <c r="P4000" s="6"/>
      <c r="Q4000" s="339"/>
      <c r="U4000" s="21"/>
      <c r="V4000" s="257"/>
      <c r="W4000" s="1136" t="e">
        <f>(((K4000*V4000)-S4000)/(K4000*V4000))</f>
        <v>#VALUE!</v>
      </c>
    </row>
    <row r="4001" spans="2:24" s="7" customFormat="1" ht="18" customHeight="1">
      <c r="B4001" s="12" t="s">
        <v>300</v>
      </c>
      <c r="C4001" s="6" t="s">
        <v>5015</v>
      </c>
      <c r="D4001" s="14" t="s">
        <v>5006</v>
      </c>
      <c r="E4001" s="22" t="s">
        <v>5007</v>
      </c>
      <c r="F4001" s="107"/>
      <c r="G4001" s="22" t="s">
        <v>5012</v>
      </c>
      <c r="H4001" s="1255">
        <v>13.7</v>
      </c>
      <c r="I4001" s="811">
        <v>3</v>
      </c>
      <c r="J4001" s="131">
        <f>I4001*H4001</f>
        <v>41.099999999999994</v>
      </c>
      <c r="K4001" s="39">
        <v>9.17</v>
      </c>
      <c r="L4001" s="39">
        <f t="shared" ref="L4001:L4007" si="312">K4001*J4001</f>
        <v>376.88699999999994</v>
      </c>
      <c r="M4001" s="117" t="s">
        <v>323</v>
      </c>
      <c r="N4001" s="33">
        <v>45524</v>
      </c>
      <c r="O4001" s="32">
        <v>6400</v>
      </c>
      <c r="P4001" s="391">
        <f>ROUNDUP(S4001/V4001/VLOOKUP(B4001,$C$2:$F$6,3,FALSE),2)</f>
        <v>6.55</v>
      </c>
      <c r="Q4001" s="322">
        <v>6.55</v>
      </c>
      <c r="R4001" s="322">
        <f t="shared" ref="R4001:R4007" si="313">Q4001*J4001</f>
        <v>269.20499999999993</v>
      </c>
      <c r="S4001" s="7">
        <v>550</v>
      </c>
      <c r="T4001" s="7">
        <f t="shared" ref="T4001:T4007" si="314">S4001*J4001</f>
        <v>22604.999999999996</v>
      </c>
      <c r="U4001" s="21"/>
      <c r="V4001" s="260">
        <v>120</v>
      </c>
      <c r="W4001" s="1136">
        <f>(((K4001*V4001)-S4001)/(K4001*V4001))</f>
        <v>0.50018175209014903</v>
      </c>
    </row>
    <row r="4002" spans="2:24" s="7" customFormat="1" ht="18" customHeight="1">
      <c r="B4002" s="12" t="s">
        <v>300</v>
      </c>
      <c r="C4002" s="6" t="s">
        <v>5015</v>
      </c>
      <c r="D4002" s="14" t="s">
        <v>5006</v>
      </c>
      <c r="E4002" s="22" t="s">
        <v>5008</v>
      </c>
      <c r="F4002" s="107"/>
      <c r="G4002" s="22" t="s">
        <v>5013</v>
      </c>
      <c r="H4002" s="1255">
        <v>13.7</v>
      </c>
      <c r="I4002" s="811">
        <v>2</v>
      </c>
      <c r="J4002" s="131">
        <f>I4002*H4002</f>
        <v>27.4</v>
      </c>
      <c r="K4002" s="39">
        <v>9.17</v>
      </c>
      <c r="L4002" s="39">
        <f t="shared" si="312"/>
        <v>251.25799999999998</v>
      </c>
      <c r="M4002" s="117" t="s">
        <v>323</v>
      </c>
      <c r="N4002" s="33">
        <v>45524</v>
      </c>
      <c r="O4002" s="32">
        <v>6400</v>
      </c>
      <c r="P4002" s="391">
        <f>ROUNDUP(S4002/V4002/VLOOKUP(B4002,$C$2:$F$6,3,FALSE),2)</f>
        <v>6.55</v>
      </c>
      <c r="Q4002" s="322">
        <v>6.55</v>
      </c>
      <c r="R4002" s="322">
        <f t="shared" si="313"/>
        <v>179.47</v>
      </c>
      <c r="S4002" s="7">
        <v>550</v>
      </c>
      <c r="T4002" s="7">
        <f t="shared" si="314"/>
        <v>15070</v>
      </c>
      <c r="U4002" s="21"/>
      <c r="V4002" s="260">
        <v>120</v>
      </c>
      <c r="W4002" s="1136">
        <f t="shared" ref="W4002:W4008" si="315">(((K4002*V4002)-S4002)/(K4002*V4002))</f>
        <v>0.50018175209014903</v>
      </c>
    </row>
    <row r="4003" spans="2:24" s="7" customFormat="1" ht="18" customHeight="1">
      <c r="B4003" s="12" t="s">
        <v>300</v>
      </c>
      <c r="C4003" s="6" t="s">
        <v>5015</v>
      </c>
      <c r="D4003" s="14" t="s">
        <v>5006</v>
      </c>
      <c r="E4003" s="22" t="s">
        <v>5010</v>
      </c>
      <c r="F4003" s="107"/>
      <c r="G4003" s="22" t="s">
        <v>5012</v>
      </c>
      <c r="H4003" s="1255">
        <v>13.7</v>
      </c>
      <c r="I4003" s="811">
        <v>3</v>
      </c>
      <c r="J4003" s="131">
        <f>I4003*H4003</f>
        <v>41.099999999999994</v>
      </c>
      <c r="K4003" s="39">
        <v>8</v>
      </c>
      <c r="L4003" s="39">
        <f>K4003*J4003</f>
        <v>328.79999999999995</v>
      </c>
      <c r="M4003" s="117" t="s">
        <v>323</v>
      </c>
      <c r="N4003" s="33">
        <v>45524</v>
      </c>
      <c r="O4003" s="32">
        <v>6400</v>
      </c>
      <c r="P4003" s="391">
        <f>ROUNDUP(S4003/V4003/VLOOKUP(B4003,$C$2:$F$6,3,FALSE),2)</f>
        <v>5.72</v>
      </c>
      <c r="Q4003" s="322">
        <v>5.72</v>
      </c>
      <c r="R4003" s="322">
        <f>Q4003*J4003</f>
        <v>235.09199999999996</v>
      </c>
      <c r="S4003" s="7">
        <v>480</v>
      </c>
      <c r="T4003" s="7">
        <f>S4003*J4003</f>
        <v>19727.999999999996</v>
      </c>
      <c r="U4003" s="21"/>
      <c r="V4003" s="260">
        <v>120</v>
      </c>
      <c r="W4003" s="1136">
        <f>(((K4003*V4003)-S4003)/(K4003*V4003))</f>
        <v>0.5</v>
      </c>
    </row>
    <row r="4004" spans="2:24" s="7" customFormat="1" ht="18" customHeight="1">
      <c r="B4004" s="12" t="s">
        <v>300</v>
      </c>
      <c r="C4004" s="6" t="s">
        <v>5015</v>
      </c>
      <c r="D4004" s="14" t="s">
        <v>5006</v>
      </c>
      <c r="E4004" s="22" t="s">
        <v>5011</v>
      </c>
      <c r="F4004" s="107"/>
      <c r="G4004" s="22" t="s">
        <v>5013</v>
      </c>
      <c r="H4004" s="1255">
        <v>13.7</v>
      </c>
      <c r="I4004" s="811">
        <v>2</v>
      </c>
      <c r="J4004" s="131">
        <f>I4004*H4004</f>
        <v>27.4</v>
      </c>
      <c r="K4004" s="39">
        <v>10</v>
      </c>
      <c r="L4004" s="39">
        <f>K4004*J4004</f>
        <v>274</v>
      </c>
      <c r="M4004" s="117" t="s">
        <v>323</v>
      </c>
      <c r="N4004" s="33">
        <v>45524</v>
      </c>
      <c r="O4004" s="32">
        <v>6400</v>
      </c>
      <c r="P4004" s="391">
        <f>ROUNDUP(S4004/V4004/VLOOKUP(B4004,$C$2:$F$6,3,FALSE),2)</f>
        <v>7.1499999999999995</v>
      </c>
      <c r="Q4004" s="322">
        <v>7.15</v>
      </c>
      <c r="R4004" s="322">
        <f>Q4004*J4004</f>
        <v>195.91</v>
      </c>
      <c r="S4004" s="7">
        <v>600</v>
      </c>
      <c r="T4004" s="7">
        <f>S4004*J4004</f>
        <v>16440</v>
      </c>
      <c r="U4004" s="21"/>
      <c r="V4004" s="260">
        <v>120</v>
      </c>
      <c r="W4004" s="1136">
        <f>(((K4004*V4004)-S4004)/(K4004*V4004))</f>
        <v>0.5</v>
      </c>
    </row>
    <row r="4005" spans="2:24" s="7" customFormat="1" ht="18" customHeight="1">
      <c r="B4005" s="12"/>
      <c r="C4005" s="6" t="s">
        <v>5015</v>
      </c>
      <c r="D4005" s="14" t="s">
        <v>5006</v>
      </c>
      <c r="E4005" s="19" t="s">
        <v>5021</v>
      </c>
      <c r="F4005" s="37"/>
      <c r="G4005" s="37"/>
      <c r="H4005" s="108"/>
      <c r="I4005" s="108"/>
      <c r="J4005" s="108"/>
      <c r="K4005" s="110" t="s">
        <v>101</v>
      </c>
      <c r="L4005" s="139"/>
      <c r="M4005" s="33"/>
      <c r="N4005" s="33">
        <v>45524</v>
      </c>
      <c r="O4005" s="32">
        <v>6400</v>
      </c>
      <c r="P4005" s="6"/>
      <c r="Q4005" s="339"/>
      <c r="U4005" s="21"/>
      <c r="V4005" s="257"/>
      <c r="W4005" s="1136" t="e">
        <f t="shared" si="315"/>
        <v>#VALUE!</v>
      </c>
    </row>
    <row r="4006" spans="2:24" s="7" customFormat="1" ht="18" customHeight="1">
      <c r="B4006" s="12" t="s">
        <v>300</v>
      </c>
      <c r="C4006" s="6" t="s">
        <v>5015</v>
      </c>
      <c r="D4006" s="14" t="s">
        <v>5006</v>
      </c>
      <c r="E4006" s="22" t="s">
        <v>5009</v>
      </c>
      <c r="F4006" s="107"/>
      <c r="G4006" s="22" t="s">
        <v>5012</v>
      </c>
      <c r="H4006" s="1255"/>
      <c r="I4006" s="811" t="s">
        <v>1285</v>
      </c>
      <c r="J4006" s="131">
        <v>11</v>
      </c>
      <c r="K4006" s="39">
        <v>5.5</v>
      </c>
      <c r="L4006" s="39">
        <f t="shared" si="312"/>
        <v>60.5</v>
      </c>
      <c r="M4006" s="117" t="s">
        <v>323</v>
      </c>
      <c r="N4006" s="33">
        <v>45524</v>
      </c>
      <c r="O4006" s="32">
        <v>6400</v>
      </c>
      <c r="P4006" s="391">
        <f>ROUNDUP(S4006/V4006/VLOOKUP(B4006,$C$2:$F$6,3,FALSE),2)</f>
        <v>3.9299999999999997</v>
      </c>
      <c r="Q4006" s="322">
        <v>3.93</v>
      </c>
      <c r="R4006" s="322">
        <f t="shared" si="313"/>
        <v>43.230000000000004</v>
      </c>
      <c r="S4006" s="7">
        <v>330</v>
      </c>
      <c r="T4006" s="7">
        <f t="shared" si="314"/>
        <v>3630</v>
      </c>
      <c r="U4006" s="21"/>
      <c r="V4006" s="260">
        <v>120</v>
      </c>
      <c r="W4006" s="1136">
        <f t="shared" si="315"/>
        <v>0.5</v>
      </c>
    </row>
    <row r="4007" spans="2:24" s="7" customFormat="1" ht="15">
      <c r="B4007" s="12"/>
      <c r="C4007" s="6" t="s">
        <v>5015</v>
      </c>
      <c r="D4007" s="14" t="s">
        <v>5006</v>
      </c>
      <c r="E4007" s="22"/>
      <c r="F4007" s="102"/>
      <c r="G4007" s="22" t="s">
        <v>316</v>
      </c>
      <c r="H4007" s="38"/>
      <c r="I4007" s="35"/>
      <c r="J4007" s="38">
        <v>1</v>
      </c>
      <c r="K4007" s="39">
        <v>12</v>
      </c>
      <c r="L4007" s="39">
        <f t="shared" si="312"/>
        <v>12</v>
      </c>
      <c r="M4007" s="91"/>
      <c r="N4007" s="33">
        <v>45524</v>
      </c>
      <c r="O4007" s="32">
        <v>6400</v>
      </c>
      <c r="P4007" s="722"/>
      <c r="Q4007" s="322">
        <v>12</v>
      </c>
      <c r="R4007" s="322">
        <f t="shared" si="313"/>
        <v>12</v>
      </c>
      <c r="S4007" s="7">
        <v>0</v>
      </c>
      <c r="T4007" s="7">
        <f t="shared" si="314"/>
        <v>0</v>
      </c>
      <c r="U4007" s="21"/>
      <c r="V4007" s="260">
        <v>120</v>
      </c>
      <c r="W4007" s="1136">
        <f t="shared" si="315"/>
        <v>1</v>
      </c>
    </row>
    <row r="4008" spans="2:24" s="191" customFormat="1" ht="15">
      <c r="B4008" s="190"/>
      <c r="C4008" s="179" t="s">
        <v>5015</v>
      </c>
      <c r="D4008" s="180" t="s">
        <v>5006</v>
      </c>
      <c r="E4008" s="181"/>
      <c r="F4008" s="182"/>
      <c r="G4008" s="182" t="s">
        <v>2738</v>
      </c>
      <c r="H4008" s="184" t="s">
        <v>251</v>
      </c>
      <c r="I4008" s="185"/>
      <c r="J4008" s="183"/>
      <c r="K4008" s="192">
        <v>0</v>
      </c>
      <c r="L4008" s="187"/>
      <c r="M4008" s="187"/>
      <c r="N4008" s="187">
        <v>45524</v>
      </c>
      <c r="O4008" s="186">
        <v>6400</v>
      </c>
      <c r="P4008" s="179"/>
      <c r="Q4008" s="203"/>
      <c r="R4008" s="203"/>
      <c r="S4008" s="203"/>
      <c r="T4008" s="203"/>
      <c r="U4008" s="271"/>
      <c r="V4008" s="260">
        <v>120</v>
      </c>
      <c r="W4008" s="1136" t="e">
        <f t="shared" si="315"/>
        <v>#DIV/0!</v>
      </c>
    </row>
    <row r="4009" spans="2:24" s="7" customFormat="1" ht="15">
      <c r="B4009" s="12"/>
      <c r="C4009" s="6" t="s">
        <v>5016</v>
      </c>
      <c r="D4009" s="14" t="s">
        <v>2034</v>
      </c>
      <c r="E4009" s="19" t="s">
        <v>4420</v>
      </c>
      <c r="F4009" s="24"/>
      <c r="G4009" s="22"/>
      <c r="H4009" s="60"/>
      <c r="I4009" s="61"/>
      <c r="J4009" s="60"/>
      <c r="K4009" s="16" t="s">
        <v>101</v>
      </c>
      <c r="L4009" s="33"/>
      <c r="M4009" s="33"/>
      <c r="N4009" s="33">
        <v>45525</v>
      </c>
      <c r="O4009" s="32">
        <v>6401</v>
      </c>
      <c r="P4009" s="6"/>
      <c r="Q4009" s="252"/>
      <c r="S4009" s="257"/>
      <c r="T4009" s="92"/>
      <c r="U4009" s="265"/>
      <c r="V4009" s="260"/>
    </row>
    <row r="4010" spans="2:24" s="7" customFormat="1" ht="16.899999999999999" customHeight="1">
      <c r="B4010" s="12" t="s">
        <v>302</v>
      </c>
      <c r="C4010" s="6" t="s">
        <v>5016</v>
      </c>
      <c r="D4010" s="14" t="s">
        <v>2034</v>
      </c>
      <c r="E4010" s="22" t="s">
        <v>4411</v>
      </c>
      <c r="F4010" s="37" t="s">
        <v>4421</v>
      </c>
      <c r="G4010" s="37" t="s">
        <v>4409</v>
      </c>
      <c r="H4010" s="60">
        <v>55</v>
      </c>
      <c r="I4010" s="61">
        <v>2</v>
      </c>
      <c r="J4010" s="1309">
        <f>H4010*I4010</f>
        <v>110</v>
      </c>
      <c r="K4010" s="39">
        <v>3.34</v>
      </c>
      <c r="L4010" s="39">
        <f>K4010*J4010</f>
        <v>367.4</v>
      </c>
      <c r="M4010" s="117" t="s">
        <v>349</v>
      </c>
      <c r="N4010" s="33">
        <v>45525</v>
      </c>
      <c r="O4010" s="32">
        <v>6401</v>
      </c>
      <c r="P4010" s="391">
        <f>ROUNDUP(S4010/V4010/VLOOKUP(B4010,$C$2:$F$6,3,FALSE),2)</f>
        <v>2.2799999999999998</v>
      </c>
      <c r="Q4010" s="358">
        <v>2.2799999999999998</v>
      </c>
      <c r="R4010" s="322">
        <f>Q4010*J4010</f>
        <v>250.79999999999998</v>
      </c>
      <c r="S4010" s="7">
        <v>240</v>
      </c>
      <c r="T4010" s="7">
        <f>S4010*J4010</f>
        <v>26400</v>
      </c>
      <c r="U4010" s="267"/>
      <c r="V4010" s="260">
        <v>120</v>
      </c>
      <c r="W4010" s="1136">
        <f>(((K4010*V4010)-S4010)/(K4010*V4010))</f>
        <v>0.4011976047904191</v>
      </c>
    </row>
    <row r="4011" spans="2:24" s="7" customFormat="1" ht="16.899999999999999" customHeight="1">
      <c r="B4011" s="12" t="s">
        <v>302</v>
      </c>
      <c r="C4011" s="6" t="s">
        <v>5016</v>
      </c>
      <c r="D4011" s="14" t="s">
        <v>2034</v>
      </c>
      <c r="E4011" s="22" t="s">
        <v>4411</v>
      </c>
      <c r="F4011" s="37" t="s">
        <v>4421</v>
      </c>
      <c r="G4011" s="37" t="s">
        <v>4409</v>
      </c>
      <c r="H4011" s="60">
        <v>54</v>
      </c>
      <c r="I4011" s="61">
        <v>1</v>
      </c>
      <c r="J4011" s="1309">
        <f>H4011*I4011</f>
        <v>54</v>
      </c>
      <c r="K4011" s="39">
        <v>3.34</v>
      </c>
      <c r="L4011" s="39">
        <f>K4011*J4011</f>
        <v>180.35999999999999</v>
      </c>
      <c r="M4011" s="117" t="s">
        <v>349</v>
      </c>
      <c r="N4011" s="33">
        <v>45525</v>
      </c>
      <c r="O4011" s="32">
        <v>6401</v>
      </c>
      <c r="P4011" s="391">
        <f>ROUNDUP(S4011/V4011/VLOOKUP(B4011,$C$2:$F$6,3,FALSE),2)</f>
        <v>2.2799999999999998</v>
      </c>
      <c r="Q4011" s="358">
        <v>2.2799999999999998</v>
      </c>
      <c r="R4011" s="322">
        <f>Q4011*J4011</f>
        <v>123.11999999999999</v>
      </c>
      <c r="S4011" s="7">
        <v>240</v>
      </c>
      <c r="T4011" s="7">
        <f>S4011*J4011</f>
        <v>12960</v>
      </c>
      <c r="U4011" s="267"/>
      <c r="V4011" s="260">
        <v>120</v>
      </c>
      <c r="W4011" s="1136">
        <f>(((K4011*V4011)-S4011)/(K4011*V4011))</f>
        <v>0.4011976047904191</v>
      </c>
    </row>
    <row r="4012" spans="2:24" s="7" customFormat="1" ht="16.899999999999999" customHeight="1">
      <c r="B4012" s="12" t="s">
        <v>302</v>
      </c>
      <c r="C4012" s="6" t="s">
        <v>5016</v>
      </c>
      <c r="D4012" s="14" t="s">
        <v>2034</v>
      </c>
      <c r="E4012" s="22" t="s">
        <v>4411</v>
      </c>
      <c r="F4012" s="37" t="s">
        <v>4421</v>
      </c>
      <c r="G4012" s="37" t="s">
        <v>4409</v>
      </c>
      <c r="H4012" s="18">
        <v>54.5</v>
      </c>
      <c r="I4012" s="61">
        <v>1</v>
      </c>
      <c r="J4012" s="1309">
        <f>H4012*I4012</f>
        <v>54.5</v>
      </c>
      <c r="K4012" s="39">
        <v>3.34</v>
      </c>
      <c r="L4012" s="39">
        <f>K4012*J4012</f>
        <v>182.03</v>
      </c>
      <c r="M4012" s="117" t="s">
        <v>349</v>
      </c>
      <c r="N4012" s="33">
        <v>45525</v>
      </c>
      <c r="O4012" s="32">
        <v>6401</v>
      </c>
      <c r="P4012" s="391">
        <f>ROUNDUP(S4012/V4012/VLOOKUP(B4012,$C$2:$F$6,3,FALSE),2)</f>
        <v>2.2799999999999998</v>
      </c>
      <c r="Q4012" s="358">
        <v>2.2799999999999998</v>
      </c>
      <c r="R4012" s="322">
        <f>Q4012*J4012</f>
        <v>124.25999999999999</v>
      </c>
      <c r="S4012" s="7">
        <v>240</v>
      </c>
      <c r="T4012" s="7">
        <f>S4012*J4012</f>
        <v>13080</v>
      </c>
      <c r="U4012" s="267"/>
      <c r="V4012" s="260">
        <v>120</v>
      </c>
      <c r="W4012" s="1136">
        <f>(((K4012*V4012)-S4012)/(K4012*V4012))</f>
        <v>0.4011976047904191</v>
      </c>
    </row>
    <row r="4013" spans="2:24" s="7" customFormat="1" ht="18" customHeight="1">
      <c r="B4013" s="12"/>
      <c r="C4013" s="6" t="s">
        <v>5016</v>
      </c>
      <c r="D4013" s="14" t="s">
        <v>2034</v>
      </c>
      <c r="E4013" s="22"/>
      <c r="F4013" s="102"/>
      <c r="G4013" s="22" t="s">
        <v>316</v>
      </c>
      <c r="H4013" s="8"/>
      <c r="I4013" s="35"/>
      <c r="J4013" s="38">
        <v>1</v>
      </c>
      <c r="K4013" s="39">
        <v>20</v>
      </c>
      <c r="L4013" s="39">
        <f>K4013*J4013</f>
        <v>20</v>
      </c>
      <c r="M4013" s="91"/>
      <c r="N4013" s="33">
        <v>45525</v>
      </c>
      <c r="O4013" s="32">
        <v>6401</v>
      </c>
      <c r="P4013" s="6"/>
      <c r="Q4013" s="322">
        <v>20</v>
      </c>
      <c r="R4013" s="322">
        <f>Q4013*J4013</f>
        <v>20</v>
      </c>
      <c r="S4013" s="7">
        <v>1800</v>
      </c>
      <c r="T4013" s="7">
        <v>1800</v>
      </c>
      <c r="U4013" s="21"/>
      <c r="V4013" s="260">
        <v>120</v>
      </c>
      <c r="W4013" s="1136">
        <f>(((K4013*V4013)-S4013)/(K4013*V4013))</f>
        <v>0.25</v>
      </c>
    </row>
    <row r="4014" spans="2:24" s="191" customFormat="1" ht="18" customHeight="1">
      <c r="B4014" s="190"/>
      <c r="C4014" s="179" t="s">
        <v>5016</v>
      </c>
      <c r="D4014" s="180" t="s">
        <v>2034</v>
      </c>
      <c r="E4014" s="181"/>
      <c r="F4014" s="182"/>
      <c r="G4014" s="182" t="s">
        <v>250</v>
      </c>
      <c r="H4014" s="184" t="s">
        <v>252</v>
      </c>
      <c r="I4014" s="185"/>
      <c r="J4014" s="183"/>
      <c r="K4014" s="203">
        <v>172</v>
      </c>
      <c r="L4014" s="203">
        <v>172</v>
      </c>
      <c r="M4014" s="947"/>
      <c r="N4014" s="187">
        <v>45525</v>
      </c>
      <c r="O4014" s="186">
        <v>6401</v>
      </c>
      <c r="P4014" s="179"/>
      <c r="Q4014" s="203">
        <v>172</v>
      </c>
      <c r="R4014" s="203">
        <v>172</v>
      </c>
      <c r="S4014" s="1135">
        <v>20556</v>
      </c>
      <c r="T4014" s="1135">
        <v>20556</v>
      </c>
      <c r="U4014" s="335"/>
      <c r="V4014" s="260">
        <v>120</v>
      </c>
      <c r="W4014" s="1136">
        <f>(((K4014*V4014)-S4014)/(K4014*V4014))</f>
        <v>4.0697674418604651E-3</v>
      </c>
      <c r="X4014" s="218"/>
    </row>
    <row r="4015" spans="2:24" s="7" customFormat="1" ht="18" customHeight="1">
      <c r="B4015" s="12"/>
      <c r="C4015" s="6" t="s">
        <v>5020</v>
      </c>
      <c r="D4015" s="14" t="s">
        <v>5019</v>
      </c>
      <c r="E4015" s="7" t="s">
        <v>4812</v>
      </c>
      <c r="F4015" s="37"/>
      <c r="G4015" s="37"/>
      <c r="H4015" s="108"/>
      <c r="I4015" s="108"/>
      <c r="J4015" s="108"/>
      <c r="K4015" s="110" t="s">
        <v>5</v>
      </c>
      <c r="L4015" s="139"/>
      <c r="M4015" s="33"/>
      <c r="N4015" s="33">
        <v>45527</v>
      </c>
      <c r="O4015" s="32">
        <v>6364</v>
      </c>
      <c r="P4015" s="6"/>
      <c r="Q4015" s="339"/>
      <c r="U4015" s="21"/>
      <c r="V4015" s="260">
        <v>120</v>
      </c>
      <c r="W4015" s="1136" t="e">
        <f t="shared" ref="W4015:W4023" si="316">(((K4015*V4015)-S4015)/(K4015*V4015))</f>
        <v>#VALUE!</v>
      </c>
    </row>
    <row r="4016" spans="2:24" s="7" customFormat="1" ht="18" customHeight="1">
      <c r="B4016" s="12" t="s">
        <v>300</v>
      </c>
      <c r="C4016" s="6" t="s">
        <v>5020</v>
      </c>
      <c r="D4016" s="14" t="s">
        <v>5019</v>
      </c>
      <c r="E4016" s="22">
        <v>5604</v>
      </c>
      <c r="F4016" s="24"/>
      <c r="G4016" s="22" t="s">
        <v>4813</v>
      </c>
      <c r="H4016" s="108">
        <v>50</v>
      </c>
      <c r="I4016" s="109">
        <v>12</v>
      </c>
      <c r="J4016" s="8">
        <f>H4016*I4016</f>
        <v>600</v>
      </c>
      <c r="K4016" s="39">
        <v>0.47</v>
      </c>
      <c r="L4016" s="39">
        <f>K4016*J4016</f>
        <v>282</v>
      </c>
      <c r="M4016" s="117" t="s">
        <v>349</v>
      </c>
      <c r="N4016" s="33">
        <v>45527</v>
      </c>
      <c r="O4016" s="32">
        <v>6364</v>
      </c>
      <c r="P4016" s="391">
        <f>ROUNDUP(S4016/V4016/VLOOKUP(B4016,$C$2:$F$6,3,FALSE),2)</f>
        <v>0.3</v>
      </c>
      <c r="Q4016" s="322">
        <v>0.3</v>
      </c>
      <c r="R4016" s="322">
        <f>Q4016*J4016</f>
        <v>180</v>
      </c>
      <c r="S4016" s="92">
        <v>25.2</v>
      </c>
      <c r="T4016" s="7">
        <f>S4016*J4016</f>
        <v>15120</v>
      </c>
      <c r="U4016" s="959"/>
      <c r="V4016" s="260">
        <v>120</v>
      </c>
      <c r="W4016" s="1136">
        <f t="shared" si="316"/>
        <v>0.55319148936170215</v>
      </c>
    </row>
    <row r="4017" spans="2:23" s="7" customFormat="1" ht="18" customHeight="1">
      <c r="B4017" s="12"/>
      <c r="C4017" s="6" t="s">
        <v>5020</v>
      </c>
      <c r="D4017" s="14" t="s">
        <v>5019</v>
      </c>
      <c r="E4017" s="17" t="s">
        <v>160</v>
      </c>
      <c r="F4017" s="319"/>
      <c r="G4017" s="299"/>
      <c r="H4017" s="300" t="s">
        <v>355</v>
      </c>
      <c r="I4017" s="320"/>
      <c r="J4017" s="321"/>
      <c r="K4017" s="110" t="s">
        <v>101</v>
      </c>
      <c r="L4017" s="139"/>
      <c r="M4017" s="33"/>
      <c r="N4017" s="33">
        <v>45527</v>
      </c>
      <c r="O4017" s="32">
        <v>6364</v>
      </c>
      <c r="P4017" s="6"/>
      <c r="Q4017" s="322"/>
      <c r="U4017" s="39"/>
      <c r="V4017" s="260">
        <v>120</v>
      </c>
      <c r="W4017" s="1136" t="e">
        <f t="shared" si="316"/>
        <v>#VALUE!</v>
      </c>
    </row>
    <row r="4018" spans="2:23" s="7" customFormat="1" ht="18" customHeight="1">
      <c r="B4018" s="12" t="s">
        <v>300</v>
      </c>
      <c r="C4018" s="6" t="s">
        <v>5020</v>
      </c>
      <c r="D4018" s="14" t="s">
        <v>5019</v>
      </c>
      <c r="E4018" s="22">
        <v>14552</v>
      </c>
      <c r="F4018" s="24">
        <v>18</v>
      </c>
      <c r="G4018" s="22" t="s">
        <v>5018</v>
      </c>
      <c r="H4018" s="108">
        <v>30</v>
      </c>
      <c r="I4018" s="109">
        <v>4</v>
      </c>
      <c r="J4018" s="8">
        <f>H4018*I4018</f>
        <v>120</v>
      </c>
      <c r="K4018" s="39">
        <v>0.84</v>
      </c>
      <c r="L4018" s="39">
        <f>K4018*J4018</f>
        <v>100.8</v>
      </c>
      <c r="M4018" s="117" t="s">
        <v>323</v>
      </c>
      <c r="N4018" s="33">
        <v>45527</v>
      </c>
      <c r="O4018" s="32">
        <v>6364</v>
      </c>
      <c r="P4018" s="391">
        <f>ROUNDUP(S4018/V4018/VLOOKUP(B4018,$C$2:$F$6,3,FALSE),2)</f>
        <v>0.72</v>
      </c>
      <c r="Q4018" s="358">
        <v>0.72</v>
      </c>
      <c r="R4018" s="322">
        <f>Q4018*J4018</f>
        <v>86.399999999999991</v>
      </c>
      <c r="S4018" s="7">
        <v>60</v>
      </c>
      <c r="T4018" s="7">
        <f>S4018*J4018</f>
        <v>7200</v>
      </c>
      <c r="U4018" s="267"/>
      <c r="V4018" s="260">
        <v>120</v>
      </c>
      <c r="W4018" s="1136">
        <f t="shared" si="316"/>
        <v>0.40476190476190477</v>
      </c>
    </row>
    <row r="4019" spans="2:23" s="7" customFormat="1" ht="18" customHeight="1">
      <c r="B4019" s="12" t="s">
        <v>300</v>
      </c>
      <c r="C4019" s="6" t="s">
        <v>5020</v>
      </c>
      <c r="D4019" s="14" t="s">
        <v>5019</v>
      </c>
      <c r="E4019" s="22">
        <v>14552</v>
      </c>
      <c r="F4019" s="24">
        <v>18</v>
      </c>
      <c r="G4019" s="22" t="s">
        <v>5017</v>
      </c>
      <c r="H4019" s="108">
        <v>30</v>
      </c>
      <c r="I4019" s="109">
        <v>27</v>
      </c>
      <c r="J4019" s="8">
        <f>H4019*I4019</f>
        <v>810</v>
      </c>
      <c r="K4019" s="39">
        <v>0.84</v>
      </c>
      <c r="L4019" s="39">
        <f>K4019*J4019</f>
        <v>680.4</v>
      </c>
      <c r="M4019" s="117" t="s">
        <v>323</v>
      </c>
      <c r="N4019" s="33">
        <v>45527</v>
      </c>
      <c r="O4019" s="32">
        <v>6364</v>
      </c>
      <c r="P4019" s="391">
        <f>ROUNDUP(S4019/V4019/VLOOKUP(B4019,$C$2:$F$6,3,FALSE),2)</f>
        <v>0.72</v>
      </c>
      <c r="Q4019" s="358">
        <v>0.72</v>
      </c>
      <c r="R4019" s="322">
        <f>Q4019*J4019</f>
        <v>583.19999999999993</v>
      </c>
      <c r="S4019" s="7">
        <v>60</v>
      </c>
      <c r="T4019" s="7">
        <f>S4019*J4019</f>
        <v>48600</v>
      </c>
      <c r="U4019" s="267"/>
      <c r="V4019" s="260">
        <v>120</v>
      </c>
      <c r="W4019" s="1136">
        <f t="shared" si="316"/>
        <v>0.40476190476190477</v>
      </c>
    </row>
    <row r="4020" spans="2:23" s="7" customFormat="1" ht="18" customHeight="1">
      <c r="B4020" s="12"/>
      <c r="C4020" s="6" t="s">
        <v>5020</v>
      </c>
      <c r="D4020" s="14" t="s">
        <v>5019</v>
      </c>
      <c r="E4020" s="22"/>
      <c r="F4020" s="102"/>
      <c r="G4020" s="22" t="s">
        <v>316</v>
      </c>
      <c r="H4020" s="8"/>
      <c r="I4020" s="35"/>
      <c r="J4020" s="38">
        <v>2</v>
      </c>
      <c r="K4020" s="39">
        <v>12</v>
      </c>
      <c r="L4020" s="39">
        <f>K4020*J4020</f>
        <v>24</v>
      </c>
      <c r="M4020" s="91"/>
      <c r="N4020" s="33">
        <v>45527</v>
      </c>
      <c r="O4020" s="32">
        <v>6364</v>
      </c>
      <c r="P4020" s="6" t="s">
        <v>3</v>
      </c>
      <c r="Q4020" s="39">
        <v>12</v>
      </c>
      <c r="R4020" s="322">
        <f>Q4020*J4020</f>
        <v>24</v>
      </c>
      <c r="S4020" s="7">
        <v>1100</v>
      </c>
      <c r="T4020" s="7">
        <v>1100</v>
      </c>
      <c r="U4020" s="21"/>
      <c r="V4020" s="260">
        <v>120</v>
      </c>
      <c r="W4020" s="1136">
        <f t="shared" si="316"/>
        <v>0.2361111111111111</v>
      </c>
    </row>
    <row r="4021" spans="2:23" s="191" customFormat="1" ht="18" customHeight="1">
      <c r="B4021" s="190"/>
      <c r="C4021" s="179" t="s">
        <v>5020</v>
      </c>
      <c r="D4021" s="180" t="s">
        <v>5019</v>
      </c>
      <c r="E4021" s="217"/>
      <c r="F4021" s="182"/>
      <c r="G4021" s="182" t="s">
        <v>250</v>
      </c>
      <c r="H4021" s="184" t="s">
        <v>251</v>
      </c>
      <c r="I4021" s="185"/>
      <c r="J4021" s="183"/>
      <c r="K4021" s="192">
        <v>0</v>
      </c>
      <c r="L4021" s="192">
        <v>0</v>
      </c>
      <c r="M4021" s="187"/>
      <c r="N4021" s="187">
        <v>45527</v>
      </c>
      <c r="O4021" s="186">
        <v>6364</v>
      </c>
      <c r="P4021" s="179"/>
      <c r="Q4021" s="334">
        <v>0</v>
      </c>
      <c r="R4021" s="334">
        <v>0</v>
      </c>
      <c r="S4021" s="197">
        <v>0</v>
      </c>
      <c r="T4021" s="197">
        <v>0</v>
      </c>
      <c r="U4021" s="335"/>
      <c r="V4021" s="260">
        <v>120</v>
      </c>
      <c r="W4021" s="1136" t="e">
        <f t="shared" si="316"/>
        <v>#DIV/0!</v>
      </c>
    </row>
    <row r="4022" spans="2:23" s="7" customFormat="1" ht="18" customHeight="1">
      <c r="B4022" s="12"/>
      <c r="C4022" s="6" t="s">
        <v>5022</v>
      </c>
      <c r="D4022" s="14" t="s">
        <v>5006</v>
      </c>
      <c r="E4022" s="19" t="s">
        <v>5014</v>
      </c>
      <c r="F4022" s="37"/>
      <c r="G4022" s="37"/>
      <c r="H4022" s="108"/>
      <c r="I4022" s="108"/>
      <c r="J4022" s="108"/>
      <c r="K4022" s="110" t="s">
        <v>101</v>
      </c>
      <c r="L4022" s="139"/>
      <c r="M4022" s="33"/>
      <c r="N4022" s="33">
        <v>45530</v>
      </c>
      <c r="O4022" s="32">
        <v>6425</v>
      </c>
      <c r="P4022" s="6"/>
      <c r="Q4022" s="339"/>
      <c r="U4022" s="21"/>
      <c r="V4022" s="257"/>
      <c r="W4022" s="1136" t="e">
        <f t="shared" si="316"/>
        <v>#VALUE!</v>
      </c>
    </row>
    <row r="4023" spans="2:23" s="7" customFormat="1" ht="18" customHeight="1">
      <c r="B4023" s="12" t="s">
        <v>300</v>
      </c>
      <c r="C4023" s="6" t="s">
        <v>5022</v>
      </c>
      <c r="D4023" s="14" t="s">
        <v>5006</v>
      </c>
      <c r="E4023" s="22" t="s">
        <v>5023</v>
      </c>
      <c r="F4023" s="107"/>
      <c r="G4023" s="22" t="s">
        <v>58</v>
      </c>
      <c r="H4023" s="1255">
        <v>13.7</v>
      </c>
      <c r="I4023" s="811">
        <v>3</v>
      </c>
      <c r="J4023" s="131">
        <f>I4023*H4023</f>
        <v>41.099999999999994</v>
      </c>
      <c r="K4023" s="39">
        <v>8.33</v>
      </c>
      <c r="L4023" s="39">
        <f>K4023*J4023</f>
        <v>342.36299999999994</v>
      </c>
      <c r="M4023" s="117" t="s">
        <v>323</v>
      </c>
      <c r="N4023" s="33">
        <v>45530</v>
      </c>
      <c r="O4023" s="32">
        <v>6425</v>
      </c>
      <c r="P4023" s="391">
        <f>ROUNDUP(S4023/V4023/VLOOKUP(B4023,$C$2:$F$6,3,FALSE),2)</f>
        <v>5.96</v>
      </c>
      <c r="Q4023" s="322">
        <v>5.96</v>
      </c>
      <c r="R4023" s="322">
        <f>Q4023*J4023</f>
        <v>244.95599999999996</v>
      </c>
      <c r="S4023" s="7">
        <v>500</v>
      </c>
      <c r="T4023" s="7">
        <f>S4023*J4023</f>
        <v>20549.999999999996</v>
      </c>
      <c r="U4023" s="21"/>
      <c r="V4023" s="260">
        <v>120</v>
      </c>
      <c r="W4023" s="1136">
        <f t="shared" si="316"/>
        <v>0.49979991996798723</v>
      </c>
    </row>
    <row r="4024" spans="2:23" s="7" customFormat="1" ht="15">
      <c r="B4024" s="12"/>
      <c r="C4024" s="6" t="s">
        <v>5022</v>
      </c>
      <c r="D4024" s="14" t="s">
        <v>5006</v>
      </c>
      <c r="E4024" s="22"/>
      <c r="F4024" s="102"/>
      <c r="G4024" s="22" t="s">
        <v>316</v>
      </c>
      <c r="H4024" s="38"/>
      <c r="I4024" s="35"/>
      <c r="J4024" s="38">
        <v>1</v>
      </c>
      <c r="K4024" s="39">
        <v>12</v>
      </c>
      <c r="L4024" s="39">
        <f>K4024*J4024</f>
        <v>12</v>
      </c>
      <c r="M4024" s="91"/>
      <c r="N4024" s="33">
        <v>45530</v>
      </c>
      <c r="O4024" s="32">
        <v>6425</v>
      </c>
      <c r="P4024" s="722"/>
      <c r="Q4024" s="322">
        <v>12</v>
      </c>
      <c r="R4024" s="322">
        <f>Q4024*J4024</f>
        <v>12</v>
      </c>
      <c r="S4024" s="7">
        <v>0</v>
      </c>
      <c r="T4024" s="7">
        <f>S4024*J4024</f>
        <v>0</v>
      </c>
      <c r="U4024" s="21"/>
      <c r="V4024" s="260">
        <v>120</v>
      </c>
      <c r="W4024" s="1136">
        <f>(((K4024*V4024)-S4024)/(K4024*V4024))</f>
        <v>1</v>
      </c>
    </row>
    <row r="4025" spans="2:23" s="191" customFormat="1" ht="15">
      <c r="B4025" s="190"/>
      <c r="C4025" s="179" t="s">
        <v>5022</v>
      </c>
      <c r="D4025" s="180" t="s">
        <v>5006</v>
      </c>
      <c r="E4025" s="181"/>
      <c r="F4025" s="182"/>
      <c r="G4025" s="182" t="s">
        <v>2738</v>
      </c>
      <c r="H4025" s="184" t="s">
        <v>251</v>
      </c>
      <c r="I4025" s="185"/>
      <c r="J4025" s="183"/>
      <c r="K4025" s="192">
        <v>0</v>
      </c>
      <c r="L4025" s="187"/>
      <c r="M4025" s="187"/>
      <c r="N4025" s="187">
        <v>45530</v>
      </c>
      <c r="O4025" s="186">
        <v>6425</v>
      </c>
      <c r="P4025" s="179"/>
      <c r="Q4025" s="203"/>
      <c r="R4025" s="203"/>
      <c r="S4025" s="203"/>
      <c r="T4025" s="203"/>
      <c r="U4025" s="271"/>
      <c r="V4025" s="260">
        <v>120</v>
      </c>
      <c r="W4025" s="1136" t="e">
        <f>(((K4025*V4025)-S4025)/(K4025*V4025))</f>
        <v>#DIV/0!</v>
      </c>
    </row>
    <row r="4026" spans="2:23" s="7" customFormat="1" ht="15">
      <c r="B4026" s="12"/>
      <c r="C4026" s="6" t="s">
        <v>5024</v>
      </c>
      <c r="D4026" s="14" t="s">
        <v>4693</v>
      </c>
      <c r="E4026" s="19" t="s">
        <v>5025</v>
      </c>
      <c r="F4026" s="24"/>
      <c r="G4026" s="22"/>
      <c r="H4026" s="60"/>
      <c r="I4026" s="61"/>
      <c r="J4026" s="60"/>
      <c r="K4026" s="16" t="s">
        <v>101</v>
      </c>
      <c r="L4026" s="33"/>
      <c r="M4026" s="33"/>
      <c r="N4026" s="33">
        <v>45534</v>
      </c>
      <c r="O4026" s="32">
        <v>6439</v>
      </c>
      <c r="P4026" s="6"/>
      <c r="Q4026" s="252"/>
      <c r="S4026" s="257"/>
      <c r="T4026" s="92"/>
      <c r="U4026" s="265"/>
      <c r="V4026" s="260"/>
    </row>
    <row r="4027" spans="2:23" s="7" customFormat="1" ht="16.899999999999999" customHeight="1">
      <c r="B4027" s="12" t="s">
        <v>302</v>
      </c>
      <c r="C4027" s="6" t="s">
        <v>5024</v>
      </c>
      <c r="D4027" s="14" t="s">
        <v>4693</v>
      </c>
      <c r="E4027" s="22">
        <v>3230</v>
      </c>
      <c r="F4027" s="37" t="s">
        <v>5026</v>
      </c>
      <c r="G4027" s="37" t="s">
        <v>5027</v>
      </c>
      <c r="H4027" s="60"/>
      <c r="I4027" s="61"/>
      <c r="J4027" s="8">
        <v>10</v>
      </c>
      <c r="K4027" s="39">
        <v>17.37</v>
      </c>
      <c r="L4027" s="39">
        <f>K4027*J4027</f>
        <v>173.70000000000002</v>
      </c>
      <c r="M4027" s="117" t="s">
        <v>349</v>
      </c>
      <c r="N4027" s="33">
        <v>45534</v>
      </c>
      <c r="O4027" s="32">
        <v>6439</v>
      </c>
      <c r="P4027" s="391">
        <f>ROUNDUP(S4027/V4027/VLOOKUP(B4027,$C$2:$F$6,3,FALSE),2)</f>
        <v>11.84</v>
      </c>
      <c r="Q4027" s="358">
        <v>11.84</v>
      </c>
      <c r="R4027" s="322">
        <f>Q4027*J4027</f>
        <v>118.4</v>
      </c>
      <c r="S4027" s="7">
        <v>1250</v>
      </c>
      <c r="T4027" s="7">
        <f>S4027*J4027</f>
        <v>12500</v>
      </c>
      <c r="U4027" s="267"/>
      <c r="V4027" s="260">
        <v>120</v>
      </c>
      <c r="W4027" s="1136">
        <f>(((K4027*V4027)-S4027)/(K4027*V4027))</f>
        <v>0.40030704279408946</v>
      </c>
    </row>
    <row r="4028" spans="2:23" s="7" customFormat="1" ht="15">
      <c r="B4028" s="12"/>
      <c r="C4028" s="6" t="s">
        <v>5024</v>
      </c>
      <c r="D4028" s="14" t="s">
        <v>4693</v>
      </c>
      <c r="E4028" s="22"/>
      <c r="F4028" s="102"/>
      <c r="G4028" s="22" t="s">
        <v>3253</v>
      </c>
      <c r="H4028" s="38"/>
      <c r="I4028" s="35"/>
      <c r="J4028" s="38">
        <v>1</v>
      </c>
      <c r="K4028" s="39">
        <v>15</v>
      </c>
      <c r="L4028" s="39">
        <f>K4028*J4028</f>
        <v>15</v>
      </c>
      <c r="M4028" s="91"/>
      <c r="N4028" s="33">
        <v>45534</v>
      </c>
      <c r="O4028" s="32">
        <v>6439</v>
      </c>
      <c r="P4028" s="722"/>
      <c r="Q4028" s="322">
        <v>15</v>
      </c>
      <c r="R4028" s="322">
        <f>Q4028*J4028</f>
        <v>15</v>
      </c>
      <c r="S4028" s="7">
        <v>1000</v>
      </c>
      <c r="T4028" s="7">
        <f>S4028*J4028</f>
        <v>1000</v>
      </c>
      <c r="U4028" s="21"/>
      <c r="V4028" s="260">
        <v>120</v>
      </c>
      <c r="W4028" s="1136">
        <f>(((K4028*V4028)-S4028)/(K4028*V4028))</f>
        <v>0.44444444444444442</v>
      </c>
    </row>
    <row r="4029" spans="2:23" s="7" customFormat="1" ht="15">
      <c r="B4029" s="12"/>
      <c r="C4029" s="6" t="s">
        <v>5024</v>
      </c>
      <c r="D4029" s="14" t="s">
        <v>4693</v>
      </c>
      <c r="E4029" s="22"/>
      <c r="F4029" s="102"/>
      <c r="G4029" s="22" t="s">
        <v>316</v>
      </c>
      <c r="H4029" s="38"/>
      <c r="I4029" s="35"/>
      <c r="J4029" s="38">
        <v>1</v>
      </c>
      <c r="K4029" s="39">
        <v>20</v>
      </c>
      <c r="L4029" s="39">
        <v>20</v>
      </c>
      <c r="M4029" s="91"/>
      <c r="N4029" s="33">
        <v>45534</v>
      </c>
      <c r="O4029" s="32">
        <v>6439</v>
      </c>
      <c r="P4029" s="722"/>
      <c r="Q4029" s="39">
        <v>20</v>
      </c>
      <c r="R4029" s="39">
        <v>20</v>
      </c>
      <c r="S4029" s="7">
        <v>1000</v>
      </c>
      <c r="T4029" s="7">
        <f>S4029*J4029</f>
        <v>1000</v>
      </c>
      <c r="U4029" s="21"/>
      <c r="V4029" s="260">
        <v>120</v>
      </c>
      <c r="W4029" s="1136">
        <f>(((K4029*V4029)-S4029)/(K4029*V4029))</f>
        <v>0.58333333333333337</v>
      </c>
    </row>
    <row r="4030" spans="2:23" s="191" customFormat="1" ht="15">
      <c r="B4030" s="190"/>
      <c r="C4030" s="179" t="s">
        <v>5024</v>
      </c>
      <c r="D4030" s="180" t="s">
        <v>4693</v>
      </c>
      <c r="E4030" s="181"/>
      <c r="F4030" s="182"/>
      <c r="G4030" s="182" t="s">
        <v>2738</v>
      </c>
      <c r="H4030" s="184" t="s">
        <v>251</v>
      </c>
      <c r="I4030" s="185"/>
      <c r="J4030" s="183"/>
      <c r="K4030" s="192">
        <v>0</v>
      </c>
      <c r="L4030" s="187"/>
      <c r="M4030" s="187"/>
      <c r="N4030" s="187">
        <v>45534</v>
      </c>
      <c r="O4030" s="186">
        <v>6439</v>
      </c>
      <c r="P4030" s="179"/>
      <c r="Q4030" s="203"/>
      <c r="R4030" s="203"/>
      <c r="S4030" s="203"/>
      <c r="T4030" s="203"/>
      <c r="U4030" s="271"/>
      <c r="V4030" s="260">
        <v>120</v>
      </c>
      <c r="W4030" s="1136" t="e">
        <f>(((K4030*V4030)-S4030)/(K4030*V4030))</f>
        <v>#DIV/0!</v>
      </c>
    </row>
    <row r="4031" spans="2:23" s="7" customFormat="1" ht="18" customHeight="1">
      <c r="B4031" s="12"/>
      <c r="C4031" s="965" t="s">
        <v>5028</v>
      </c>
      <c r="D4031" s="14" t="s">
        <v>3112</v>
      </c>
      <c r="E4031" s="19" t="s">
        <v>4639</v>
      </c>
      <c r="F4031" s="107"/>
      <c r="G4031" s="22"/>
      <c r="H4031" s="108"/>
      <c r="I4031" s="109"/>
      <c r="J4031" s="108"/>
      <c r="K4031" s="29" t="s">
        <v>5</v>
      </c>
      <c r="L4031" s="39"/>
      <c r="M4031" s="91"/>
      <c r="N4031" s="33">
        <v>45537</v>
      </c>
      <c r="O4031" s="32">
        <v>6444</v>
      </c>
      <c r="P4031" s="14"/>
      <c r="Q4031" s="322"/>
      <c r="U4031" s="14"/>
      <c r="V4031" s="1258">
        <v>120</v>
      </c>
    </row>
    <row r="4032" spans="2:23" s="7" customFormat="1" ht="18" customHeight="1">
      <c r="B4032" s="12" t="s">
        <v>302</v>
      </c>
      <c r="C4032" s="965" t="s">
        <v>5028</v>
      </c>
      <c r="D4032" s="14" t="s">
        <v>3112</v>
      </c>
      <c r="E4032" s="22" t="s">
        <v>4633</v>
      </c>
      <c r="F4032" s="107">
        <v>145</v>
      </c>
      <c r="G4032" s="396" t="s">
        <v>4634</v>
      </c>
      <c r="H4032" s="18">
        <v>41.5</v>
      </c>
      <c r="I4032" s="61">
        <v>1</v>
      </c>
      <c r="J4032" s="18">
        <f>H4032*I4032</f>
        <v>41.5</v>
      </c>
      <c r="K4032" s="39">
        <v>9.8699999999999992</v>
      </c>
      <c r="L4032" s="39">
        <f>K4032*J4032</f>
        <v>409.60499999999996</v>
      </c>
      <c r="M4032" s="117" t="s">
        <v>323</v>
      </c>
      <c r="N4032" s="33">
        <v>45537</v>
      </c>
      <c r="O4032" s="32">
        <v>6444</v>
      </c>
      <c r="P4032" s="391">
        <f>ROUNDUP(S4032/V4032/VLOOKUP(B4032,$C$2:$F$6,3,FALSE),2)</f>
        <v>7.01</v>
      </c>
      <c r="Q4032" s="322">
        <v>7.01</v>
      </c>
      <c r="R4032" s="322">
        <f>Q4032*J4032</f>
        <v>290.91499999999996</v>
      </c>
      <c r="S4032" s="7">
        <v>740</v>
      </c>
      <c r="T4032" s="7">
        <f>S4032*J4032</f>
        <v>30710</v>
      </c>
      <c r="U4032" s="21"/>
      <c r="V4032" s="260">
        <v>120</v>
      </c>
      <c r="W4032" s="1136">
        <f t="shared" ref="W4032:W4044" si="317">(((K4032*V4032)-S4032)/(K4032*V4032))</f>
        <v>0.37521107733873682</v>
      </c>
    </row>
    <row r="4033" spans="2:23" s="7" customFormat="1" ht="18" customHeight="1">
      <c r="B4033" s="12" t="s">
        <v>302</v>
      </c>
      <c r="C4033" s="965" t="s">
        <v>5028</v>
      </c>
      <c r="D4033" s="14" t="s">
        <v>3112</v>
      </c>
      <c r="E4033" s="22" t="s">
        <v>4633</v>
      </c>
      <c r="F4033" s="107">
        <v>145</v>
      </c>
      <c r="G4033" s="396" t="s">
        <v>4634</v>
      </c>
      <c r="H4033" s="18">
        <v>59</v>
      </c>
      <c r="I4033" s="61">
        <v>1</v>
      </c>
      <c r="J4033" s="18">
        <f>H4033*I4033</f>
        <v>59</v>
      </c>
      <c r="K4033" s="39">
        <v>9.8699999999999992</v>
      </c>
      <c r="L4033" s="39">
        <f>K4033*J4033</f>
        <v>582.32999999999993</v>
      </c>
      <c r="M4033" s="117" t="s">
        <v>323</v>
      </c>
      <c r="N4033" s="33">
        <v>45537</v>
      </c>
      <c r="O4033" s="32">
        <v>6444</v>
      </c>
      <c r="P4033" s="391">
        <f>ROUNDUP(S4033/V4033/VLOOKUP(B4033,$C$2:$F$6,3,FALSE),2)</f>
        <v>7.01</v>
      </c>
      <c r="Q4033" s="322">
        <v>7.01</v>
      </c>
      <c r="R4033" s="322">
        <f>Q4033*J4033</f>
        <v>413.59</v>
      </c>
      <c r="S4033" s="7">
        <v>740</v>
      </c>
      <c r="T4033" s="7">
        <f>S4033*J4033</f>
        <v>43660</v>
      </c>
      <c r="U4033" s="21"/>
      <c r="V4033" s="260">
        <v>120</v>
      </c>
      <c r="W4033" s="1136">
        <f>(((K4033*V4033)-S4033)/(K4033*V4033))</f>
        <v>0.37521107733873682</v>
      </c>
    </row>
    <row r="4034" spans="2:23" s="7" customFormat="1" ht="18" customHeight="1">
      <c r="B4034" s="12"/>
      <c r="C4034" s="965" t="s">
        <v>5028</v>
      </c>
      <c r="D4034" s="14" t="s">
        <v>3112</v>
      </c>
      <c r="E4034" s="22"/>
      <c r="F4034" s="102"/>
      <c r="G4034" s="22" t="s">
        <v>316</v>
      </c>
      <c r="H4034" s="8"/>
      <c r="I4034" s="35"/>
      <c r="J4034" s="38">
        <v>1</v>
      </c>
      <c r="K4034" s="39">
        <v>20</v>
      </c>
      <c r="L4034" s="39">
        <f>K4034*J4034</f>
        <v>20</v>
      </c>
      <c r="M4034" s="91"/>
      <c r="N4034" s="33">
        <v>45537</v>
      </c>
      <c r="O4034" s="32">
        <v>6444</v>
      </c>
      <c r="P4034" s="6" t="s">
        <v>3</v>
      </c>
      <c r="Q4034" s="39">
        <v>20</v>
      </c>
      <c r="R4034" s="322">
        <f>Q4034*J4034</f>
        <v>20</v>
      </c>
      <c r="S4034" s="7">
        <v>0</v>
      </c>
      <c r="T4034" s="7">
        <f>S4034*J4034</f>
        <v>0</v>
      </c>
      <c r="U4034" s="21"/>
      <c r="V4034" s="260">
        <v>120</v>
      </c>
      <c r="W4034" s="1136">
        <f t="shared" si="317"/>
        <v>1</v>
      </c>
    </row>
    <row r="4035" spans="2:23" s="191" customFormat="1" ht="18" customHeight="1">
      <c r="B4035" s="190"/>
      <c r="C4035" s="966" t="s">
        <v>5028</v>
      </c>
      <c r="D4035" s="180" t="s">
        <v>3112</v>
      </c>
      <c r="E4035" s="217"/>
      <c r="F4035" s="182"/>
      <c r="G4035" s="182" t="s">
        <v>250</v>
      </c>
      <c r="H4035" s="184" t="s">
        <v>251</v>
      </c>
      <c r="I4035" s="185"/>
      <c r="J4035" s="183"/>
      <c r="K4035" s="192">
        <v>0</v>
      </c>
      <c r="L4035" s="192">
        <v>0</v>
      </c>
      <c r="M4035" s="187"/>
      <c r="N4035" s="187">
        <v>45537</v>
      </c>
      <c r="O4035" s="186">
        <v>6444</v>
      </c>
      <c r="P4035" s="179"/>
      <c r="Q4035" s="334">
        <v>0</v>
      </c>
      <c r="R4035" s="334">
        <v>0</v>
      </c>
      <c r="S4035" s="197">
        <v>0</v>
      </c>
      <c r="T4035" s="197">
        <v>0</v>
      </c>
      <c r="U4035" s="335"/>
      <c r="V4035" s="260">
        <v>120</v>
      </c>
      <c r="W4035" s="1136" t="e">
        <f t="shared" si="317"/>
        <v>#DIV/0!</v>
      </c>
    </row>
    <row r="4036" spans="2:23" s="7" customFormat="1" ht="18" customHeight="1">
      <c r="B4036" s="12"/>
      <c r="C4036" s="6" t="s">
        <v>5029</v>
      </c>
      <c r="D4036" s="14" t="s">
        <v>5019</v>
      </c>
      <c r="E4036" s="17" t="s">
        <v>160</v>
      </c>
      <c r="F4036" s="319"/>
      <c r="G4036" s="299"/>
      <c r="H4036" s="300" t="s">
        <v>355</v>
      </c>
      <c r="I4036" s="320"/>
      <c r="J4036" s="321"/>
      <c r="K4036" s="110" t="s">
        <v>101</v>
      </c>
      <c r="L4036" s="139"/>
      <c r="M4036" s="33"/>
      <c r="N4036" s="33">
        <v>45560</v>
      </c>
      <c r="O4036" s="32">
        <v>6443</v>
      </c>
      <c r="P4036" s="6"/>
      <c r="Q4036" s="322"/>
      <c r="U4036" s="39"/>
      <c r="V4036" s="260">
        <v>120</v>
      </c>
      <c r="W4036" s="1136" t="e">
        <f t="shared" si="317"/>
        <v>#VALUE!</v>
      </c>
    </row>
    <row r="4037" spans="2:23" s="7" customFormat="1" ht="18" customHeight="1">
      <c r="B4037" s="12" t="s">
        <v>300</v>
      </c>
      <c r="C4037" s="6" t="s">
        <v>5029</v>
      </c>
      <c r="D4037" s="14" t="s">
        <v>5019</v>
      </c>
      <c r="E4037" s="22">
        <v>14552</v>
      </c>
      <c r="F4037" s="24">
        <v>18</v>
      </c>
      <c r="G4037" s="22" t="s">
        <v>5018</v>
      </c>
      <c r="H4037" s="108">
        <v>30</v>
      </c>
      <c r="I4037" s="109">
        <v>5</v>
      </c>
      <c r="J4037" s="8">
        <f>H4037*I4037</f>
        <v>150</v>
      </c>
      <c r="K4037" s="39">
        <v>0.84</v>
      </c>
      <c r="L4037" s="39">
        <f>K4037*J4037</f>
        <v>126</v>
      </c>
      <c r="M4037" s="117" t="s">
        <v>323</v>
      </c>
      <c r="N4037" s="33">
        <v>45560</v>
      </c>
      <c r="O4037" s="32">
        <v>6443</v>
      </c>
      <c r="P4037" s="391">
        <f>ROUNDUP(S4037/V4037/VLOOKUP(B4037,$C$2:$F$6,3,FALSE),2)</f>
        <v>0.72</v>
      </c>
      <c r="Q4037" s="358">
        <v>0.72</v>
      </c>
      <c r="R4037" s="322">
        <f>Q4037*J4037</f>
        <v>108</v>
      </c>
      <c r="S4037" s="7">
        <v>60</v>
      </c>
      <c r="T4037" s="7">
        <f>S4037*J4037</f>
        <v>9000</v>
      </c>
      <c r="U4037" s="267"/>
      <c r="V4037" s="260">
        <v>120</v>
      </c>
      <c r="W4037" s="1136">
        <f t="shared" si="317"/>
        <v>0.40476190476190477</v>
      </c>
    </row>
    <row r="4038" spans="2:23" s="7" customFormat="1" ht="18" customHeight="1">
      <c r="B4038" s="12" t="s">
        <v>300</v>
      </c>
      <c r="C4038" s="6" t="s">
        <v>5029</v>
      </c>
      <c r="D4038" s="14" t="s">
        <v>5019</v>
      </c>
      <c r="E4038" s="22">
        <v>14552</v>
      </c>
      <c r="F4038" s="24">
        <v>18</v>
      </c>
      <c r="G4038" s="22" t="s">
        <v>5017</v>
      </c>
      <c r="H4038" s="108">
        <v>30</v>
      </c>
      <c r="I4038" s="109">
        <v>10</v>
      </c>
      <c r="J4038" s="8">
        <f>H4038*I4038</f>
        <v>300</v>
      </c>
      <c r="K4038" s="39">
        <v>0.84</v>
      </c>
      <c r="L4038" s="39">
        <f>K4038*J4038</f>
        <v>252</v>
      </c>
      <c r="M4038" s="117" t="s">
        <v>323</v>
      </c>
      <c r="N4038" s="33">
        <v>45560</v>
      </c>
      <c r="O4038" s="32">
        <v>6443</v>
      </c>
      <c r="P4038" s="391">
        <f>ROUNDUP(S4038/V4038/VLOOKUP(B4038,$C$2:$F$6,3,FALSE),2)</f>
        <v>0.72</v>
      </c>
      <c r="Q4038" s="358">
        <v>0.72</v>
      </c>
      <c r="R4038" s="322">
        <f>Q4038*J4038</f>
        <v>216</v>
      </c>
      <c r="S4038" s="7">
        <v>60</v>
      </c>
      <c r="T4038" s="7">
        <f>S4038*J4038</f>
        <v>18000</v>
      </c>
      <c r="U4038" s="267"/>
      <c r="V4038" s="260">
        <v>120</v>
      </c>
      <c r="W4038" s="1136">
        <f t="shared" si="317"/>
        <v>0.40476190476190477</v>
      </c>
    </row>
    <row r="4039" spans="2:23" s="7" customFormat="1" ht="18" customHeight="1">
      <c r="B4039" s="12"/>
      <c r="C4039" s="6" t="s">
        <v>5029</v>
      </c>
      <c r="D4039" s="14" t="s">
        <v>5019</v>
      </c>
      <c r="E4039" s="22"/>
      <c r="F4039" s="102"/>
      <c r="G4039" s="22" t="s">
        <v>316</v>
      </c>
      <c r="H4039" s="8"/>
      <c r="I4039" s="35"/>
      <c r="J4039" s="38">
        <v>1</v>
      </c>
      <c r="K4039" s="39">
        <v>12</v>
      </c>
      <c r="L4039" s="39">
        <f>K4039*J4039</f>
        <v>12</v>
      </c>
      <c r="M4039" s="91"/>
      <c r="N4039" s="33">
        <v>45560</v>
      </c>
      <c r="O4039" s="32">
        <v>6443</v>
      </c>
      <c r="P4039" s="6" t="s">
        <v>3</v>
      </c>
      <c r="Q4039" s="39">
        <v>12</v>
      </c>
      <c r="R4039" s="322">
        <f>Q4039*J4039</f>
        <v>12</v>
      </c>
      <c r="S4039" s="7">
        <v>0</v>
      </c>
      <c r="T4039" s="7">
        <f>S4039*J4039</f>
        <v>0</v>
      </c>
      <c r="U4039" s="21"/>
      <c r="V4039" s="260">
        <v>120</v>
      </c>
      <c r="W4039" s="1136">
        <f t="shared" si="317"/>
        <v>1</v>
      </c>
    </row>
    <row r="4040" spans="2:23" s="7" customFormat="1" ht="18" customHeight="1">
      <c r="B4040" s="12" t="s">
        <v>300</v>
      </c>
      <c r="C4040" s="6" t="s">
        <v>5029</v>
      </c>
      <c r="D4040" s="14" t="s">
        <v>5019</v>
      </c>
      <c r="E4040" s="22">
        <v>14552</v>
      </c>
      <c r="F4040" s="24">
        <v>18</v>
      </c>
      <c r="G4040" s="22" t="s">
        <v>5017</v>
      </c>
      <c r="H4040" s="108">
        <v>30</v>
      </c>
      <c r="I4040" s="109">
        <v>15</v>
      </c>
      <c r="J4040" s="8">
        <f>H4040*I4040</f>
        <v>450</v>
      </c>
      <c r="K4040" s="39">
        <v>0.84</v>
      </c>
      <c r="L4040" s="39">
        <f>K4040*J4040</f>
        <v>378</v>
      </c>
      <c r="M4040" s="117" t="s">
        <v>323</v>
      </c>
      <c r="N4040" s="33">
        <v>45560</v>
      </c>
      <c r="O4040" s="32">
        <v>6443</v>
      </c>
      <c r="P4040" s="391">
        <f>ROUNDUP(S4040/V4040/VLOOKUP(B4040,$C$2:$F$6,3,FALSE),2)</f>
        <v>0.72</v>
      </c>
      <c r="Q4040" s="358">
        <v>0.72</v>
      </c>
      <c r="R4040" s="322">
        <f>Q4040*J4040</f>
        <v>324</v>
      </c>
      <c r="S4040" s="7">
        <v>60</v>
      </c>
      <c r="T4040" s="7">
        <f>S4040*J4040</f>
        <v>27000</v>
      </c>
      <c r="U4040" s="267"/>
      <c r="V4040" s="260">
        <v>120</v>
      </c>
      <c r="W4040" s="1136">
        <f>(((K4040*V4040)-S4040)/(K4040*V4040))</f>
        <v>0.40476190476190477</v>
      </c>
    </row>
    <row r="4041" spans="2:23" s="7" customFormat="1" ht="18" customHeight="1">
      <c r="B4041" s="12"/>
      <c r="C4041" s="6" t="s">
        <v>5029</v>
      </c>
      <c r="D4041" s="14" t="s">
        <v>5019</v>
      </c>
      <c r="E4041" s="22"/>
      <c r="F4041" s="102"/>
      <c r="G4041" s="22" t="s">
        <v>316</v>
      </c>
      <c r="H4041" s="8"/>
      <c r="I4041" s="35"/>
      <c r="J4041" s="38">
        <v>1</v>
      </c>
      <c r="K4041" s="39">
        <v>12</v>
      </c>
      <c r="L4041" s="39">
        <f>K4041*J4041</f>
        <v>12</v>
      </c>
      <c r="M4041" s="91"/>
      <c r="N4041" s="33">
        <v>45560</v>
      </c>
      <c r="O4041" s="32">
        <v>6443</v>
      </c>
      <c r="P4041" s="6" t="s">
        <v>3</v>
      </c>
      <c r="Q4041" s="39">
        <v>12</v>
      </c>
      <c r="R4041" s="322">
        <f>Q4041*J4041</f>
        <v>12</v>
      </c>
      <c r="S4041" s="7">
        <v>0</v>
      </c>
      <c r="T4041" s="7">
        <f>S4041*J4041</f>
        <v>0</v>
      </c>
      <c r="U4041" s="21"/>
      <c r="V4041" s="260">
        <v>120</v>
      </c>
      <c r="W4041" s="1136">
        <f>(((K4041*V4041)-S4041)/(K4041*V4041))</f>
        <v>1</v>
      </c>
    </row>
    <row r="4042" spans="2:23" s="191" customFormat="1" ht="18" customHeight="1">
      <c r="B4042" s="190"/>
      <c r="C4042" s="179" t="s">
        <v>5029</v>
      </c>
      <c r="D4042" s="180" t="s">
        <v>5019</v>
      </c>
      <c r="E4042" s="217"/>
      <c r="F4042" s="182"/>
      <c r="G4042" s="182" t="s">
        <v>250</v>
      </c>
      <c r="H4042" s="184" t="s">
        <v>251</v>
      </c>
      <c r="I4042" s="185"/>
      <c r="J4042" s="183"/>
      <c r="K4042" s="192">
        <v>0</v>
      </c>
      <c r="L4042" s="192">
        <v>0</v>
      </c>
      <c r="M4042" s="187"/>
      <c r="N4042" s="187">
        <v>45560</v>
      </c>
      <c r="O4042" s="186">
        <v>6443</v>
      </c>
      <c r="P4042" s="179"/>
      <c r="Q4042" s="334">
        <v>0</v>
      </c>
      <c r="R4042" s="334">
        <v>0</v>
      </c>
      <c r="S4042" s="197">
        <v>0</v>
      </c>
      <c r="T4042" s="197">
        <v>0</v>
      </c>
      <c r="U4042" s="335"/>
      <c r="V4042" s="260">
        <v>120</v>
      </c>
      <c r="W4042" s="1136" t="e">
        <f t="shared" si="317"/>
        <v>#DIV/0!</v>
      </c>
    </row>
    <row r="4043" spans="2:23" s="7" customFormat="1" ht="18" customHeight="1">
      <c r="B4043" s="12"/>
      <c r="C4043" s="6" t="s">
        <v>5036</v>
      </c>
      <c r="D4043" s="14" t="s">
        <v>5006</v>
      </c>
      <c r="E4043" s="19" t="s">
        <v>5014</v>
      </c>
      <c r="F4043" s="37"/>
      <c r="G4043" s="37"/>
      <c r="H4043" s="108"/>
      <c r="I4043" s="108"/>
      <c r="J4043" s="108"/>
      <c r="K4043" s="110" t="s">
        <v>101</v>
      </c>
      <c r="L4043" s="139"/>
      <c r="M4043" s="33"/>
      <c r="N4043" s="33">
        <v>45597</v>
      </c>
      <c r="O4043" s="32">
        <v>6577</v>
      </c>
      <c r="P4043" s="6"/>
      <c r="Q4043" s="339"/>
      <c r="U4043" s="21"/>
      <c r="V4043" s="257"/>
      <c r="W4043" s="1136" t="e">
        <f t="shared" si="317"/>
        <v>#VALUE!</v>
      </c>
    </row>
    <row r="4044" spans="2:23" s="7" customFormat="1" ht="18" customHeight="1">
      <c r="B4044" s="12" t="s">
        <v>300</v>
      </c>
      <c r="C4044" s="6" t="s">
        <v>5036</v>
      </c>
      <c r="D4044" s="14" t="s">
        <v>5006</v>
      </c>
      <c r="E4044" s="22" t="s">
        <v>5007</v>
      </c>
      <c r="F4044" s="107"/>
      <c r="G4044" s="22" t="s">
        <v>5037</v>
      </c>
      <c r="H4044" s="1255">
        <v>13.7</v>
      </c>
      <c r="I4044" s="811">
        <v>3</v>
      </c>
      <c r="J4044" s="131">
        <f>I4044*H4044</f>
        <v>41.099999999999994</v>
      </c>
      <c r="K4044" s="39">
        <v>9.17</v>
      </c>
      <c r="L4044" s="39">
        <f>K4044*J4044</f>
        <v>376.88699999999994</v>
      </c>
      <c r="M4044" s="117" t="s">
        <v>323</v>
      </c>
      <c r="N4044" s="33">
        <v>45597</v>
      </c>
      <c r="O4044" s="32">
        <v>6577</v>
      </c>
      <c r="P4044" s="391">
        <f>ROUNDUP(S4044/V4044/VLOOKUP(B4044,$C$2:$F$6,3,FALSE),2)</f>
        <v>6.55</v>
      </c>
      <c r="Q4044" s="322">
        <v>6.55</v>
      </c>
      <c r="R4044" s="322">
        <f>Q4044*J4044</f>
        <v>269.20499999999993</v>
      </c>
      <c r="S4044" s="7">
        <v>550</v>
      </c>
      <c r="T4044" s="7">
        <f>S4044*J4044</f>
        <v>22604.999999999996</v>
      </c>
      <c r="U4044" s="21"/>
      <c r="V4044" s="260">
        <v>120</v>
      </c>
      <c r="W4044" s="1136">
        <f t="shared" si="317"/>
        <v>0.50018175209014903</v>
      </c>
    </row>
    <row r="4045" spans="2:23" s="7" customFormat="1" ht="18" customHeight="1">
      <c r="B4045" s="12" t="s">
        <v>300</v>
      </c>
      <c r="C4045" s="6" t="s">
        <v>5036</v>
      </c>
      <c r="D4045" s="14" t="s">
        <v>5006</v>
      </c>
      <c r="E4045" s="22" t="s">
        <v>5119</v>
      </c>
      <c r="F4045" s="107"/>
      <c r="G4045" s="22" t="s">
        <v>58</v>
      </c>
      <c r="H4045" s="1255">
        <v>13.7</v>
      </c>
      <c r="I4045" s="811">
        <v>3</v>
      </c>
      <c r="J4045" s="131">
        <f>I4045*H4045</f>
        <v>41.099999999999994</v>
      </c>
      <c r="K4045" s="39">
        <v>8.67</v>
      </c>
      <c r="L4045" s="39">
        <f>K4045*J4045</f>
        <v>356.33699999999993</v>
      </c>
      <c r="M4045" s="117" t="s">
        <v>323</v>
      </c>
      <c r="N4045" s="33">
        <v>45597</v>
      </c>
      <c r="O4045" s="32">
        <v>6577</v>
      </c>
      <c r="P4045" s="391">
        <f>ROUNDUP(S4045/V4045/VLOOKUP(B4045,$C$2:$F$6,3,FALSE),2)</f>
        <v>6.2</v>
      </c>
      <c r="Q4045" s="322">
        <v>6.2</v>
      </c>
      <c r="R4045" s="322">
        <f>Q4045*J4045</f>
        <v>254.81999999999996</v>
      </c>
      <c r="S4045" s="7">
        <v>520</v>
      </c>
      <c r="T4045" s="7">
        <f>S4045*J4045</f>
        <v>21371.999999999996</v>
      </c>
      <c r="U4045" s="21"/>
      <c r="V4045" s="260">
        <v>120</v>
      </c>
      <c r="W4045" s="1136">
        <f>(((K4045*V4045)-S4045)/(K4045*V4045))</f>
        <v>0.50019223375624766</v>
      </c>
    </row>
    <row r="4046" spans="2:23" s="7" customFormat="1" ht="18" customHeight="1">
      <c r="B4046" s="12" t="s">
        <v>300</v>
      </c>
      <c r="C4046" s="6" t="s">
        <v>5036</v>
      </c>
      <c r="D4046" s="14" t="s">
        <v>5006</v>
      </c>
      <c r="E4046" s="22" t="s">
        <v>5119</v>
      </c>
      <c r="F4046" s="107"/>
      <c r="G4046" s="22" t="s">
        <v>5037</v>
      </c>
      <c r="H4046" s="1255">
        <v>13.7</v>
      </c>
      <c r="I4046" s="811">
        <v>3</v>
      </c>
      <c r="J4046" s="131">
        <f>I4046*H4046</f>
        <v>41.099999999999994</v>
      </c>
      <c r="K4046" s="39">
        <v>8.67</v>
      </c>
      <c r="L4046" s="39">
        <f>K4046*J4046</f>
        <v>356.33699999999993</v>
      </c>
      <c r="M4046" s="117" t="s">
        <v>323</v>
      </c>
      <c r="N4046" s="33">
        <v>45597</v>
      </c>
      <c r="O4046" s="32">
        <v>6577</v>
      </c>
      <c r="P4046" s="391">
        <f>ROUNDUP(S4046/V4046/VLOOKUP(B4046,$C$2:$F$6,3,FALSE),2)</f>
        <v>6.2</v>
      </c>
      <c r="Q4046" s="322">
        <v>6.2</v>
      </c>
      <c r="R4046" s="322">
        <f>Q4046*J4046</f>
        <v>254.81999999999996</v>
      </c>
      <c r="S4046" s="7">
        <v>520</v>
      </c>
      <c r="T4046" s="7">
        <f>S4046*J4046</f>
        <v>21371.999999999996</v>
      </c>
      <c r="U4046" s="21"/>
      <c r="V4046" s="260">
        <v>120</v>
      </c>
      <c r="W4046" s="1136">
        <f>(((K4046*V4046)-S4046)/(K4046*V4046))</f>
        <v>0.50019223375624766</v>
      </c>
    </row>
    <row r="4047" spans="2:23" s="7" customFormat="1" ht="18" customHeight="1">
      <c r="B4047" s="12" t="s">
        <v>5038</v>
      </c>
      <c r="C4047" s="6" t="s">
        <v>5036</v>
      </c>
      <c r="D4047" s="14" t="s">
        <v>5006</v>
      </c>
      <c r="E4047" s="22"/>
      <c r="F4047" s="102"/>
      <c r="G4047" s="22" t="s">
        <v>167</v>
      </c>
      <c r="H4047" s="8"/>
      <c r="I4047" s="35"/>
      <c r="J4047" s="38">
        <v>1</v>
      </c>
      <c r="K4047" s="39">
        <v>150</v>
      </c>
      <c r="L4047" s="39">
        <f>K4047*J4047</f>
        <v>150</v>
      </c>
      <c r="M4047" s="91"/>
      <c r="N4047" s="33">
        <v>45597</v>
      </c>
      <c r="O4047" s="32">
        <v>6577</v>
      </c>
      <c r="P4047" s="391">
        <f>ROUNDUP(S4047/V4047/VLOOKUP(B4047,$C$2:$F$6,3,FALSE),2)</f>
        <v>113.64</v>
      </c>
      <c r="Q4047" s="39">
        <v>113.64</v>
      </c>
      <c r="R4047" s="322">
        <f>Q4047*J4047</f>
        <v>113.64</v>
      </c>
      <c r="S4047" s="7">
        <v>12000</v>
      </c>
      <c r="T4047" s="7">
        <f>S4047*J4047</f>
        <v>12000</v>
      </c>
      <c r="U4047" s="21"/>
      <c r="V4047" s="260">
        <v>120</v>
      </c>
      <c r="W4047" s="1136">
        <f>(((K4047*V4047)-S4047)/(K4047*V4047))</f>
        <v>0.33333333333333331</v>
      </c>
    </row>
    <row r="4048" spans="2:23" s="7" customFormat="1" ht="15">
      <c r="B4048" s="12"/>
      <c r="C4048" s="6" t="s">
        <v>5036</v>
      </c>
      <c r="D4048" s="14" t="s">
        <v>5006</v>
      </c>
      <c r="E4048" s="22"/>
      <c r="F4048" s="102"/>
      <c r="G4048" s="22" t="s">
        <v>316</v>
      </c>
      <c r="H4048" s="38"/>
      <c r="I4048" s="35"/>
      <c r="J4048" s="38">
        <v>1</v>
      </c>
      <c r="K4048" s="39">
        <v>12</v>
      </c>
      <c r="L4048" s="39">
        <f>K4048*J4048</f>
        <v>12</v>
      </c>
      <c r="M4048" s="91"/>
      <c r="N4048" s="33">
        <v>45597</v>
      </c>
      <c r="O4048" s="32">
        <v>6577</v>
      </c>
      <c r="P4048" s="722"/>
      <c r="Q4048" s="322">
        <v>12</v>
      </c>
      <c r="R4048" s="322">
        <f>Q4048*J4048</f>
        <v>12</v>
      </c>
      <c r="S4048" s="7">
        <v>0</v>
      </c>
      <c r="T4048" s="7">
        <f>S4048*J4048</f>
        <v>0</v>
      </c>
      <c r="U4048" s="21"/>
      <c r="V4048" s="260">
        <v>120</v>
      </c>
      <c r="W4048" s="1136">
        <f>(((K4048*V4048)-S4048)/(K4048*V4048))</f>
        <v>1</v>
      </c>
    </row>
    <row r="4049" spans="1:24" s="191" customFormat="1" ht="15">
      <c r="B4049" s="190"/>
      <c r="C4049" s="179" t="s">
        <v>5036</v>
      </c>
      <c r="D4049" s="180" t="s">
        <v>5006</v>
      </c>
      <c r="E4049" s="181"/>
      <c r="F4049" s="182"/>
      <c r="G4049" s="182" t="s">
        <v>2738</v>
      </c>
      <c r="H4049" s="184" t="s">
        <v>251</v>
      </c>
      <c r="I4049" s="185"/>
      <c r="J4049" s="183"/>
      <c r="K4049" s="192">
        <v>0</v>
      </c>
      <c r="L4049" s="187"/>
      <c r="M4049" s="187"/>
      <c r="N4049" s="187">
        <v>45597</v>
      </c>
      <c r="O4049" s="186">
        <v>6577</v>
      </c>
      <c r="P4049" s="179"/>
      <c r="Q4049" s="203"/>
      <c r="R4049" s="203"/>
      <c r="S4049" s="203"/>
      <c r="T4049" s="203"/>
      <c r="U4049" s="271"/>
      <c r="V4049" s="260">
        <v>120</v>
      </c>
      <c r="W4049" s="1136" t="e">
        <f>(((K4049*V4049)-S4049)/(K4049*V4049))</f>
        <v>#DIV/0!</v>
      </c>
    </row>
    <row r="4050" spans="1:24" s="7" customFormat="1" ht="18" customHeight="1">
      <c r="B4050" s="12"/>
      <c r="C4050" s="965" t="s">
        <v>5039</v>
      </c>
      <c r="D4050" s="14" t="s">
        <v>4193</v>
      </c>
      <c r="E4050" s="19" t="s">
        <v>4645</v>
      </c>
      <c r="F4050" s="22"/>
      <c r="G4050" s="37"/>
      <c r="H4050" s="108"/>
      <c r="I4050" s="108"/>
      <c r="J4050" s="108"/>
      <c r="K4050" s="110" t="s">
        <v>5</v>
      </c>
      <c r="L4050" s="33"/>
      <c r="M4050" s="33"/>
      <c r="N4050" s="33">
        <v>45548</v>
      </c>
      <c r="O4050" s="32">
        <v>6474</v>
      </c>
      <c r="P4050" s="6"/>
      <c r="Q4050" s="223"/>
      <c r="S4050" s="1174" t="s">
        <v>330</v>
      </c>
      <c r="T4050" s="92"/>
      <c r="U4050" s="266"/>
      <c r="V4050" s="260">
        <v>120</v>
      </c>
    </row>
    <row r="4051" spans="1:24" s="7" customFormat="1" ht="15.95" customHeight="1">
      <c r="B4051" s="12" t="s">
        <v>300</v>
      </c>
      <c r="C4051" s="965" t="s">
        <v>5039</v>
      </c>
      <c r="D4051" s="14" t="s">
        <v>4193</v>
      </c>
      <c r="E4051" s="22" t="s">
        <v>4934</v>
      </c>
      <c r="F4051" s="37">
        <v>9</v>
      </c>
      <c r="G4051" s="37" t="s">
        <v>5040</v>
      </c>
      <c r="H4051" s="60">
        <v>30</v>
      </c>
      <c r="I4051" s="61">
        <v>1</v>
      </c>
      <c r="J4051" s="60">
        <f>H4051*I4051</f>
        <v>30</v>
      </c>
      <c r="K4051" s="39">
        <v>0.36</v>
      </c>
      <c r="L4051" s="39">
        <f>K4051*J4051</f>
        <v>10.799999999999999</v>
      </c>
      <c r="M4051" s="117" t="s">
        <v>323</v>
      </c>
      <c r="N4051" s="33">
        <v>45548</v>
      </c>
      <c r="O4051" s="32">
        <v>6474</v>
      </c>
      <c r="P4051" s="391">
        <f>ROUNDUP(S4051/V4051/VLOOKUP(B4051,$C$2:$F$6,3,FALSE),2)</f>
        <v>0.21000000000000002</v>
      </c>
      <c r="Q4051" s="254">
        <v>0.21</v>
      </c>
      <c r="R4051" s="323">
        <f>Q4051*J4051</f>
        <v>6.3</v>
      </c>
      <c r="S4051" s="1200">
        <v>17.600000000000001</v>
      </c>
      <c r="T4051" s="92">
        <f>S4051*J4051</f>
        <v>528</v>
      </c>
      <c r="U4051" s="1200">
        <v>19.37</v>
      </c>
      <c r="V4051" s="260">
        <v>120</v>
      </c>
      <c r="W4051" s="1136">
        <f>(((K4051*V4051)-S4051)/(K4051*V4051))</f>
        <v>0.59259259259259256</v>
      </c>
    </row>
    <row r="4052" spans="1:24" s="7" customFormat="1" ht="15.95" customHeight="1">
      <c r="B4052" s="12" t="s">
        <v>300</v>
      </c>
      <c r="C4052" s="965" t="s">
        <v>5039</v>
      </c>
      <c r="D4052" s="14" t="s">
        <v>4193</v>
      </c>
      <c r="E4052" s="22" t="s">
        <v>4934</v>
      </c>
      <c r="F4052" s="37">
        <v>9</v>
      </c>
      <c r="G4052" s="37" t="s">
        <v>5041</v>
      </c>
      <c r="H4052" s="60">
        <v>30</v>
      </c>
      <c r="I4052" s="61">
        <v>1</v>
      </c>
      <c r="J4052" s="60">
        <f>H4052*I4052</f>
        <v>30</v>
      </c>
      <c r="K4052" s="39">
        <v>0.36</v>
      </c>
      <c r="L4052" s="39">
        <f>K4052*J4052</f>
        <v>10.799999999999999</v>
      </c>
      <c r="M4052" s="117" t="s">
        <v>323</v>
      </c>
      <c r="N4052" s="33">
        <v>45548</v>
      </c>
      <c r="O4052" s="32">
        <v>6474</v>
      </c>
      <c r="P4052" s="391">
        <f>ROUNDUP(S4052/V4052/VLOOKUP(B4052,$C$2:$F$6,3,FALSE),2)</f>
        <v>0.21000000000000002</v>
      </c>
      <c r="Q4052" s="254">
        <v>0.21</v>
      </c>
      <c r="R4052" s="323">
        <f>Q4052*J4052</f>
        <v>6.3</v>
      </c>
      <c r="S4052" s="1200">
        <v>17.600000000000001</v>
      </c>
      <c r="T4052" s="92">
        <f>S4052*J4052</f>
        <v>528</v>
      </c>
      <c r="U4052" s="1200">
        <v>19.37</v>
      </c>
      <c r="V4052" s="260">
        <v>120</v>
      </c>
      <c r="W4052" s="1136">
        <f t="shared" ref="W4052:W4063" si="318">(((K4052*V4052)-S4052)/(K4052*V4052))</f>
        <v>0.59259259259259256</v>
      </c>
    </row>
    <row r="4053" spans="1:24" s="7" customFormat="1" ht="15.95" customHeight="1">
      <c r="B4053" s="12" t="s">
        <v>300</v>
      </c>
      <c r="C4053" s="965" t="s">
        <v>5039</v>
      </c>
      <c r="D4053" s="14" t="s">
        <v>4193</v>
      </c>
      <c r="E4053" s="22" t="s">
        <v>4934</v>
      </c>
      <c r="F4053" s="37">
        <v>9</v>
      </c>
      <c r="G4053" s="37" t="s">
        <v>5042</v>
      </c>
      <c r="H4053" s="60">
        <v>30</v>
      </c>
      <c r="I4053" s="61">
        <v>1</v>
      </c>
      <c r="J4053" s="60">
        <f>H4053*I4053</f>
        <v>30</v>
      </c>
      <c r="K4053" s="39">
        <v>0.36</v>
      </c>
      <c r="L4053" s="39">
        <f>K4053*J4053</f>
        <v>10.799999999999999</v>
      </c>
      <c r="M4053" s="117" t="s">
        <v>323</v>
      </c>
      <c r="N4053" s="33">
        <v>45548</v>
      </c>
      <c r="O4053" s="32">
        <v>6474</v>
      </c>
      <c r="P4053" s="391">
        <f>ROUNDUP(S4053/V4053/VLOOKUP(B4053,$C$2:$F$6,3,FALSE),2)</f>
        <v>0.21000000000000002</v>
      </c>
      <c r="Q4053" s="254">
        <v>0.21</v>
      </c>
      <c r="R4053" s="323">
        <f>Q4053*J4053</f>
        <v>6.3</v>
      </c>
      <c r="S4053" s="1200">
        <v>17.600000000000001</v>
      </c>
      <c r="T4053" s="92">
        <f>S4053*J4053</f>
        <v>528</v>
      </c>
      <c r="U4053" s="1200">
        <v>19.37</v>
      </c>
      <c r="V4053" s="260">
        <v>120</v>
      </c>
      <c r="W4053" s="1136">
        <f t="shared" si="318"/>
        <v>0.59259259259259256</v>
      </c>
    </row>
    <row r="4054" spans="1:24" s="7" customFormat="1" ht="15.95" customHeight="1">
      <c r="B4054" s="12" t="s">
        <v>300</v>
      </c>
      <c r="C4054" s="965" t="s">
        <v>5039</v>
      </c>
      <c r="D4054" s="14" t="s">
        <v>4193</v>
      </c>
      <c r="E4054" s="22" t="s">
        <v>4934</v>
      </c>
      <c r="F4054" s="37">
        <v>9</v>
      </c>
      <c r="G4054" s="37" t="s">
        <v>5043</v>
      </c>
      <c r="H4054" s="60">
        <v>30</v>
      </c>
      <c r="I4054" s="61">
        <v>1</v>
      </c>
      <c r="J4054" s="60">
        <f>H4054*I4054</f>
        <v>30</v>
      </c>
      <c r="K4054" s="39">
        <v>0.36</v>
      </c>
      <c r="L4054" s="39">
        <f>K4054*J4054</f>
        <v>10.799999999999999</v>
      </c>
      <c r="M4054" s="117" t="s">
        <v>323</v>
      </c>
      <c r="N4054" s="33">
        <v>45548</v>
      </c>
      <c r="O4054" s="32">
        <v>6474</v>
      </c>
      <c r="P4054" s="391">
        <f>ROUNDUP(S4054/V4054/VLOOKUP(B4054,$C$2:$F$6,3,FALSE),2)</f>
        <v>0.21000000000000002</v>
      </c>
      <c r="Q4054" s="254">
        <v>0.21</v>
      </c>
      <c r="R4054" s="323">
        <f>Q4054*J4054</f>
        <v>6.3</v>
      </c>
      <c r="S4054" s="1200">
        <v>17.600000000000001</v>
      </c>
      <c r="T4054" s="92">
        <f>S4054*J4054</f>
        <v>528</v>
      </c>
      <c r="U4054" s="1200">
        <v>19.37</v>
      </c>
      <c r="V4054" s="260">
        <v>120</v>
      </c>
      <c r="W4054" s="1136">
        <f t="shared" si="318"/>
        <v>0.59259259259259256</v>
      </c>
    </row>
    <row r="4055" spans="1:24" s="7" customFormat="1" ht="15">
      <c r="B4055" s="12"/>
      <c r="C4055" s="965" t="s">
        <v>5039</v>
      </c>
      <c r="D4055" s="14" t="s">
        <v>4193</v>
      </c>
      <c r="E4055" s="22"/>
      <c r="F4055" s="102"/>
      <c r="G4055" s="22" t="s">
        <v>316</v>
      </c>
      <c r="H4055" s="38"/>
      <c r="I4055" s="35"/>
      <c r="J4055" s="38">
        <v>1</v>
      </c>
      <c r="K4055" s="39">
        <v>12</v>
      </c>
      <c r="L4055" s="39">
        <f>K4055*J4055</f>
        <v>12</v>
      </c>
      <c r="M4055" s="91"/>
      <c r="N4055" s="33">
        <v>45548</v>
      </c>
      <c r="O4055" s="32">
        <v>6474</v>
      </c>
      <c r="P4055" s="722"/>
      <c r="Q4055" s="322">
        <v>12</v>
      </c>
      <c r="R4055" s="322">
        <f>Q4055*J4055</f>
        <v>12</v>
      </c>
      <c r="S4055" s="7">
        <v>0</v>
      </c>
      <c r="T4055" s="7">
        <f>S4055*J4055</f>
        <v>0</v>
      </c>
      <c r="U4055" s="21"/>
      <c r="V4055" s="260">
        <v>120</v>
      </c>
      <c r="W4055" s="1136">
        <f t="shared" si="318"/>
        <v>1</v>
      </c>
    </row>
    <row r="4056" spans="1:24" s="191" customFormat="1" ht="15">
      <c r="B4056" s="190"/>
      <c r="C4056" s="966" t="s">
        <v>5039</v>
      </c>
      <c r="D4056" s="180" t="s">
        <v>4193</v>
      </c>
      <c r="E4056" s="181"/>
      <c r="F4056" s="182"/>
      <c r="G4056" s="182" t="s">
        <v>2738</v>
      </c>
      <c r="H4056" s="184" t="s">
        <v>251</v>
      </c>
      <c r="I4056" s="185"/>
      <c r="J4056" s="183"/>
      <c r="K4056" s="192">
        <v>0</v>
      </c>
      <c r="L4056" s="187"/>
      <c r="M4056" s="187"/>
      <c r="N4056" s="187">
        <v>45548</v>
      </c>
      <c r="O4056" s="186">
        <v>6474</v>
      </c>
      <c r="P4056" s="179"/>
      <c r="Q4056" s="203"/>
      <c r="R4056" s="203"/>
      <c r="S4056" s="203"/>
      <c r="T4056" s="203"/>
      <c r="U4056" s="271"/>
      <c r="V4056" s="260">
        <v>120</v>
      </c>
      <c r="W4056" s="1136" t="e">
        <f t="shared" si="318"/>
        <v>#DIV/0!</v>
      </c>
    </row>
    <row r="4057" spans="1:24" s="7" customFormat="1" ht="15">
      <c r="B4057" s="12"/>
      <c r="C4057" s="6" t="s">
        <v>5044</v>
      </c>
      <c r="D4057" s="14" t="s">
        <v>2034</v>
      </c>
      <c r="E4057" s="19" t="s">
        <v>4406</v>
      </c>
      <c r="F4057" s="24"/>
      <c r="G4057" s="22"/>
      <c r="H4057" s="60"/>
      <c r="I4057" s="61"/>
      <c r="J4057" s="60"/>
      <c r="K4057" s="16" t="s">
        <v>101</v>
      </c>
      <c r="L4057" s="33"/>
      <c r="M4057" s="33"/>
      <c r="N4057" s="33">
        <v>45553</v>
      </c>
      <c r="O4057" s="32">
        <v>6480</v>
      </c>
      <c r="P4057" s="6" t="s">
        <v>8</v>
      </c>
      <c r="Q4057" s="252"/>
      <c r="S4057" s="257"/>
      <c r="T4057" s="92"/>
      <c r="U4057" s="265"/>
      <c r="V4057" s="260">
        <v>120</v>
      </c>
      <c r="W4057" s="1136" t="e">
        <f t="shared" si="318"/>
        <v>#VALUE!</v>
      </c>
    </row>
    <row r="4058" spans="1:24" s="7" customFormat="1" ht="17.25" customHeight="1">
      <c r="B4058" s="12" t="s">
        <v>300</v>
      </c>
      <c r="C4058" s="6" t="s">
        <v>5044</v>
      </c>
      <c r="D4058" s="14" t="s">
        <v>2034</v>
      </c>
      <c r="E4058" s="22" t="s">
        <v>4947</v>
      </c>
      <c r="F4058" s="37"/>
      <c r="G4058" s="37" t="s">
        <v>58</v>
      </c>
      <c r="H4058" s="108">
        <v>13.7</v>
      </c>
      <c r="I4058" s="109">
        <v>2</v>
      </c>
      <c r="J4058" s="131">
        <f>H4058*I4058</f>
        <v>27.4</v>
      </c>
      <c r="K4058" s="39">
        <v>9.73</v>
      </c>
      <c r="L4058" s="39">
        <f>K4058*J4058</f>
        <v>266.60199999999998</v>
      </c>
      <c r="M4058" s="117" t="s">
        <v>349</v>
      </c>
      <c r="N4058" s="33">
        <v>45553</v>
      </c>
      <c r="O4058" s="32">
        <v>6480</v>
      </c>
      <c r="P4058" s="391">
        <f>ROUNDUP(S4058/V4058/VLOOKUP(B4058,$C$2:$F$6,3,FALSE),2)</f>
        <v>8.34</v>
      </c>
      <c r="Q4058" s="358">
        <v>8.34</v>
      </c>
      <c r="R4058" s="322">
        <f>Q4058*J4058</f>
        <v>228.51599999999999</v>
      </c>
      <c r="S4058" s="7">
        <v>700</v>
      </c>
      <c r="T4058" s="7">
        <f>S4058*J4058</f>
        <v>19180</v>
      </c>
      <c r="U4058" s="267"/>
      <c r="V4058" s="260">
        <v>120</v>
      </c>
      <c r="W4058" s="1136">
        <f t="shared" si="318"/>
        <v>0.4004796163069545</v>
      </c>
    </row>
    <row r="4059" spans="1:24" s="7" customFormat="1" ht="17.25" customHeight="1">
      <c r="B4059" s="12" t="s">
        <v>300</v>
      </c>
      <c r="C4059" s="6" t="s">
        <v>5044</v>
      </c>
      <c r="D4059" s="14" t="s">
        <v>2034</v>
      </c>
      <c r="E4059" s="22" t="s">
        <v>4948</v>
      </c>
      <c r="F4059" s="37"/>
      <c r="G4059" s="37" t="s">
        <v>58</v>
      </c>
      <c r="H4059" s="108">
        <v>13.7</v>
      </c>
      <c r="I4059" s="109">
        <v>1</v>
      </c>
      <c r="J4059" s="131">
        <f>H4059*I4059</f>
        <v>13.7</v>
      </c>
      <c r="K4059" s="39">
        <v>4.8600000000000003</v>
      </c>
      <c r="L4059" s="39">
        <f>K4059*J4059</f>
        <v>66.582000000000008</v>
      </c>
      <c r="M4059" s="117" t="s">
        <v>349</v>
      </c>
      <c r="N4059" s="33">
        <v>45553</v>
      </c>
      <c r="O4059" s="32">
        <v>6480</v>
      </c>
      <c r="P4059" s="391">
        <f>ROUNDUP(S4059/V4059/VLOOKUP(B4059,$C$2:$F$6,3,FALSE),2)</f>
        <v>4.17</v>
      </c>
      <c r="Q4059" s="358">
        <v>4.17</v>
      </c>
      <c r="R4059" s="322">
        <f>Q4059*J4059</f>
        <v>57.128999999999998</v>
      </c>
      <c r="S4059" s="7">
        <v>350</v>
      </c>
      <c r="T4059" s="7">
        <f>S4059*J4059</f>
        <v>4795</v>
      </c>
      <c r="U4059" s="267"/>
      <c r="V4059" s="260">
        <v>120</v>
      </c>
      <c r="W4059" s="1136">
        <f t="shared" si="318"/>
        <v>0.39986282578875176</v>
      </c>
    </row>
    <row r="4060" spans="1:24" s="7" customFormat="1" ht="17.25" customHeight="1">
      <c r="B4060" s="12" t="s">
        <v>300</v>
      </c>
      <c r="C4060" s="6" t="s">
        <v>5044</v>
      </c>
      <c r="D4060" s="14" t="s">
        <v>2034</v>
      </c>
      <c r="E4060" s="22" t="s">
        <v>4949</v>
      </c>
      <c r="F4060" s="37"/>
      <c r="G4060" s="37" t="s">
        <v>58</v>
      </c>
      <c r="H4060" s="108">
        <v>13.7</v>
      </c>
      <c r="I4060" s="109">
        <v>2</v>
      </c>
      <c r="J4060" s="131">
        <f>H4060*I4060</f>
        <v>27.4</v>
      </c>
      <c r="K4060" s="39">
        <v>5.38</v>
      </c>
      <c r="L4060" s="39">
        <f>K4060*J4060</f>
        <v>147.41199999999998</v>
      </c>
      <c r="M4060" s="117" t="s">
        <v>349</v>
      </c>
      <c r="N4060" s="33">
        <v>45553</v>
      </c>
      <c r="O4060" s="32">
        <v>6480</v>
      </c>
      <c r="P4060" s="391">
        <f>ROUNDUP(S4060/V4060/VLOOKUP(B4060,$C$2:$F$6,3,FALSE),2)</f>
        <v>4.6099999999999994</v>
      </c>
      <c r="Q4060" s="358">
        <v>4.6100000000000003</v>
      </c>
      <c r="R4060" s="322">
        <f>Q4060*J4060</f>
        <v>126.31400000000001</v>
      </c>
      <c r="S4060" s="7">
        <v>387</v>
      </c>
      <c r="T4060" s="7">
        <f>S4060*J4060</f>
        <v>10603.8</v>
      </c>
      <c r="U4060" s="267"/>
      <c r="V4060" s="260">
        <v>120</v>
      </c>
      <c r="W4060" s="1136">
        <f t="shared" si="318"/>
        <v>0.40055762081784391</v>
      </c>
    </row>
    <row r="4061" spans="1:24" s="7" customFormat="1" ht="17.25" customHeight="1">
      <c r="B4061" s="12" t="s">
        <v>300</v>
      </c>
      <c r="C4061" s="6" t="s">
        <v>5044</v>
      </c>
      <c r="D4061" s="14" t="s">
        <v>2034</v>
      </c>
      <c r="E4061" s="22" t="s">
        <v>4950</v>
      </c>
      <c r="F4061" s="37"/>
      <c r="G4061" s="37" t="s">
        <v>58</v>
      </c>
      <c r="H4061" s="108">
        <v>13.7</v>
      </c>
      <c r="I4061" s="109">
        <v>1</v>
      </c>
      <c r="J4061" s="131">
        <f>H4061*I4061</f>
        <v>13.7</v>
      </c>
      <c r="K4061" s="39">
        <v>14.45</v>
      </c>
      <c r="L4061" s="39">
        <f>K4061*J4061</f>
        <v>197.96499999999997</v>
      </c>
      <c r="M4061" s="117" t="s">
        <v>349</v>
      </c>
      <c r="N4061" s="33">
        <v>45553</v>
      </c>
      <c r="O4061" s="32">
        <v>6480</v>
      </c>
      <c r="P4061" s="391">
        <f>ROUNDUP(S4061/V4061/VLOOKUP(B4061,$C$2:$F$6,3,FALSE),2)</f>
        <v>12.39</v>
      </c>
      <c r="Q4061" s="358">
        <v>12.39</v>
      </c>
      <c r="R4061" s="322">
        <f>Q4061*J4061</f>
        <v>169.74299999999999</v>
      </c>
      <c r="S4061" s="7">
        <v>1040</v>
      </c>
      <c r="T4061" s="7">
        <f>S4061*J4061</f>
        <v>14248</v>
      </c>
      <c r="U4061" s="267"/>
      <c r="V4061" s="260">
        <v>120</v>
      </c>
      <c r="W4061" s="1136">
        <f t="shared" si="318"/>
        <v>0.40023068050749711</v>
      </c>
    </row>
    <row r="4062" spans="1:24" s="7" customFormat="1" ht="18" customHeight="1">
      <c r="B4062" s="12"/>
      <c r="C4062" s="6" t="s">
        <v>5044</v>
      </c>
      <c r="D4062" s="14" t="s">
        <v>2034</v>
      </c>
      <c r="E4062" s="49"/>
      <c r="F4062" s="102"/>
      <c r="G4062" s="22" t="s">
        <v>316</v>
      </c>
      <c r="H4062" s="8"/>
      <c r="I4062" s="35"/>
      <c r="J4062" s="38">
        <v>2</v>
      </c>
      <c r="K4062" s="39">
        <v>12</v>
      </c>
      <c r="L4062" s="39">
        <f>K4062*J4062</f>
        <v>24</v>
      </c>
      <c r="M4062" s="91"/>
      <c r="N4062" s="33">
        <v>45553</v>
      </c>
      <c r="O4062" s="32">
        <v>6480</v>
      </c>
      <c r="P4062" s="6" t="s">
        <v>3</v>
      </c>
      <c r="Q4062" s="39">
        <v>12</v>
      </c>
      <c r="R4062" s="322">
        <f>Q4062*J4062</f>
        <v>24</v>
      </c>
      <c r="S4062" s="7">
        <v>0</v>
      </c>
      <c r="T4062" s="7">
        <v>0</v>
      </c>
      <c r="U4062" s="21"/>
      <c r="V4062" s="260">
        <v>120</v>
      </c>
      <c r="W4062" s="1136">
        <f t="shared" si="318"/>
        <v>1</v>
      </c>
    </row>
    <row r="4063" spans="1:24" s="191" customFormat="1" ht="18" customHeight="1">
      <c r="B4063" s="190"/>
      <c r="C4063" s="179" t="s">
        <v>5044</v>
      </c>
      <c r="D4063" s="180" t="s">
        <v>2034</v>
      </c>
      <c r="E4063" s="181"/>
      <c r="F4063" s="182"/>
      <c r="G4063" s="182" t="s">
        <v>250</v>
      </c>
      <c r="H4063" s="184" t="s">
        <v>252</v>
      </c>
      <c r="I4063" s="185"/>
      <c r="J4063" s="183"/>
      <c r="K4063" s="203">
        <v>27</v>
      </c>
      <c r="L4063" s="203">
        <v>27</v>
      </c>
      <c r="M4063" s="947"/>
      <c r="N4063" s="187">
        <v>45553</v>
      </c>
      <c r="O4063" s="186">
        <v>6480</v>
      </c>
      <c r="P4063" s="179"/>
      <c r="Q4063" s="203">
        <v>27</v>
      </c>
      <c r="R4063" s="203">
        <v>27</v>
      </c>
      <c r="S4063" s="1135">
        <v>3232</v>
      </c>
      <c r="T4063" s="1135">
        <v>3232</v>
      </c>
      <c r="U4063" s="335"/>
      <c r="V4063" s="260">
        <v>120</v>
      </c>
      <c r="W4063" s="1136">
        <f t="shared" si="318"/>
        <v>2.4691358024691358E-3</v>
      </c>
      <c r="X4063" s="218"/>
    </row>
    <row r="4064" spans="1:24" customFormat="1" ht="18" customHeight="1">
      <c r="A4064" s="1"/>
      <c r="B4064" s="26"/>
      <c r="C4064" s="6" t="s">
        <v>5045</v>
      </c>
      <c r="D4064" s="14" t="s">
        <v>3202</v>
      </c>
      <c r="E4064" s="19" t="s">
        <v>59</v>
      </c>
      <c r="F4064" s="107"/>
      <c r="G4064" s="22"/>
      <c r="H4064" s="108"/>
      <c r="I4064" s="109"/>
      <c r="J4064" s="108"/>
      <c r="K4064" s="110" t="s">
        <v>5</v>
      </c>
      <c r="L4064" s="33"/>
      <c r="M4064" s="33"/>
      <c r="N4064" s="33">
        <v>45623</v>
      </c>
      <c r="O4064" s="32">
        <v>6654</v>
      </c>
      <c r="P4064" s="14"/>
      <c r="Q4064" s="254"/>
      <c r="R4064" s="1"/>
      <c r="S4064" s="261"/>
      <c r="T4064" s="92"/>
      <c r="U4064" s="264"/>
      <c r="V4064" s="260">
        <v>120</v>
      </c>
    </row>
    <row r="4065" spans="1:51" customFormat="1" ht="18" customHeight="1">
      <c r="A4065" s="1"/>
      <c r="B4065" s="12" t="s">
        <v>302</v>
      </c>
      <c r="C4065" s="6" t="s">
        <v>5045</v>
      </c>
      <c r="D4065" s="14" t="s">
        <v>3202</v>
      </c>
      <c r="E4065" s="22">
        <v>5521</v>
      </c>
      <c r="F4065" s="107">
        <v>148</v>
      </c>
      <c r="G4065" s="22" t="s">
        <v>212</v>
      </c>
      <c r="H4065" s="60">
        <v>53</v>
      </c>
      <c r="I4065" s="61">
        <v>1</v>
      </c>
      <c r="J4065" s="60">
        <f t="shared" ref="J4065:J4070" si="319">H4065*I4065</f>
        <v>53</v>
      </c>
      <c r="K4065" s="39">
        <v>5.48</v>
      </c>
      <c r="L4065" s="39">
        <f t="shared" ref="L4065:L4071" si="320">K4065*J4065</f>
        <v>290.44</v>
      </c>
      <c r="M4065" s="117" t="s">
        <v>323</v>
      </c>
      <c r="N4065" s="33">
        <v>45623</v>
      </c>
      <c r="O4065" s="32">
        <v>6654</v>
      </c>
      <c r="P4065" s="391">
        <f t="shared" ref="P4065:P4070" si="321">ROUNDUP(S4065/V4065/VLOOKUP(B4065,$C$2:$F$6,3,FALSE),2)</f>
        <v>4.46</v>
      </c>
      <c r="Q4065" s="254">
        <v>4.46</v>
      </c>
      <c r="R4065" s="323">
        <f t="shared" ref="R4065:R4070" si="322">Q4065*J4065</f>
        <v>236.38</v>
      </c>
      <c r="S4065" s="273">
        <v>470</v>
      </c>
      <c r="T4065" s="287">
        <f t="shared" ref="T4065:T4071" si="323">S4065*J4065</f>
        <v>24910</v>
      </c>
      <c r="U4065" s="264"/>
      <c r="V4065" s="260">
        <v>120</v>
      </c>
      <c r="W4065" s="1136">
        <f t="shared" ref="W4065:W4070" si="324">(((K4065*V4065)-S4065)/(K4065*V4065))</f>
        <v>0.28527980535279807</v>
      </c>
    </row>
    <row r="4066" spans="1:51" customFormat="1" ht="18" customHeight="1">
      <c r="A4066" s="1"/>
      <c r="B4066" s="12" t="s">
        <v>302</v>
      </c>
      <c r="C4066" s="6" t="s">
        <v>5045</v>
      </c>
      <c r="D4066" s="14" t="s">
        <v>3202</v>
      </c>
      <c r="E4066" s="22">
        <v>5521</v>
      </c>
      <c r="F4066" s="107">
        <v>148</v>
      </c>
      <c r="G4066" s="22" t="s">
        <v>212</v>
      </c>
      <c r="H4066" s="60">
        <v>54</v>
      </c>
      <c r="I4066" s="61">
        <v>4</v>
      </c>
      <c r="J4066" s="60">
        <f t="shared" si="319"/>
        <v>216</v>
      </c>
      <c r="K4066" s="39">
        <v>5.48</v>
      </c>
      <c r="L4066" s="39">
        <f t="shared" si="320"/>
        <v>1183.68</v>
      </c>
      <c r="M4066" s="117" t="s">
        <v>323</v>
      </c>
      <c r="N4066" s="33">
        <v>45623</v>
      </c>
      <c r="O4066" s="32">
        <v>6654</v>
      </c>
      <c r="P4066" s="391">
        <f t="shared" si="321"/>
        <v>4.46</v>
      </c>
      <c r="Q4066" s="254">
        <v>4.46</v>
      </c>
      <c r="R4066" s="323">
        <f t="shared" si="322"/>
        <v>963.36</v>
      </c>
      <c r="S4066" s="273">
        <v>470</v>
      </c>
      <c r="T4066" s="287">
        <f t="shared" si="323"/>
        <v>101520</v>
      </c>
      <c r="U4066" s="264"/>
      <c r="V4066" s="260">
        <v>120</v>
      </c>
      <c r="W4066" s="1136">
        <f t="shared" si="324"/>
        <v>0.28527980535279807</v>
      </c>
    </row>
    <row r="4067" spans="1:51" customFormat="1" ht="18" customHeight="1">
      <c r="A4067" s="1"/>
      <c r="B4067" s="12" t="s">
        <v>302</v>
      </c>
      <c r="C4067" s="6" t="s">
        <v>5045</v>
      </c>
      <c r="D4067" s="14" t="s">
        <v>3202</v>
      </c>
      <c r="E4067" s="22">
        <v>5521</v>
      </c>
      <c r="F4067" s="107">
        <v>148</v>
      </c>
      <c r="G4067" s="22" t="s">
        <v>212</v>
      </c>
      <c r="H4067" s="60">
        <v>55</v>
      </c>
      <c r="I4067" s="61">
        <v>3</v>
      </c>
      <c r="J4067" s="60">
        <f t="shared" si="319"/>
        <v>165</v>
      </c>
      <c r="K4067" s="39">
        <v>5.48</v>
      </c>
      <c r="L4067" s="39">
        <f t="shared" si="320"/>
        <v>904.2</v>
      </c>
      <c r="M4067" s="117" t="s">
        <v>323</v>
      </c>
      <c r="N4067" s="33">
        <v>45623</v>
      </c>
      <c r="O4067" s="32">
        <v>6654</v>
      </c>
      <c r="P4067" s="391">
        <f t="shared" si="321"/>
        <v>4.46</v>
      </c>
      <c r="Q4067" s="254">
        <v>4.46</v>
      </c>
      <c r="R4067" s="323">
        <f t="shared" si="322"/>
        <v>735.9</v>
      </c>
      <c r="S4067" s="273">
        <v>470</v>
      </c>
      <c r="T4067" s="287">
        <f t="shared" si="323"/>
        <v>77550</v>
      </c>
      <c r="U4067" s="264"/>
      <c r="V4067" s="260">
        <v>120</v>
      </c>
      <c r="W4067" s="1136">
        <f t="shared" si="324"/>
        <v>0.28527980535279807</v>
      </c>
    </row>
    <row r="4068" spans="1:51" customFormat="1" ht="18" customHeight="1">
      <c r="A4068" s="1"/>
      <c r="B4068" s="12" t="s">
        <v>302</v>
      </c>
      <c r="C4068" s="6" t="s">
        <v>5045</v>
      </c>
      <c r="D4068" s="14" t="s">
        <v>3202</v>
      </c>
      <c r="E4068" s="22">
        <v>5521</v>
      </c>
      <c r="F4068" s="107">
        <v>148</v>
      </c>
      <c r="G4068" s="22" t="s">
        <v>212</v>
      </c>
      <c r="H4068" s="60">
        <v>56</v>
      </c>
      <c r="I4068" s="61">
        <v>5</v>
      </c>
      <c r="J4068" s="60">
        <f t="shared" si="319"/>
        <v>280</v>
      </c>
      <c r="K4068" s="39">
        <v>5.48</v>
      </c>
      <c r="L4068" s="39">
        <f t="shared" si="320"/>
        <v>1534.4</v>
      </c>
      <c r="M4068" s="117" t="s">
        <v>323</v>
      </c>
      <c r="N4068" s="33">
        <v>45623</v>
      </c>
      <c r="O4068" s="32">
        <v>6654</v>
      </c>
      <c r="P4068" s="391">
        <f t="shared" si="321"/>
        <v>4.46</v>
      </c>
      <c r="Q4068" s="254">
        <v>4.46</v>
      </c>
      <c r="R4068" s="323">
        <f t="shared" si="322"/>
        <v>1248.8</v>
      </c>
      <c r="S4068" s="273">
        <v>470</v>
      </c>
      <c r="T4068" s="287">
        <f t="shared" si="323"/>
        <v>131600</v>
      </c>
      <c r="U4068" s="264"/>
      <c r="V4068" s="260">
        <v>120</v>
      </c>
      <c r="W4068" s="1136">
        <f t="shared" si="324"/>
        <v>0.28527980535279807</v>
      </c>
    </row>
    <row r="4069" spans="1:51" customFormat="1" ht="18" customHeight="1">
      <c r="A4069" s="1"/>
      <c r="B4069" s="12" t="s">
        <v>302</v>
      </c>
      <c r="C4069" s="6" t="s">
        <v>5045</v>
      </c>
      <c r="D4069" s="14" t="s">
        <v>3202</v>
      </c>
      <c r="E4069" s="22">
        <v>5521</v>
      </c>
      <c r="F4069" s="107">
        <v>148</v>
      </c>
      <c r="G4069" s="22" t="s">
        <v>212</v>
      </c>
      <c r="H4069" s="60">
        <v>57</v>
      </c>
      <c r="I4069" s="61">
        <v>2</v>
      </c>
      <c r="J4069" s="60">
        <f t="shared" si="319"/>
        <v>114</v>
      </c>
      <c r="K4069" s="39">
        <v>5.48</v>
      </c>
      <c r="L4069" s="39">
        <f t="shared" si="320"/>
        <v>624.72</v>
      </c>
      <c r="M4069" s="117" t="s">
        <v>323</v>
      </c>
      <c r="N4069" s="33">
        <v>45623</v>
      </c>
      <c r="O4069" s="32">
        <v>6654</v>
      </c>
      <c r="P4069" s="391">
        <f t="shared" si="321"/>
        <v>4.46</v>
      </c>
      <c r="Q4069" s="254">
        <v>4.46</v>
      </c>
      <c r="R4069" s="323">
        <f t="shared" si="322"/>
        <v>508.44</v>
      </c>
      <c r="S4069" s="273">
        <v>470</v>
      </c>
      <c r="T4069" s="287">
        <f t="shared" si="323"/>
        <v>53580</v>
      </c>
      <c r="U4069" s="264"/>
      <c r="V4069" s="260">
        <v>120</v>
      </c>
      <c r="W4069" s="1136">
        <f t="shared" si="324"/>
        <v>0.28527980535279807</v>
      </c>
    </row>
    <row r="4070" spans="1:51" customFormat="1" ht="18" customHeight="1">
      <c r="A4070" s="1"/>
      <c r="B4070" s="12" t="s">
        <v>302</v>
      </c>
      <c r="C4070" s="6" t="s">
        <v>5045</v>
      </c>
      <c r="D4070" s="14" t="s">
        <v>3202</v>
      </c>
      <c r="E4070" s="22">
        <v>5521</v>
      </c>
      <c r="F4070" s="107">
        <v>148</v>
      </c>
      <c r="G4070" s="22" t="s">
        <v>212</v>
      </c>
      <c r="H4070" s="60">
        <v>58</v>
      </c>
      <c r="I4070" s="61">
        <v>11</v>
      </c>
      <c r="J4070" s="60">
        <f t="shared" si="319"/>
        <v>638</v>
      </c>
      <c r="K4070" s="39">
        <v>5.48</v>
      </c>
      <c r="L4070" s="39">
        <f t="shared" si="320"/>
        <v>3496.2400000000002</v>
      </c>
      <c r="M4070" s="117" t="s">
        <v>323</v>
      </c>
      <c r="N4070" s="33">
        <v>45623</v>
      </c>
      <c r="O4070" s="32">
        <v>6654</v>
      </c>
      <c r="P4070" s="391">
        <f t="shared" si="321"/>
        <v>4.46</v>
      </c>
      <c r="Q4070" s="254">
        <v>4.46</v>
      </c>
      <c r="R4070" s="323">
        <f t="shared" si="322"/>
        <v>2845.48</v>
      </c>
      <c r="S4070" s="273">
        <v>470</v>
      </c>
      <c r="T4070" s="287">
        <f t="shared" si="323"/>
        <v>299860</v>
      </c>
      <c r="U4070" s="264"/>
      <c r="V4070" s="260">
        <v>120</v>
      </c>
      <c r="W4070" s="1136">
        <f t="shared" si="324"/>
        <v>0.28527980535279807</v>
      </c>
    </row>
    <row r="4071" spans="1:51" s="7" customFormat="1" ht="18" customHeight="1">
      <c r="B4071" s="12"/>
      <c r="C4071" s="6" t="s">
        <v>5045</v>
      </c>
      <c r="D4071" s="14" t="s">
        <v>3202</v>
      </c>
      <c r="E4071" s="22"/>
      <c r="F4071" s="102"/>
      <c r="G4071" s="22" t="s">
        <v>316</v>
      </c>
      <c r="H4071" s="8"/>
      <c r="I4071" s="35"/>
      <c r="J4071" s="38">
        <v>1</v>
      </c>
      <c r="K4071" s="39">
        <v>20</v>
      </c>
      <c r="L4071" s="39">
        <f t="shared" si="320"/>
        <v>20</v>
      </c>
      <c r="M4071" s="91"/>
      <c r="N4071" s="33">
        <v>45623</v>
      </c>
      <c r="O4071" s="32">
        <v>6654</v>
      </c>
      <c r="P4071" s="6" t="s">
        <v>3</v>
      </c>
      <c r="Q4071" s="39">
        <v>20</v>
      </c>
      <c r="R4071" s="39">
        <v>20</v>
      </c>
      <c r="S4071" s="7">
        <v>0</v>
      </c>
      <c r="T4071" s="287">
        <f t="shared" si="323"/>
        <v>0</v>
      </c>
      <c r="U4071" s="21"/>
      <c r="V4071" s="260">
        <v>120</v>
      </c>
      <c r="W4071" s="1136">
        <f t="shared" ref="W4071:W4085" si="325">(((K4071*V4071)-S4071)/(K4071*V4071))</f>
        <v>1</v>
      </c>
    </row>
    <row r="4072" spans="1:51" s="191" customFormat="1" ht="15">
      <c r="B4072" s="190"/>
      <c r="C4072" s="179" t="s">
        <v>5045</v>
      </c>
      <c r="D4072" s="180" t="s">
        <v>3202</v>
      </c>
      <c r="E4072" s="181"/>
      <c r="F4072" s="182"/>
      <c r="G4072" s="182" t="s">
        <v>2738</v>
      </c>
      <c r="H4072" s="184" t="s">
        <v>251</v>
      </c>
      <c r="I4072" s="185"/>
      <c r="J4072" s="183"/>
      <c r="K4072" s="192">
        <v>0</v>
      </c>
      <c r="L4072" s="187"/>
      <c r="M4072" s="187"/>
      <c r="N4072" s="187">
        <v>45623</v>
      </c>
      <c r="O4072" s="186">
        <v>6654</v>
      </c>
      <c r="P4072" s="179"/>
      <c r="Q4072" s="203"/>
      <c r="R4072" s="203"/>
      <c r="S4072" s="203"/>
      <c r="T4072" s="203"/>
      <c r="U4072" s="271"/>
      <c r="V4072" s="260">
        <v>120</v>
      </c>
      <c r="W4072" s="1136" t="e">
        <f t="shared" si="325"/>
        <v>#DIV/0!</v>
      </c>
    </row>
    <row r="4073" spans="1:51" customFormat="1" ht="18" customHeight="1">
      <c r="A4073" s="1"/>
      <c r="B4073" s="26"/>
      <c r="C4073" s="6" t="s">
        <v>5067</v>
      </c>
      <c r="D4073" s="14" t="s">
        <v>3067</v>
      </c>
      <c r="E4073" s="19" t="s">
        <v>59</v>
      </c>
      <c r="F4073" s="107"/>
      <c r="G4073" s="22"/>
      <c r="H4073" s="108"/>
      <c r="I4073" s="109"/>
      <c r="J4073" s="108"/>
      <c r="K4073" s="110" t="s">
        <v>5</v>
      </c>
      <c r="L4073" s="33"/>
      <c r="M4073" s="33"/>
      <c r="N4073" s="33">
        <v>45559</v>
      </c>
      <c r="O4073" s="32">
        <v>6494</v>
      </c>
      <c r="P4073" s="14"/>
      <c r="Q4073" s="254"/>
      <c r="R4073" s="1"/>
      <c r="S4073" s="261"/>
      <c r="T4073" s="92"/>
      <c r="U4073" s="264"/>
      <c r="V4073" s="260">
        <v>120</v>
      </c>
      <c r="W4073" s="1136" t="e">
        <f t="shared" si="325"/>
        <v>#VALUE!</v>
      </c>
      <c r="X4073" s="1"/>
      <c r="Y4073" s="1"/>
      <c r="Z4073" s="1"/>
      <c r="AA4073" s="1"/>
      <c r="AB4073" s="1"/>
      <c r="AC4073" s="1"/>
      <c r="AD4073" s="1"/>
      <c r="AE4073" s="1"/>
      <c r="AF4073" s="1"/>
      <c r="AG4073" s="1"/>
      <c r="AH4073" s="1"/>
      <c r="AI4073" s="1"/>
      <c r="AJ4073" s="1"/>
      <c r="AK4073" s="1"/>
      <c r="AL4073" s="1"/>
      <c r="AM4073" s="1"/>
      <c r="AN4073" s="1"/>
      <c r="AO4073" s="1"/>
      <c r="AP4073" s="1"/>
      <c r="AQ4073" s="1"/>
      <c r="AR4073" s="1"/>
      <c r="AS4073" s="1"/>
      <c r="AT4073" s="1"/>
      <c r="AU4073" s="1"/>
      <c r="AV4073" s="1"/>
      <c r="AW4073" s="1"/>
      <c r="AX4073" s="1"/>
      <c r="AY4073" s="1"/>
    </row>
    <row r="4074" spans="1:51" customFormat="1" ht="18" customHeight="1">
      <c r="B4074" s="12" t="s">
        <v>302</v>
      </c>
      <c r="C4074" s="6" t="s">
        <v>5067</v>
      </c>
      <c r="D4074" s="14" t="s">
        <v>3067</v>
      </c>
      <c r="E4074" s="22">
        <v>2440</v>
      </c>
      <c r="F4074" s="107">
        <v>140</v>
      </c>
      <c r="G4074" s="22" t="s">
        <v>5046</v>
      </c>
      <c r="H4074" s="108">
        <v>58</v>
      </c>
      <c r="I4074" s="109">
        <v>1</v>
      </c>
      <c r="J4074" s="8">
        <f>H4074*I4074</f>
        <v>58</v>
      </c>
      <c r="K4074" s="39">
        <v>4.17</v>
      </c>
      <c r="L4074" s="39">
        <f>K4074*J4074</f>
        <v>241.85999999999999</v>
      </c>
      <c r="M4074" s="117" t="s">
        <v>323</v>
      </c>
      <c r="N4074" s="33">
        <v>45559</v>
      </c>
      <c r="O4074" s="32">
        <v>6494</v>
      </c>
      <c r="P4074" s="391">
        <f>ROUNDUP(S4074/V4074/VLOOKUP(B4074,$C$2:$F$6,3,FALSE),2)</f>
        <v>2.94</v>
      </c>
      <c r="Q4074" s="254">
        <v>2.94</v>
      </c>
      <c r="R4074" s="323">
        <f>Q4074*J4074</f>
        <v>170.52</v>
      </c>
      <c r="S4074" s="257">
        <v>310</v>
      </c>
      <c r="T4074" s="287">
        <f>S4074*J4074</f>
        <v>17980</v>
      </c>
      <c r="U4074" s="264"/>
      <c r="V4074" s="260">
        <v>120</v>
      </c>
      <c r="W4074" s="1136">
        <f t="shared" si="325"/>
        <v>0.3804956035171862</v>
      </c>
      <c r="X4074" s="1"/>
      <c r="Y4074" s="1"/>
      <c r="Z4074" s="1"/>
      <c r="AA4074" s="1"/>
      <c r="AB4074" s="1"/>
      <c r="AC4074" s="1"/>
      <c r="AD4074" s="1"/>
      <c r="AE4074" s="1"/>
      <c r="AF4074" s="1"/>
      <c r="AG4074" s="1"/>
      <c r="AH4074" s="1"/>
      <c r="AI4074" s="1"/>
      <c r="AJ4074" s="1"/>
      <c r="AK4074" s="1"/>
      <c r="AL4074" s="1"/>
      <c r="AM4074" s="1"/>
      <c r="AN4074" s="1"/>
      <c r="AO4074" s="1"/>
      <c r="AP4074" s="1"/>
      <c r="AQ4074" s="1"/>
      <c r="AR4074" s="1"/>
      <c r="AS4074" s="1"/>
      <c r="AT4074" s="1"/>
      <c r="AU4074" s="1"/>
      <c r="AV4074" s="1"/>
      <c r="AW4074" s="1"/>
      <c r="AX4074" s="1"/>
      <c r="AY4074" s="1"/>
    </row>
    <row r="4075" spans="1:51" s="7" customFormat="1" ht="15">
      <c r="B4075" s="12"/>
      <c r="C4075" s="6" t="s">
        <v>5067</v>
      </c>
      <c r="D4075" s="14" t="s">
        <v>3067</v>
      </c>
      <c r="E4075" s="49"/>
      <c r="F4075" s="102"/>
      <c r="G4075" s="22" t="s">
        <v>316</v>
      </c>
      <c r="H4075" s="38"/>
      <c r="I4075" s="35"/>
      <c r="J4075" s="38">
        <v>1</v>
      </c>
      <c r="K4075" s="39">
        <v>20</v>
      </c>
      <c r="L4075" s="39">
        <f>K4075*J4075</f>
        <v>20</v>
      </c>
      <c r="M4075" s="91"/>
      <c r="N4075" s="33">
        <v>45559</v>
      </c>
      <c r="O4075" s="32">
        <v>6494</v>
      </c>
      <c r="P4075" s="722"/>
      <c r="Q4075" s="322">
        <v>20</v>
      </c>
      <c r="R4075" s="322">
        <f>Q4075*J4075</f>
        <v>20</v>
      </c>
      <c r="S4075" s="7">
        <v>2500</v>
      </c>
      <c r="T4075" s="7">
        <f>S4075*J4075</f>
        <v>2500</v>
      </c>
      <c r="U4075" s="21"/>
      <c r="V4075" s="260">
        <v>120</v>
      </c>
      <c r="W4075" s="1136">
        <f t="shared" si="325"/>
        <v>-4.1666666666666664E-2</v>
      </c>
    </row>
    <row r="4076" spans="1:51" s="191" customFormat="1" ht="15">
      <c r="B4076" s="190"/>
      <c r="C4076" s="179" t="s">
        <v>5067</v>
      </c>
      <c r="D4076" s="180" t="s">
        <v>3067</v>
      </c>
      <c r="E4076" s="181"/>
      <c r="F4076" s="182"/>
      <c r="G4076" s="182" t="s">
        <v>2738</v>
      </c>
      <c r="H4076" s="184" t="s">
        <v>251</v>
      </c>
      <c r="I4076" s="185"/>
      <c r="J4076" s="183"/>
      <c r="K4076" s="192">
        <v>0</v>
      </c>
      <c r="L4076" s="187"/>
      <c r="M4076" s="187"/>
      <c r="N4076" s="187">
        <v>45559</v>
      </c>
      <c r="O4076" s="186">
        <v>6494</v>
      </c>
      <c r="P4076" s="179"/>
      <c r="Q4076" s="203"/>
      <c r="R4076" s="203"/>
      <c r="S4076" s="203"/>
      <c r="T4076" s="203"/>
      <c r="U4076" s="271"/>
      <c r="V4076" s="260">
        <v>120</v>
      </c>
      <c r="W4076" s="1136" t="e">
        <f t="shared" si="325"/>
        <v>#DIV/0!</v>
      </c>
    </row>
    <row r="4077" spans="1:51" s="7" customFormat="1" ht="18" customHeight="1">
      <c r="B4077" s="12"/>
      <c r="C4077" s="6" t="s">
        <v>5068</v>
      </c>
      <c r="D4077" s="14" t="s">
        <v>5069</v>
      </c>
      <c r="E4077" s="19" t="s">
        <v>10</v>
      </c>
      <c r="F4077" s="107"/>
      <c r="G4077" s="1256"/>
      <c r="H4077" s="108"/>
      <c r="I4077" s="109"/>
      <c r="J4077" s="108"/>
      <c r="K4077" s="29" t="s">
        <v>5</v>
      </c>
      <c r="L4077" s="139"/>
      <c r="M4077" s="33"/>
      <c r="N4077" s="33">
        <v>45561</v>
      </c>
      <c r="O4077" s="32">
        <v>6502</v>
      </c>
      <c r="P4077" s="14"/>
      <c r="Q4077" s="322"/>
      <c r="U4077" s="14"/>
      <c r="V4077" s="260">
        <v>120</v>
      </c>
      <c r="W4077" s="1136" t="e">
        <f t="shared" si="325"/>
        <v>#VALUE!</v>
      </c>
    </row>
    <row r="4078" spans="1:51" s="7" customFormat="1" ht="18" customHeight="1">
      <c r="B4078" s="12" t="s">
        <v>302</v>
      </c>
      <c r="C4078" s="6" t="s">
        <v>5068</v>
      </c>
      <c r="D4078" s="14" t="s">
        <v>5069</v>
      </c>
      <c r="E4078" s="22" t="s">
        <v>190</v>
      </c>
      <c r="F4078" s="107">
        <v>160</v>
      </c>
      <c r="G4078" s="22" t="s">
        <v>5070</v>
      </c>
      <c r="H4078" s="1255"/>
      <c r="I4078" s="109"/>
      <c r="J4078" s="8">
        <v>10</v>
      </c>
      <c r="K4078" s="39">
        <v>5.84</v>
      </c>
      <c r="L4078" s="39">
        <f>K4078*J4078</f>
        <v>58.4</v>
      </c>
      <c r="M4078" s="117" t="s">
        <v>322</v>
      </c>
      <c r="N4078" s="33">
        <v>45561</v>
      </c>
      <c r="O4078" s="32">
        <v>6502</v>
      </c>
      <c r="P4078" s="391">
        <f>ROUNDUP(S4078/V4078/VLOOKUP(B4078,$C$2:$F$6,3,FALSE),2)</f>
        <v>3.98</v>
      </c>
      <c r="Q4078" s="322">
        <v>3.98</v>
      </c>
      <c r="R4078" s="322">
        <f>Q4078*J4078</f>
        <v>39.799999999999997</v>
      </c>
      <c r="S4078" s="7">
        <v>420</v>
      </c>
      <c r="T4078" s="7">
        <f>S4078*J4078</f>
        <v>4200</v>
      </c>
      <c r="U4078" s="21"/>
      <c r="V4078" s="260">
        <v>120</v>
      </c>
      <c r="W4078" s="1136">
        <f t="shared" si="325"/>
        <v>0.40068493150684925</v>
      </c>
    </row>
    <row r="4079" spans="1:51" s="7" customFormat="1" ht="18" customHeight="1">
      <c r="B4079" s="12" t="s">
        <v>302</v>
      </c>
      <c r="C4079" s="6" t="s">
        <v>5068</v>
      </c>
      <c r="D4079" s="14" t="s">
        <v>5069</v>
      </c>
      <c r="E4079" s="22" t="s">
        <v>190</v>
      </c>
      <c r="F4079" s="107">
        <v>160</v>
      </c>
      <c r="G4079" s="22" t="s">
        <v>5071</v>
      </c>
      <c r="H4079" s="1255"/>
      <c r="I4079" s="109"/>
      <c r="J4079" s="8">
        <v>10</v>
      </c>
      <c r="K4079" s="39">
        <v>5.84</v>
      </c>
      <c r="L4079" s="39">
        <f>K4079*J4079</f>
        <v>58.4</v>
      </c>
      <c r="M4079" s="117" t="s">
        <v>322</v>
      </c>
      <c r="N4079" s="33">
        <v>45561</v>
      </c>
      <c r="O4079" s="32">
        <v>6502</v>
      </c>
      <c r="P4079" s="391">
        <f>ROUNDUP(S4079/V4079/VLOOKUP(B4079,$C$2:$F$6,3,FALSE),2)</f>
        <v>3.98</v>
      </c>
      <c r="Q4079" s="322">
        <v>3.98</v>
      </c>
      <c r="R4079" s="322">
        <f>Q4079*J4079</f>
        <v>39.799999999999997</v>
      </c>
      <c r="S4079" s="7">
        <v>420</v>
      </c>
      <c r="T4079" s="7">
        <f>S4079*J4079</f>
        <v>4200</v>
      </c>
      <c r="U4079" s="21"/>
      <c r="V4079" s="260">
        <v>120</v>
      </c>
      <c r="W4079" s="1136">
        <f>(((K4079*V4079)-S4079)/(K4079*V4079))</f>
        <v>0.40068493150684925</v>
      </c>
    </row>
    <row r="4080" spans="1:51" s="7" customFormat="1" ht="18" customHeight="1">
      <c r="B4080" s="12" t="s">
        <v>302</v>
      </c>
      <c r="C4080" s="6" t="s">
        <v>5068</v>
      </c>
      <c r="D4080" s="14" t="s">
        <v>5069</v>
      </c>
      <c r="E4080" s="22" t="s">
        <v>190</v>
      </c>
      <c r="F4080" s="107">
        <v>160</v>
      </c>
      <c r="G4080" s="22" t="s">
        <v>5072</v>
      </c>
      <c r="H4080" s="1255"/>
      <c r="I4080" s="109"/>
      <c r="J4080" s="8">
        <v>10</v>
      </c>
      <c r="K4080" s="39">
        <v>5.84</v>
      </c>
      <c r="L4080" s="39">
        <f>K4080*J4080</f>
        <v>58.4</v>
      </c>
      <c r="M4080" s="117" t="s">
        <v>322</v>
      </c>
      <c r="N4080" s="33">
        <v>45561</v>
      </c>
      <c r="O4080" s="32">
        <v>6502</v>
      </c>
      <c r="P4080" s="391">
        <f>ROUNDUP(S4080/V4080/VLOOKUP(B4080,$C$2:$F$6,3,FALSE),2)</f>
        <v>3.98</v>
      </c>
      <c r="Q4080" s="322">
        <v>3.98</v>
      </c>
      <c r="R4080" s="322">
        <f>Q4080*J4080</f>
        <v>39.799999999999997</v>
      </c>
      <c r="S4080" s="7">
        <v>420</v>
      </c>
      <c r="T4080" s="7">
        <f>S4080*J4080</f>
        <v>4200</v>
      </c>
      <c r="U4080" s="21"/>
      <c r="V4080" s="260">
        <v>120</v>
      </c>
      <c r="W4080" s="1136">
        <f>(((K4080*V4080)-S4080)/(K4080*V4080))</f>
        <v>0.40068493150684925</v>
      </c>
    </row>
    <row r="4081" spans="1:51" customFormat="1" ht="18" customHeight="1">
      <c r="A4081" s="1"/>
      <c r="B4081" s="26"/>
      <c r="C4081" s="6" t="s">
        <v>5068</v>
      </c>
      <c r="D4081" s="14" t="s">
        <v>5069</v>
      </c>
      <c r="E4081" s="19" t="s">
        <v>4873</v>
      </c>
      <c r="F4081" s="107"/>
      <c r="G4081" s="22"/>
      <c r="H4081" s="108"/>
      <c r="I4081" s="109"/>
      <c r="J4081" s="108"/>
      <c r="K4081" s="110" t="s">
        <v>5</v>
      </c>
      <c r="L4081" s="33"/>
      <c r="M4081" s="33"/>
      <c r="N4081" s="33">
        <v>45561</v>
      </c>
      <c r="O4081" s="32">
        <v>6502</v>
      </c>
      <c r="P4081" s="14"/>
      <c r="Q4081" s="254"/>
      <c r="R4081" s="1"/>
      <c r="S4081" s="261"/>
      <c r="T4081" s="92"/>
      <c r="U4081" s="264"/>
      <c r="V4081" s="260">
        <v>120</v>
      </c>
      <c r="W4081" s="1136" t="e">
        <f>(((K4081*V4081)-S4081)/(K4081*V4081))</f>
        <v>#VALUE!</v>
      </c>
      <c r="X4081" s="1"/>
      <c r="Y4081" s="1"/>
      <c r="Z4081" s="1"/>
      <c r="AA4081" s="1"/>
      <c r="AB4081" s="1"/>
      <c r="AC4081" s="1"/>
      <c r="AD4081" s="1"/>
      <c r="AE4081" s="1"/>
      <c r="AF4081" s="1"/>
      <c r="AG4081" s="1"/>
      <c r="AH4081" s="1"/>
      <c r="AI4081" s="1"/>
      <c r="AJ4081" s="1"/>
      <c r="AK4081" s="1"/>
      <c r="AL4081" s="1"/>
      <c r="AM4081" s="1"/>
      <c r="AN4081" s="1"/>
      <c r="AO4081" s="1"/>
      <c r="AP4081" s="1"/>
      <c r="AQ4081" s="1"/>
      <c r="AR4081" s="1"/>
      <c r="AS4081" s="1"/>
      <c r="AT4081" s="1"/>
      <c r="AU4081" s="1"/>
      <c r="AV4081" s="1"/>
      <c r="AW4081" s="1"/>
      <c r="AX4081" s="1"/>
      <c r="AY4081" s="1"/>
    </row>
    <row r="4082" spans="1:51" customFormat="1" ht="18" customHeight="1">
      <c r="B4082" s="12" t="s">
        <v>302</v>
      </c>
      <c r="C4082" s="6" t="s">
        <v>5068</v>
      </c>
      <c r="D4082" s="14" t="s">
        <v>5069</v>
      </c>
      <c r="E4082" s="22" t="s">
        <v>4874</v>
      </c>
      <c r="F4082" s="107">
        <v>150</v>
      </c>
      <c r="G4082" s="22" t="s">
        <v>285</v>
      </c>
      <c r="H4082" s="108"/>
      <c r="I4082" s="109"/>
      <c r="J4082" s="8">
        <v>10</v>
      </c>
      <c r="K4082" s="39">
        <v>31.95</v>
      </c>
      <c r="L4082" s="39">
        <f>K4082*J4082</f>
        <v>319.5</v>
      </c>
      <c r="M4082" s="117" t="s">
        <v>323</v>
      </c>
      <c r="N4082" s="33">
        <v>45561</v>
      </c>
      <c r="O4082" s="32">
        <v>6502</v>
      </c>
      <c r="P4082" s="391">
        <f>ROUNDUP(S4082/V4082/VLOOKUP(B4082,$C$2:$F$6,3,FALSE),2)</f>
        <v>21.790000000000003</v>
      </c>
      <c r="Q4082" s="254">
        <v>21.79</v>
      </c>
      <c r="R4082" s="323">
        <f>Q4082*J4082</f>
        <v>217.89999999999998</v>
      </c>
      <c r="S4082" s="257">
        <v>2300</v>
      </c>
      <c r="T4082" s="287">
        <f>S4082*J4082</f>
        <v>23000</v>
      </c>
      <c r="U4082" s="264"/>
      <c r="V4082" s="260">
        <v>120</v>
      </c>
      <c r="W4082" s="1136">
        <f>(((K4082*V4082)-S4082)/(K4082*V4082))</f>
        <v>0.40010432968179449</v>
      </c>
      <c r="X4082" s="1"/>
      <c r="Y4082" s="1"/>
      <c r="Z4082" s="1"/>
      <c r="AA4082" s="1"/>
      <c r="AB4082" s="1"/>
      <c r="AC4082" s="1"/>
      <c r="AD4082" s="1"/>
      <c r="AE4082" s="1"/>
      <c r="AF4082" s="1"/>
      <c r="AG4082" s="1"/>
      <c r="AH4082" s="1"/>
      <c r="AI4082" s="1"/>
      <c r="AJ4082" s="1"/>
      <c r="AK4082" s="1"/>
      <c r="AL4082" s="1"/>
      <c r="AM4082" s="1"/>
      <c r="AN4082" s="1"/>
      <c r="AO4082" s="1"/>
      <c r="AP4082" s="1"/>
      <c r="AQ4082" s="1"/>
      <c r="AR4082" s="1"/>
      <c r="AS4082" s="1"/>
      <c r="AT4082" s="1"/>
      <c r="AU4082" s="1"/>
      <c r="AV4082" s="1"/>
      <c r="AW4082" s="1"/>
      <c r="AX4082" s="1"/>
      <c r="AY4082" s="1"/>
    </row>
    <row r="4083" spans="1:51" s="7" customFormat="1" ht="18" customHeight="1">
      <c r="B4083" s="12"/>
      <c r="C4083" s="6" t="s">
        <v>5068</v>
      </c>
      <c r="D4083" s="14" t="s">
        <v>5069</v>
      </c>
      <c r="E4083" s="22"/>
      <c r="F4083" s="102"/>
      <c r="G4083" s="22" t="s">
        <v>4329</v>
      </c>
      <c r="H4083" s="8"/>
      <c r="I4083" s="35"/>
      <c r="J4083" s="38">
        <v>4</v>
      </c>
      <c r="K4083" s="39">
        <v>15</v>
      </c>
      <c r="L4083" s="39">
        <f>K4083*J4083</f>
        <v>60</v>
      </c>
      <c r="M4083" s="91"/>
      <c r="N4083" s="33">
        <v>45561</v>
      </c>
      <c r="O4083" s="32">
        <v>6502</v>
      </c>
      <c r="P4083" s="6" t="s">
        <v>3</v>
      </c>
      <c r="Q4083" s="39">
        <v>15</v>
      </c>
      <c r="R4083" s="322">
        <f>Q4083*J4083</f>
        <v>60</v>
      </c>
      <c r="S4083" s="7">
        <v>1000</v>
      </c>
      <c r="T4083" s="287">
        <f>S4083*J4083</f>
        <v>4000</v>
      </c>
      <c r="U4083" s="21"/>
      <c r="V4083" s="260">
        <v>120</v>
      </c>
      <c r="W4083" s="1136">
        <f>(((K4083*V4083)-S4083)/(K4083*V4083))</f>
        <v>0.44444444444444442</v>
      </c>
    </row>
    <row r="4084" spans="1:51" s="7" customFormat="1" ht="18" customHeight="1">
      <c r="B4084" s="12"/>
      <c r="C4084" s="6" t="s">
        <v>5068</v>
      </c>
      <c r="D4084" s="14" t="s">
        <v>5069</v>
      </c>
      <c r="E4084" s="22"/>
      <c r="F4084" s="102"/>
      <c r="G4084" s="22" t="s">
        <v>316</v>
      </c>
      <c r="H4084" s="8"/>
      <c r="I4084" s="35"/>
      <c r="J4084" s="38">
        <v>1</v>
      </c>
      <c r="K4084" s="39">
        <v>20</v>
      </c>
      <c r="L4084" s="39">
        <f>K4084*J4084</f>
        <v>20</v>
      </c>
      <c r="M4084" s="91"/>
      <c r="N4084" s="33">
        <v>45561</v>
      </c>
      <c r="O4084" s="32">
        <v>6502</v>
      </c>
      <c r="P4084" s="6" t="s">
        <v>3</v>
      </c>
      <c r="Q4084" s="39">
        <v>20</v>
      </c>
      <c r="R4084" s="322">
        <f>Q4084*J4084</f>
        <v>20</v>
      </c>
      <c r="S4084" s="7">
        <v>1600</v>
      </c>
      <c r="T4084" s="7">
        <f>S4084*J4084</f>
        <v>1600</v>
      </c>
      <c r="U4084" s="21"/>
      <c r="V4084" s="260">
        <v>120</v>
      </c>
      <c r="W4084" s="1136">
        <f t="shared" si="325"/>
        <v>0.33333333333333331</v>
      </c>
    </row>
    <row r="4085" spans="1:51" s="191" customFormat="1" ht="17.25">
      <c r="B4085" s="190"/>
      <c r="C4085" s="179" t="s">
        <v>5068</v>
      </c>
      <c r="D4085" s="180" t="s">
        <v>5069</v>
      </c>
      <c r="E4085" s="181"/>
      <c r="F4085" s="182"/>
      <c r="G4085" s="309" t="s">
        <v>324</v>
      </c>
      <c r="H4085" s="184" t="s">
        <v>374</v>
      </c>
      <c r="I4085" s="185"/>
      <c r="J4085" s="183"/>
      <c r="K4085" s="203">
        <v>99</v>
      </c>
      <c r="L4085" s="203">
        <v>99</v>
      </c>
      <c r="M4085" s="187"/>
      <c r="N4085" s="187">
        <v>45561</v>
      </c>
      <c r="O4085" s="186">
        <v>6502</v>
      </c>
      <c r="P4085" s="179"/>
      <c r="Q4085" s="203">
        <v>99</v>
      </c>
      <c r="R4085" s="203">
        <v>99</v>
      </c>
      <c r="S4085" s="1135">
        <v>11791</v>
      </c>
      <c r="T4085" s="1135">
        <v>11791</v>
      </c>
      <c r="U4085" s="271"/>
      <c r="V4085" s="260">
        <v>120</v>
      </c>
      <c r="W4085" s="1136">
        <f t="shared" si="325"/>
        <v>7.4915824915824918E-3</v>
      </c>
    </row>
    <row r="4086" spans="1:51" s="7" customFormat="1" ht="15">
      <c r="B4086" s="12"/>
      <c r="C4086" s="6" t="s">
        <v>5073</v>
      </c>
      <c r="D4086" s="14" t="s">
        <v>4693</v>
      </c>
      <c r="E4086" s="19" t="s">
        <v>5025</v>
      </c>
      <c r="F4086" s="24"/>
      <c r="G4086" s="22"/>
      <c r="H4086" s="60"/>
      <c r="I4086" s="61"/>
      <c r="J4086" s="60"/>
      <c r="K4086" s="16" t="s">
        <v>101</v>
      </c>
      <c r="L4086" s="33"/>
      <c r="M4086" s="33"/>
      <c r="N4086" s="33">
        <v>45569</v>
      </c>
      <c r="O4086" s="32">
        <v>6510</v>
      </c>
      <c r="P4086" s="6"/>
      <c r="Q4086" s="252"/>
      <c r="S4086" s="257"/>
      <c r="T4086" s="92"/>
      <c r="U4086" s="265"/>
      <c r="V4086" s="260"/>
    </row>
    <row r="4087" spans="1:51" s="7" customFormat="1" ht="16.899999999999999" customHeight="1">
      <c r="B4087" s="12" t="s">
        <v>302</v>
      </c>
      <c r="C4087" s="6" t="s">
        <v>5073</v>
      </c>
      <c r="D4087" s="14" t="s">
        <v>4693</v>
      </c>
      <c r="E4087" s="22">
        <v>3230</v>
      </c>
      <c r="F4087" s="37" t="s">
        <v>5026</v>
      </c>
      <c r="G4087" s="37" t="s">
        <v>5027</v>
      </c>
      <c r="H4087" s="60"/>
      <c r="I4087" s="61"/>
      <c r="J4087" s="8">
        <v>212</v>
      </c>
      <c r="K4087" s="39">
        <v>17.37</v>
      </c>
      <c r="L4087" s="39">
        <f>K4087*J4087</f>
        <v>3682.44</v>
      </c>
      <c r="M4087" s="117" t="s">
        <v>349</v>
      </c>
      <c r="N4087" s="33">
        <v>45569</v>
      </c>
      <c r="O4087" s="32">
        <v>6510</v>
      </c>
      <c r="P4087" s="391">
        <f>ROUNDUP(S4087/V4087/VLOOKUP(B4087,$C$2:$F$6,3,FALSE),2)</f>
        <v>11.84</v>
      </c>
      <c r="Q4087" s="358">
        <v>11.84</v>
      </c>
      <c r="R4087" s="322">
        <f>Q4087*J4087</f>
        <v>2510.08</v>
      </c>
      <c r="S4087" s="7">
        <v>1250</v>
      </c>
      <c r="T4087" s="7">
        <f>S4087*J4087</f>
        <v>265000</v>
      </c>
      <c r="U4087" s="267"/>
      <c r="V4087" s="260">
        <v>120</v>
      </c>
      <c r="W4087" s="1136">
        <f t="shared" ref="W4087:W4092" si="326">(((K4087*V4087)-S4087)/(K4087*V4087))</f>
        <v>0.40030704279408946</v>
      </c>
    </row>
    <row r="4088" spans="1:51" s="7" customFormat="1" ht="15">
      <c r="B4088" s="12"/>
      <c r="C4088" s="6" t="s">
        <v>5073</v>
      </c>
      <c r="D4088" s="14" t="s">
        <v>4693</v>
      </c>
      <c r="E4088" s="22"/>
      <c r="F4088" s="102"/>
      <c r="G4088" s="22" t="s">
        <v>316</v>
      </c>
      <c r="H4088" s="38"/>
      <c r="I4088" s="35"/>
      <c r="J4088" s="38">
        <v>1</v>
      </c>
      <c r="K4088" s="39">
        <v>20</v>
      </c>
      <c r="L4088" s="39">
        <v>20</v>
      </c>
      <c r="M4088" s="91"/>
      <c r="N4088" s="33">
        <v>45569</v>
      </c>
      <c r="O4088" s="32">
        <v>6510</v>
      </c>
      <c r="P4088" s="722"/>
      <c r="Q4088" s="39">
        <v>20</v>
      </c>
      <c r="R4088" s="39">
        <v>20</v>
      </c>
      <c r="S4088" s="7">
        <v>2500</v>
      </c>
      <c r="T4088" s="7">
        <f>S4088*J4088</f>
        <v>2500</v>
      </c>
      <c r="U4088" s="21"/>
      <c r="V4088" s="260">
        <v>120</v>
      </c>
      <c r="W4088" s="1136">
        <f t="shared" si="326"/>
        <v>-4.1666666666666664E-2</v>
      </c>
    </row>
    <row r="4089" spans="1:51" s="191" customFormat="1" ht="17.25">
      <c r="B4089" s="190"/>
      <c r="C4089" s="179" t="s">
        <v>5073</v>
      </c>
      <c r="D4089" s="180" t="s">
        <v>4693</v>
      </c>
      <c r="E4089" s="181"/>
      <c r="F4089" s="182"/>
      <c r="G4089" s="182" t="s">
        <v>2738</v>
      </c>
      <c r="H4089" s="184" t="s">
        <v>374</v>
      </c>
      <c r="I4089" s="185"/>
      <c r="J4089" s="183"/>
      <c r="K4089" s="203">
        <v>845</v>
      </c>
      <c r="L4089" s="203">
        <v>845</v>
      </c>
      <c r="M4089" s="187"/>
      <c r="N4089" s="187">
        <v>45569</v>
      </c>
      <c r="O4089" s="186">
        <v>6510</v>
      </c>
      <c r="P4089" s="179"/>
      <c r="Q4089" s="203">
        <v>845</v>
      </c>
      <c r="R4089" s="203">
        <v>845</v>
      </c>
      <c r="S4089" s="1135">
        <v>87503</v>
      </c>
      <c r="T4089" s="1135">
        <v>87503</v>
      </c>
      <c r="U4089" s="271"/>
      <c r="V4089" s="260">
        <v>120</v>
      </c>
      <c r="W4089" s="1136">
        <f t="shared" si="326"/>
        <v>0.13705128205128206</v>
      </c>
    </row>
    <row r="4090" spans="1:51" s="7" customFormat="1" ht="15.75">
      <c r="B4090" s="12"/>
      <c r="C4090" s="6" t="s">
        <v>5074</v>
      </c>
      <c r="D4090" s="14" t="s">
        <v>4193</v>
      </c>
      <c r="E4090" s="19" t="s">
        <v>5075</v>
      </c>
      <c r="F4090" s="24"/>
      <c r="G4090" s="22"/>
      <c r="H4090" s="60"/>
      <c r="I4090" s="61"/>
      <c r="J4090" s="60"/>
      <c r="K4090" s="16" t="s">
        <v>101</v>
      </c>
      <c r="L4090" s="33"/>
      <c r="M4090" s="117" t="s">
        <v>349</v>
      </c>
      <c r="N4090" s="33">
        <v>45576</v>
      </c>
      <c r="O4090" s="32">
        <v>6538</v>
      </c>
      <c r="P4090" s="6" t="s">
        <v>8</v>
      </c>
      <c r="Q4090" s="252"/>
      <c r="S4090" s="257"/>
      <c r="T4090" s="92"/>
      <c r="U4090" s="265"/>
      <c r="V4090" s="260">
        <v>120</v>
      </c>
      <c r="W4090" s="1136" t="e">
        <f t="shared" si="326"/>
        <v>#VALUE!</v>
      </c>
    </row>
    <row r="4091" spans="1:51" s="7" customFormat="1" ht="17.25" customHeight="1">
      <c r="B4091" s="12" t="s">
        <v>300</v>
      </c>
      <c r="C4091" s="6" t="s">
        <v>5082</v>
      </c>
      <c r="D4091" s="14" t="s">
        <v>4193</v>
      </c>
      <c r="E4091" s="19" t="s">
        <v>5032</v>
      </c>
      <c r="F4091" s="37"/>
      <c r="G4091" s="37" t="s">
        <v>5076</v>
      </c>
      <c r="H4091" s="108"/>
      <c r="I4091" s="109"/>
      <c r="J4091" s="8">
        <v>35</v>
      </c>
      <c r="K4091" s="39">
        <v>0.5</v>
      </c>
      <c r="L4091" s="39">
        <f t="shared" ref="L4091:L4097" si="327">K4091*J4091</f>
        <v>17.5</v>
      </c>
      <c r="M4091" s="117" t="s">
        <v>349</v>
      </c>
      <c r="N4091" s="33">
        <v>45576</v>
      </c>
      <c r="O4091" s="32">
        <v>6538</v>
      </c>
      <c r="P4091" s="391">
        <f t="shared" ref="P4091:P4097" si="328">ROUNDUP(S4091/V4091/VLOOKUP(B4091,$C$2:$F$6,3,FALSE),2)</f>
        <v>0.36</v>
      </c>
      <c r="Q4091" s="39">
        <v>0.36</v>
      </c>
      <c r="R4091" s="322">
        <f t="shared" ref="R4091:R4097" si="329">Q4091*J4091</f>
        <v>12.6</v>
      </c>
      <c r="S4091" s="7">
        <v>30</v>
      </c>
      <c r="T4091" s="7">
        <f t="shared" ref="T4091:T4097" si="330">S4091*J4091</f>
        <v>1050</v>
      </c>
      <c r="U4091" s="21"/>
      <c r="V4091" s="260">
        <v>120</v>
      </c>
      <c r="W4091" s="1136">
        <f t="shared" si="326"/>
        <v>0.5</v>
      </c>
    </row>
    <row r="4092" spans="1:51" s="7" customFormat="1" ht="17.25" customHeight="1">
      <c r="B4092" s="12" t="s">
        <v>300</v>
      </c>
      <c r="C4092" s="6" t="s">
        <v>5083</v>
      </c>
      <c r="D4092" s="14" t="s">
        <v>4193</v>
      </c>
      <c r="E4092" s="19" t="s">
        <v>5032</v>
      </c>
      <c r="F4092" s="37"/>
      <c r="G4092" s="37" t="s">
        <v>5076</v>
      </c>
      <c r="H4092" s="108"/>
      <c r="I4092" s="109"/>
      <c r="J4092" s="8">
        <v>5</v>
      </c>
      <c r="K4092" s="39">
        <v>0.5</v>
      </c>
      <c r="L4092" s="39">
        <f t="shared" si="327"/>
        <v>2.5</v>
      </c>
      <c r="M4092" s="117" t="s">
        <v>349</v>
      </c>
      <c r="N4092" s="33">
        <v>45576</v>
      </c>
      <c r="O4092" s="32">
        <v>6537</v>
      </c>
      <c r="P4092" s="391">
        <f t="shared" si="328"/>
        <v>0.36</v>
      </c>
      <c r="Q4092" s="39">
        <v>0.36</v>
      </c>
      <c r="R4092" s="322">
        <f t="shared" si="329"/>
        <v>1.7999999999999998</v>
      </c>
      <c r="S4092" s="7">
        <v>30</v>
      </c>
      <c r="T4092" s="7">
        <f t="shared" si="330"/>
        <v>150</v>
      </c>
      <c r="U4092" s="21"/>
      <c r="V4092" s="260">
        <v>120</v>
      </c>
      <c r="W4092" s="1136">
        <f t="shared" si="326"/>
        <v>0.5</v>
      </c>
    </row>
    <row r="4093" spans="1:51" s="7" customFormat="1" ht="17.25" customHeight="1">
      <c r="B4093" s="12" t="s">
        <v>300</v>
      </c>
      <c r="C4093" s="6" t="s">
        <v>5082</v>
      </c>
      <c r="D4093" s="14" t="s">
        <v>4193</v>
      </c>
      <c r="E4093" s="19" t="s">
        <v>5032</v>
      </c>
      <c r="F4093" s="37"/>
      <c r="G4093" s="37" t="s">
        <v>5077</v>
      </c>
      <c r="H4093" s="108"/>
      <c r="I4093" s="109"/>
      <c r="J4093" s="8">
        <v>35</v>
      </c>
      <c r="K4093" s="39">
        <v>0.5</v>
      </c>
      <c r="L4093" s="39">
        <f t="shared" si="327"/>
        <v>17.5</v>
      </c>
      <c r="M4093" s="117" t="s">
        <v>349</v>
      </c>
      <c r="N4093" s="33">
        <v>45576</v>
      </c>
      <c r="O4093" s="32">
        <v>6538</v>
      </c>
      <c r="P4093" s="391">
        <f t="shared" si="328"/>
        <v>0.36</v>
      </c>
      <c r="Q4093" s="39">
        <v>0.36</v>
      </c>
      <c r="R4093" s="322">
        <f t="shared" si="329"/>
        <v>12.6</v>
      </c>
      <c r="S4093" s="7">
        <v>30</v>
      </c>
      <c r="T4093" s="7">
        <f t="shared" si="330"/>
        <v>1050</v>
      </c>
      <c r="U4093" s="21"/>
      <c r="V4093" s="260">
        <v>120</v>
      </c>
      <c r="W4093" s="1136">
        <f t="shared" ref="W4093:W4098" si="331">(((K4093*V4093)-S4093)/(K4093*V4093))</f>
        <v>0.5</v>
      </c>
    </row>
    <row r="4094" spans="1:51" s="7" customFormat="1" ht="17.25" customHeight="1">
      <c r="B4094" s="12" t="s">
        <v>300</v>
      </c>
      <c r="C4094" s="6" t="s">
        <v>5083</v>
      </c>
      <c r="D4094" s="14" t="s">
        <v>4193</v>
      </c>
      <c r="E4094" s="19" t="s">
        <v>5032</v>
      </c>
      <c r="F4094" s="37"/>
      <c r="G4094" s="37" t="s">
        <v>5077</v>
      </c>
      <c r="H4094" s="108"/>
      <c r="I4094" s="109"/>
      <c r="J4094" s="8">
        <v>5</v>
      </c>
      <c r="K4094" s="39">
        <v>0.5</v>
      </c>
      <c r="L4094" s="39">
        <f t="shared" si="327"/>
        <v>2.5</v>
      </c>
      <c r="M4094" s="117" t="s">
        <v>349</v>
      </c>
      <c r="N4094" s="33">
        <v>45576</v>
      </c>
      <c r="O4094" s="32">
        <v>6537</v>
      </c>
      <c r="P4094" s="391">
        <f t="shared" si="328"/>
        <v>0.36</v>
      </c>
      <c r="Q4094" s="39">
        <v>0.36</v>
      </c>
      <c r="R4094" s="322">
        <f t="shared" si="329"/>
        <v>1.7999999999999998</v>
      </c>
      <c r="S4094" s="7">
        <v>30</v>
      </c>
      <c r="T4094" s="7">
        <f t="shared" si="330"/>
        <v>150</v>
      </c>
      <c r="U4094" s="21"/>
      <c r="V4094" s="260">
        <v>120</v>
      </c>
      <c r="W4094" s="1136">
        <f>(((K4094*V4094)-S4094)/(K4094*V4094))</f>
        <v>0.5</v>
      </c>
    </row>
    <row r="4095" spans="1:51" s="7" customFormat="1" ht="17.25" customHeight="1">
      <c r="B4095" s="12" t="s">
        <v>300</v>
      </c>
      <c r="C4095" s="6" t="s">
        <v>5082</v>
      </c>
      <c r="D4095" s="14" t="s">
        <v>4193</v>
      </c>
      <c r="E4095" s="19" t="s">
        <v>5032</v>
      </c>
      <c r="F4095" s="37"/>
      <c r="G4095" s="37" t="s">
        <v>5078</v>
      </c>
      <c r="H4095" s="108"/>
      <c r="I4095" s="109"/>
      <c r="J4095" s="8">
        <v>35</v>
      </c>
      <c r="K4095" s="39">
        <v>0.5</v>
      </c>
      <c r="L4095" s="39">
        <f t="shared" si="327"/>
        <v>17.5</v>
      </c>
      <c r="M4095" s="117" t="s">
        <v>349</v>
      </c>
      <c r="N4095" s="33">
        <v>45576</v>
      </c>
      <c r="O4095" s="32">
        <v>6538</v>
      </c>
      <c r="P4095" s="391">
        <f t="shared" si="328"/>
        <v>0.36</v>
      </c>
      <c r="Q4095" s="39">
        <v>0.36</v>
      </c>
      <c r="R4095" s="322">
        <f t="shared" si="329"/>
        <v>12.6</v>
      </c>
      <c r="S4095" s="7">
        <v>30</v>
      </c>
      <c r="T4095" s="7">
        <f t="shared" si="330"/>
        <v>1050</v>
      </c>
      <c r="U4095" s="21"/>
      <c r="V4095" s="260">
        <v>120</v>
      </c>
      <c r="W4095" s="1136">
        <f t="shared" si="331"/>
        <v>0.5</v>
      </c>
    </row>
    <row r="4096" spans="1:51" s="7" customFormat="1" ht="17.25" customHeight="1">
      <c r="B4096" s="12" t="s">
        <v>300</v>
      </c>
      <c r="C4096" s="6" t="s">
        <v>5083</v>
      </c>
      <c r="D4096" s="14" t="s">
        <v>4193</v>
      </c>
      <c r="E4096" s="19" t="s">
        <v>5032</v>
      </c>
      <c r="F4096" s="37"/>
      <c r="G4096" s="37" t="s">
        <v>5078</v>
      </c>
      <c r="H4096" s="108"/>
      <c r="I4096" s="109"/>
      <c r="J4096" s="8">
        <v>5</v>
      </c>
      <c r="K4096" s="39">
        <v>0.5</v>
      </c>
      <c r="L4096" s="39">
        <f t="shared" si="327"/>
        <v>2.5</v>
      </c>
      <c r="M4096" s="117" t="s">
        <v>349</v>
      </c>
      <c r="N4096" s="33">
        <v>45576</v>
      </c>
      <c r="O4096" s="32">
        <v>6537</v>
      </c>
      <c r="P4096" s="391">
        <f t="shared" si="328"/>
        <v>0.36</v>
      </c>
      <c r="Q4096" s="39">
        <v>0.36</v>
      </c>
      <c r="R4096" s="322">
        <f t="shared" si="329"/>
        <v>1.7999999999999998</v>
      </c>
      <c r="S4096" s="7">
        <v>30</v>
      </c>
      <c r="T4096" s="7">
        <f t="shared" si="330"/>
        <v>150</v>
      </c>
      <c r="U4096" s="21"/>
      <c r="V4096" s="260">
        <v>120</v>
      </c>
      <c r="W4096" s="1136">
        <f>(((K4096*V4096)-S4096)/(K4096*V4096))</f>
        <v>0.5</v>
      </c>
    </row>
    <row r="4097" spans="2:23" s="7" customFormat="1" ht="17.25" customHeight="1">
      <c r="B4097" s="12" t="s">
        <v>306</v>
      </c>
      <c r="C4097" s="6" t="s">
        <v>5074</v>
      </c>
      <c r="D4097" s="14" t="s">
        <v>4193</v>
      </c>
      <c r="E4097" s="19" t="s">
        <v>5032</v>
      </c>
      <c r="F4097" s="37"/>
      <c r="G4097" s="37" t="s">
        <v>5079</v>
      </c>
      <c r="H4097" s="108"/>
      <c r="I4097" s="109"/>
      <c r="J4097" s="38">
        <v>3</v>
      </c>
      <c r="K4097" s="39">
        <v>95</v>
      </c>
      <c r="L4097" s="39">
        <f t="shared" si="327"/>
        <v>285</v>
      </c>
      <c r="M4097" s="117" t="s">
        <v>349</v>
      </c>
      <c r="N4097" s="33">
        <v>45576</v>
      </c>
      <c r="O4097" s="32">
        <v>6537</v>
      </c>
      <c r="P4097" s="391">
        <f t="shared" si="328"/>
        <v>56.82</v>
      </c>
      <c r="Q4097" s="39">
        <v>56.82</v>
      </c>
      <c r="R4097" s="322">
        <f t="shared" si="329"/>
        <v>170.46</v>
      </c>
      <c r="S4097" s="7">
        <v>6000</v>
      </c>
      <c r="T4097" s="7">
        <f t="shared" si="330"/>
        <v>18000</v>
      </c>
      <c r="U4097" s="21"/>
      <c r="V4097" s="260">
        <v>120</v>
      </c>
      <c r="W4097" s="1136">
        <f t="shared" si="331"/>
        <v>0.47368421052631576</v>
      </c>
    </row>
    <row r="4098" spans="2:23" s="7" customFormat="1" ht="15.75">
      <c r="B4098" s="12"/>
      <c r="C4098" s="6" t="s">
        <v>5080</v>
      </c>
      <c r="D4098" s="14" t="s">
        <v>4193</v>
      </c>
      <c r="E4098" s="19" t="s">
        <v>5075</v>
      </c>
      <c r="F4098" s="24"/>
      <c r="G4098" s="22"/>
      <c r="H4098" s="60"/>
      <c r="I4098" s="61"/>
      <c r="J4098" s="60"/>
      <c r="K4098" s="16" t="s">
        <v>101</v>
      </c>
      <c r="L4098" s="33"/>
      <c r="M4098" s="117" t="s">
        <v>349</v>
      </c>
      <c r="N4098" s="33">
        <v>45576</v>
      </c>
      <c r="O4098" s="32">
        <v>6538</v>
      </c>
      <c r="P4098" s="6" t="s">
        <v>8</v>
      </c>
      <c r="Q4098" s="252"/>
      <c r="S4098" s="257"/>
      <c r="T4098" s="92"/>
      <c r="U4098" s="265"/>
      <c r="V4098" s="260">
        <v>120</v>
      </c>
      <c r="W4098" s="1136" t="e">
        <f t="shared" si="331"/>
        <v>#VALUE!</v>
      </c>
    </row>
    <row r="4099" spans="2:23" s="7" customFormat="1" ht="17.25" customHeight="1">
      <c r="B4099" s="12" t="s">
        <v>300</v>
      </c>
      <c r="C4099" s="6" t="s">
        <v>5084</v>
      </c>
      <c r="D4099" s="14" t="s">
        <v>4193</v>
      </c>
      <c r="E4099" s="19" t="s">
        <v>5034</v>
      </c>
      <c r="F4099" s="37"/>
      <c r="G4099" s="37" t="s">
        <v>5076</v>
      </c>
      <c r="H4099" s="108"/>
      <c r="I4099" s="109"/>
      <c r="J4099" s="8">
        <v>30</v>
      </c>
      <c r="K4099" s="39">
        <v>0.95</v>
      </c>
      <c r="L4099" s="39">
        <f>K4099*J4099</f>
        <v>28.5</v>
      </c>
      <c r="M4099" s="117" t="s">
        <v>349</v>
      </c>
      <c r="N4099" s="33">
        <v>45576</v>
      </c>
      <c r="O4099" s="32">
        <v>6538</v>
      </c>
      <c r="P4099" s="391">
        <f>ROUNDUP(S4099/V4099/VLOOKUP(B4099,$C$2:$F$6,3,FALSE),2)</f>
        <v>0.68</v>
      </c>
      <c r="Q4099" s="39">
        <v>0.68</v>
      </c>
      <c r="R4099" s="322">
        <f>Q4099*J4099</f>
        <v>20.400000000000002</v>
      </c>
      <c r="S4099" s="7">
        <v>57</v>
      </c>
      <c r="T4099" s="7">
        <f>S4099*J4099</f>
        <v>1710</v>
      </c>
      <c r="U4099" s="21"/>
      <c r="V4099" s="260">
        <v>120</v>
      </c>
      <c r="W4099" s="1136">
        <f>(((K4099*V4099)-S4099)/(K4099*V4099))</f>
        <v>0.5</v>
      </c>
    </row>
    <row r="4100" spans="2:23" s="7" customFormat="1" ht="17.25" customHeight="1">
      <c r="B4100" s="12" t="s">
        <v>300</v>
      </c>
      <c r="C4100" s="6" t="s">
        <v>5085</v>
      </c>
      <c r="D4100" s="14" t="s">
        <v>4193</v>
      </c>
      <c r="E4100" s="19" t="s">
        <v>5034</v>
      </c>
      <c r="F4100" s="37"/>
      <c r="G4100" s="37" t="s">
        <v>5076</v>
      </c>
      <c r="H4100" s="108"/>
      <c r="I4100" s="109"/>
      <c r="J4100" s="8">
        <v>5</v>
      </c>
      <c r="K4100" s="39">
        <v>0.95</v>
      </c>
      <c r="L4100" s="39">
        <f t="shared" ref="L4100:L4105" si="332">K4100*J4100</f>
        <v>4.75</v>
      </c>
      <c r="M4100" s="117" t="s">
        <v>349</v>
      </c>
      <c r="N4100" s="33">
        <v>45576</v>
      </c>
      <c r="O4100" s="32">
        <v>6537</v>
      </c>
      <c r="P4100" s="391">
        <f t="shared" ref="P4100:P4105" si="333">ROUNDUP(S4100/V4100/VLOOKUP(B4100,$C$2:$F$6,3,FALSE),2)</f>
        <v>0.68</v>
      </c>
      <c r="Q4100" s="39">
        <v>0.68</v>
      </c>
      <c r="R4100" s="322">
        <f t="shared" ref="R4100:R4105" si="334">Q4100*J4100</f>
        <v>3.4000000000000004</v>
      </c>
      <c r="S4100" s="7">
        <v>57</v>
      </c>
      <c r="T4100" s="7">
        <f t="shared" ref="T4100:T4105" si="335">S4100*J4100</f>
        <v>285</v>
      </c>
      <c r="U4100" s="21"/>
      <c r="V4100" s="260">
        <v>120</v>
      </c>
      <c r="W4100" s="1136">
        <f t="shared" ref="W4100:W4105" si="336">(((K4100*V4100)-S4100)/(K4100*V4100))</f>
        <v>0.5</v>
      </c>
    </row>
    <row r="4101" spans="2:23" s="7" customFormat="1" ht="17.25" customHeight="1">
      <c r="B4101" s="12" t="s">
        <v>300</v>
      </c>
      <c r="C4101" s="6" t="s">
        <v>5084</v>
      </c>
      <c r="D4101" s="14" t="s">
        <v>4193</v>
      </c>
      <c r="E4101" s="19" t="s">
        <v>5034</v>
      </c>
      <c r="F4101" s="37"/>
      <c r="G4101" s="37" t="s">
        <v>5077</v>
      </c>
      <c r="H4101" s="108"/>
      <c r="I4101" s="109"/>
      <c r="J4101" s="8">
        <v>30</v>
      </c>
      <c r="K4101" s="39">
        <v>0.95</v>
      </c>
      <c r="L4101" s="39">
        <f t="shared" si="332"/>
        <v>28.5</v>
      </c>
      <c r="M4101" s="117" t="s">
        <v>349</v>
      </c>
      <c r="N4101" s="33">
        <v>45576</v>
      </c>
      <c r="O4101" s="32">
        <v>6538</v>
      </c>
      <c r="P4101" s="391">
        <f t="shared" si="333"/>
        <v>0.68</v>
      </c>
      <c r="Q4101" s="39">
        <v>0.68</v>
      </c>
      <c r="R4101" s="322">
        <f t="shared" si="334"/>
        <v>20.400000000000002</v>
      </c>
      <c r="S4101" s="7">
        <v>57</v>
      </c>
      <c r="T4101" s="7">
        <f t="shared" si="335"/>
        <v>1710</v>
      </c>
      <c r="U4101" s="21"/>
      <c r="V4101" s="260">
        <v>120</v>
      </c>
      <c r="W4101" s="1136">
        <f t="shared" si="336"/>
        <v>0.5</v>
      </c>
    </row>
    <row r="4102" spans="2:23" s="7" customFormat="1" ht="17.25" customHeight="1">
      <c r="B4102" s="12" t="s">
        <v>300</v>
      </c>
      <c r="C4102" s="6" t="s">
        <v>5085</v>
      </c>
      <c r="D4102" s="14" t="s">
        <v>4193</v>
      </c>
      <c r="E4102" s="19" t="s">
        <v>5034</v>
      </c>
      <c r="F4102" s="37"/>
      <c r="G4102" s="37" t="s">
        <v>5077</v>
      </c>
      <c r="H4102" s="108"/>
      <c r="I4102" s="109"/>
      <c r="J4102" s="8">
        <v>5</v>
      </c>
      <c r="K4102" s="39">
        <v>0.95</v>
      </c>
      <c r="L4102" s="39">
        <f t="shared" si="332"/>
        <v>4.75</v>
      </c>
      <c r="M4102" s="117" t="s">
        <v>349</v>
      </c>
      <c r="N4102" s="33">
        <v>45576</v>
      </c>
      <c r="O4102" s="32">
        <v>6537</v>
      </c>
      <c r="P4102" s="391">
        <f t="shared" si="333"/>
        <v>0.68</v>
      </c>
      <c r="Q4102" s="39">
        <v>0.68</v>
      </c>
      <c r="R4102" s="322">
        <f t="shared" si="334"/>
        <v>3.4000000000000004</v>
      </c>
      <c r="S4102" s="7">
        <v>57</v>
      </c>
      <c r="T4102" s="7">
        <f t="shared" si="335"/>
        <v>285</v>
      </c>
      <c r="U4102" s="21"/>
      <c r="V4102" s="260">
        <v>120</v>
      </c>
      <c r="W4102" s="1136">
        <f t="shared" si="336"/>
        <v>0.5</v>
      </c>
    </row>
    <row r="4103" spans="2:23" s="7" customFormat="1" ht="17.25" customHeight="1">
      <c r="B4103" s="12" t="s">
        <v>300</v>
      </c>
      <c r="C4103" s="6" t="s">
        <v>5084</v>
      </c>
      <c r="D4103" s="14" t="s">
        <v>4193</v>
      </c>
      <c r="E4103" s="19" t="s">
        <v>5034</v>
      </c>
      <c r="F4103" s="37"/>
      <c r="G4103" s="37" t="s">
        <v>5078</v>
      </c>
      <c r="H4103" s="108"/>
      <c r="I4103" s="109"/>
      <c r="J4103" s="8">
        <v>30</v>
      </c>
      <c r="K4103" s="39">
        <v>0.95</v>
      </c>
      <c r="L4103" s="39">
        <f t="shared" si="332"/>
        <v>28.5</v>
      </c>
      <c r="M4103" s="117" t="s">
        <v>349</v>
      </c>
      <c r="N4103" s="33">
        <v>45576</v>
      </c>
      <c r="O4103" s="32">
        <v>6538</v>
      </c>
      <c r="P4103" s="391">
        <f t="shared" si="333"/>
        <v>0.68</v>
      </c>
      <c r="Q4103" s="39">
        <v>0.68</v>
      </c>
      <c r="R4103" s="322">
        <f t="shared" si="334"/>
        <v>20.400000000000002</v>
      </c>
      <c r="S4103" s="7">
        <v>57</v>
      </c>
      <c r="T4103" s="7">
        <f t="shared" si="335"/>
        <v>1710</v>
      </c>
      <c r="U4103" s="21"/>
      <c r="V4103" s="260">
        <v>120</v>
      </c>
      <c r="W4103" s="1136">
        <f t="shared" si="336"/>
        <v>0.5</v>
      </c>
    </row>
    <row r="4104" spans="2:23" s="7" customFormat="1" ht="17.25" customHeight="1">
      <c r="B4104" s="12" t="s">
        <v>300</v>
      </c>
      <c r="C4104" s="6" t="s">
        <v>5085</v>
      </c>
      <c r="D4104" s="14" t="s">
        <v>4193</v>
      </c>
      <c r="E4104" s="19" t="s">
        <v>5034</v>
      </c>
      <c r="F4104" s="37"/>
      <c r="G4104" s="37" t="s">
        <v>5078</v>
      </c>
      <c r="H4104" s="108"/>
      <c r="I4104" s="109"/>
      <c r="J4104" s="8">
        <v>5</v>
      </c>
      <c r="K4104" s="39">
        <v>0.95</v>
      </c>
      <c r="L4104" s="39">
        <f t="shared" si="332"/>
        <v>4.75</v>
      </c>
      <c r="M4104" s="117" t="s">
        <v>349</v>
      </c>
      <c r="N4104" s="33">
        <v>45576</v>
      </c>
      <c r="O4104" s="32">
        <v>6537</v>
      </c>
      <c r="P4104" s="391">
        <f t="shared" si="333"/>
        <v>0.68</v>
      </c>
      <c r="Q4104" s="39">
        <v>0.68</v>
      </c>
      <c r="R4104" s="322">
        <f t="shared" si="334"/>
        <v>3.4000000000000004</v>
      </c>
      <c r="S4104" s="7">
        <v>57</v>
      </c>
      <c r="T4104" s="7">
        <f t="shared" si="335"/>
        <v>285</v>
      </c>
      <c r="U4104" s="21"/>
      <c r="V4104" s="260">
        <v>120</v>
      </c>
      <c r="W4104" s="1136">
        <f t="shared" si="336"/>
        <v>0.5</v>
      </c>
    </row>
    <row r="4105" spans="2:23" s="7" customFormat="1" ht="17.25" customHeight="1">
      <c r="B4105" s="12" t="s">
        <v>306</v>
      </c>
      <c r="C4105" s="6" t="s">
        <v>5080</v>
      </c>
      <c r="D4105" s="14" t="s">
        <v>4193</v>
      </c>
      <c r="E4105" s="19" t="s">
        <v>5034</v>
      </c>
      <c r="F4105" s="37"/>
      <c r="G4105" s="37" t="s">
        <v>5081</v>
      </c>
      <c r="H4105" s="108"/>
      <c r="I4105" s="109"/>
      <c r="J4105" s="38">
        <v>3</v>
      </c>
      <c r="K4105" s="39">
        <v>95</v>
      </c>
      <c r="L4105" s="39">
        <f t="shared" si="332"/>
        <v>285</v>
      </c>
      <c r="M4105" s="117" t="s">
        <v>349</v>
      </c>
      <c r="N4105" s="33">
        <v>45576</v>
      </c>
      <c r="O4105" s="32">
        <v>6537</v>
      </c>
      <c r="P4105" s="391">
        <f t="shared" si="333"/>
        <v>56.82</v>
      </c>
      <c r="Q4105" s="39">
        <v>56.82</v>
      </c>
      <c r="R4105" s="322">
        <f t="shared" si="334"/>
        <v>170.46</v>
      </c>
      <c r="S4105" s="7">
        <v>6000</v>
      </c>
      <c r="T4105" s="7">
        <f t="shared" si="335"/>
        <v>18000</v>
      </c>
      <c r="U4105" s="21"/>
      <c r="V4105" s="260">
        <v>120</v>
      </c>
      <c r="W4105" s="1136">
        <f t="shared" si="336"/>
        <v>0.47368421052631576</v>
      </c>
    </row>
    <row r="4106" spans="2:23" s="7" customFormat="1" ht="18" customHeight="1">
      <c r="B4106" s="12"/>
      <c r="C4106" s="6" t="s">
        <v>5080</v>
      </c>
      <c r="D4106" s="14" t="s">
        <v>4193</v>
      </c>
      <c r="E4106" s="22"/>
      <c r="F4106" s="102"/>
      <c r="G4106" s="22" t="s">
        <v>316</v>
      </c>
      <c r="H4106" s="8"/>
      <c r="I4106" s="35"/>
      <c r="J4106" s="38">
        <v>1</v>
      </c>
      <c r="K4106" s="39">
        <v>12</v>
      </c>
      <c r="L4106" s="39">
        <f>K4106*J4106</f>
        <v>12</v>
      </c>
      <c r="M4106" s="117" t="s">
        <v>349</v>
      </c>
      <c r="N4106" s="33">
        <v>45576</v>
      </c>
      <c r="O4106" s="32">
        <v>6537</v>
      </c>
      <c r="P4106" s="6" t="s">
        <v>3</v>
      </c>
      <c r="Q4106" s="39">
        <v>12</v>
      </c>
      <c r="R4106" s="322">
        <f>Q4106*J4106</f>
        <v>12</v>
      </c>
      <c r="S4106" s="7">
        <v>0</v>
      </c>
      <c r="T4106" s="7">
        <v>0</v>
      </c>
      <c r="U4106" s="21"/>
      <c r="V4106" s="260">
        <v>120</v>
      </c>
      <c r="W4106" s="1136">
        <f t="shared" ref="W4106:W4113" si="337">(((K4106*V4106)-S4106)/(K4106*V4106))</f>
        <v>1</v>
      </c>
    </row>
    <row r="4107" spans="2:23" s="191" customFormat="1" ht="18" customHeight="1">
      <c r="B4107" s="190"/>
      <c r="C4107" s="179" t="s">
        <v>5080</v>
      </c>
      <c r="D4107" s="180" t="s">
        <v>4193</v>
      </c>
      <c r="E4107" s="217"/>
      <c r="F4107" s="182"/>
      <c r="G4107" s="182" t="s">
        <v>250</v>
      </c>
      <c r="H4107" s="184" t="s">
        <v>251</v>
      </c>
      <c r="I4107" s="185"/>
      <c r="J4107" s="183"/>
      <c r="K4107" s="192">
        <v>0</v>
      </c>
      <c r="L4107" s="187"/>
      <c r="M4107" s="1310" t="s">
        <v>349</v>
      </c>
      <c r="N4107" s="187">
        <v>45576</v>
      </c>
      <c r="O4107" s="186">
        <v>6537</v>
      </c>
      <c r="P4107" s="179"/>
      <c r="Q4107" s="255">
        <v>0</v>
      </c>
      <c r="R4107" s="322">
        <v>0</v>
      </c>
      <c r="S4107" s="275">
        <v>0</v>
      </c>
      <c r="T4107" s="198">
        <v>0</v>
      </c>
      <c r="U4107" s="271"/>
      <c r="V4107" s="260">
        <v>120</v>
      </c>
      <c r="W4107" s="1136" t="e">
        <f t="shared" si="337"/>
        <v>#DIV/0!</v>
      </c>
    </row>
    <row r="4108" spans="2:23" s="7" customFormat="1" ht="18" customHeight="1">
      <c r="B4108" s="12"/>
      <c r="C4108" s="6" t="s">
        <v>5101</v>
      </c>
      <c r="D4108" s="14" t="s">
        <v>4193</v>
      </c>
      <c r="E4108" s="17" t="s">
        <v>160</v>
      </c>
      <c r="F4108" s="319"/>
      <c r="G4108" s="299"/>
      <c r="H4108" s="300" t="s">
        <v>355</v>
      </c>
      <c r="I4108" s="320"/>
      <c r="J4108" s="321"/>
      <c r="K4108" s="110" t="s">
        <v>101</v>
      </c>
      <c r="L4108" s="139"/>
      <c r="M4108" s="33"/>
      <c r="N4108" s="33">
        <v>45572</v>
      </c>
      <c r="O4108" s="32">
        <v>6518</v>
      </c>
      <c r="P4108" s="6"/>
      <c r="Q4108" s="322"/>
      <c r="U4108" s="39"/>
      <c r="V4108" s="260">
        <v>120</v>
      </c>
      <c r="W4108" s="1136" t="e">
        <f t="shared" si="337"/>
        <v>#VALUE!</v>
      </c>
    </row>
    <row r="4109" spans="2:23" s="7" customFormat="1" ht="18" customHeight="1">
      <c r="B4109" s="12" t="s">
        <v>300</v>
      </c>
      <c r="C4109" s="6" t="s">
        <v>5101</v>
      </c>
      <c r="D4109" s="14" t="s">
        <v>4193</v>
      </c>
      <c r="E4109" s="22">
        <v>14552</v>
      </c>
      <c r="F4109" s="24">
        <v>15</v>
      </c>
      <c r="G4109" s="22" t="s">
        <v>5086</v>
      </c>
      <c r="H4109" s="108">
        <v>30</v>
      </c>
      <c r="I4109" s="109">
        <v>1</v>
      </c>
      <c r="J4109" s="8">
        <f>H4109*I4109</f>
        <v>30</v>
      </c>
      <c r="K4109" s="39">
        <v>0.83</v>
      </c>
      <c r="L4109" s="39">
        <f>K4109*J4109</f>
        <v>24.9</v>
      </c>
      <c r="M4109" s="117" t="s">
        <v>323</v>
      </c>
      <c r="N4109" s="33">
        <v>45572</v>
      </c>
      <c r="O4109" s="32">
        <v>6518</v>
      </c>
      <c r="P4109" s="391">
        <f>ROUNDUP(S4109/V4109/VLOOKUP(B4109,$C$2:$F$6,3,FALSE),2)</f>
        <v>0.6</v>
      </c>
      <c r="Q4109" s="358">
        <v>0.6</v>
      </c>
      <c r="R4109" s="322">
        <f>Q4109*J4109</f>
        <v>18</v>
      </c>
      <c r="S4109" s="7">
        <v>50</v>
      </c>
      <c r="T4109" s="7">
        <f>S4109*J4109</f>
        <v>1500</v>
      </c>
      <c r="U4109" s="267"/>
      <c r="V4109" s="260">
        <v>120</v>
      </c>
      <c r="W4109" s="1136">
        <f t="shared" si="337"/>
        <v>0.49799196787148592</v>
      </c>
    </row>
    <row r="4110" spans="2:23" s="7" customFormat="1" ht="18" customHeight="1">
      <c r="B4110" s="12"/>
      <c r="C4110" s="6" t="s">
        <v>5096</v>
      </c>
      <c r="D4110" s="14" t="s">
        <v>4193</v>
      </c>
      <c r="E4110" s="17" t="s">
        <v>160</v>
      </c>
      <c r="F4110" s="319"/>
      <c r="G4110" s="299"/>
      <c r="H4110" s="300" t="s">
        <v>355</v>
      </c>
      <c r="I4110" s="320"/>
      <c r="J4110" s="321"/>
      <c r="K4110" s="110" t="s">
        <v>101</v>
      </c>
      <c r="L4110" s="139"/>
      <c r="M4110" s="33"/>
      <c r="N4110" s="33">
        <v>45572</v>
      </c>
      <c r="O4110" s="32">
        <v>6518</v>
      </c>
      <c r="P4110" s="6"/>
      <c r="Q4110" s="322"/>
      <c r="U4110" s="39"/>
      <c r="V4110" s="260">
        <v>120</v>
      </c>
      <c r="W4110" s="1136" t="e">
        <f t="shared" si="337"/>
        <v>#VALUE!</v>
      </c>
    </row>
    <row r="4111" spans="2:23" s="7" customFormat="1" ht="18" customHeight="1">
      <c r="B4111" s="12" t="s">
        <v>300</v>
      </c>
      <c r="C4111" s="6" t="s">
        <v>5096</v>
      </c>
      <c r="D4111" s="14" t="s">
        <v>4193</v>
      </c>
      <c r="E4111" s="22">
        <v>14552</v>
      </c>
      <c r="F4111" s="24">
        <v>7</v>
      </c>
      <c r="G4111" s="22" t="s">
        <v>5088</v>
      </c>
      <c r="H4111" s="108">
        <v>30</v>
      </c>
      <c r="I4111" s="109">
        <v>1</v>
      </c>
      <c r="J4111" s="8">
        <f>H4111*I4111</f>
        <v>30</v>
      </c>
      <c r="K4111" s="39">
        <v>0.62</v>
      </c>
      <c r="L4111" s="39">
        <f>K4111*J4111</f>
        <v>18.600000000000001</v>
      </c>
      <c r="M4111" s="117" t="s">
        <v>323</v>
      </c>
      <c r="N4111" s="33">
        <v>45572</v>
      </c>
      <c r="O4111" s="32">
        <v>6518</v>
      </c>
      <c r="P4111" s="391">
        <f>ROUNDUP(S4111/V4111/VLOOKUP(B4111,$C$2:$F$6,3,FALSE),2)</f>
        <v>0.45</v>
      </c>
      <c r="Q4111" s="358">
        <v>0.45</v>
      </c>
      <c r="R4111" s="322">
        <f>Q4111*J4111</f>
        <v>13.5</v>
      </c>
      <c r="S4111" s="7">
        <v>37</v>
      </c>
      <c r="T4111" s="7">
        <f>S4111*J4111</f>
        <v>1110</v>
      </c>
      <c r="U4111" s="267"/>
      <c r="V4111" s="260">
        <v>120</v>
      </c>
      <c r="W4111" s="1136">
        <f t="shared" si="337"/>
        <v>0.50268817204301075</v>
      </c>
    </row>
    <row r="4112" spans="2:23" s="7" customFormat="1" ht="18" customHeight="1">
      <c r="B4112" s="12"/>
      <c r="C4112" s="6" t="s">
        <v>5097</v>
      </c>
      <c r="D4112" s="14" t="s">
        <v>4193</v>
      </c>
      <c r="E4112" s="17" t="s">
        <v>160</v>
      </c>
      <c r="F4112" s="319"/>
      <c r="G4112" s="299"/>
      <c r="H4112" s="300" t="s">
        <v>355</v>
      </c>
      <c r="I4112" s="320"/>
      <c r="J4112" s="321"/>
      <c r="K4112" s="110" t="s">
        <v>101</v>
      </c>
      <c r="L4112" s="139"/>
      <c r="M4112" s="33"/>
      <c r="N4112" s="33">
        <v>45574</v>
      </c>
      <c r="O4112" s="32">
        <v>6519</v>
      </c>
      <c r="P4112" s="6"/>
      <c r="Q4112" s="322"/>
      <c r="U4112" s="39"/>
      <c r="V4112" s="260">
        <v>120</v>
      </c>
      <c r="W4112" s="1136" t="e">
        <f t="shared" si="337"/>
        <v>#VALUE!</v>
      </c>
    </row>
    <row r="4113" spans="2:23" s="7" customFormat="1" ht="18" customHeight="1">
      <c r="B4113" s="12" t="s">
        <v>300</v>
      </c>
      <c r="C4113" s="6" t="s">
        <v>5097</v>
      </c>
      <c r="D4113" s="14" t="s">
        <v>4193</v>
      </c>
      <c r="E4113" s="22">
        <v>14552</v>
      </c>
      <c r="F4113" s="24">
        <v>10</v>
      </c>
      <c r="G4113" s="22" t="s">
        <v>5088</v>
      </c>
      <c r="H4113" s="108">
        <v>30</v>
      </c>
      <c r="I4113" s="109">
        <v>1</v>
      </c>
      <c r="J4113" s="8">
        <f>H4113*I4113</f>
        <v>30</v>
      </c>
      <c r="K4113" s="39">
        <v>0.68</v>
      </c>
      <c r="L4113" s="39">
        <f>K4113*J4113</f>
        <v>20.400000000000002</v>
      </c>
      <c r="M4113" s="117" t="s">
        <v>323</v>
      </c>
      <c r="N4113" s="33">
        <v>45574</v>
      </c>
      <c r="O4113" s="32">
        <v>6519</v>
      </c>
      <c r="P4113" s="391">
        <f>ROUNDUP(S4113/V4113/VLOOKUP(B4113,$C$2:$F$6,3,FALSE),2)</f>
        <v>0.49</v>
      </c>
      <c r="Q4113" s="358">
        <v>0.49</v>
      </c>
      <c r="R4113" s="322">
        <f>Q4113*J4113</f>
        <v>14.7</v>
      </c>
      <c r="S4113" s="7">
        <v>41</v>
      </c>
      <c r="T4113" s="7">
        <f>S4113*J4113</f>
        <v>1230</v>
      </c>
      <c r="U4113" s="267"/>
      <c r="V4113" s="260">
        <v>120</v>
      </c>
      <c r="W4113" s="1136">
        <f t="shared" si="337"/>
        <v>0.4975490196078432</v>
      </c>
    </row>
    <row r="4114" spans="2:23" s="7" customFormat="1" ht="18" customHeight="1">
      <c r="B4114" s="12"/>
      <c r="C4114" s="6" t="s">
        <v>5098</v>
      </c>
      <c r="D4114" s="14" t="s">
        <v>4193</v>
      </c>
      <c r="E4114" s="19" t="s">
        <v>4645</v>
      </c>
      <c r="F4114" s="22"/>
      <c r="G4114" s="37"/>
      <c r="H4114" s="108"/>
      <c r="I4114" s="108"/>
      <c r="J4114" s="108"/>
      <c r="K4114" s="110" t="s">
        <v>5</v>
      </c>
      <c r="L4114" s="33"/>
      <c r="M4114" s="33"/>
      <c r="N4114" s="33">
        <v>45574</v>
      </c>
      <c r="O4114" s="32">
        <v>6519</v>
      </c>
      <c r="P4114" s="6"/>
      <c r="Q4114" s="223"/>
      <c r="S4114" s="1174" t="s">
        <v>330</v>
      </c>
      <c r="T4114" s="92"/>
      <c r="U4114" s="1315" t="s">
        <v>5095</v>
      </c>
      <c r="V4114" s="260">
        <v>120</v>
      </c>
    </row>
    <row r="4115" spans="2:23" s="7" customFormat="1" ht="15.95" customHeight="1">
      <c r="B4115" s="12" t="s">
        <v>300</v>
      </c>
      <c r="C4115" s="6" t="s">
        <v>5098</v>
      </c>
      <c r="D4115" s="14" t="s">
        <v>4193</v>
      </c>
      <c r="E4115" s="22" t="s">
        <v>4934</v>
      </c>
      <c r="F4115" s="37">
        <v>25</v>
      </c>
      <c r="G4115" s="37" t="s">
        <v>5089</v>
      </c>
      <c r="H4115" s="60">
        <v>30</v>
      </c>
      <c r="I4115" s="61">
        <v>1</v>
      </c>
      <c r="J4115" s="60">
        <f>H4115*I4115</f>
        <v>30</v>
      </c>
      <c r="K4115" s="39">
        <v>0.72</v>
      </c>
      <c r="L4115" s="39">
        <f>K4115*J4115</f>
        <v>21.599999999999998</v>
      </c>
      <c r="M4115" s="117" t="s">
        <v>323</v>
      </c>
      <c r="N4115" s="33">
        <v>45574</v>
      </c>
      <c r="O4115" s="32">
        <v>6519</v>
      </c>
      <c r="P4115" s="391">
        <f>ROUNDUP(S4115/V4115/VLOOKUP(B4115,$C$2:$F$6,3,FALSE),2)</f>
        <v>0.42</v>
      </c>
      <c r="Q4115" s="254">
        <v>0.42</v>
      </c>
      <c r="R4115" s="323">
        <f>Q4115*J4115</f>
        <v>12.6</v>
      </c>
      <c r="S4115" s="1200">
        <v>35.167000000000002</v>
      </c>
      <c r="T4115" s="92">
        <f>S4115*J4115</f>
        <v>1055.01</v>
      </c>
      <c r="U4115" s="1200">
        <v>38.700000000000003</v>
      </c>
      <c r="V4115" s="260">
        <v>120</v>
      </c>
      <c r="W4115" s="1136">
        <f t="shared" ref="W4115:W4120" si="338">(((K4115*V4115)-S4115)/(K4115*V4115))</f>
        <v>0.59297453703703695</v>
      </c>
    </row>
    <row r="4116" spans="2:23" s="7" customFormat="1" ht="15.95" customHeight="1">
      <c r="B4116" s="12" t="s">
        <v>300</v>
      </c>
      <c r="C4116" s="6" t="s">
        <v>5098</v>
      </c>
      <c r="D4116" s="14" t="s">
        <v>4193</v>
      </c>
      <c r="E4116" s="22" t="s">
        <v>4934</v>
      </c>
      <c r="F4116" s="37">
        <v>25</v>
      </c>
      <c r="G4116" s="37" t="s">
        <v>5090</v>
      </c>
      <c r="H4116" s="60">
        <v>30</v>
      </c>
      <c r="I4116" s="61">
        <v>1</v>
      </c>
      <c r="J4116" s="60">
        <f>H4116*I4116</f>
        <v>30</v>
      </c>
      <c r="K4116" s="39">
        <v>0.72</v>
      </c>
      <c r="L4116" s="39">
        <f>K4116*J4116</f>
        <v>21.599999999999998</v>
      </c>
      <c r="M4116" s="117" t="s">
        <v>323</v>
      </c>
      <c r="N4116" s="33">
        <v>45574</v>
      </c>
      <c r="O4116" s="32">
        <v>6519</v>
      </c>
      <c r="P4116" s="391">
        <f>ROUNDUP(S4116/V4116/VLOOKUP(B4116,$C$2:$F$6,3,FALSE),2)</f>
        <v>0.42</v>
      </c>
      <c r="Q4116" s="254">
        <v>0.42</v>
      </c>
      <c r="R4116" s="323">
        <f>Q4116*J4116</f>
        <v>12.6</v>
      </c>
      <c r="S4116" s="1200">
        <v>35.167000000000002</v>
      </c>
      <c r="T4116" s="92">
        <f>S4116*J4116</f>
        <v>1055.01</v>
      </c>
      <c r="U4116" s="1200">
        <v>38.700000000000003</v>
      </c>
      <c r="V4116" s="260">
        <v>120</v>
      </c>
      <c r="W4116" s="1136">
        <f t="shared" si="338"/>
        <v>0.59297453703703695</v>
      </c>
    </row>
    <row r="4117" spans="2:23" s="7" customFormat="1" ht="15.95" customHeight="1">
      <c r="B4117" s="12" t="s">
        <v>300</v>
      </c>
      <c r="C4117" s="6" t="s">
        <v>5098</v>
      </c>
      <c r="D4117" s="14" t="s">
        <v>4193</v>
      </c>
      <c r="E4117" s="22" t="s">
        <v>4934</v>
      </c>
      <c r="F4117" s="37">
        <v>25</v>
      </c>
      <c r="G4117" s="37" t="s">
        <v>5091</v>
      </c>
      <c r="H4117" s="60">
        <v>30</v>
      </c>
      <c r="I4117" s="61">
        <v>1</v>
      </c>
      <c r="J4117" s="60">
        <f>H4117*I4117</f>
        <v>30</v>
      </c>
      <c r="K4117" s="39">
        <v>0.72</v>
      </c>
      <c r="L4117" s="39">
        <f>K4117*J4117</f>
        <v>21.599999999999998</v>
      </c>
      <c r="M4117" s="117" t="s">
        <v>323</v>
      </c>
      <c r="N4117" s="33">
        <v>45574</v>
      </c>
      <c r="O4117" s="32">
        <v>6519</v>
      </c>
      <c r="P4117" s="391">
        <f>ROUNDUP(S4117/V4117/VLOOKUP(B4117,$C$2:$F$6,3,FALSE),2)</f>
        <v>0.42</v>
      </c>
      <c r="Q4117" s="254">
        <v>0.42</v>
      </c>
      <c r="R4117" s="323">
        <f>Q4117*J4117</f>
        <v>12.6</v>
      </c>
      <c r="S4117" s="1200">
        <v>35.167000000000002</v>
      </c>
      <c r="T4117" s="92">
        <f>S4117*J4117</f>
        <v>1055.01</v>
      </c>
      <c r="U4117" s="1200">
        <v>38.700000000000003</v>
      </c>
      <c r="V4117" s="260">
        <v>120</v>
      </c>
      <c r="W4117" s="1136">
        <f t="shared" si="338"/>
        <v>0.59297453703703695</v>
      </c>
    </row>
    <row r="4118" spans="2:23" s="7" customFormat="1" ht="15.95" customHeight="1">
      <c r="B4118" s="12" t="s">
        <v>300</v>
      </c>
      <c r="C4118" s="6" t="s">
        <v>5098</v>
      </c>
      <c r="D4118" s="14" t="s">
        <v>4193</v>
      </c>
      <c r="E4118" s="22" t="s">
        <v>4934</v>
      </c>
      <c r="F4118" s="37">
        <v>25</v>
      </c>
      <c r="G4118" s="37" t="s">
        <v>5092</v>
      </c>
      <c r="H4118" s="60">
        <v>30</v>
      </c>
      <c r="I4118" s="61">
        <v>1</v>
      </c>
      <c r="J4118" s="60">
        <f>H4118*I4118</f>
        <v>30</v>
      </c>
      <c r="K4118" s="39">
        <v>0.72</v>
      </c>
      <c r="L4118" s="39">
        <f>K4118*J4118</f>
        <v>21.599999999999998</v>
      </c>
      <c r="M4118" s="117" t="s">
        <v>323</v>
      </c>
      <c r="N4118" s="33">
        <v>45574</v>
      </c>
      <c r="O4118" s="32">
        <v>6519</v>
      </c>
      <c r="P4118" s="391">
        <f>ROUNDUP(S4118/V4118/VLOOKUP(B4118,$C$2:$F$6,3,FALSE),2)</f>
        <v>0.42</v>
      </c>
      <c r="Q4118" s="254">
        <v>0.42</v>
      </c>
      <c r="R4118" s="323">
        <f>Q4118*J4118</f>
        <v>12.6</v>
      </c>
      <c r="S4118" s="1200">
        <v>35.167000000000002</v>
      </c>
      <c r="T4118" s="92">
        <f>S4118*J4118</f>
        <v>1055.01</v>
      </c>
      <c r="U4118" s="1200">
        <v>38.700000000000003</v>
      </c>
      <c r="V4118" s="260">
        <v>120</v>
      </c>
      <c r="W4118" s="1136">
        <f t="shared" si="338"/>
        <v>0.59297453703703695</v>
      </c>
    </row>
    <row r="4119" spans="2:23" s="7" customFormat="1" ht="18" customHeight="1">
      <c r="B4119" s="12"/>
      <c r="C4119" s="6" t="s">
        <v>5099</v>
      </c>
      <c r="D4119" s="14" t="s">
        <v>4193</v>
      </c>
      <c r="E4119" s="17" t="s">
        <v>160</v>
      </c>
      <c r="F4119" s="37">
        <v>25</v>
      </c>
      <c r="G4119" s="299"/>
      <c r="H4119" s="300" t="s">
        <v>355</v>
      </c>
      <c r="I4119" s="320"/>
      <c r="J4119" s="321"/>
      <c r="K4119" s="110" t="s">
        <v>101</v>
      </c>
      <c r="L4119" s="139"/>
      <c r="M4119" s="33"/>
      <c r="N4119" s="33">
        <v>45572</v>
      </c>
      <c r="O4119" s="32">
        <v>6520</v>
      </c>
      <c r="P4119" s="6"/>
      <c r="Q4119" s="322"/>
      <c r="U4119" s="39"/>
      <c r="V4119" s="260">
        <v>120</v>
      </c>
      <c r="W4119" s="1136" t="e">
        <f t="shared" si="338"/>
        <v>#VALUE!</v>
      </c>
    </row>
    <row r="4120" spans="2:23" s="7" customFormat="1" ht="18" customHeight="1">
      <c r="B4120" s="12" t="s">
        <v>300</v>
      </c>
      <c r="C4120" s="6" t="s">
        <v>5099</v>
      </c>
      <c r="D4120" s="14" t="s">
        <v>4193</v>
      </c>
      <c r="E4120" s="22">
        <v>14552</v>
      </c>
      <c r="F4120" s="24">
        <v>15</v>
      </c>
      <c r="G4120" s="22" t="s">
        <v>5087</v>
      </c>
      <c r="H4120" s="108">
        <v>30</v>
      </c>
      <c r="I4120" s="109">
        <v>1</v>
      </c>
      <c r="J4120" s="8">
        <f>H4120*I4120</f>
        <v>30</v>
      </c>
      <c r="K4120" s="39">
        <v>0.83</v>
      </c>
      <c r="L4120" s="39">
        <f>K4120*J4120</f>
        <v>24.9</v>
      </c>
      <c r="M4120" s="117" t="s">
        <v>323</v>
      </c>
      <c r="N4120" s="33">
        <v>45572</v>
      </c>
      <c r="O4120" s="32">
        <v>6520</v>
      </c>
      <c r="P4120" s="391">
        <f>ROUNDUP(S4120/V4120/VLOOKUP(B4120,$C$2:$F$6,3,FALSE),2)</f>
        <v>0.6</v>
      </c>
      <c r="Q4120" s="358">
        <v>0.6</v>
      </c>
      <c r="R4120" s="322">
        <f>Q4120*J4120</f>
        <v>18</v>
      </c>
      <c r="S4120" s="7">
        <v>50</v>
      </c>
      <c r="T4120" s="7">
        <f>S4120*J4120</f>
        <v>1500</v>
      </c>
      <c r="U4120" s="267"/>
      <c r="V4120" s="260">
        <v>120</v>
      </c>
      <c r="W4120" s="1136">
        <f t="shared" si="338"/>
        <v>0.49799196787148592</v>
      </c>
    </row>
    <row r="4121" spans="2:23" s="7" customFormat="1" ht="18" customHeight="1">
      <c r="B4121" s="12" t="s">
        <v>300</v>
      </c>
      <c r="C4121" s="6" t="s">
        <v>5099</v>
      </c>
      <c r="D4121" s="14" t="s">
        <v>4193</v>
      </c>
      <c r="E4121" s="22">
        <v>14552</v>
      </c>
      <c r="F4121" s="24">
        <v>15</v>
      </c>
      <c r="G4121" s="22" t="s">
        <v>5093</v>
      </c>
      <c r="H4121" s="108">
        <v>30</v>
      </c>
      <c r="I4121" s="109">
        <v>1</v>
      </c>
      <c r="J4121" s="8">
        <f>H4121*I4121</f>
        <v>30</v>
      </c>
      <c r="K4121" s="39">
        <v>0.83</v>
      </c>
      <c r="L4121" s="39">
        <f>K4121*J4121</f>
        <v>24.9</v>
      </c>
      <c r="M4121" s="117" t="s">
        <v>323</v>
      </c>
      <c r="N4121" s="33">
        <v>45572</v>
      </c>
      <c r="O4121" s="32">
        <v>6520</v>
      </c>
      <c r="P4121" s="391">
        <f>ROUNDUP(S4121/V4121/VLOOKUP(B4121,$C$2:$F$6,3,FALSE),2)</f>
        <v>0.6</v>
      </c>
      <c r="Q4121" s="358">
        <v>0.6</v>
      </c>
      <c r="R4121" s="322">
        <f>Q4121*J4121</f>
        <v>18</v>
      </c>
      <c r="S4121" s="7">
        <v>50</v>
      </c>
      <c r="T4121" s="7">
        <f>S4121*J4121</f>
        <v>1500</v>
      </c>
      <c r="U4121" s="267"/>
      <c r="V4121" s="260">
        <v>120</v>
      </c>
      <c r="W4121" s="1136">
        <f t="shared" ref="W4121:W4132" si="339">(((K4121*V4121)-S4121)/(K4121*V4121))</f>
        <v>0.49799196787148592</v>
      </c>
    </row>
    <row r="4122" spans="2:23" s="7" customFormat="1" ht="18" customHeight="1">
      <c r="B4122" s="12"/>
      <c r="C4122" s="6" t="s">
        <v>5100</v>
      </c>
      <c r="D4122" s="14" t="s">
        <v>4193</v>
      </c>
      <c r="E4122" s="19" t="s">
        <v>2599</v>
      </c>
      <c r="F4122" s="22"/>
      <c r="G4122" s="37"/>
      <c r="H4122" s="108"/>
      <c r="I4122" s="108"/>
      <c r="J4122" s="108"/>
      <c r="K4122" s="110" t="s">
        <v>102</v>
      </c>
      <c r="L4122" s="33"/>
      <c r="M4122" s="33"/>
      <c r="N4122" s="33">
        <v>45572</v>
      </c>
      <c r="O4122" s="32">
        <v>6521</v>
      </c>
      <c r="P4122" s="6"/>
      <c r="Q4122" s="223"/>
      <c r="S4122" s="1174"/>
      <c r="T4122" s="92"/>
      <c r="U4122" s="266"/>
      <c r="V4122" s="260">
        <v>120</v>
      </c>
    </row>
    <row r="4123" spans="2:23" s="7" customFormat="1" ht="15.95" customHeight="1">
      <c r="B4123" s="12" t="s">
        <v>306</v>
      </c>
      <c r="C4123" s="6" t="s">
        <v>5100</v>
      </c>
      <c r="D4123" s="14" t="s">
        <v>4193</v>
      </c>
      <c r="E4123" s="22" t="s">
        <v>4977</v>
      </c>
      <c r="F4123" s="37"/>
      <c r="G4123" s="37"/>
      <c r="H4123" s="60"/>
      <c r="I4123" s="61"/>
      <c r="J4123" s="38">
        <v>1</v>
      </c>
      <c r="K4123" s="39">
        <v>15</v>
      </c>
      <c r="L4123" s="39">
        <f>K4123*J4123</f>
        <v>15</v>
      </c>
      <c r="M4123" s="117" t="s">
        <v>323</v>
      </c>
      <c r="N4123" s="33">
        <v>45572</v>
      </c>
      <c r="O4123" s="32">
        <v>6521</v>
      </c>
      <c r="P4123" s="391">
        <f>ROUNDUP(S4123/V4123/VLOOKUP(B4123,$C$2:$F$6,3,FALSE),2)</f>
        <v>11.37</v>
      </c>
      <c r="Q4123" s="39">
        <v>11.37</v>
      </c>
      <c r="R4123" s="322">
        <f>Q4123*J4123</f>
        <v>11.37</v>
      </c>
      <c r="S4123" s="7">
        <v>1200</v>
      </c>
      <c r="T4123" s="7">
        <f>S4123*J4123</f>
        <v>1200</v>
      </c>
      <c r="U4123" s="1305"/>
      <c r="V4123" s="260">
        <v>120</v>
      </c>
      <c r="W4123" s="1136">
        <f>(((K4123*V4123)-S4123)/(K4123*V4123))</f>
        <v>0.33333333333333331</v>
      </c>
    </row>
    <row r="4124" spans="2:23" s="7" customFormat="1" ht="18" customHeight="1">
      <c r="B4124" s="12"/>
      <c r="C4124" s="6" t="s">
        <v>5100</v>
      </c>
      <c r="D4124" s="14" t="s">
        <v>4193</v>
      </c>
      <c r="E4124" s="49"/>
      <c r="F4124" s="102"/>
      <c r="G4124" s="22" t="s">
        <v>316</v>
      </c>
      <c r="H4124" s="8"/>
      <c r="I4124" s="35"/>
      <c r="J4124" s="38">
        <v>2</v>
      </c>
      <c r="K4124" s="39">
        <v>12</v>
      </c>
      <c r="L4124" s="39">
        <f>K4124*J4124</f>
        <v>24</v>
      </c>
      <c r="M4124" s="117" t="s">
        <v>349</v>
      </c>
      <c r="N4124" s="33">
        <v>45572</v>
      </c>
      <c r="O4124" s="32">
        <v>6521</v>
      </c>
      <c r="P4124" s="6" t="s">
        <v>3</v>
      </c>
      <c r="Q4124" s="39">
        <v>12</v>
      </c>
      <c r="R4124" s="322">
        <f>Q4124*J4124</f>
        <v>24</v>
      </c>
      <c r="S4124" s="7">
        <v>0</v>
      </c>
      <c r="T4124" s="7">
        <v>0</v>
      </c>
      <c r="U4124" s="21"/>
      <c r="V4124" s="260">
        <v>120</v>
      </c>
      <c r="W4124" s="1136">
        <f t="shared" si="339"/>
        <v>1</v>
      </c>
    </row>
    <row r="4125" spans="2:23" s="191" customFormat="1" ht="18" customHeight="1">
      <c r="B4125" s="190"/>
      <c r="C4125" s="179" t="s">
        <v>5094</v>
      </c>
      <c r="D4125" s="180" t="s">
        <v>4193</v>
      </c>
      <c r="E4125" s="217"/>
      <c r="F4125" s="182"/>
      <c r="G4125" s="182" t="s">
        <v>250</v>
      </c>
      <c r="H4125" s="184" t="s">
        <v>251</v>
      </c>
      <c r="I4125" s="185"/>
      <c r="J4125" s="183"/>
      <c r="K4125" s="192">
        <v>0</v>
      </c>
      <c r="L4125" s="187"/>
      <c r="M4125" s="1310"/>
      <c r="N4125" s="187">
        <v>45572</v>
      </c>
      <c r="O4125" s="186">
        <v>6521</v>
      </c>
      <c r="P4125" s="179"/>
      <c r="Q4125" s="255">
        <v>0</v>
      </c>
      <c r="R4125" s="322">
        <v>0</v>
      </c>
      <c r="S4125" s="275">
        <v>0</v>
      </c>
      <c r="T4125" s="198">
        <v>0</v>
      </c>
      <c r="U4125" s="271"/>
      <c r="V4125" s="260">
        <v>120</v>
      </c>
      <c r="W4125" s="1136" t="e">
        <f t="shared" si="339"/>
        <v>#DIV/0!</v>
      </c>
    </row>
    <row r="4126" spans="2:23" s="7" customFormat="1" ht="18" customHeight="1">
      <c r="B4126" s="12"/>
      <c r="C4126" s="6" t="s">
        <v>5102</v>
      </c>
      <c r="D4126" s="14" t="s">
        <v>2162</v>
      </c>
      <c r="E4126" s="19" t="s">
        <v>4406</v>
      </c>
      <c r="F4126" s="37"/>
      <c r="G4126" s="37"/>
      <c r="H4126" s="108"/>
      <c r="I4126" s="108"/>
      <c r="J4126" s="108"/>
      <c r="K4126" s="110" t="s">
        <v>101</v>
      </c>
      <c r="L4126" s="139"/>
      <c r="M4126" s="33"/>
      <c r="N4126" s="33">
        <v>45573</v>
      </c>
      <c r="O4126" s="32">
        <v>6525</v>
      </c>
      <c r="P4126" s="6"/>
      <c r="Q4126" s="339"/>
      <c r="U4126" s="21"/>
      <c r="V4126" s="257"/>
      <c r="W4126" s="1136" t="e">
        <f t="shared" si="339"/>
        <v>#VALUE!</v>
      </c>
    </row>
    <row r="4127" spans="2:23" s="7" customFormat="1" ht="18" customHeight="1">
      <c r="B4127" s="12" t="s">
        <v>300</v>
      </c>
      <c r="C4127" s="6" t="s">
        <v>5102</v>
      </c>
      <c r="D4127" s="14" t="s">
        <v>2162</v>
      </c>
      <c r="E4127" s="22" t="s">
        <v>280</v>
      </c>
      <c r="F4127" s="107"/>
      <c r="G4127" s="22" t="s">
        <v>58</v>
      </c>
      <c r="H4127" s="1255">
        <v>14</v>
      </c>
      <c r="I4127" s="811">
        <v>1</v>
      </c>
      <c r="J4127" s="8">
        <f>I4127*H4127</f>
        <v>14</v>
      </c>
      <c r="K4127" s="39">
        <v>1.76</v>
      </c>
      <c r="L4127" s="39">
        <f>K4127*J4127</f>
        <v>24.64</v>
      </c>
      <c r="M4127" s="117" t="s">
        <v>323</v>
      </c>
      <c r="N4127" s="33">
        <v>45573</v>
      </c>
      <c r="O4127" s="32">
        <v>6525</v>
      </c>
      <c r="P4127" s="391">
        <f>ROUNDUP(S4127/V4127/VLOOKUP(B4127,$C$2:$F$6,3,FALSE),2)</f>
        <v>1.1399999999999999</v>
      </c>
      <c r="Q4127" s="322">
        <v>1.1399999999999999</v>
      </c>
      <c r="R4127" s="322">
        <f>Q4127*J4127</f>
        <v>15.959999999999999</v>
      </c>
      <c r="S4127" s="7">
        <v>95</v>
      </c>
      <c r="T4127" s="7">
        <f>S4127*J4127</f>
        <v>1330</v>
      </c>
      <c r="U4127" s="21"/>
      <c r="V4127" s="260">
        <v>120</v>
      </c>
      <c r="W4127" s="1136">
        <f t="shared" si="339"/>
        <v>0.55018939393939392</v>
      </c>
    </row>
    <row r="4128" spans="2:23" s="7" customFormat="1" ht="15">
      <c r="B4128" s="12"/>
      <c r="C4128" s="6" t="s">
        <v>5102</v>
      </c>
      <c r="D4128" s="14" t="s">
        <v>2162</v>
      </c>
      <c r="E4128" s="22"/>
      <c r="F4128" s="102"/>
      <c r="G4128" s="22" t="s">
        <v>316</v>
      </c>
      <c r="H4128" s="38"/>
      <c r="I4128" s="35"/>
      <c r="J4128" s="38">
        <v>1</v>
      </c>
      <c r="K4128" s="39">
        <v>12</v>
      </c>
      <c r="L4128" s="39">
        <f>K4128*J4128</f>
        <v>12</v>
      </c>
      <c r="M4128" s="91"/>
      <c r="N4128" s="33">
        <v>45573</v>
      </c>
      <c r="O4128" s="32">
        <v>6525</v>
      </c>
      <c r="P4128" s="722"/>
      <c r="Q4128" s="322">
        <v>12</v>
      </c>
      <c r="R4128" s="322">
        <f>Q4128*J4128</f>
        <v>12</v>
      </c>
      <c r="S4128" s="7">
        <v>1000</v>
      </c>
      <c r="T4128" s="7">
        <f>S4128*J4128</f>
        <v>1000</v>
      </c>
      <c r="U4128" s="21"/>
      <c r="V4128" s="260">
        <v>120</v>
      </c>
      <c r="W4128" s="1136">
        <f t="shared" si="339"/>
        <v>0.30555555555555558</v>
      </c>
    </row>
    <row r="4129" spans="1:51" s="191" customFormat="1" ht="15">
      <c r="B4129" s="190"/>
      <c r="C4129" s="179" t="s">
        <v>5102</v>
      </c>
      <c r="D4129" s="180" t="s">
        <v>2162</v>
      </c>
      <c r="E4129" s="181"/>
      <c r="F4129" s="182"/>
      <c r="G4129" s="182" t="s">
        <v>2738</v>
      </c>
      <c r="H4129" s="184" t="s">
        <v>251</v>
      </c>
      <c r="I4129" s="185"/>
      <c r="J4129" s="183"/>
      <c r="K4129" s="192">
        <v>0</v>
      </c>
      <c r="L4129" s="187"/>
      <c r="M4129" s="187"/>
      <c r="N4129" s="187">
        <v>45573</v>
      </c>
      <c r="O4129" s="186">
        <v>6525</v>
      </c>
      <c r="P4129" s="179"/>
      <c r="Q4129" s="203"/>
      <c r="R4129" s="203"/>
      <c r="S4129" s="203"/>
      <c r="T4129" s="203"/>
      <c r="U4129" s="271"/>
      <c r="V4129" s="260">
        <v>120</v>
      </c>
      <c r="W4129" s="1136" t="e">
        <f t="shared" si="339"/>
        <v>#DIV/0!</v>
      </c>
    </row>
    <row r="4130" spans="1:51" customFormat="1" ht="18" customHeight="1">
      <c r="A4130" s="1"/>
      <c r="B4130" s="26"/>
      <c r="C4130" s="6" t="s">
        <v>5103</v>
      </c>
      <c r="D4130" s="14" t="s">
        <v>4963</v>
      </c>
      <c r="E4130" s="19" t="s">
        <v>59</v>
      </c>
      <c r="F4130" s="107"/>
      <c r="G4130" s="22"/>
      <c r="H4130" s="108"/>
      <c r="I4130" s="109"/>
      <c r="J4130" s="108"/>
      <c r="K4130" s="110" t="s">
        <v>5</v>
      </c>
      <c r="L4130" s="33"/>
      <c r="M4130" s="33"/>
      <c r="N4130" s="33">
        <v>45580</v>
      </c>
      <c r="O4130" s="32">
        <v>6536</v>
      </c>
      <c r="P4130" s="14"/>
      <c r="Q4130" s="254"/>
      <c r="R4130" s="1"/>
      <c r="S4130" s="261"/>
      <c r="T4130" s="92"/>
      <c r="U4130" s="264"/>
      <c r="V4130" s="260">
        <v>120</v>
      </c>
      <c r="W4130" s="1136" t="e">
        <f t="shared" si="339"/>
        <v>#VALUE!</v>
      </c>
      <c r="X4130" s="1"/>
      <c r="Y4130" s="1"/>
      <c r="Z4130" s="1"/>
      <c r="AA4130" s="1"/>
      <c r="AB4130" s="1"/>
      <c r="AC4130" s="1"/>
      <c r="AD4130" s="1"/>
      <c r="AE4130" s="1"/>
      <c r="AF4130" s="1"/>
      <c r="AG4130" s="1"/>
      <c r="AH4130" s="1"/>
      <c r="AI4130" s="1"/>
      <c r="AJ4130" s="1"/>
      <c r="AK4130" s="1"/>
      <c r="AL4130" s="1"/>
      <c r="AM4130" s="1"/>
      <c r="AN4130" s="1"/>
      <c r="AO4130" s="1"/>
      <c r="AP4130" s="1"/>
      <c r="AQ4130" s="1"/>
      <c r="AR4130" s="1"/>
      <c r="AS4130" s="1"/>
      <c r="AT4130" s="1"/>
      <c r="AU4130" s="1"/>
      <c r="AV4130" s="1"/>
      <c r="AW4130" s="1"/>
      <c r="AX4130" s="1"/>
      <c r="AY4130" s="1"/>
    </row>
    <row r="4131" spans="1:51" customFormat="1" ht="18" customHeight="1">
      <c r="B4131" s="12" t="s">
        <v>302</v>
      </c>
      <c r="C4131" s="6" t="s">
        <v>5103</v>
      </c>
      <c r="D4131" s="14" t="s">
        <v>4963</v>
      </c>
      <c r="E4131" s="22">
        <v>2440</v>
      </c>
      <c r="F4131" s="107">
        <v>140</v>
      </c>
      <c r="G4131" s="22" t="s">
        <v>13</v>
      </c>
      <c r="H4131" s="108">
        <v>58</v>
      </c>
      <c r="I4131" s="109">
        <v>1</v>
      </c>
      <c r="J4131" s="8">
        <f>H4131*I4131</f>
        <v>58</v>
      </c>
      <c r="K4131" s="39">
        <v>4.17</v>
      </c>
      <c r="L4131" s="39">
        <f>K4131*J4131</f>
        <v>241.85999999999999</v>
      </c>
      <c r="M4131" s="117" t="s">
        <v>323</v>
      </c>
      <c r="N4131" s="33">
        <v>45580</v>
      </c>
      <c r="O4131" s="32">
        <v>6536</v>
      </c>
      <c r="P4131" s="391">
        <f>ROUNDUP(S4131/V4131/VLOOKUP(B4131,$C$2:$F$6,3,FALSE),2)</f>
        <v>2.94</v>
      </c>
      <c r="Q4131" s="254">
        <v>2.94</v>
      </c>
      <c r="R4131" s="323">
        <f>Q4131*J4131</f>
        <v>170.52</v>
      </c>
      <c r="S4131" s="257">
        <v>310</v>
      </c>
      <c r="T4131" s="287">
        <f>S4131*J4131</f>
        <v>17980</v>
      </c>
      <c r="U4131" s="264"/>
      <c r="V4131" s="260">
        <v>120</v>
      </c>
      <c r="W4131" s="1136">
        <f t="shared" si="339"/>
        <v>0.3804956035171862</v>
      </c>
      <c r="X4131" s="1"/>
      <c r="Y4131" s="1"/>
      <c r="Z4131" s="1"/>
      <c r="AA4131" s="1"/>
      <c r="AB4131" s="1"/>
      <c r="AC4131" s="1"/>
      <c r="AD4131" s="1"/>
      <c r="AE4131" s="1"/>
      <c r="AF4131" s="1"/>
      <c r="AG4131" s="1"/>
      <c r="AH4131" s="1"/>
      <c r="AI4131" s="1"/>
      <c r="AJ4131" s="1"/>
      <c r="AK4131" s="1"/>
      <c r="AL4131" s="1"/>
      <c r="AM4131" s="1"/>
      <c r="AN4131" s="1"/>
      <c r="AO4131" s="1"/>
      <c r="AP4131" s="1"/>
      <c r="AQ4131" s="1"/>
      <c r="AR4131" s="1"/>
      <c r="AS4131" s="1"/>
      <c r="AT4131" s="1"/>
      <c r="AU4131" s="1"/>
      <c r="AV4131" s="1"/>
      <c r="AW4131" s="1"/>
      <c r="AX4131" s="1"/>
      <c r="AY4131" s="1"/>
    </row>
    <row r="4132" spans="1:51" s="7" customFormat="1" ht="15">
      <c r="B4132" s="12"/>
      <c r="C4132" s="6" t="s">
        <v>5103</v>
      </c>
      <c r="D4132" s="14" t="s">
        <v>4963</v>
      </c>
      <c r="E4132" s="49"/>
      <c r="F4132" s="102"/>
      <c r="G4132" s="22" t="s">
        <v>316</v>
      </c>
      <c r="H4132" s="38"/>
      <c r="I4132" s="35"/>
      <c r="J4132" s="38">
        <v>1</v>
      </c>
      <c r="K4132" s="39">
        <v>20</v>
      </c>
      <c r="L4132" s="39">
        <f>K4132*J4132</f>
        <v>20</v>
      </c>
      <c r="M4132" s="91"/>
      <c r="N4132" s="33">
        <v>45580</v>
      </c>
      <c r="O4132" s="32">
        <v>6536</v>
      </c>
      <c r="P4132" s="722"/>
      <c r="Q4132" s="322">
        <v>20</v>
      </c>
      <c r="R4132" s="322">
        <f>Q4132*J4132</f>
        <v>20</v>
      </c>
      <c r="S4132" s="7">
        <v>2500</v>
      </c>
      <c r="T4132" s="7">
        <f>S4132*J4132</f>
        <v>2500</v>
      </c>
      <c r="U4132" s="21"/>
      <c r="V4132" s="260">
        <v>120</v>
      </c>
      <c r="W4132" s="1136">
        <f t="shared" si="339"/>
        <v>-4.1666666666666664E-2</v>
      </c>
    </row>
    <row r="4133" spans="1:51" s="191" customFormat="1" ht="18.75">
      <c r="B4133" s="190"/>
      <c r="C4133" s="179" t="s">
        <v>5103</v>
      </c>
      <c r="D4133" s="180" t="s">
        <v>4963</v>
      </c>
      <c r="E4133" s="181"/>
      <c r="F4133" s="182"/>
      <c r="G4133" s="182" t="s">
        <v>2738</v>
      </c>
      <c r="H4133" s="184" t="s">
        <v>374</v>
      </c>
      <c r="I4133" s="185"/>
      <c r="J4133" s="183"/>
      <c r="K4133" s="203">
        <v>160</v>
      </c>
      <c r="L4133" s="203">
        <v>160</v>
      </c>
      <c r="M4133" s="187"/>
      <c r="N4133" s="187">
        <v>45580</v>
      </c>
      <c r="O4133" s="186">
        <v>6536</v>
      </c>
      <c r="P4133" s="179"/>
      <c r="Q4133" s="203">
        <v>160</v>
      </c>
      <c r="R4133" s="203">
        <v>160</v>
      </c>
      <c r="S4133" s="1337">
        <v>10393</v>
      </c>
      <c r="T4133" s="1337">
        <v>10393</v>
      </c>
      <c r="U4133" s="271"/>
      <c r="V4133" s="260">
        <v>120</v>
      </c>
      <c r="W4133" s="1136">
        <f>(((K4133*V4133)-S4133)/(K4133*V4133))</f>
        <v>0.45869791666666665</v>
      </c>
    </row>
    <row r="4134" spans="1:51" s="7" customFormat="1" ht="18" customHeight="1">
      <c r="B4134" s="12"/>
      <c r="C4134" s="6" t="s">
        <v>5104</v>
      </c>
      <c r="D4134" s="14" t="s">
        <v>4193</v>
      </c>
      <c r="E4134" s="17" t="s">
        <v>160</v>
      </c>
      <c r="F4134" s="319"/>
      <c r="G4134" s="299"/>
      <c r="H4134" s="300" t="s">
        <v>355</v>
      </c>
      <c r="I4134" s="320"/>
      <c r="J4134" s="321"/>
      <c r="K4134" s="110" t="s">
        <v>101</v>
      </c>
      <c r="L4134" s="139"/>
      <c r="M4134" s="33"/>
      <c r="N4134" s="33">
        <v>45581</v>
      </c>
      <c r="O4134" s="32">
        <v>6544</v>
      </c>
      <c r="P4134" s="6"/>
      <c r="Q4134" s="322"/>
      <c r="U4134" s="39"/>
      <c r="V4134" s="260">
        <v>120</v>
      </c>
      <c r="W4134" s="1136" t="e">
        <f>(((K4134*V4134)-S4134)/(K4134*V4134))</f>
        <v>#VALUE!</v>
      </c>
    </row>
    <row r="4135" spans="1:51" s="7" customFormat="1" ht="18" customHeight="1">
      <c r="B4135" s="12" t="s">
        <v>300</v>
      </c>
      <c r="C4135" s="6" t="s">
        <v>5104</v>
      </c>
      <c r="D4135" s="14" t="s">
        <v>4193</v>
      </c>
      <c r="E4135" s="22">
        <v>14552</v>
      </c>
      <c r="F4135" s="24">
        <v>10</v>
      </c>
      <c r="G4135" s="22" t="s">
        <v>5105</v>
      </c>
      <c r="H4135" s="108">
        <v>30</v>
      </c>
      <c r="I4135" s="109">
        <v>1</v>
      </c>
      <c r="J4135" s="8">
        <f>H4135*I4135</f>
        <v>30</v>
      </c>
      <c r="K4135" s="39">
        <v>0.68</v>
      </c>
      <c r="L4135" s="39">
        <f>K4135*J4135</f>
        <v>20.400000000000002</v>
      </c>
      <c r="M4135" s="117" t="s">
        <v>323</v>
      </c>
      <c r="N4135" s="33">
        <v>45581</v>
      </c>
      <c r="O4135" s="32">
        <v>6544</v>
      </c>
      <c r="P4135" s="391">
        <f>ROUNDUP(S4135/V4135/VLOOKUP(B4135,$C$2:$F$6,3,FALSE),2)</f>
        <v>0.49</v>
      </c>
      <c r="Q4135" s="358">
        <v>0.49</v>
      </c>
      <c r="R4135" s="322">
        <f>Q4135*J4135</f>
        <v>14.7</v>
      </c>
      <c r="S4135" s="7">
        <v>41</v>
      </c>
      <c r="T4135" s="7">
        <f>S4135*J4135</f>
        <v>1230</v>
      </c>
      <c r="U4135" s="267"/>
      <c r="V4135" s="260">
        <v>120</v>
      </c>
      <c r="W4135" s="1136">
        <f>(((K4135*V4135)-S4135)/(K4135*V4135))</f>
        <v>0.4975490196078432</v>
      </c>
    </row>
    <row r="4136" spans="1:51" s="7" customFormat="1" ht="18" customHeight="1">
      <c r="B4136" s="12" t="s">
        <v>300</v>
      </c>
      <c r="C4136" s="6" t="s">
        <v>5104</v>
      </c>
      <c r="D4136" s="14" t="s">
        <v>4193</v>
      </c>
      <c r="E4136" s="22">
        <v>14552</v>
      </c>
      <c r="F4136" s="24">
        <v>10</v>
      </c>
      <c r="G4136" s="22" t="s">
        <v>5087</v>
      </c>
      <c r="H4136" s="108">
        <v>30</v>
      </c>
      <c r="I4136" s="109">
        <v>1</v>
      </c>
      <c r="J4136" s="8">
        <f>H4136*I4136</f>
        <v>30</v>
      </c>
      <c r="K4136" s="39">
        <v>0.68</v>
      </c>
      <c r="L4136" s="39">
        <f>K4136*J4136</f>
        <v>20.400000000000002</v>
      </c>
      <c r="M4136" s="117" t="s">
        <v>323</v>
      </c>
      <c r="N4136" s="33">
        <v>45581</v>
      </c>
      <c r="O4136" s="32">
        <v>6544</v>
      </c>
      <c r="P4136" s="391">
        <f>ROUNDUP(S4136/V4136/VLOOKUP(B4136,$C$2:$F$6,3,FALSE),2)</f>
        <v>0.49</v>
      </c>
      <c r="Q4136" s="358">
        <v>0.49</v>
      </c>
      <c r="R4136" s="322">
        <f>Q4136*J4136</f>
        <v>14.7</v>
      </c>
      <c r="S4136" s="7">
        <v>41</v>
      </c>
      <c r="T4136" s="7">
        <f>S4136*J4136</f>
        <v>1230</v>
      </c>
      <c r="U4136" s="267"/>
      <c r="V4136" s="260">
        <v>120</v>
      </c>
      <c r="W4136" s="1136">
        <f>(((K4136*V4136)-S4136)/(K4136*V4136))</f>
        <v>0.4975490196078432</v>
      </c>
    </row>
    <row r="4137" spans="1:51" s="7" customFormat="1" ht="18" customHeight="1">
      <c r="B4137" s="12" t="s">
        <v>300</v>
      </c>
      <c r="C4137" s="6" t="s">
        <v>5104</v>
      </c>
      <c r="D4137" s="14" t="s">
        <v>4193</v>
      </c>
      <c r="E4137" s="22">
        <v>14552</v>
      </c>
      <c r="F4137" s="24">
        <v>10</v>
      </c>
      <c r="G4137" s="22" t="s">
        <v>5106</v>
      </c>
      <c r="H4137" s="108">
        <v>30</v>
      </c>
      <c r="I4137" s="109">
        <v>1</v>
      </c>
      <c r="J4137" s="8">
        <f>H4137*I4137</f>
        <v>30</v>
      </c>
      <c r="K4137" s="39">
        <v>0.68</v>
      </c>
      <c r="L4137" s="39">
        <f>K4137*J4137</f>
        <v>20.400000000000002</v>
      </c>
      <c r="M4137" s="117" t="s">
        <v>323</v>
      </c>
      <c r="N4137" s="33">
        <v>45581</v>
      </c>
      <c r="O4137" s="32">
        <v>6544</v>
      </c>
      <c r="P4137" s="391">
        <f>ROUNDUP(S4137/V4137/VLOOKUP(B4137,$C$2:$F$6,3,FALSE),2)</f>
        <v>0.49</v>
      </c>
      <c r="Q4137" s="358">
        <v>0.49</v>
      </c>
      <c r="R4137" s="322">
        <f>Q4137*J4137</f>
        <v>14.7</v>
      </c>
      <c r="S4137" s="7">
        <v>41</v>
      </c>
      <c r="T4137" s="7">
        <f>S4137*J4137</f>
        <v>1230</v>
      </c>
      <c r="U4137" s="267"/>
      <c r="V4137" s="260">
        <v>120</v>
      </c>
      <c r="W4137" s="1136">
        <f>(((K4137*V4137)-S4137)/(K4137*V4137))</f>
        <v>0.4975490196078432</v>
      </c>
    </row>
    <row r="4138" spans="1:51" s="7" customFormat="1" ht="18" customHeight="1">
      <c r="B4138" s="12"/>
      <c r="C4138" s="6" t="s">
        <v>5104</v>
      </c>
      <c r="D4138" s="14" t="s">
        <v>4193</v>
      </c>
      <c r="E4138" s="49"/>
      <c r="F4138" s="102"/>
      <c r="G4138" s="22" t="s">
        <v>316</v>
      </c>
      <c r="H4138" s="8"/>
      <c r="I4138" s="35"/>
      <c r="J4138" s="38">
        <v>1</v>
      </c>
      <c r="K4138" s="39">
        <v>12</v>
      </c>
      <c r="L4138" s="39">
        <f>K4138*J4138</f>
        <v>12</v>
      </c>
      <c r="M4138" s="117" t="s">
        <v>349</v>
      </c>
      <c r="N4138" s="33">
        <v>45581</v>
      </c>
      <c r="O4138" s="32">
        <v>6544</v>
      </c>
      <c r="P4138" s="6" t="s">
        <v>3</v>
      </c>
      <c r="Q4138" s="39">
        <v>12</v>
      </c>
      <c r="R4138" s="322">
        <f>Q4138*J4138</f>
        <v>12</v>
      </c>
      <c r="S4138" s="7">
        <v>0</v>
      </c>
      <c r="T4138" s="7">
        <f>S4138*J4138</f>
        <v>0</v>
      </c>
      <c r="U4138" s="21"/>
      <c r="V4138" s="260">
        <v>120</v>
      </c>
      <c r="W4138" s="1136">
        <f t="shared" ref="W4138:W4144" si="340">(((K4138*V4138)-S4138)/(K4138*V4138))</f>
        <v>1</v>
      </c>
    </row>
    <row r="4139" spans="1:51" s="191" customFormat="1" ht="18" customHeight="1">
      <c r="B4139" s="190"/>
      <c r="C4139" s="179" t="s">
        <v>5104</v>
      </c>
      <c r="D4139" s="180" t="s">
        <v>4193</v>
      </c>
      <c r="E4139" s="217"/>
      <c r="F4139" s="182"/>
      <c r="G4139" s="182" t="s">
        <v>250</v>
      </c>
      <c r="H4139" s="184" t="s">
        <v>251</v>
      </c>
      <c r="I4139" s="185"/>
      <c r="J4139" s="183"/>
      <c r="K4139" s="192">
        <v>0</v>
      </c>
      <c r="L4139" s="187"/>
      <c r="M4139" s="1310"/>
      <c r="N4139" s="187">
        <v>45581</v>
      </c>
      <c r="O4139" s="186">
        <v>6544</v>
      </c>
      <c r="P4139" s="179"/>
      <c r="Q4139" s="255">
        <v>0</v>
      </c>
      <c r="R4139" s="322">
        <v>0</v>
      </c>
      <c r="S4139" s="275">
        <v>0</v>
      </c>
      <c r="T4139" s="198">
        <v>0</v>
      </c>
      <c r="U4139" s="271"/>
      <c r="V4139" s="260">
        <v>120</v>
      </c>
      <c r="W4139" s="1136" t="e">
        <f t="shared" si="340"/>
        <v>#DIV/0!</v>
      </c>
    </row>
    <row r="4140" spans="1:51" customFormat="1" ht="18" customHeight="1">
      <c r="A4140" s="1"/>
      <c r="B4140" s="26"/>
      <c r="C4140" s="6" t="s">
        <v>5109</v>
      </c>
      <c r="D4140" s="14" t="s">
        <v>4963</v>
      </c>
      <c r="E4140" s="19" t="s">
        <v>59</v>
      </c>
      <c r="F4140" s="107"/>
      <c r="G4140" s="22"/>
      <c r="H4140" s="108"/>
      <c r="I4140" s="109"/>
      <c r="J4140" s="108"/>
      <c r="K4140" s="110" t="s">
        <v>5</v>
      </c>
      <c r="L4140" s="33"/>
      <c r="M4140" s="33"/>
      <c r="N4140" s="33">
        <v>45597</v>
      </c>
      <c r="O4140" s="32">
        <v>6543</v>
      </c>
      <c r="P4140" s="14"/>
      <c r="Q4140" s="254"/>
      <c r="R4140" s="1"/>
      <c r="S4140" s="261"/>
      <c r="T4140" s="92"/>
      <c r="U4140" s="264"/>
      <c r="V4140" s="260">
        <v>120</v>
      </c>
      <c r="W4140" s="1136" t="e">
        <f t="shared" si="340"/>
        <v>#VALUE!</v>
      </c>
      <c r="X4140" s="1"/>
      <c r="Y4140" s="1"/>
      <c r="Z4140" s="1"/>
      <c r="AA4140" s="1"/>
      <c r="AB4140" s="1"/>
      <c r="AC4140" s="1"/>
      <c r="AD4140" s="1"/>
      <c r="AE4140" s="1"/>
      <c r="AF4140" s="1"/>
      <c r="AG4140" s="1"/>
      <c r="AH4140" s="1"/>
      <c r="AI4140" s="1"/>
      <c r="AJ4140" s="1"/>
      <c r="AK4140" s="1"/>
      <c r="AL4140" s="1"/>
      <c r="AM4140" s="1"/>
      <c r="AN4140" s="1"/>
      <c r="AO4140" s="1"/>
      <c r="AP4140" s="1"/>
      <c r="AQ4140" s="1"/>
      <c r="AR4140" s="1"/>
      <c r="AS4140" s="1"/>
      <c r="AT4140" s="1"/>
      <c r="AU4140" s="1"/>
      <c r="AV4140" s="1"/>
      <c r="AW4140" s="1"/>
      <c r="AX4140" s="1"/>
      <c r="AY4140" s="1"/>
    </row>
    <row r="4141" spans="1:51" s="1316" customFormat="1" ht="18" customHeight="1">
      <c r="B4141" s="1317" t="s">
        <v>302</v>
      </c>
      <c r="C4141" s="1318" t="s">
        <v>5109</v>
      </c>
      <c r="D4141" s="1319" t="s">
        <v>4963</v>
      </c>
      <c r="E4141" s="1321">
        <v>2440</v>
      </c>
      <c r="F4141" s="1320">
        <v>140</v>
      </c>
      <c r="G4141" s="1321" t="s">
        <v>5110</v>
      </c>
      <c r="H4141" s="1322">
        <v>58</v>
      </c>
      <c r="I4141" s="1323">
        <v>1</v>
      </c>
      <c r="J4141" s="1324">
        <f>H4141*I4141</f>
        <v>58</v>
      </c>
      <c r="K4141" s="1325">
        <v>4.17</v>
      </c>
      <c r="L4141" s="1325">
        <f>K4141*J4141</f>
        <v>241.85999999999999</v>
      </c>
      <c r="M4141" s="1326" t="s">
        <v>323</v>
      </c>
      <c r="N4141" s="1336" t="s">
        <v>72</v>
      </c>
      <c r="O4141" s="1336" t="s">
        <v>72</v>
      </c>
      <c r="P4141" s="1327">
        <f>ROUNDUP(S4141/V4141/VLOOKUP(B4141,$C$2:$F$6,3,FALSE),2)</f>
        <v>2.94</v>
      </c>
      <c r="Q4141" s="1328">
        <v>2.94</v>
      </c>
      <c r="R4141" s="1329">
        <f>Q4141*J4141</f>
        <v>170.52</v>
      </c>
      <c r="S4141" s="1330">
        <v>310</v>
      </c>
      <c r="T4141" s="1331">
        <f>S4141*J4141</f>
        <v>17980</v>
      </c>
      <c r="U4141" s="1332"/>
      <c r="V4141" s="1333">
        <v>120</v>
      </c>
      <c r="W4141" s="1334">
        <f t="shared" si="340"/>
        <v>0.3804956035171862</v>
      </c>
      <c r="X4141" s="1335"/>
      <c r="Y4141" s="1335"/>
      <c r="Z4141" s="1335"/>
      <c r="AA4141" s="1335"/>
      <c r="AB4141" s="1335"/>
      <c r="AC4141" s="1335"/>
      <c r="AD4141" s="1335"/>
      <c r="AE4141" s="1335"/>
      <c r="AF4141" s="1335"/>
      <c r="AG4141" s="1335"/>
      <c r="AH4141" s="1335"/>
      <c r="AI4141" s="1335"/>
      <c r="AJ4141" s="1335"/>
      <c r="AK4141" s="1335"/>
      <c r="AL4141" s="1335"/>
      <c r="AM4141" s="1335"/>
      <c r="AN4141" s="1335"/>
      <c r="AO4141" s="1335"/>
      <c r="AP4141" s="1335"/>
      <c r="AQ4141" s="1335"/>
      <c r="AR4141" s="1335"/>
      <c r="AS4141" s="1335"/>
      <c r="AT4141" s="1335"/>
      <c r="AU4141" s="1335"/>
      <c r="AV4141" s="1335"/>
      <c r="AW4141" s="1335"/>
      <c r="AX4141" s="1335"/>
      <c r="AY4141" s="1335"/>
    </row>
    <row r="4142" spans="1:51" customFormat="1" ht="18" customHeight="1">
      <c r="B4142" s="12" t="s">
        <v>302</v>
      </c>
      <c r="C4142" s="6" t="s">
        <v>5109</v>
      </c>
      <c r="D4142" s="14" t="s">
        <v>4963</v>
      </c>
      <c r="E4142" s="22">
        <v>2440</v>
      </c>
      <c r="F4142" s="107">
        <v>140</v>
      </c>
      <c r="G4142" s="22" t="s">
        <v>5111</v>
      </c>
      <c r="H4142" s="108">
        <v>58</v>
      </c>
      <c r="I4142" s="109">
        <v>1</v>
      </c>
      <c r="J4142" s="8">
        <f>H4142*I4142</f>
        <v>58</v>
      </c>
      <c r="K4142" s="39">
        <v>4.17</v>
      </c>
      <c r="L4142" s="39">
        <f>K4142*J4142</f>
        <v>241.85999999999999</v>
      </c>
      <c r="M4142" s="117" t="s">
        <v>323</v>
      </c>
      <c r="N4142" s="33">
        <v>45597</v>
      </c>
      <c r="O4142" s="32">
        <v>6543</v>
      </c>
      <c r="P4142" s="391">
        <f>ROUNDUP(S4142/V4142/VLOOKUP(B4142,$C$2:$F$6,3,FALSE),2)</f>
        <v>2.94</v>
      </c>
      <c r="Q4142" s="254">
        <v>2.94</v>
      </c>
      <c r="R4142" s="323">
        <f>Q4142*J4142</f>
        <v>170.52</v>
      </c>
      <c r="S4142" s="257">
        <v>310</v>
      </c>
      <c r="T4142" s="287">
        <f>S4142*J4142</f>
        <v>17980</v>
      </c>
      <c r="U4142" s="264"/>
      <c r="V4142" s="260">
        <v>120</v>
      </c>
      <c r="W4142" s="1136">
        <f>(((K4142*V4142)-S4142)/(K4142*V4142))</f>
        <v>0.3804956035171862</v>
      </c>
      <c r="X4142" s="1"/>
      <c r="Y4142" s="1"/>
      <c r="Z4142" s="1"/>
      <c r="AA4142" s="1"/>
      <c r="AB4142" s="1"/>
      <c r="AC4142" s="1"/>
      <c r="AD4142" s="1"/>
      <c r="AE4142" s="1"/>
      <c r="AF4142" s="1"/>
      <c r="AG4142" s="1"/>
      <c r="AH4142" s="1"/>
      <c r="AI4142" s="1"/>
      <c r="AJ4142" s="1"/>
      <c r="AK4142" s="1"/>
      <c r="AL4142" s="1"/>
      <c r="AM4142" s="1"/>
      <c r="AN4142" s="1"/>
      <c r="AO4142" s="1"/>
      <c r="AP4142" s="1"/>
      <c r="AQ4142" s="1"/>
      <c r="AR4142" s="1"/>
      <c r="AS4142" s="1"/>
      <c r="AT4142" s="1"/>
      <c r="AU4142" s="1"/>
      <c r="AV4142" s="1"/>
      <c r="AW4142" s="1"/>
      <c r="AX4142" s="1"/>
      <c r="AY4142" s="1"/>
    </row>
    <row r="4143" spans="1:51" customFormat="1" ht="18" customHeight="1">
      <c r="B4143" s="12" t="s">
        <v>302</v>
      </c>
      <c r="C4143" s="6" t="s">
        <v>5117</v>
      </c>
      <c r="D4143" s="14" t="s">
        <v>4963</v>
      </c>
      <c r="E4143" s="22">
        <v>2440</v>
      </c>
      <c r="F4143" s="107">
        <v>140</v>
      </c>
      <c r="G4143" s="22" t="s">
        <v>5118</v>
      </c>
      <c r="H4143" s="108">
        <v>58</v>
      </c>
      <c r="I4143" s="109">
        <v>1</v>
      </c>
      <c r="J4143" s="8">
        <f>H4143*I4143</f>
        <v>58</v>
      </c>
      <c r="K4143" s="39">
        <v>4.17</v>
      </c>
      <c r="L4143" s="39">
        <f>K4143*J4143</f>
        <v>241.85999999999999</v>
      </c>
      <c r="M4143" s="117" t="s">
        <v>323</v>
      </c>
      <c r="N4143" s="33">
        <v>45597</v>
      </c>
      <c r="O4143" s="32">
        <v>6543</v>
      </c>
      <c r="P4143" s="391">
        <f>ROUNDUP(S4143/V4143/VLOOKUP(B4143,$C$2:$F$6,3,FALSE),2)</f>
        <v>2.94</v>
      </c>
      <c r="Q4143" s="254">
        <v>2.94</v>
      </c>
      <c r="R4143" s="323">
        <f>Q4143*J4143</f>
        <v>170.52</v>
      </c>
      <c r="S4143" s="257">
        <v>310</v>
      </c>
      <c r="T4143" s="287">
        <f>S4143*J4143</f>
        <v>17980</v>
      </c>
      <c r="U4143" s="264"/>
      <c r="V4143" s="260">
        <v>120</v>
      </c>
      <c r="W4143" s="1136">
        <f>(((K4143*V4143)-S4143)/(K4143*V4143))</f>
        <v>0.3804956035171862</v>
      </c>
      <c r="X4143" s="1"/>
      <c r="Y4143" s="1"/>
      <c r="Z4143" s="1"/>
      <c r="AA4143" s="1"/>
      <c r="AB4143" s="1"/>
      <c r="AC4143" s="1"/>
      <c r="AD4143" s="1"/>
      <c r="AE4143" s="1"/>
      <c r="AF4143" s="1"/>
      <c r="AG4143" s="1"/>
      <c r="AH4143" s="1"/>
      <c r="AI4143" s="1"/>
      <c r="AJ4143" s="1"/>
      <c r="AK4143" s="1"/>
      <c r="AL4143" s="1"/>
      <c r="AM4143" s="1"/>
      <c r="AN4143" s="1"/>
      <c r="AO4143" s="1"/>
      <c r="AP4143" s="1"/>
      <c r="AQ4143" s="1"/>
      <c r="AR4143" s="1"/>
      <c r="AS4143" s="1"/>
      <c r="AT4143" s="1"/>
      <c r="AU4143" s="1"/>
      <c r="AV4143" s="1"/>
      <c r="AW4143" s="1"/>
      <c r="AX4143" s="1"/>
      <c r="AY4143" s="1"/>
    </row>
    <row r="4144" spans="1:51" s="7" customFormat="1" ht="15">
      <c r="B4144" s="12"/>
      <c r="C4144" s="6" t="s">
        <v>5117</v>
      </c>
      <c r="D4144" s="14" t="s">
        <v>4963</v>
      </c>
      <c r="E4144" s="49"/>
      <c r="F4144" s="102"/>
      <c r="G4144" s="22" t="s">
        <v>316</v>
      </c>
      <c r="H4144" s="38"/>
      <c r="I4144" s="35"/>
      <c r="J4144" s="38">
        <v>1</v>
      </c>
      <c r="K4144" s="39">
        <v>20</v>
      </c>
      <c r="L4144" s="39">
        <f>K4144*J4144</f>
        <v>20</v>
      </c>
      <c r="M4144" s="91"/>
      <c r="N4144" s="33">
        <v>45597</v>
      </c>
      <c r="O4144" s="32">
        <v>6543</v>
      </c>
      <c r="P4144" s="722"/>
      <c r="Q4144" s="322">
        <v>20</v>
      </c>
      <c r="R4144" s="322">
        <f>Q4144*J4144</f>
        <v>20</v>
      </c>
      <c r="S4144" s="7">
        <v>2500</v>
      </c>
      <c r="T4144" s="7">
        <f>S4144*J4144</f>
        <v>2500</v>
      </c>
      <c r="U4144" s="21"/>
      <c r="V4144" s="260">
        <v>120</v>
      </c>
      <c r="W4144" s="1136">
        <f t="shared" si="340"/>
        <v>-4.1666666666666664E-2</v>
      </c>
    </row>
    <row r="4145" spans="1:51" s="191" customFormat="1" ht="15">
      <c r="B4145" s="190"/>
      <c r="C4145" s="179" t="s">
        <v>5117</v>
      </c>
      <c r="D4145" s="180" t="s">
        <v>4963</v>
      </c>
      <c r="E4145" s="181"/>
      <c r="F4145" s="182"/>
      <c r="G4145" s="182" t="s">
        <v>2738</v>
      </c>
      <c r="H4145" s="184" t="s">
        <v>374</v>
      </c>
      <c r="I4145" s="185"/>
      <c r="J4145" s="183"/>
      <c r="K4145" s="203">
        <v>150</v>
      </c>
      <c r="L4145" s="203">
        <v>150</v>
      </c>
      <c r="M4145" s="187"/>
      <c r="N4145" s="187">
        <v>45597</v>
      </c>
      <c r="O4145" s="186">
        <v>6543</v>
      </c>
      <c r="P4145" s="179"/>
      <c r="Q4145" s="203">
        <v>150</v>
      </c>
      <c r="R4145" s="203">
        <v>150</v>
      </c>
      <c r="S4145" s="7">
        <v>12573</v>
      </c>
      <c r="T4145" s="7">
        <v>12573</v>
      </c>
      <c r="U4145" s="271"/>
      <c r="V4145" s="260">
        <v>120</v>
      </c>
      <c r="W4145" s="1136">
        <f>(((K4145*V4145)-S4145)/(K4145*V4145))</f>
        <v>0.30149999999999999</v>
      </c>
    </row>
    <row r="4146" spans="1:51" customFormat="1" ht="18" customHeight="1">
      <c r="A4146" s="1"/>
      <c r="B4146" s="26"/>
      <c r="C4146" s="6" t="s">
        <v>5108</v>
      </c>
      <c r="D4146" s="14" t="s">
        <v>3067</v>
      </c>
      <c r="E4146" s="19" t="s">
        <v>59</v>
      </c>
      <c r="F4146" s="107"/>
      <c r="G4146" s="22"/>
      <c r="H4146" s="108"/>
      <c r="I4146" s="109"/>
      <c r="J4146" s="108"/>
      <c r="K4146" s="110" t="s">
        <v>5</v>
      </c>
      <c r="L4146" s="33"/>
      <c r="M4146" s="33"/>
      <c r="N4146" s="33">
        <v>45586</v>
      </c>
      <c r="O4146" s="32">
        <v>6553</v>
      </c>
      <c r="P4146" s="14"/>
      <c r="Q4146" s="254"/>
      <c r="R4146" s="1"/>
      <c r="S4146" s="261"/>
      <c r="T4146" s="92"/>
      <c r="U4146" s="264"/>
      <c r="V4146" s="260">
        <v>120</v>
      </c>
      <c r="W4146" s="1136" t="e">
        <f>(((K4146*V4146)-S4146)/(K4146*V4146))</f>
        <v>#VALUE!</v>
      </c>
      <c r="X4146" s="1"/>
      <c r="Y4146" s="1"/>
      <c r="Z4146" s="1"/>
      <c r="AA4146" s="1"/>
      <c r="AB4146" s="1"/>
      <c r="AC4146" s="1"/>
      <c r="AD4146" s="1"/>
      <c r="AE4146" s="1"/>
      <c r="AF4146" s="1"/>
      <c r="AG4146" s="1"/>
      <c r="AH4146" s="1"/>
      <c r="AI4146" s="1"/>
      <c r="AJ4146" s="1"/>
      <c r="AK4146" s="1"/>
      <c r="AL4146" s="1"/>
      <c r="AM4146" s="1"/>
      <c r="AN4146" s="1"/>
      <c r="AO4146" s="1"/>
      <c r="AP4146" s="1"/>
      <c r="AQ4146" s="1"/>
      <c r="AR4146" s="1"/>
      <c r="AS4146" s="1"/>
      <c r="AT4146" s="1"/>
      <c r="AU4146" s="1"/>
      <c r="AV4146" s="1"/>
      <c r="AW4146" s="1"/>
      <c r="AX4146" s="1"/>
      <c r="AY4146" s="1"/>
    </row>
    <row r="4147" spans="1:51" customFormat="1" ht="18" customHeight="1">
      <c r="B4147" s="12" t="s">
        <v>302</v>
      </c>
      <c r="C4147" s="6" t="s">
        <v>5108</v>
      </c>
      <c r="D4147" s="14" t="s">
        <v>3067</v>
      </c>
      <c r="E4147" s="22">
        <v>2440</v>
      </c>
      <c r="F4147" s="107">
        <v>140</v>
      </c>
      <c r="G4147" s="22" t="s">
        <v>5107</v>
      </c>
      <c r="H4147" s="108">
        <v>58</v>
      </c>
      <c r="I4147" s="109">
        <v>2</v>
      </c>
      <c r="J4147" s="8">
        <f>H4147*I4147</f>
        <v>116</v>
      </c>
      <c r="K4147" s="39">
        <v>3.23</v>
      </c>
      <c r="L4147" s="39">
        <f>K4147*J4147</f>
        <v>374.68</v>
      </c>
      <c r="M4147" s="117" t="s">
        <v>323</v>
      </c>
      <c r="N4147" s="33">
        <v>45586</v>
      </c>
      <c r="O4147" s="32">
        <v>6553</v>
      </c>
      <c r="P4147" s="391">
        <f>ROUNDUP(S4147/V4147/VLOOKUP(B4147,$C$2:$F$6,3,FALSE),2)</f>
        <v>2.94</v>
      </c>
      <c r="Q4147" s="254">
        <v>2.94</v>
      </c>
      <c r="R4147" s="323">
        <f>Q4147*J4147</f>
        <v>341.04</v>
      </c>
      <c r="S4147" s="257">
        <v>310</v>
      </c>
      <c r="T4147" s="287">
        <f>S4147*J4147</f>
        <v>35960</v>
      </c>
      <c r="U4147" s="264"/>
      <c r="V4147" s="260">
        <v>120</v>
      </c>
      <c r="W4147" s="1136">
        <f>(((K4147*V4147)-S4147)/(K4147*V4147))</f>
        <v>0.20020639834881326</v>
      </c>
      <c r="X4147" s="1"/>
      <c r="Y4147" s="1"/>
      <c r="Z4147" s="1"/>
      <c r="AA4147" s="1"/>
      <c r="AB4147" s="1"/>
      <c r="AC4147" s="1"/>
      <c r="AD4147" s="1"/>
      <c r="AE4147" s="1"/>
      <c r="AF4147" s="1"/>
      <c r="AG4147" s="1"/>
      <c r="AH4147" s="1"/>
      <c r="AI4147" s="1"/>
      <c r="AJ4147" s="1"/>
      <c r="AK4147" s="1"/>
      <c r="AL4147" s="1"/>
      <c r="AM4147" s="1"/>
      <c r="AN4147" s="1"/>
      <c r="AO4147" s="1"/>
      <c r="AP4147" s="1"/>
      <c r="AQ4147" s="1"/>
      <c r="AR4147" s="1"/>
      <c r="AS4147" s="1"/>
      <c r="AT4147" s="1"/>
      <c r="AU4147" s="1"/>
      <c r="AV4147" s="1"/>
      <c r="AW4147" s="1"/>
      <c r="AX4147" s="1"/>
      <c r="AY4147" s="1"/>
    </row>
    <row r="4148" spans="1:51" s="7" customFormat="1" ht="15">
      <c r="B4148" s="12"/>
      <c r="C4148" s="6" t="s">
        <v>5108</v>
      </c>
      <c r="D4148" s="14" t="s">
        <v>3067</v>
      </c>
      <c r="E4148" s="22"/>
      <c r="F4148" s="102"/>
      <c r="G4148" s="22" t="s">
        <v>316</v>
      </c>
      <c r="H4148" s="38"/>
      <c r="I4148" s="35"/>
      <c r="J4148" s="38">
        <v>1</v>
      </c>
      <c r="K4148" s="39">
        <v>20</v>
      </c>
      <c r="L4148" s="39">
        <f>K4148*J4148</f>
        <v>20</v>
      </c>
      <c r="M4148" s="91"/>
      <c r="N4148" s="33">
        <v>45586</v>
      </c>
      <c r="O4148" s="32">
        <v>6553</v>
      </c>
      <c r="P4148" s="722"/>
      <c r="Q4148" s="322">
        <v>20</v>
      </c>
      <c r="R4148" s="322">
        <f>Q4148*J4148</f>
        <v>20</v>
      </c>
      <c r="S4148" s="7">
        <v>0</v>
      </c>
      <c r="T4148" s="7">
        <f>S4148*J4148</f>
        <v>0</v>
      </c>
      <c r="U4148" s="21"/>
      <c r="V4148" s="260">
        <v>120</v>
      </c>
      <c r="W4148" s="1136">
        <f>(((K4148*V4148)-S4148)/(K4148*V4148))</f>
        <v>1</v>
      </c>
    </row>
    <row r="4149" spans="1:51" s="191" customFormat="1" ht="15">
      <c r="B4149" s="190"/>
      <c r="C4149" s="179" t="s">
        <v>5108</v>
      </c>
      <c r="D4149" s="180" t="s">
        <v>3067</v>
      </c>
      <c r="E4149" s="217"/>
      <c r="F4149" s="182"/>
      <c r="G4149" s="182" t="s">
        <v>2738</v>
      </c>
      <c r="H4149" s="184" t="s">
        <v>251</v>
      </c>
      <c r="I4149" s="185"/>
      <c r="J4149" s="183"/>
      <c r="K4149" s="192">
        <v>0</v>
      </c>
      <c r="L4149" s="187"/>
      <c r="M4149" s="187"/>
      <c r="N4149" s="187">
        <v>45586</v>
      </c>
      <c r="O4149" s="186">
        <v>6553</v>
      </c>
      <c r="P4149" s="179"/>
      <c r="Q4149" s="203"/>
      <c r="R4149" s="203"/>
      <c r="S4149" s="203"/>
      <c r="T4149" s="203"/>
      <c r="U4149" s="271"/>
      <c r="V4149" s="260">
        <v>120</v>
      </c>
      <c r="W4149" s="1136" t="e">
        <f>(((K4149*V4149)-S4149)/(K4149*V4149))</f>
        <v>#DIV/0!</v>
      </c>
    </row>
    <row r="4150" spans="1:51" customFormat="1" ht="18" customHeight="1">
      <c r="A4150" s="1"/>
      <c r="B4150" s="26"/>
      <c r="C4150" s="6" t="s">
        <v>5112</v>
      </c>
      <c r="D4150" s="14" t="s">
        <v>3067</v>
      </c>
      <c r="E4150" s="19" t="s">
        <v>59</v>
      </c>
      <c r="F4150" s="107"/>
      <c r="G4150" s="22"/>
      <c r="H4150" s="108"/>
      <c r="I4150" s="109"/>
      <c r="J4150" s="108"/>
      <c r="K4150" s="110" t="s">
        <v>5</v>
      </c>
      <c r="L4150" s="33"/>
      <c r="M4150" s="33"/>
      <c r="N4150" s="33">
        <v>45586</v>
      </c>
      <c r="O4150" s="32">
        <v>6553</v>
      </c>
      <c r="P4150" s="14"/>
      <c r="Q4150" s="254"/>
      <c r="R4150" s="1"/>
      <c r="S4150" s="261"/>
      <c r="T4150" s="92"/>
      <c r="U4150" s="264"/>
      <c r="V4150" s="260">
        <v>120</v>
      </c>
      <c r="W4150" s="1136" t="e">
        <f t="shared" ref="W4150:W4155" si="341">(((K4150*V4150)-S4150)/(K4150*V4150))</f>
        <v>#VALUE!</v>
      </c>
      <c r="X4150" s="1"/>
      <c r="Y4150" s="1"/>
      <c r="Z4150" s="1"/>
      <c r="AA4150" s="1"/>
      <c r="AB4150" s="1"/>
      <c r="AC4150" s="1"/>
      <c r="AD4150" s="1"/>
      <c r="AE4150" s="1"/>
      <c r="AF4150" s="1"/>
      <c r="AG4150" s="1"/>
      <c r="AH4150" s="1"/>
      <c r="AI4150" s="1"/>
      <c r="AJ4150" s="1"/>
      <c r="AK4150" s="1"/>
      <c r="AL4150" s="1"/>
      <c r="AM4150" s="1"/>
      <c r="AN4150" s="1"/>
      <c r="AO4150" s="1"/>
      <c r="AP4150" s="1"/>
      <c r="AQ4150" s="1"/>
      <c r="AR4150" s="1"/>
      <c r="AS4150" s="1"/>
      <c r="AT4150" s="1"/>
      <c r="AU4150" s="1"/>
      <c r="AV4150" s="1"/>
      <c r="AW4150" s="1"/>
      <c r="AX4150" s="1"/>
      <c r="AY4150" s="1"/>
    </row>
    <row r="4151" spans="1:51" customFormat="1" ht="18" customHeight="1">
      <c r="B4151" s="12" t="s">
        <v>302</v>
      </c>
      <c r="C4151" s="6" t="s">
        <v>5112</v>
      </c>
      <c r="D4151" s="14" t="s">
        <v>3067</v>
      </c>
      <c r="E4151" s="22">
        <v>2440</v>
      </c>
      <c r="F4151" s="107">
        <v>140</v>
      </c>
      <c r="G4151" s="22" t="s">
        <v>5113</v>
      </c>
      <c r="H4151" s="108">
        <v>58</v>
      </c>
      <c r="I4151" s="109">
        <v>3</v>
      </c>
      <c r="J4151" s="8">
        <f>H4151*I4151</f>
        <v>174</v>
      </c>
      <c r="K4151" s="39">
        <v>3.88</v>
      </c>
      <c r="L4151" s="39">
        <f>K4151*J4151</f>
        <v>675.12</v>
      </c>
      <c r="M4151" s="117" t="s">
        <v>323</v>
      </c>
      <c r="N4151" s="33">
        <v>45586</v>
      </c>
      <c r="O4151" s="32">
        <v>6553</v>
      </c>
      <c r="P4151" s="391">
        <f>ROUNDUP(S4151/V4151/VLOOKUP(B4151,$C$2:$F$6,3,FALSE),2)</f>
        <v>2.94</v>
      </c>
      <c r="Q4151" s="254">
        <v>2.94</v>
      </c>
      <c r="R4151" s="323">
        <f>Q4151*J4151</f>
        <v>511.56</v>
      </c>
      <c r="S4151" s="257">
        <v>310</v>
      </c>
      <c r="T4151" s="287">
        <f>S4151*J4151</f>
        <v>53940</v>
      </c>
      <c r="U4151" s="264"/>
      <c r="V4151" s="260">
        <v>120</v>
      </c>
      <c r="W4151" s="1136">
        <f t="shared" si="341"/>
        <v>0.33419243986254293</v>
      </c>
      <c r="X4151" s="1"/>
      <c r="Y4151" s="1"/>
      <c r="Z4151" s="1"/>
      <c r="AA4151" s="1"/>
      <c r="AB4151" s="1"/>
      <c r="AC4151" s="1"/>
      <c r="AD4151" s="1"/>
      <c r="AE4151" s="1"/>
      <c r="AF4151" s="1"/>
      <c r="AG4151" s="1"/>
      <c r="AH4151" s="1"/>
      <c r="AI4151" s="1"/>
      <c r="AJ4151" s="1"/>
      <c r="AK4151" s="1"/>
      <c r="AL4151" s="1"/>
      <c r="AM4151" s="1"/>
      <c r="AN4151" s="1"/>
      <c r="AO4151" s="1"/>
      <c r="AP4151" s="1"/>
      <c r="AQ4151" s="1"/>
      <c r="AR4151" s="1"/>
      <c r="AS4151" s="1"/>
      <c r="AT4151" s="1"/>
      <c r="AU4151" s="1"/>
      <c r="AV4151" s="1"/>
      <c r="AW4151" s="1"/>
      <c r="AX4151" s="1"/>
      <c r="AY4151" s="1"/>
    </row>
    <row r="4152" spans="1:51" s="7" customFormat="1" ht="15">
      <c r="B4152" s="12"/>
      <c r="C4152" s="6" t="s">
        <v>5112</v>
      </c>
      <c r="D4152" s="14" t="s">
        <v>3067</v>
      </c>
      <c r="E4152" s="49"/>
      <c r="F4152" s="102"/>
      <c r="G4152" s="22" t="s">
        <v>316</v>
      </c>
      <c r="H4152" s="38"/>
      <c r="I4152" s="35"/>
      <c r="J4152" s="38">
        <v>1</v>
      </c>
      <c r="K4152" s="39">
        <v>20</v>
      </c>
      <c r="L4152" s="39">
        <f>K4152*J4152</f>
        <v>20</v>
      </c>
      <c r="M4152" s="91"/>
      <c r="N4152" s="33">
        <v>45586</v>
      </c>
      <c r="O4152" s="32">
        <v>6553</v>
      </c>
      <c r="P4152" s="722"/>
      <c r="Q4152" s="322">
        <v>20</v>
      </c>
      <c r="R4152" s="322">
        <f>Q4152*J4152</f>
        <v>20</v>
      </c>
      <c r="S4152" s="7">
        <v>2500</v>
      </c>
      <c r="T4152" s="7">
        <f>S4152*J4152</f>
        <v>2500</v>
      </c>
      <c r="U4152" s="21"/>
      <c r="V4152" s="260">
        <v>120</v>
      </c>
      <c r="W4152" s="1136">
        <f t="shared" si="341"/>
        <v>-4.1666666666666664E-2</v>
      </c>
    </row>
    <row r="4153" spans="1:51" s="191" customFormat="1" ht="15">
      <c r="B4153" s="190"/>
      <c r="C4153" s="179" t="s">
        <v>5112</v>
      </c>
      <c r="D4153" s="180" t="s">
        <v>3067</v>
      </c>
      <c r="E4153" s="181"/>
      <c r="F4153" s="182"/>
      <c r="G4153" s="182" t="s">
        <v>2738</v>
      </c>
      <c r="H4153" s="184" t="s">
        <v>251</v>
      </c>
      <c r="I4153" s="185"/>
      <c r="J4153" s="183"/>
      <c r="K4153" s="192">
        <v>0</v>
      </c>
      <c r="L4153" s="187"/>
      <c r="M4153" s="187"/>
      <c r="N4153" s="187">
        <v>45586</v>
      </c>
      <c r="O4153" s="186">
        <v>6553</v>
      </c>
      <c r="P4153" s="179"/>
      <c r="Q4153" s="203"/>
      <c r="R4153" s="203"/>
      <c r="S4153" s="203"/>
      <c r="T4153" s="203"/>
      <c r="U4153" s="271"/>
      <c r="V4153" s="260">
        <v>120</v>
      </c>
      <c r="W4153" s="1136" t="e">
        <f t="shared" si="341"/>
        <v>#DIV/0!</v>
      </c>
    </row>
    <row r="4154" spans="1:51" s="7" customFormat="1" ht="18" customHeight="1">
      <c r="B4154" s="12"/>
      <c r="C4154" s="6" t="s">
        <v>5114</v>
      </c>
      <c r="D4154" s="14" t="s">
        <v>4193</v>
      </c>
      <c r="E4154" s="17" t="s">
        <v>160</v>
      </c>
      <c r="F4154" s="319"/>
      <c r="G4154" s="299"/>
      <c r="H4154" s="300" t="s">
        <v>355</v>
      </c>
      <c r="I4154" s="320"/>
      <c r="J4154" s="321"/>
      <c r="K4154" s="110" t="s">
        <v>101</v>
      </c>
      <c r="L4154" s="139"/>
      <c r="M4154" s="33"/>
      <c r="N4154" s="33">
        <v>45587</v>
      </c>
      <c r="O4154" s="32">
        <v>6564</v>
      </c>
      <c r="P4154" s="6"/>
      <c r="Q4154" s="322"/>
      <c r="U4154" s="39"/>
      <c r="V4154" s="260">
        <v>120</v>
      </c>
      <c r="W4154" s="1136" t="e">
        <f t="shared" si="341"/>
        <v>#VALUE!</v>
      </c>
    </row>
    <row r="4155" spans="1:51" s="7" customFormat="1" ht="18" customHeight="1">
      <c r="B4155" s="12" t="s">
        <v>300</v>
      </c>
      <c r="C4155" s="6" t="s">
        <v>5114</v>
      </c>
      <c r="D4155" s="14" t="s">
        <v>4193</v>
      </c>
      <c r="E4155" s="22">
        <v>14552</v>
      </c>
      <c r="F4155" s="24">
        <v>25</v>
      </c>
      <c r="G4155" s="22" t="s">
        <v>5087</v>
      </c>
      <c r="H4155" s="108">
        <v>30</v>
      </c>
      <c r="I4155" s="109">
        <v>1</v>
      </c>
      <c r="J4155" s="8">
        <f>H4155*I4155</f>
        <v>30</v>
      </c>
      <c r="K4155" s="39">
        <v>1.2</v>
      </c>
      <c r="L4155" s="39">
        <f>K4155*J4155</f>
        <v>36</v>
      </c>
      <c r="M4155" s="117" t="s">
        <v>323</v>
      </c>
      <c r="N4155" s="33">
        <v>45587</v>
      </c>
      <c r="O4155" s="32">
        <v>6564</v>
      </c>
      <c r="P4155" s="391">
        <f>ROUNDUP(S4155/V4155/VLOOKUP(B4155,$C$2:$F$6,3,FALSE),2)</f>
        <v>0.86</v>
      </c>
      <c r="Q4155" s="358">
        <v>0.86</v>
      </c>
      <c r="R4155" s="322">
        <f>Q4155*J4155</f>
        <v>25.8</v>
      </c>
      <c r="S4155" s="7">
        <v>72</v>
      </c>
      <c r="T4155" s="7">
        <f>S4155*J4155</f>
        <v>2160</v>
      </c>
      <c r="U4155" s="267"/>
      <c r="V4155" s="260">
        <v>120</v>
      </c>
      <c r="W4155" s="1136">
        <f t="shared" si="341"/>
        <v>0.5</v>
      </c>
    </row>
    <row r="4156" spans="1:51" s="7" customFormat="1" ht="18" customHeight="1">
      <c r="B4156" s="12" t="s">
        <v>300</v>
      </c>
      <c r="C4156" s="6" t="s">
        <v>5114</v>
      </c>
      <c r="D4156" s="14" t="s">
        <v>4193</v>
      </c>
      <c r="E4156" s="22">
        <v>14552</v>
      </c>
      <c r="F4156" s="24">
        <v>25</v>
      </c>
      <c r="G4156" s="22" t="s">
        <v>5115</v>
      </c>
      <c r="H4156" s="108">
        <v>30</v>
      </c>
      <c r="I4156" s="109">
        <v>1</v>
      </c>
      <c r="J4156" s="8">
        <f>H4156*I4156</f>
        <v>30</v>
      </c>
      <c r="K4156" s="39">
        <v>1.2</v>
      </c>
      <c r="L4156" s="39">
        <f>K4156*J4156</f>
        <v>36</v>
      </c>
      <c r="M4156" s="117" t="s">
        <v>323</v>
      </c>
      <c r="N4156" s="33">
        <v>45587</v>
      </c>
      <c r="O4156" s="32">
        <v>6564</v>
      </c>
      <c r="P4156" s="391">
        <f>ROUNDUP(S4156/V4156/VLOOKUP(B4156,$C$2:$F$6,3,FALSE),2)</f>
        <v>0.86</v>
      </c>
      <c r="Q4156" s="358">
        <v>0.86</v>
      </c>
      <c r="R4156" s="322">
        <f>Q4156*J4156</f>
        <v>25.8</v>
      </c>
      <c r="S4156" s="7">
        <v>72</v>
      </c>
      <c r="T4156" s="7">
        <f>S4156*J4156</f>
        <v>2160</v>
      </c>
      <c r="U4156" s="267"/>
      <c r="V4156" s="260">
        <v>120</v>
      </c>
      <c r="W4156" s="1136">
        <f t="shared" ref="W4156:W4163" si="342">(((K4156*V4156)-S4156)/(K4156*V4156))</f>
        <v>0.5</v>
      </c>
    </row>
    <row r="4157" spans="1:51" s="7" customFormat="1" ht="18" customHeight="1">
      <c r="B4157" s="12" t="s">
        <v>300</v>
      </c>
      <c r="C4157" s="6" t="s">
        <v>5114</v>
      </c>
      <c r="D4157" s="14" t="s">
        <v>4193</v>
      </c>
      <c r="E4157" s="22">
        <v>14552</v>
      </c>
      <c r="F4157" s="24">
        <v>25</v>
      </c>
      <c r="G4157" s="22" t="s">
        <v>5116</v>
      </c>
      <c r="H4157" s="108">
        <v>30</v>
      </c>
      <c r="I4157" s="109">
        <v>1</v>
      </c>
      <c r="J4157" s="8">
        <f>H4157*I4157</f>
        <v>30</v>
      </c>
      <c r="K4157" s="39">
        <v>1.2</v>
      </c>
      <c r="L4157" s="39">
        <f>K4157*J4157</f>
        <v>36</v>
      </c>
      <c r="M4157" s="117" t="s">
        <v>323</v>
      </c>
      <c r="N4157" s="33">
        <v>45587</v>
      </c>
      <c r="O4157" s="32">
        <v>6564</v>
      </c>
      <c r="P4157" s="391">
        <f>ROUNDUP(S4157/V4157/VLOOKUP(B4157,$C$2:$F$6,3,FALSE),2)</f>
        <v>0.86</v>
      </c>
      <c r="Q4157" s="358">
        <v>0.86</v>
      </c>
      <c r="R4157" s="322">
        <f>Q4157*J4157</f>
        <v>25.8</v>
      </c>
      <c r="S4157" s="7">
        <v>72</v>
      </c>
      <c r="T4157" s="7">
        <f>S4157*J4157</f>
        <v>2160</v>
      </c>
      <c r="U4157" s="267"/>
      <c r="V4157" s="260">
        <v>120</v>
      </c>
      <c r="W4157" s="1136">
        <f t="shared" si="342"/>
        <v>0.5</v>
      </c>
    </row>
    <row r="4158" spans="1:51" s="7" customFormat="1" ht="18" customHeight="1">
      <c r="B4158" s="12"/>
      <c r="C4158" s="6" t="s">
        <v>5114</v>
      </c>
      <c r="D4158" s="14" t="s">
        <v>4193</v>
      </c>
      <c r="E4158" s="49"/>
      <c r="F4158" s="102"/>
      <c r="G4158" s="22" t="s">
        <v>316</v>
      </c>
      <c r="H4158" s="8"/>
      <c r="I4158" s="35"/>
      <c r="J4158" s="38">
        <v>1</v>
      </c>
      <c r="K4158" s="39">
        <v>12</v>
      </c>
      <c r="L4158" s="39">
        <f>K4158*J4158</f>
        <v>12</v>
      </c>
      <c r="M4158" s="117" t="s">
        <v>349</v>
      </c>
      <c r="N4158" s="33">
        <v>45587</v>
      </c>
      <c r="O4158" s="32">
        <v>6564</v>
      </c>
      <c r="P4158" s="6" t="s">
        <v>3</v>
      </c>
      <c r="Q4158" s="39">
        <v>12</v>
      </c>
      <c r="R4158" s="322">
        <f>Q4158*J4158</f>
        <v>12</v>
      </c>
      <c r="S4158" s="7">
        <v>1100</v>
      </c>
      <c r="T4158" s="7">
        <f>S4158*J4158</f>
        <v>1100</v>
      </c>
      <c r="U4158" s="21"/>
      <c r="V4158" s="260">
        <v>120</v>
      </c>
      <c r="W4158" s="1136">
        <f t="shared" si="342"/>
        <v>0.2361111111111111</v>
      </c>
    </row>
    <row r="4159" spans="1:51" s="191" customFormat="1" ht="15">
      <c r="B4159" s="190"/>
      <c r="C4159" s="179" t="s">
        <v>5114</v>
      </c>
      <c r="D4159" s="180" t="s">
        <v>4193</v>
      </c>
      <c r="E4159" s="181"/>
      <c r="F4159" s="182"/>
      <c r="G4159" s="182" t="s">
        <v>2738</v>
      </c>
      <c r="H4159" s="184" t="s">
        <v>251</v>
      </c>
      <c r="I4159" s="185"/>
      <c r="J4159" s="183"/>
      <c r="K4159" s="192">
        <v>0</v>
      </c>
      <c r="L4159" s="187"/>
      <c r="M4159" s="187"/>
      <c r="N4159" s="187">
        <v>45587</v>
      </c>
      <c r="O4159" s="186">
        <v>6564</v>
      </c>
      <c r="P4159" s="179"/>
      <c r="Q4159" s="203"/>
      <c r="R4159" s="203"/>
      <c r="S4159" s="203"/>
      <c r="T4159" s="203"/>
      <c r="U4159" s="271"/>
      <c r="V4159" s="260">
        <v>120</v>
      </c>
      <c r="W4159" s="1136" t="e">
        <f t="shared" si="342"/>
        <v>#DIV/0!</v>
      </c>
    </row>
    <row r="4160" spans="1:51" customFormat="1" ht="18" customHeight="1">
      <c r="A4160" s="1"/>
      <c r="B4160" s="26"/>
      <c r="C4160" s="6" t="s">
        <v>5121</v>
      </c>
      <c r="D4160" s="14" t="s">
        <v>3067</v>
      </c>
      <c r="E4160" s="19" t="s">
        <v>59</v>
      </c>
      <c r="F4160" s="107"/>
      <c r="G4160" s="22"/>
      <c r="H4160" s="108"/>
      <c r="I4160" s="109"/>
      <c r="J4160" s="108"/>
      <c r="K4160" s="110" t="s">
        <v>5</v>
      </c>
      <c r="L4160" s="33"/>
      <c r="M4160" s="33"/>
      <c r="N4160" s="33">
        <v>45594</v>
      </c>
      <c r="O4160" s="32">
        <v>6592</v>
      </c>
      <c r="P4160" s="14"/>
      <c r="Q4160" s="254"/>
      <c r="R4160" s="1"/>
      <c r="S4160" s="261"/>
      <c r="T4160" s="92"/>
      <c r="U4160" s="264"/>
      <c r="V4160" s="260">
        <v>120</v>
      </c>
      <c r="W4160" s="1136" t="e">
        <f t="shared" si="342"/>
        <v>#VALUE!</v>
      </c>
      <c r="X4160" s="1"/>
      <c r="Y4160" s="1"/>
      <c r="Z4160" s="1"/>
      <c r="AA4160" s="1"/>
      <c r="AB4160" s="1"/>
      <c r="AC4160" s="1"/>
      <c r="AD4160" s="1"/>
      <c r="AE4160" s="1"/>
      <c r="AF4160" s="1"/>
      <c r="AG4160" s="1"/>
      <c r="AH4160" s="1"/>
      <c r="AI4160" s="1"/>
      <c r="AJ4160" s="1"/>
      <c r="AK4160" s="1"/>
      <c r="AL4160" s="1"/>
      <c r="AM4160" s="1"/>
      <c r="AN4160" s="1"/>
      <c r="AO4160" s="1"/>
      <c r="AP4160" s="1"/>
      <c r="AQ4160" s="1"/>
      <c r="AR4160" s="1"/>
      <c r="AS4160" s="1"/>
      <c r="AT4160" s="1"/>
      <c r="AU4160" s="1"/>
      <c r="AV4160" s="1"/>
      <c r="AW4160" s="1"/>
      <c r="AX4160" s="1"/>
      <c r="AY4160" s="1"/>
    </row>
    <row r="4161" spans="2:51" customFormat="1" ht="18" customHeight="1">
      <c r="B4161" s="12" t="s">
        <v>302</v>
      </c>
      <c r="C4161" s="6" t="s">
        <v>5121</v>
      </c>
      <c r="D4161" s="14" t="s">
        <v>3067</v>
      </c>
      <c r="E4161" s="22">
        <v>2440</v>
      </c>
      <c r="F4161" s="107">
        <v>140</v>
      </c>
      <c r="G4161" s="22" t="s">
        <v>5122</v>
      </c>
      <c r="H4161" s="108">
        <v>58</v>
      </c>
      <c r="I4161" s="109">
        <v>3</v>
      </c>
      <c r="J4161" s="8">
        <f>H4161*I4161</f>
        <v>174</v>
      </c>
      <c r="K4161" s="39">
        <v>3.88</v>
      </c>
      <c r="L4161" s="39">
        <f>K4161*J4161</f>
        <v>675.12</v>
      </c>
      <c r="M4161" s="117" t="s">
        <v>323</v>
      </c>
      <c r="N4161" s="33">
        <v>45594</v>
      </c>
      <c r="O4161" s="32">
        <v>6592</v>
      </c>
      <c r="P4161" s="391">
        <f>ROUNDUP(S4161/V4161/VLOOKUP(B4161,$C$2:$F$6,3,FALSE),2)</f>
        <v>2.94</v>
      </c>
      <c r="Q4161" s="254">
        <v>2.94</v>
      </c>
      <c r="R4161" s="323">
        <f>Q4161*J4161</f>
        <v>511.56</v>
      </c>
      <c r="S4161" s="257">
        <v>310</v>
      </c>
      <c r="T4161" s="287">
        <f>S4161*J4161</f>
        <v>53940</v>
      </c>
      <c r="U4161" s="264"/>
      <c r="V4161" s="260">
        <v>120</v>
      </c>
      <c r="W4161" s="1136">
        <f t="shared" si="342"/>
        <v>0.33419243986254293</v>
      </c>
      <c r="X4161" s="1"/>
      <c r="Y4161" s="1"/>
      <c r="Z4161" s="1"/>
      <c r="AA4161" s="1"/>
      <c r="AB4161" s="1"/>
      <c r="AC4161" s="1"/>
      <c r="AD4161" s="1"/>
      <c r="AE4161" s="1"/>
      <c r="AF4161" s="1"/>
      <c r="AG4161" s="1"/>
      <c r="AH4161" s="1"/>
      <c r="AI4161" s="1"/>
      <c r="AJ4161" s="1"/>
      <c r="AK4161" s="1"/>
      <c r="AL4161" s="1"/>
      <c r="AM4161" s="1"/>
      <c r="AN4161" s="1"/>
      <c r="AO4161" s="1"/>
      <c r="AP4161" s="1"/>
      <c r="AQ4161" s="1"/>
      <c r="AR4161" s="1"/>
      <c r="AS4161" s="1"/>
      <c r="AT4161" s="1"/>
      <c r="AU4161" s="1"/>
      <c r="AV4161" s="1"/>
      <c r="AW4161" s="1"/>
      <c r="AX4161" s="1"/>
      <c r="AY4161" s="1"/>
    </row>
    <row r="4162" spans="2:51" s="7" customFormat="1" ht="15">
      <c r="B4162" s="12"/>
      <c r="C4162" s="6" t="s">
        <v>5121</v>
      </c>
      <c r="D4162" s="14" t="s">
        <v>3067</v>
      </c>
      <c r="E4162" s="49"/>
      <c r="F4162" s="102"/>
      <c r="G4162" s="22" t="s">
        <v>316</v>
      </c>
      <c r="H4162" s="38"/>
      <c r="I4162" s="35"/>
      <c r="J4162" s="38">
        <v>1</v>
      </c>
      <c r="K4162" s="39">
        <v>20</v>
      </c>
      <c r="L4162" s="39">
        <f>K4162*J4162</f>
        <v>20</v>
      </c>
      <c r="M4162" s="91"/>
      <c r="N4162" s="33">
        <v>45594</v>
      </c>
      <c r="O4162" s="32">
        <v>6592</v>
      </c>
      <c r="P4162" s="722"/>
      <c r="Q4162" s="322">
        <v>20</v>
      </c>
      <c r="R4162" s="322">
        <f>Q4162*J4162</f>
        <v>20</v>
      </c>
      <c r="S4162" s="7">
        <v>2500</v>
      </c>
      <c r="T4162" s="7">
        <f>S4162*J4162</f>
        <v>2500</v>
      </c>
      <c r="U4162" s="21"/>
      <c r="V4162" s="260">
        <v>120</v>
      </c>
      <c r="W4162" s="1136">
        <f t="shared" si="342"/>
        <v>-4.1666666666666664E-2</v>
      </c>
    </row>
    <row r="4163" spans="2:51" s="191" customFormat="1" ht="15">
      <c r="B4163" s="190"/>
      <c r="C4163" s="179" t="s">
        <v>5121</v>
      </c>
      <c r="D4163" s="180" t="s">
        <v>3067</v>
      </c>
      <c r="E4163" s="181"/>
      <c r="F4163" s="182"/>
      <c r="G4163" s="182" t="s">
        <v>2738</v>
      </c>
      <c r="H4163" s="184" t="s">
        <v>251</v>
      </c>
      <c r="I4163" s="185"/>
      <c r="J4163" s="183"/>
      <c r="K4163" s="192">
        <v>0</v>
      </c>
      <c r="L4163" s="187"/>
      <c r="M4163" s="187"/>
      <c r="N4163" s="187">
        <v>45594</v>
      </c>
      <c r="O4163" s="186">
        <v>6592</v>
      </c>
      <c r="P4163" s="179"/>
      <c r="Q4163" s="203"/>
      <c r="R4163" s="203"/>
      <c r="S4163" s="203"/>
      <c r="T4163" s="203"/>
      <c r="U4163" s="271"/>
      <c r="V4163" s="260">
        <v>120</v>
      </c>
      <c r="W4163" s="1136" t="e">
        <f t="shared" si="342"/>
        <v>#DIV/0!</v>
      </c>
    </row>
    <row r="4164" spans="2:51" s="7" customFormat="1" ht="18" customHeight="1">
      <c r="B4164" s="12"/>
      <c r="C4164" s="6" t="s">
        <v>5120</v>
      </c>
      <c r="D4164" s="14" t="s">
        <v>4693</v>
      </c>
      <c r="E4164" s="19" t="s">
        <v>4809</v>
      </c>
      <c r="F4164" s="107"/>
      <c r="G4164" s="22"/>
      <c r="H4164" s="108"/>
      <c r="I4164" s="109"/>
      <c r="J4164" s="108"/>
      <c r="K4164" s="29" t="s">
        <v>5</v>
      </c>
      <c r="L4164" s="39"/>
      <c r="M4164" s="91"/>
      <c r="N4164" s="33">
        <v>45594</v>
      </c>
      <c r="O4164" s="32">
        <v>6582</v>
      </c>
      <c r="P4164" s="14"/>
      <c r="Q4164" s="322"/>
      <c r="U4164" s="14"/>
      <c r="V4164" s="384">
        <v>120</v>
      </c>
    </row>
    <row r="4165" spans="2:51" s="7" customFormat="1" ht="18" customHeight="1">
      <c r="B4165" s="12" t="s">
        <v>302</v>
      </c>
      <c r="C4165" s="6" t="s">
        <v>5120</v>
      </c>
      <c r="D4165" s="14" t="s">
        <v>4693</v>
      </c>
      <c r="E4165" s="22" t="s">
        <v>4808</v>
      </c>
      <c r="F4165" s="107">
        <v>140</v>
      </c>
      <c r="G4165" s="396" t="s">
        <v>4483</v>
      </c>
      <c r="H4165" s="108">
        <v>51.2</v>
      </c>
      <c r="I4165" s="109">
        <v>1</v>
      </c>
      <c r="J4165" s="131">
        <f>I4165*H4165</f>
        <v>51.2</v>
      </c>
      <c r="K4165" s="39">
        <v>14.64</v>
      </c>
      <c r="L4165" s="39">
        <f>K4165*J4165</f>
        <v>749.5680000000001</v>
      </c>
      <c r="M4165" s="117" t="s">
        <v>323</v>
      </c>
      <c r="N4165" s="33">
        <v>45594</v>
      </c>
      <c r="O4165" s="32">
        <v>6582</v>
      </c>
      <c r="P4165" s="391">
        <f>ROUNDUP(S4165/V4165/VLOOKUP(B4165,$C$2:$F$6,3,FALSE),2)</f>
        <v>11.65</v>
      </c>
      <c r="Q4165" s="322">
        <v>11.65</v>
      </c>
      <c r="R4165" s="322">
        <f>Q4165*J4165</f>
        <v>596.48</v>
      </c>
      <c r="S4165" s="92">
        <v>1230</v>
      </c>
      <c r="T4165" s="7">
        <f>S4165*J4165</f>
        <v>62976</v>
      </c>
      <c r="U4165" s="21"/>
      <c r="V4165" s="260">
        <v>120</v>
      </c>
      <c r="W4165" s="1136">
        <f>(((K4165*V4165)-S4165)/(K4165*V4165))</f>
        <v>0.29986338797814216</v>
      </c>
    </row>
    <row r="4166" spans="2:51" s="7" customFormat="1" ht="18" customHeight="1">
      <c r="B4166" s="12"/>
      <c r="C4166" s="6" t="s">
        <v>5120</v>
      </c>
      <c r="D4166" s="14" t="s">
        <v>4693</v>
      </c>
      <c r="E4166" s="49"/>
      <c r="F4166" s="102"/>
      <c r="G4166" s="22" t="s">
        <v>316</v>
      </c>
      <c r="H4166" s="8"/>
      <c r="I4166" s="35"/>
      <c r="J4166" s="38">
        <v>1</v>
      </c>
      <c r="K4166" s="39">
        <v>20</v>
      </c>
      <c r="L4166" s="39">
        <f>K4166*J4166</f>
        <v>20</v>
      </c>
      <c r="M4166" s="91"/>
      <c r="N4166" s="33">
        <v>45594</v>
      </c>
      <c r="O4166" s="32">
        <v>6582</v>
      </c>
      <c r="P4166" s="6" t="s">
        <v>3</v>
      </c>
      <c r="Q4166" s="39">
        <v>20</v>
      </c>
      <c r="R4166" s="322">
        <f>Q4166*J4166</f>
        <v>20</v>
      </c>
      <c r="S4166" s="7">
        <v>0</v>
      </c>
      <c r="T4166" s="7">
        <f>S4166*J4166</f>
        <v>0</v>
      </c>
      <c r="U4166" s="21"/>
      <c r="V4166" s="260">
        <v>120</v>
      </c>
      <c r="W4166" s="1136">
        <f>(((K4166*V4166)-S4166)/(K4166*V4166))</f>
        <v>1</v>
      </c>
    </row>
    <row r="4167" spans="2:51" s="191" customFormat="1" ht="18" customHeight="1">
      <c r="B4167" s="190"/>
      <c r="C4167" s="179" t="s">
        <v>5120</v>
      </c>
      <c r="D4167" s="180" t="s">
        <v>4693</v>
      </c>
      <c r="E4167" s="181"/>
      <c r="F4167" s="622"/>
      <c r="G4167" s="182" t="s">
        <v>250</v>
      </c>
      <c r="H4167" s="184" t="s">
        <v>251</v>
      </c>
      <c r="I4167" s="185"/>
      <c r="J4167" s="183"/>
      <c r="K4167" s="192">
        <v>0</v>
      </c>
      <c r="L4167" s="187"/>
      <c r="M4167" s="187"/>
      <c r="N4167" s="187">
        <v>45594</v>
      </c>
      <c r="O4167" s="186">
        <v>6582</v>
      </c>
      <c r="P4167" s="179"/>
      <c r="Q4167" s="255">
        <v>0</v>
      </c>
      <c r="R4167" s="322">
        <v>0</v>
      </c>
      <c r="S4167" s="275">
        <v>0</v>
      </c>
      <c r="T4167" s="198">
        <v>0</v>
      </c>
      <c r="U4167" s="271"/>
      <c r="V4167" s="260">
        <v>120</v>
      </c>
      <c r="W4167" s="1136" t="e">
        <f t="shared" ref="W4167:W4174" si="343">(((K4167*V4167)-S4167)/(K4167*V4167))</f>
        <v>#DIV/0!</v>
      </c>
    </row>
    <row r="4168" spans="2:51" s="7" customFormat="1" ht="18" customHeight="1">
      <c r="B4168" s="12"/>
      <c r="C4168" s="6" t="s">
        <v>5123</v>
      </c>
      <c r="D4168" s="14" t="s">
        <v>2171</v>
      </c>
      <c r="E4168" s="19" t="s">
        <v>10</v>
      </c>
      <c r="F4168" s="107"/>
      <c r="G4168" s="1256"/>
      <c r="H4168" s="108"/>
      <c r="I4168" s="109"/>
      <c r="J4168" s="108"/>
      <c r="K4168" s="29" t="s">
        <v>5</v>
      </c>
      <c r="L4168" s="139"/>
      <c r="M4168" s="33"/>
      <c r="N4168" s="33">
        <v>45618</v>
      </c>
      <c r="O4168" s="32">
        <v>6593</v>
      </c>
      <c r="P4168" s="14"/>
      <c r="Q4168" s="322"/>
      <c r="U4168" s="14"/>
      <c r="V4168" s="260">
        <v>120</v>
      </c>
      <c r="W4168" s="1136" t="e">
        <f t="shared" si="343"/>
        <v>#VALUE!</v>
      </c>
    </row>
    <row r="4169" spans="2:51" s="7" customFormat="1" ht="18" customHeight="1">
      <c r="B4169" s="12" t="s">
        <v>302</v>
      </c>
      <c r="C4169" s="6" t="s">
        <v>5123</v>
      </c>
      <c r="D4169" s="14" t="s">
        <v>2171</v>
      </c>
      <c r="E4169" s="22" t="s">
        <v>207</v>
      </c>
      <c r="F4169" s="107">
        <v>152</v>
      </c>
      <c r="G4169" s="22" t="s">
        <v>5124</v>
      </c>
      <c r="H4169" s="1255">
        <v>50</v>
      </c>
      <c r="I4169" s="109">
        <v>2</v>
      </c>
      <c r="J4169" s="8">
        <f>I4169*H4169</f>
        <v>100</v>
      </c>
      <c r="K4169" s="39">
        <v>4.7300000000000004</v>
      </c>
      <c r="L4169" s="39">
        <f>K4169*J4169</f>
        <v>473.00000000000006</v>
      </c>
      <c r="M4169" s="403" t="s">
        <v>322</v>
      </c>
      <c r="N4169" s="33">
        <v>45618</v>
      </c>
      <c r="O4169" s="32">
        <v>6593</v>
      </c>
      <c r="P4169" s="391">
        <f>ROUNDUP(S4169/V4169/VLOOKUP(B4169,$C$2:$F$6,3,FALSE),2)</f>
        <v>3.4099999999999997</v>
      </c>
      <c r="Q4169" s="322">
        <v>3.41</v>
      </c>
      <c r="R4169" s="322">
        <f>Q4169*J4169</f>
        <v>341</v>
      </c>
      <c r="S4169" s="7">
        <v>360</v>
      </c>
      <c r="T4169" s="7">
        <f>S4169*J4169</f>
        <v>36000</v>
      </c>
      <c r="U4169" s="21"/>
      <c r="V4169" s="260">
        <v>120</v>
      </c>
      <c r="W4169" s="1136">
        <f t="shared" si="343"/>
        <v>0.36575052854122625</v>
      </c>
    </row>
    <row r="4170" spans="2:51" s="7" customFormat="1" ht="18" customHeight="1">
      <c r="B4170" s="12" t="s">
        <v>302</v>
      </c>
      <c r="C4170" s="6" t="s">
        <v>5123</v>
      </c>
      <c r="D4170" s="14" t="s">
        <v>2171</v>
      </c>
      <c r="E4170" s="22" t="s">
        <v>207</v>
      </c>
      <c r="F4170" s="107">
        <v>152</v>
      </c>
      <c r="G4170" s="1257" t="s">
        <v>4928</v>
      </c>
      <c r="H4170" s="1255">
        <v>50</v>
      </c>
      <c r="I4170" s="109">
        <v>1</v>
      </c>
      <c r="J4170" s="8">
        <f>I4170*H4170</f>
        <v>50</v>
      </c>
      <c r="K4170" s="39">
        <v>4.7300000000000004</v>
      </c>
      <c r="L4170" s="39">
        <f>K4170*J4170</f>
        <v>236.50000000000003</v>
      </c>
      <c r="M4170" s="403" t="s">
        <v>322</v>
      </c>
      <c r="N4170" s="33">
        <v>45618</v>
      </c>
      <c r="O4170" s="32">
        <v>6593</v>
      </c>
      <c r="P4170" s="391">
        <f>ROUNDUP(S4170/V4170/VLOOKUP(B4170,$C$2:$F$6,3,FALSE),2)</f>
        <v>3.4099999999999997</v>
      </c>
      <c r="Q4170" s="322">
        <v>3.41</v>
      </c>
      <c r="R4170" s="322">
        <f>Q4170*J4170</f>
        <v>170.5</v>
      </c>
      <c r="S4170" s="7">
        <v>360</v>
      </c>
      <c r="T4170" s="7">
        <f>S4170*J4170</f>
        <v>18000</v>
      </c>
      <c r="U4170" s="21"/>
      <c r="V4170" s="260">
        <v>120</v>
      </c>
      <c r="W4170" s="1136">
        <f t="shared" si="343"/>
        <v>0.36575052854122625</v>
      </c>
    </row>
    <row r="4171" spans="2:51" s="7" customFormat="1" ht="18" customHeight="1">
      <c r="B4171" s="12" t="s">
        <v>302</v>
      </c>
      <c r="C4171" s="6" t="s">
        <v>5123</v>
      </c>
      <c r="D4171" s="14" t="s">
        <v>2171</v>
      </c>
      <c r="E4171" s="22" t="s">
        <v>207</v>
      </c>
      <c r="F4171" s="107">
        <v>152</v>
      </c>
      <c r="G4171" s="1257" t="s">
        <v>5125</v>
      </c>
      <c r="H4171" s="1255">
        <v>50</v>
      </c>
      <c r="I4171" s="109">
        <v>1</v>
      </c>
      <c r="J4171" s="8">
        <f>I4171*H4171</f>
        <v>50</v>
      </c>
      <c r="K4171" s="39">
        <v>4.7300000000000004</v>
      </c>
      <c r="L4171" s="39">
        <f>K4171*J4171</f>
        <v>236.50000000000003</v>
      </c>
      <c r="M4171" s="403" t="s">
        <v>322</v>
      </c>
      <c r="N4171" s="33">
        <v>45618</v>
      </c>
      <c r="O4171" s="32">
        <v>6593</v>
      </c>
      <c r="P4171" s="391">
        <f>ROUNDUP(S4171/V4171/VLOOKUP(B4171,$C$2:$F$6,3,FALSE),2)</f>
        <v>3.4099999999999997</v>
      </c>
      <c r="Q4171" s="322">
        <v>3.41</v>
      </c>
      <c r="R4171" s="322">
        <f>Q4171*J4171</f>
        <v>170.5</v>
      </c>
      <c r="S4171" s="7">
        <v>360</v>
      </c>
      <c r="T4171" s="7">
        <f>S4171*J4171</f>
        <v>18000</v>
      </c>
      <c r="U4171" s="21"/>
      <c r="V4171" s="260">
        <v>120</v>
      </c>
      <c r="W4171" s="1136">
        <f t="shared" si="343"/>
        <v>0.36575052854122625</v>
      </c>
    </row>
    <row r="4172" spans="2:51" s="7" customFormat="1" ht="18" customHeight="1">
      <c r="B4172" s="12" t="s">
        <v>302</v>
      </c>
      <c r="C4172" s="6" t="s">
        <v>5123</v>
      </c>
      <c r="D4172" s="14" t="s">
        <v>2171</v>
      </c>
      <c r="E4172" s="22" t="s">
        <v>207</v>
      </c>
      <c r="F4172" s="107">
        <v>152</v>
      </c>
      <c r="G4172" s="1257" t="s">
        <v>5126</v>
      </c>
      <c r="H4172" s="1255">
        <v>50</v>
      </c>
      <c r="I4172" s="109">
        <v>1</v>
      </c>
      <c r="J4172" s="8">
        <f>I4172*H4172</f>
        <v>50</v>
      </c>
      <c r="K4172" s="39">
        <v>4.7300000000000004</v>
      </c>
      <c r="L4172" s="39">
        <f>K4172*J4172</f>
        <v>236.50000000000003</v>
      </c>
      <c r="M4172" s="403" t="s">
        <v>322</v>
      </c>
      <c r="N4172" s="33">
        <v>45618</v>
      </c>
      <c r="O4172" s="32">
        <v>6593</v>
      </c>
      <c r="P4172" s="391">
        <f>ROUNDUP(S4172/V4172/VLOOKUP(B4172,$C$2:$F$6,3,FALSE),2)</f>
        <v>3.4099999999999997</v>
      </c>
      <c r="Q4172" s="322">
        <v>3.41</v>
      </c>
      <c r="R4172" s="322">
        <f>Q4172*J4172</f>
        <v>170.5</v>
      </c>
      <c r="S4172" s="7">
        <v>360</v>
      </c>
      <c r="T4172" s="7">
        <f>S4172*J4172</f>
        <v>18000</v>
      </c>
      <c r="U4172" s="21"/>
      <c r="V4172" s="260">
        <v>120</v>
      </c>
      <c r="W4172" s="1136">
        <f t="shared" si="343"/>
        <v>0.36575052854122625</v>
      </c>
    </row>
    <row r="4173" spans="2:51" s="7" customFormat="1" ht="18" customHeight="1">
      <c r="B4173" s="12"/>
      <c r="C4173" s="6" t="s">
        <v>5123</v>
      </c>
      <c r="D4173" s="14" t="s">
        <v>2171</v>
      </c>
      <c r="E4173" s="853"/>
      <c r="F4173" s="102"/>
      <c r="G4173" s="22" t="s">
        <v>316</v>
      </c>
      <c r="H4173" s="8"/>
      <c r="I4173" s="35"/>
      <c r="J4173" s="38">
        <v>1</v>
      </c>
      <c r="K4173" s="39">
        <v>20</v>
      </c>
      <c r="L4173" s="39">
        <f>K4173*J4173</f>
        <v>20</v>
      </c>
      <c r="M4173" s="91"/>
      <c r="N4173" s="33">
        <v>45618</v>
      </c>
      <c r="O4173" s="32">
        <v>6593</v>
      </c>
      <c r="P4173" s="6" t="s">
        <v>3</v>
      </c>
      <c r="Q4173" s="39">
        <v>20</v>
      </c>
      <c r="R4173" s="322">
        <f>Q4173*J4173</f>
        <v>20</v>
      </c>
      <c r="S4173" s="7">
        <v>2500</v>
      </c>
      <c r="T4173" s="7">
        <f>S4173*J4173</f>
        <v>2500</v>
      </c>
      <c r="U4173" s="21"/>
      <c r="V4173" s="260">
        <v>120</v>
      </c>
      <c r="W4173" s="1136">
        <f t="shared" si="343"/>
        <v>-4.1666666666666664E-2</v>
      </c>
    </row>
    <row r="4174" spans="2:51" s="191" customFormat="1" ht="15.75">
      <c r="B4174" s="190"/>
      <c r="C4174" s="179" t="s">
        <v>5123</v>
      </c>
      <c r="D4174" s="180" t="s">
        <v>2171</v>
      </c>
      <c r="E4174" s="181"/>
      <c r="F4174" s="182"/>
      <c r="G4174" s="309" t="s">
        <v>324</v>
      </c>
      <c r="H4174" s="184" t="s">
        <v>252</v>
      </c>
      <c r="I4174" s="185"/>
      <c r="J4174" s="183"/>
      <c r="K4174" s="203" t="s">
        <v>5156</v>
      </c>
      <c r="L4174" s="203" t="s">
        <v>5156</v>
      </c>
      <c r="M4174" s="187"/>
      <c r="N4174" s="187">
        <v>45618</v>
      </c>
      <c r="O4174" s="186">
        <v>6593</v>
      </c>
      <c r="P4174" s="179"/>
      <c r="Q4174" s="203" t="s">
        <v>5156</v>
      </c>
      <c r="R4174" s="203" t="s">
        <v>5156</v>
      </c>
      <c r="S4174" s="203" t="s">
        <v>5156</v>
      </c>
      <c r="T4174" s="203" t="s">
        <v>5156</v>
      </c>
      <c r="U4174" s="271"/>
      <c r="V4174" s="260">
        <v>120</v>
      </c>
      <c r="W4174" s="1136" t="e">
        <f t="shared" si="343"/>
        <v>#VALUE!</v>
      </c>
    </row>
    <row r="4175" spans="2:51" s="7" customFormat="1" ht="18" customHeight="1">
      <c r="B4175" s="12"/>
      <c r="C4175" s="6" t="s">
        <v>5127</v>
      </c>
      <c r="D4175" s="14" t="s">
        <v>2171</v>
      </c>
      <c r="E4175" s="19" t="s">
        <v>10</v>
      </c>
      <c r="F4175" s="107"/>
      <c r="G4175" s="1256"/>
      <c r="H4175" s="108"/>
      <c r="I4175" s="109"/>
      <c r="J4175" s="108"/>
      <c r="K4175" s="29" t="s">
        <v>5</v>
      </c>
      <c r="L4175" s="139"/>
      <c r="M4175" s="33"/>
      <c r="N4175" s="33">
        <v>45618</v>
      </c>
      <c r="O4175" s="32">
        <v>6593</v>
      </c>
      <c r="P4175" s="14"/>
      <c r="Q4175" s="322"/>
      <c r="U4175" s="14"/>
      <c r="V4175" s="260">
        <v>120</v>
      </c>
      <c r="W4175" s="1136" t="e">
        <f t="shared" ref="W4175:W4187" si="344">(((K4175*V4175)-S4175)/(K4175*V4175))</f>
        <v>#VALUE!</v>
      </c>
    </row>
    <row r="4176" spans="2:51" s="7" customFormat="1" ht="18" customHeight="1">
      <c r="B4176" s="12" t="s">
        <v>302</v>
      </c>
      <c r="C4176" s="6" t="s">
        <v>5127</v>
      </c>
      <c r="D4176" s="14" t="s">
        <v>2171</v>
      </c>
      <c r="E4176" s="22" t="s">
        <v>207</v>
      </c>
      <c r="F4176" s="107">
        <v>152</v>
      </c>
      <c r="G4176" s="22" t="s">
        <v>5128</v>
      </c>
      <c r="H4176" s="1255">
        <v>50</v>
      </c>
      <c r="I4176" s="109">
        <v>3</v>
      </c>
      <c r="J4176" s="8">
        <f>I4176*H4176</f>
        <v>150</v>
      </c>
      <c r="K4176" s="39">
        <v>4.7300000000000004</v>
      </c>
      <c r="L4176" s="39">
        <f>K4176*J4176</f>
        <v>709.50000000000011</v>
      </c>
      <c r="M4176" s="403" t="s">
        <v>322</v>
      </c>
      <c r="N4176" s="33">
        <v>45618</v>
      </c>
      <c r="O4176" s="32">
        <v>6593</v>
      </c>
      <c r="P4176" s="391">
        <f>ROUNDUP(S4176/V4176/VLOOKUP(B4176,$C$2:$F$6,3,FALSE),2)</f>
        <v>3.4099999999999997</v>
      </c>
      <c r="Q4176" s="322">
        <v>3.41</v>
      </c>
      <c r="R4176" s="322">
        <f>Q4176*J4176</f>
        <v>511.5</v>
      </c>
      <c r="S4176" s="7">
        <v>360</v>
      </c>
      <c r="T4176" s="7">
        <f>S4176*J4176</f>
        <v>54000</v>
      </c>
      <c r="U4176" s="21"/>
      <c r="V4176" s="260">
        <v>120</v>
      </c>
      <c r="W4176" s="1136">
        <f t="shared" si="344"/>
        <v>0.36575052854122625</v>
      </c>
    </row>
    <row r="4177" spans="1:51" s="7" customFormat="1" ht="18" customHeight="1">
      <c r="B4177" s="12"/>
      <c r="C4177" s="6" t="s">
        <v>5127</v>
      </c>
      <c r="D4177" s="14" t="s">
        <v>2171</v>
      </c>
      <c r="E4177" s="22"/>
      <c r="F4177" s="102"/>
      <c r="G4177" s="22" t="s">
        <v>316</v>
      </c>
      <c r="H4177" s="8"/>
      <c r="I4177" s="35"/>
      <c r="J4177" s="38">
        <v>1</v>
      </c>
      <c r="K4177" s="39">
        <v>20</v>
      </c>
      <c r="L4177" s="39">
        <f>K4177*J4177</f>
        <v>20</v>
      </c>
      <c r="M4177" s="91"/>
      <c r="N4177" s="33">
        <v>45618</v>
      </c>
      <c r="O4177" s="32">
        <v>6593</v>
      </c>
      <c r="P4177" s="6" t="s">
        <v>3</v>
      </c>
      <c r="Q4177" s="39">
        <v>20</v>
      </c>
      <c r="R4177" s="322">
        <f>Q4177*J4177</f>
        <v>20</v>
      </c>
      <c r="S4177" s="7">
        <v>2500</v>
      </c>
      <c r="T4177" s="7">
        <f>S4177*J4177</f>
        <v>2500</v>
      </c>
      <c r="U4177" s="21"/>
      <c r="V4177" s="260">
        <v>120</v>
      </c>
      <c r="W4177" s="1136">
        <f t="shared" si="344"/>
        <v>-4.1666666666666664E-2</v>
      </c>
    </row>
    <row r="4178" spans="1:51" s="191" customFormat="1" ht="15.75">
      <c r="B4178" s="190"/>
      <c r="C4178" s="179" t="s">
        <v>5127</v>
      </c>
      <c r="D4178" s="180" t="s">
        <v>2171</v>
      </c>
      <c r="E4178" s="181"/>
      <c r="F4178" s="182"/>
      <c r="G4178" s="309" t="s">
        <v>324</v>
      </c>
      <c r="H4178" s="184" t="s">
        <v>252</v>
      </c>
      <c r="I4178" s="185"/>
      <c r="J4178" s="183"/>
      <c r="K4178" s="203" t="s">
        <v>5156</v>
      </c>
      <c r="L4178" s="203" t="s">
        <v>5156</v>
      </c>
      <c r="M4178" s="187"/>
      <c r="N4178" s="187">
        <v>45618</v>
      </c>
      <c r="O4178" s="186">
        <v>6593</v>
      </c>
      <c r="P4178" s="179"/>
      <c r="Q4178" s="203" t="s">
        <v>5156</v>
      </c>
      <c r="R4178" s="203" t="s">
        <v>5156</v>
      </c>
      <c r="S4178" s="203" t="s">
        <v>5156</v>
      </c>
      <c r="T4178" s="203" t="s">
        <v>5156</v>
      </c>
      <c r="U4178" s="271"/>
      <c r="V4178" s="260">
        <v>120</v>
      </c>
      <c r="W4178" s="1136" t="e">
        <f t="shared" si="344"/>
        <v>#VALUE!</v>
      </c>
    </row>
    <row r="4179" spans="1:51" s="7" customFormat="1" ht="18" customHeight="1">
      <c r="B4179" s="12"/>
      <c r="C4179" s="6" t="s">
        <v>5131</v>
      </c>
      <c r="D4179" s="14" t="s">
        <v>4963</v>
      </c>
      <c r="E4179" s="17" t="s">
        <v>5132</v>
      </c>
      <c r="F4179" s="319"/>
      <c r="G4179" s="299"/>
      <c r="H4179" s="300" t="s">
        <v>355</v>
      </c>
      <c r="I4179" s="320"/>
      <c r="J4179" s="321"/>
      <c r="K4179" s="110" t="s">
        <v>101</v>
      </c>
      <c r="L4179" s="139"/>
      <c r="M4179" s="33"/>
      <c r="N4179" s="33">
        <v>45604</v>
      </c>
      <c r="O4179" s="32">
        <v>6625</v>
      </c>
      <c r="P4179" s="6"/>
      <c r="Q4179" s="322"/>
      <c r="U4179" s="39"/>
      <c r="V4179" s="260">
        <v>120</v>
      </c>
      <c r="W4179" s="1136" t="e">
        <f t="shared" si="344"/>
        <v>#VALUE!</v>
      </c>
    </row>
    <row r="4180" spans="1:51" s="7" customFormat="1" ht="18" customHeight="1">
      <c r="B4180" s="12" t="s">
        <v>300</v>
      </c>
      <c r="C4180" s="6" t="s">
        <v>5131</v>
      </c>
      <c r="D4180" s="14" t="s">
        <v>4963</v>
      </c>
      <c r="E4180" s="22">
        <v>11707</v>
      </c>
      <c r="F4180" s="24">
        <v>12</v>
      </c>
      <c r="G4180" s="22" t="s">
        <v>5133</v>
      </c>
      <c r="H4180" s="108">
        <v>10</v>
      </c>
      <c r="I4180" s="109">
        <v>1</v>
      </c>
      <c r="J4180" s="8">
        <f>H4180*I4180</f>
        <v>10</v>
      </c>
      <c r="K4180" s="39">
        <v>1.84</v>
      </c>
      <c r="L4180" s="39">
        <f>K4180*J4180</f>
        <v>18.400000000000002</v>
      </c>
      <c r="M4180" s="117" t="s">
        <v>323</v>
      </c>
      <c r="N4180" s="33">
        <v>45604</v>
      </c>
      <c r="O4180" s="32">
        <v>6625</v>
      </c>
      <c r="P4180" s="391">
        <f>ROUNDUP(S4180/V4180/VLOOKUP(B4180,$C$2:$F$6,3,FALSE),2)</f>
        <v>1.19</v>
      </c>
      <c r="Q4180" s="358">
        <v>1.19</v>
      </c>
      <c r="R4180" s="322">
        <f>Q4180*J4180</f>
        <v>11.899999999999999</v>
      </c>
      <c r="S4180" s="7">
        <v>99.2</v>
      </c>
      <c r="T4180" s="7">
        <f>S4180*J4180</f>
        <v>992</v>
      </c>
      <c r="U4180" s="267"/>
      <c r="V4180" s="260">
        <v>120</v>
      </c>
      <c r="W4180" s="1136">
        <f t="shared" si="344"/>
        <v>0.55072463768115942</v>
      </c>
    </row>
    <row r="4181" spans="1:51" s="7" customFormat="1" ht="18" customHeight="1">
      <c r="B4181" s="12" t="s">
        <v>300</v>
      </c>
      <c r="C4181" s="6" t="s">
        <v>5131</v>
      </c>
      <c r="D4181" s="14" t="s">
        <v>4963</v>
      </c>
      <c r="E4181" s="22">
        <v>11707</v>
      </c>
      <c r="F4181" s="24">
        <v>50</v>
      </c>
      <c r="G4181" s="22" t="s">
        <v>5133</v>
      </c>
      <c r="H4181" s="108">
        <v>10</v>
      </c>
      <c r="I4181" s="109">
        <v>1</v>
      </c>
      <c r="J4181" s="8">
        <f>H4181*I4181</f>
        <v>10</v>
      </c>
      <c r="K4181" s="39">
        <v>7.23</v>
      </c>
      <c r="L4181" s="39">
        <f>K4181*J4181</f>
        <v>72.300000000000011</v>
      </c>
      <c r="M4181" s="117" t="s">
        <v>323</v>
      </c>
      <c r="N4181" s="33">
        <v>45604</v>
      </c>
      <c r="O4181" s="32">
        <v>6625</v>
      </c>
      <c r="P4181" s="391">
        <f>ROUNDUP(S4181/V4181/VLOOKUP(B4181,$C$2:$F$6,3,FALSE),2)</f>
        <v>4.6499999999999995</v>
      </c>
      <c r="Q4181" s="358">
        <v>4.6500000000000004</v>
      </c>
      <c r="R4181" s="322">
        <f>Q4181*J4181</f>
        <v>46.5</v>
      </c>
      <c r="S4181" s="7">
        <v>390</v>
      </c>
      <c r="T4181" s="7">
        <f>S4181*J4181</f>
        <v>3900</v>
      </c>
      <c r="U4181" s="267"/>
      <c r="V4181" s="260">
        <v>120</v>
      </c>
      <c r="W4181" s="1136">
        <f t="shared" si="344"/>
        <v>0.55048409405255883</v>
      </c>
    </row>
    <row r="4182" spans="1:51" s="7" customFormat="1" ht="18" customHeight="1">
      <c r="B4182" s="12"/>
      <c r="C4182" s="6" t="s">
        <v>5131</v>
      </c>
      <c r="D4182" s="14" t="s">
        <v>4963</v>
      </c>
      <c r="E4182" s="49"/>
      <c r="F4182" s="102"/>
      <c r="G4182" s="22" t="s">
        <v>316</v>
      </c>
      <c r="H4182" s="8"/>
      <c r="I4182" s="35"/>
      <c r="J4182" s="38">
        <v>1</v>
      </c>
      <c r="K4182" s="39">
        <v>12</v>
      </c>
      <c r="L4182" s="39">
        <f>K4182*J4182</f>
        <v>12</v>
      </c>
      <c r="M4182" s="117" t="s">
        <v>349</v>
      </c>
      <c r="N4182" s="33">
        <v>45604</v>
      </c>
      <c r="O4182" s="32">
        <v>6625</v>
      </c>
      <c r="P4182" s="6" t="s">
        <v>3</v>
      </c>
      <c r="Q4182" s="39">
        <v>12</v>
      </c>
      <c r="R4182" s="322">
        <f>Q4182*J4182</f>
        <v>12</v>
      </c>
      <c r="S4182" s="7">
        <v>0</v>
      </c>
      <c r="T4182" s="7">
        <f>S4182*J4182</f>
        <v>0</v>
      </c>
      <c r="U4182" s="21"/>
      <c r="V4182" s="260">
        <v>120</v>
      </c>
      <c r="W4182" s="1136">
        <f t="shared" si="344"/>
        <v>1</v>
      </c>
    </row>
    <row r="4183" spans="1:51" s="191" customFormat="1" ht="18" customHeight="1">
      <c r="B4183" s="190"/>
      <c r="C4183" s="179" t="s">
        <v>5131</v>
      </c>
      <c r="D4183" s="180" t="s">
        <v>4963</v>
      </c>
      <c r="E4183" s="217"/>
      <c r="F4183" s="182"/>
      <c r="G4183" s="182" t="s">
        <v>250</v>
      </c>
      <c r="H4183" s="184" t="s">
        <v>4405</v>
      </c>
      <c r="I4183" s="185"/>
      <c r="J4183" s="183"/>
      <c r="K4183" s="203">
        <v>52</v>
      </c>
      <c r="L4183" s="203">
        <v>52</v>
      </c>
      <c r="M4183" s="1310"/>
      <c r="N4183" s="187">
        <v>45604</v>
      </c>
      <c r="O4183" s="186">
        <v>6625</v>
      </c>
      <c r="P4183" s="179"/>
      <c r="Q4183" s="203">
        <v>52</v>
      </c>
      <c r="R4183" s="203">
        <v>52</v>
      </c>
      <c r="S4183" s="1337">
        <v>6159</v>
      </c>
      <c r="T4183" s="1337">
        <v>6159</v>
      </c>
      <c r="U4183" s="271"/>
      <c r="V4183" s="260">
        <v>120</v>
      </c>
      <c r="W4183" s="1136">
        <f t="shared" si="344"/>
        <v>1.2980769230769231E-2</v>
      </c>
    </row>
    <row r="4184" spans="1:51" customFormat="1" ht="18" customHeight="1">
      <c r="A4184" s="1"/>
      <c r="B4184" s="26"/>
      <c r="C4184" s="6" t="s">
        <v>5144</v>
      </c>
      <c r="D4184" s="14" t="s">
        <v>3067</v>
      </c>
      <c r="E4184" s="19" t="s">
        <v>59</v>
      </c>
      <c r="F4184" s="107"/>
      <c r="G4184" s="22"/>
      <c r="H4184" s="108"/>
      <c r="I4184" s="109"/>
      <c r="J4184" s="108"/>
      <c r="K4184" s="110" t="s">
        <v>5</v>
      </c>
      <c r="L4184" s="33"/>
      <c r="M4184" s="33"/>
      <c r="N4184" s="33">
        <v>45614</v>
      </c>
      <c r="O4184" s="32">
        <v>6634</v>
      </c>
      <c r="P4184" s="14"/>
      <c r="Q4184" s="254"/>
      <c r="R4184" s="1"/>
      <c r="S4184" s="261"/>
      <c r="T4184" s="92"/>
      <c r="U4184" s="264"/>
      <c r="V4184" s="260">
        <v>120</v>
      </c>
      <c r="W4184" s="1136" t="e">
        <f t="shared" si="344"/>
        <v>#VALUE!</v>
      </c>
      <c r="X4184" s="1"/>
      <c r="Y4184" s="1"/>
      <c r="Z4184" s="1"/>
      <c r="AA4184" s="1"/>
      <c r="AB4184" s="1"/>
      <c r="AC4184" s="1"/>
      <c r="AD4184" s="1"/>
      <c r="AE4184" s="1"/>
      <c r="AF4184" s="1"/>
      <c r="AG4184" s="1"/>
      <c r="AH4184" s="1"/>
      <c r="AI4184" s="1"/>
      <c r="AJ4184" s="1"/>
      <c r="AK4184" s="1"/>
      <c r="AL4184" s="1"/>
      <c r="AM4184" s="1"/>
      <c r="AN4184" s="1"/>
      <c r="AO4184" s="1"/>
      <c r="AP4184" s="1"/>
      <c r="AQ4184" s="1"/>
      <c r="AR4184" s="1"/>
      <c r="AS4184" s="1"/>
      <c r="AT4184" s="1"/>
      <c r="AU4184" s="1"/>
      <c r="AV4184" s="1"/>
      <c r="AW4184" s="1"/>
      <c r="AX4184" s="1"/>
      <c r="AY4184" s="1"/>
    </row>
    <row r="4185" spans="1:51" customFormat="1" ht="18" customHeight="1">
      <c r="B4185" s="12" t="s">
        <v>302</v>
      </c>
      <c r="C4185" s="6" t="s">
        <v>5144</v>
      </c>
      <c r="D4185" s="14" t="s">
        <v>3067</v>
      </c>
      <c r="E4185" s="22">
        <v>2440</v>
      </c>
      <c r="F4185" s="107">
        <v>140</v>
      </c>
      <c r="G4185" s="22" t="s">
        <v>4594</v>
      </c>
      <c r="H4185" s="108">
        <v>58</v>
      </c>
      <c r="I4185" s="109">
        <v>3</v>
      </c>
      <c r="J4185" s="8">
        <f>H4185*I4185</f>
        <v>174</v>
      </c>
      <c r="K4185" s="39">
        <v>3.88</v>
      </c>
      <c r="L4185" s="39">
        <f>K4185*J4185</f>
        <v>675.12</v>
      </c>
      <c r="M4185" s="117" t="s">
        <v>323</v>
      </c>
      <c r="N4185" s="33">
        <v>45614</v>
      </c>
      <c r="O4185" s="32">
        <v>6634</v>
      </c>
      <c r="P4185" s="391">
        <f>ROUNDUP(S4185/V4185/VLOOKUP(B4185,$C$2:$F$6,3,FALSE),2)</f>
        <v>2.94</v>
      </c>
      <c r="Q4185" s="254">
        <v>2.94</v>
      </c>
      <c r="R4185" s="323">
        <f>Q4185*J4185</f>
        <v>511.56</v>
      </c>
      <c r="S4185" s="257">
        <v>310</v>
      </c>
      <c r="T4185" s="287">
        <f>S4185*J4185</f>
        <v>53940</v>
      </c>
      <c r="U4185" s="264"/>
      <c r="V4185" s="260">
        <v>120</v>
      </c>
      <c r="W4185" s="1136">
        <f t="shared" si="344"/>
        <v>0.33419243986254293</v>
      </c>
      <c r="X4185" s="1"/>
      <c r="Y4185" s="1"/>
      <c r="Z4185" s="1"/>
      <c r="AA4185" s="1"/>
      <c r="AB4185" s="1"/>
      <c r="AC4185" s="1"/>
      <c r="AD4185" s="1"/>
      <c r="AE4185" s="1"/>
      <c r="AF4185" s="1"/>
      <c r="AG4185" s="1"/>
      <c r="AH4185" s="1"/>
      <c r="AI4185" s="1"/>
      <c r="AJ4185" s="1"/>
      <c r="AK4185" s="1"/>
      <c r="AL4185" s="1"/>
      <c r="AM4185" s="1"/>
      <c r="AN4185" s="1"/>
      <c r="AO4185" s="1"/>
      <c r="AP4185" s="1"/>
      <c r="AQ4185" s="1"/>
      <c r="AR4185" s="1"/>
      <c r="AS4185" s="1"/>
      <c r="AT4185" s="1"/>
      <c r="AU4185" s="1"/>
      <c r="AV4185" s="1"/>
      <c r="AW4185" s="1"/>
      <c r="AX4185" s="1"/>
      <c r="AY4185" s="1"/>
    </row>
    <row r="4186" spans="1:51" s="7" customFormat="1" ht="15">
      <c r="B4186" s="12"/>
      <c r="C4186" s="6" t="s">
        <v>5144</v>
      </c>
      <c r="D4186" s="14" t="s">
        <v>3067</v>
      </c>
      <c r="E4186" s="49"/>
      <c r="F4186" s="102"/>
      <c r="G4186" s="22" t="s">
        <v>316</v>
      </c>
      <c r="H4186" s="38"/>
      <c r="I4186" s="35"/>
      <c r="J4186" s="38">
        <v>1</v>
      </c>
      <c r="K4186" s="39">
        <v>20</v>
      </c>
      <c r="L4186" s="39">
        <f>K4186*J4186</f>
        <v>20</v>
      </c>
      <c r="M4186" s="91"/>
      <c r="N4186" s="33">
        <v>45614</v>
      </c>
      <c r="O4186" s="32">
        <v>6634</v>
      </c>
      <c r="P4186" s="722"/>
      <c r="Q4186" s="322">
        <v>20</v>
      </c>
      <c r="R4186" s="322">
        <f>Q4186*J4186</f>
        <v>20</v>
      </c>
      <c r="S4186" s="7">
        <v>2500</v>
      </c>
      <c r="T4186" s="7">
        <f>S4186*J4186</f>
        <v>2500</v>
      </c>
      <c r="U4186" s="21"/>
      <c r="V4186" s="260">
        <v>120</v>
      </c>
      <c r="W4186" s="1136">
        <f t="shared" si="344"/>
        <v>-4.1666666666666664E-2</v>
      </c>
    </row>
    <row r="4187" spans="1:51" s="191" customFormat="1" ht="15">
      <c r="B4187" s="190"/>
      <c r="C4187" s="179" t="s">
        <v>5144</v>
      </c>
      <c r="D4187" s="180" t="s">
        <v>3067</v>
      </c>
      <c r="E4187" s="181"/>
      <c r="F4187" s="182"/>
      <c r="G4187" s="182" t="s">
        <v>2738</v>
      </c>
      <c r="H4187" s="184" t="s">
        <v>251</v>
      </c>
      <c r="I4187" s="185"/>
      <c r="J4187" s="183"/>
      <c r="K4187" s="192">
        <v>0</v>
      </c>
      <c r="L4187" s="187"/>
      <c r="M4187" s="187"/>
      <c r="N4187" s="187">
        <v>45614</v>
      </c>
      <c r="O4187" s="186">
        <v>6634</v>
      </c>
      <c r="P4187" s="179"/>
      <c r="Q4187" s="203"/>
      <c r="R4187" s="203"/>
      <c r="S4187" s="203"/>
      <c r="T4187" s="203"/>
      <c r="U4187" s="271"/>
      <c r="V4187" s="260">
        <v>120</v>
      </c>
      <c r="W4187" s="1136" t="e">
        <f t="shared" si="344"/>
        <v>#DIV/0!</v>
      </c>
    </row>
    <row r="4188" spans="1:51" s="7" customFormat="1" ht="18" customHeight="1">
      <c r="B4188" s="12"/>
      <c r="C4188" s="6" t="s">
        <v>5145</v>
      </c>
      <c r="D4188" s="14" t="s">
        <v>2171</v>
      </c>
      <c r="E4188" s="19" t="s">
        <v>10</v>
      </c>
      <c r="F4188" s="107"/>
      <c r="G4188" s="1256"/>
      <c r="H4188" s="108"/>
      <c r="I4188" s="109"/>
      <c r="J4188" s="108"/>
      <c r="K4188" s="29" t="s">
        <v>5</v>
      </c>
      <c r="L4188" s="139"/>
      <c r="M4188" s="33"/>
      <c r="N4188" s="33">
        <v>45618</v>
      </c>
      <c r="O4188" s="32">
        <v>6593</v>
      </c>
      <c r="P4188" s="14"/>
      <c r="Q4188" s="322"/>
      <c r="U4188" s="14"/>
      <c r="V4188" s="260">
        <v>120</v>
      </c>
      <c r="W4188" s="1136" t="e">
        <f t="shared" ref="W4188:W4197" si="345">(((K4188*V4188)-S4188)/(K4188*V4188))</f>
        <v>#VALUE!</v>
      </c>
    </row>
    <row r="4189" spans="1:51" s="7" customFormat="1" ht="18" customHeight="1">
      <c r="B4189" s="12" t="s">
        <v>302</v>
      </c>
      <c r="C4189" s="6" t="s">
        <v>5145</v>
      </c>
      <c r="D4189" s="14" t="s">
        <v>2171</v>
      </c>
      <c r="E4189" s="22" t="s">
        <v>207</v>
      </c>
      <c r="F4189" s="107">
        <v>152</v>
      </c>
      <c r="G4189" s="22" t="s">
        <v>5146</v>
      </c>
      <c r="H4189" s="1255">
        <v>50</v>
      </c>
      <c r="I4189" s="109">
        <v>1</v>
      </c>
      <c r="J4189" s="8">
        <f>I4189*H4189</f>
        <v>50</v>
      </c>
      <c r="K4189" s="39">
        <v>4.7300000000000004</v>
      </c>
      <c r="L4189" s="39">
        <f>K4189*J4189</f>
        <v>236.50000000000003</v>
      </c>
      <c r="M4189" s="403" t="s">
        <v>322</v>
      </c>
      <c r="N4189" s="33">
        <v>45618</v>
      </c>
      <c r="O4189" s="32">
        <v>6593</v>
      </c>
      <c r="P4189" s="391">
        <f>ROUNDUP(S4189/V4189/VLOOKUP(B4189,$C$2:$F$6,3,FALSE),2)</f>
        <v>3.4099999999999997</v>
      </c>
      <c r="Q4189" s="322">
        <v>3.41</v>
      </c>
      <c r="R4189" s="322">
        <f>Q4189*J4189</f>
        <v>170.5</v>
      </c>
      <c r="S4189" s="7">
        <v>360</v>
      </c>
      <c r="T4189" s="7">
        <f>S4189*J4189</f>
        <v>18000</v>
      </c>
      <c r="U4189" s="21"/>
      <c r="V4189" s="260">
        <v>120</v>
      </c>
      <c r="W4189" s="1136">
        <f t="shared" si="345"/>
        <v>0.36575052854122625</v>
      </c>
    </row>
    <row r="4190" spans="1:51" s="7" customFormat="1" ht="18" customHeight="1">
      <c r="B4190" s="12" t="s">
        <v>302</v>
      </c>
      <c r="C4190" s="6" t="s">
        <v>5145</v>
      </c>
      <c r="D4190" s="14" t="s">
        <v>2171</v>
      </c>
      <c r="E4190" s="22" t="s">
        <v>190</v>
      </c>
      <c r="F4190" s="107">
        <v>160</v>
      </c>
      <c r="G4190" s="22" t="s">
        <v>5147</v>
      </c>
      <c r="H4190" s="1255">
        <v>50</v>
      </c>
      <c r="I4190" s="109">
        <v>1</v>
      </c>
      <c r="J4190" s="8">
        <f>I4190*H4190</f>
        <v>50</v>
      </c>
      <c r="K4190" s="39">
        <v>5.56</v>
      </c>
      <c r="L4190" s="39">
        <f>K4190*J4190</f>
        <v>278</v>
      </c>
      <c r="M4190" s="117" t="s">
        <v>322</v>
      </c>
      <c r="N4190" s="33">
        <v>45618</v>
      </c>
      <c r="O4190" s="32">
        <v>6593</v>
      </c>
      <c r="P4190" s="391">
        <f>ROUNDUP(S4190/V4190/VLOOKUP(B4190,$C$2:$F$6,3,FALSE),2)</f>
        <v>3.98</v>
      </c>
      <c r="Q4190" s="322">
        <v>3.98</v>
      </c>
      <c r="R4190" s="322">
        <f>Q4190*J4190</f>
        <v>199</v>
      </c>
      <c r="S4190" s="7">
        <v>420</v>
      </c>
      <c r="T4190" s="7">
        <f>S4190*J4190</f>
        <v>21000</v>
      </c>
      <c r="U4190" s="21"/>
      <c r="V4190" s="260">
        <v>120</v>
      </c>
      <c r="W4190" s="1136">
        <f t="shared" si="345"/>
        <v>0.37050359712230208</v>
      </c>
    </row>
    <row r="4191" spans="1:51" s="7" customFormat="1" ht="18" customHeight="1">
      <c r="B4191" s="12"/>
      <c r="C4191" s="6" t="s">
        <v>5145</v>
      </c>
      <c r="D4191" s="14" t="s">
        <v>2171</v>
      </c>
      <c r="E4191" s="22"/>
      <c r="F4191" s="102"/>
      <c r="G4191" s="22" t="s">
        <v>316</v>
      </c>
      <c r="H4191" s="8"/>
      <c r="I4191" s="35"/>
      <c r="J4191" s="38">
        <v>1</v>
      </c>
      <c r="K4191" s="39">
        <v>20</v>
      </c>
      <c r="L4191" s="39">
        <f>K4191*J4191</f>
        <v>20</v>
      </c>
      <c r="M4191" s="91"/>
      <c r="N4191" s="33">
        <v>45618</v>
      </c>
      <c r="O4191" s="32">
        <v>6593</v>
      </c>
      <c r="P4191" s="6" t="s">
        <v>3</v>
      </c>
      <c r="Q4191" s="39">
        <v>20</v>
      </c>
      <c r="R4191" s="322">
        <f>Q4191*J4191</f>
        <v>20</v>
      </c>
      <c r="S4191" s="7">
        <v>0</v>
      </c>
      <c r="T4191" s="7">
        <v>0</v>
      </c>
      <c r="U4191" s="21"/>
      <c r="V4191" s="260">
        <v>120</v>
      </c>
      <c r="W4191" s="1136">
        <f t="shared" si="345"/>
        <v>1</v>
      </c>
    </row>
    <row r="4192" spans="1:51" s="191" customFormat="1" ht="15.75">
      <c r="B4192" s="190"/>
      <c r="C4192" s="179" t="s">
        <v>5145</v>
      </c>
      <c r="D4192" s="180" t="s">
        <v>2171</v>
      </c>
      <c r="E4192" s="181"/>
      <c r="F4192" s="182"/>
      <c r="G4192" s="309" t="s">
        <v>324</v>
      </c>
      <c r="H4192" s="184" t="s">
        <v>252</v>
      </c>
      <c r="I4192" s="185"/>
      <c r="J4192" s="183"/>
      <c r="K4192" s="203">
        <v>950</v>
      </c>
      <c r="L4192" s="203">
        <v>950</v>
      </c>
      <c r="M4192" s="187"/>
      <c r="N4192" s="187">
        <v>45618</v>
      </c>
      <c r="O4192" s="186">
        <v>6593</v>
      </c>
      <c r="P4192" s="179"/>
      <c r="Q4192" s="203">
        <v>950</v>
      </c>
      <c r="R4192" s="203">
        <v>950</v>
      </c>
      <c r="S4192" s="7">
        <v>85322</v>
      </c>
      <c r="T4192" s="7">
        <v>85322</v>
      </c>
      <c r="U4192" s="271"/>
      <c r="V4192" s="260">
        <v>120</v>
      </c>
      <c r="W4192" s="1136">
        <f t="shared" si="345"/>
        <v>0.25156140350877193</v>
      </c>
    </row>
    <row r="4193" spans="1:23" s="7" customFormat="1" ht="18" customHeight="1">
      <c r="B4193" s="12"/>
      <c r="C4193" s="6" t="s">
        <v>5148</v>
      </c>
      <c r="D4193" s="14" t="s">
        <v>4193</v>
      </c>
      <c r="E4193" s="17" t="s">
        <v>160</v>
      </c>
      <c r="F4193" s="319"/>
      <c r="G4193" s="299"/>
      <c r="H4193" s="300" t="s">
        <v>355</v>
      </c>
      <c r="I4193" s="320"/>
      <c r="J4193" s="321"/>
      <c r="K4193" s="110" t="s">
        <v>101</v>
      </c>
      <c r="L4193" s="139"/>
      <c r="M4193" s="33"/>
      <c r="N4193" s="33">
        <v>45611</v>
      </c>
      <c r="O4193" s="32">
        <v>6633</v>
      </c>
      <c r="P4193" s="6"/>
      <c r="Q4193" s="322"/>
      <c r="U4193" s="39"/>
      <c r="V4193" s="260">
        <v>120</v>
      </c>
      <c r="W4193" s="1136" t="e">
        <f t="shared" si="345"/>
        <v>#VALUE!</v>
      </c>
    </row>
    <row r="4194" spans="1:23" s="7" customFormat="1" ht="18" customHeight="1">
      <c r="B4194" s="12" t="s">
        <v>300</v>
      </c>
      <c r="C4194" s="6" t="s">
        <v>5148</v>
      </c>
      <c r="D4194" s="14" t="s">
        <v>4193</v>
      </c>
      <c r="E4194" s="22">
        <v>14552</v>
      </c>
      <c r="F4194" s="24">
        <v>30</v>
      </c>
      <c r="G4194" s="22" t="s">
        <v>5149</v>
      </c>
      <c r="H4194" s="108">
        <v>30</v>
      </c>
      <c r="I4194" s="109">
        <v>1</v>
      </c>
      <c r="J4194" s="8">
        <f>H4194*I4194</f>
        <v>30</v>
      </c>
      <c r="K4194" s="39">
        <v>1.6</v>
      </c>
      <c r="L4194" s="39">
        <f>K4194*J4194</f>
        <v>48</v>
      </c>
      <c r="M4194" s="117" t="s">
        <v>323</v>
      </c>
      <c r="N4194" s="33">
        <v>45611</v>
      </c>
      <c r="O4194" s="32">
        <v>6633</v>
      </c>
      <c r="P4194" s="391">
        <f>ROUNDUP(S4194/V4194/VLOOKUP(B4194,$C$2:$F$6,3,FALSE),2)</f>
        <v>1.1499999999999999</v>
      </c>
      <c r="Q4194" s="358">
        <v>1.1499999999999999</v>
      </c>
      <c r="R4194" s="322">
        <f>Q4194*J4194</f>
        <v>34.5</v>
      </c>
      <c r="S4194" s="7">
        <v>96</v>
      </c>
      <c r="T4194" s="7">
        <f>S4194*J4194</f>
        <v>2880</v>
      </c>
      <c r="U4194" s="267"/>
      <c r="V4194" s="260">
        <v>120</v>
      </c>
      <c r="W4194" s="1136">
        <f t="shared" si="345"/>
        <v>0.5</v>
      </c>
    </row>
    <row r="4195" spans="1:23" s="7" customFormat="1" ht="18" customHeight="1">
      <c r="B4195" s="12" t="s">
        <v>300</v>
      </c>
      <c r="C4195" s="6" t="s">
        <v>5148</v>
      </c>
      <c r="D4195" s="14" t="s">
        <v>4193</v>
      </c>
      <c r="E4195" s="22">
        <v>14552</v>
      </c>
      <c r="F4195" s="24">
        <v>30</v>
      </c>
      <c r="G4195" s="22" t="s">
        <v>5150</v>
      </c>
      <c r="H4195" s="108">
        <v>30</v>
      </c>
      <c r="I4195" s="109">
        <v>1</v>
      </c>
      <c r="J4195" s="8">
        <f>H4195*I4195</f>
        <v>30</v>
      </c>
      <c r="K4195" s="39">
        <v>1.6</v>
      </c>
      <c r="L4195" s="39">
        <f>K4195*J4195</f>
        <v>48</v>
      </c>
      <c r="M4195" s="117" t="s">
        <v>323</v>
      </c>
      <c r="N4195" s="33">
        <v>45611</v>
      </c>
      <c r="O4195" s="32">
        <v>6633</v>
      </c>
      <c r="P4195" s="391">
        <f>ROUNDUP(S4195/V4195/VLOOKUP(B4195,$C$2:$F$6,3,FALSE),2)</f>
        <v>1.1499999999999999</v>
      </c>
      <c r="Q4195" s="358">
        <v>1.1499999999999999</v>
      </c>
      <c r="R4195" s="322">
        <f>Q4195*J4195</f>
        <v>34.5</v>
      </c>
      <c r="S4195" s="7">
        <v>96</v>
      </c>
      <c r="T4195" s="7">
        <f>S4195*J4195</f>
        <v>2880</v>
      </c>
      <c r="U4195" s="267"/>
      <c r="V4195" s="260">
        <v>120</v>
      </c>
      <c r="W4195" s="1136">
        <f t="shared" si="345"/>
        <v>0.5</v>
      </c>
    </row>
    <row r="4196" spans="1:23" s="7" customFormat="1" ht="18" customHeight="1">
      <c r="B4196" s="12"/>
      <c r="C4196" s="6" t="s">
        <v>5148</v>
      </c>
      <c r="D4196" s="14" t="s">
        <v>4193</v>
      </c>
      <c r="E4196" s="49"/>
      <c r="F4196" s="102"/>
      <c r="G4196" s="22" t="s">
        <v>316</v>
      </c>
      <c r="H4196" s="8"/>
      <c r="I4196" s="35"/>
      <c r="J4196" s="38">
        <v>1</v>
      </c>
      <c r="K4196" s="39">
        <v>12</v>
      </c>
      <c r="L4196" s="39">
        <f>K4196*J4196</f>
        <v>12</v>
      </c>
      <c r="M4196" s="117" t="s">
        <v>349</v>
      </c>
      <c r="N4196" s="33">
        <v>45611</v>
      </c>
      <c r="O4196" s="32">
        <v>6633</v>
      </c>
      <c r="P4196" s="6" t="s">
        <v>3</v>
      </c>
      <c r="Q4196" s="39">
        <v>12</v>
      </c>
      <c r="R4196" s="322">
        <f>Q4196*J4196</f>
        <v>12</v>
      </c>
      <c r="S4196" s="7">
        <v>1100</v>
      </c>
      <c r="T4196" s="7">
        <f>S4196*J4196</f>
        <v>1100</v>
      </c>
      <c r="U4196" s="21"/>
      <c r="V4196" s="260">
        <v>120</v>
      </c>
      <c r="W4196" s="1136">
        <f t="shared" si="345"/>
        <v>0.2361111111111111</v>
      </c>
    </row>
    <row r="4197" spans="1:23" s="191" customFormat="1" ht="15">
      <c r="B4197" s="190"/>
      <c r="C4197" s="179" t="s">
        <v>5148</v>
      </c>
      <c r="D4197" s="180" t="s">
        <v>4193</v>
      </c>
      <c r="E4197" s="181"/>
      <c r="F4197" s="182"/>
      <c r="G4197" s="182" t="s">
        <v>2738</v>
      </c>
      <c r="H4197" s="184" t="s">
        <v>251</v>
      </c>
      <c r="I4197" s="185"/>
      <c r="J4197" s="183"/>
      <c r="K4197" s="192">
        <v>0</v>
      </c>
      <c r="L4197" s="187"/>
      <c r="M4197" s="187"/>
      <c r="N4197" s="187">
        <v>45611</v>
      </c>
      <c r="O4197" s="186">
        <v>6633</v>
      </c>
      <c r="P4197" s="179"/>
      <c r="Q4197" s="203"/>
      <c r="R4197" s="203"/>
      <c r="S4197" s="203"/>
      <c r="T4197" s="203"/>
      <c r="U4197" s="271"/>
      <c r="V4197" s="260">
        <v>120</v>
      </c>
      <c r="W4197" s="1136" t="e">
        <f t="shared" si="345"/>
        <v>#DIV/0!</v>
      </c>
    </row>
    <row r="4198" spans="1:23" customFormat="1" ht="18" customHeight="1">
      <c r="A4198" s="1"/>
      <c r="B4198" s="26"/>
      <c r="C4198" s="6" t="s">
        <v>5151</v>
      </c>
      <c r="D4198" s="14" t="s">
        <v>2004</v>
      </c>
      <c r="E4198" s="19" t="s">
        <v>4847</v>
      </c>
      <c r="F4198" s="107"/>
      <c r="G4198" s="22"/>
      <c r="H4198" s="108"/>
      <c r="I4198" s="109"/>
      <c r="J4198" s="108"/>
      <c r="K4198" s="110" t="s">
        <v>5</v>
      </c>
      <c r="L4198" s="33"/>
      <c r="M4198" s="33"/>
      <c r="N4198" s="33">
        <v>45614</v>
      </c>
      <c r="O4198" s="32">
        <v>6632</v>
      </c>
      <c r="P4198" s="14"/>
      <c r="Q4198" s="254"/>
      <c r="R4198" s="1"/>
      <c r="S4198" s="261"/>
      <c r="T4198" s="92"/>
      <c r="U4198" s="264"/>
      <c r="V4198" s="260">
        <v>120</v>
      </c>
    </row>
    <row r="4199" spans="1:23" customFormat="1" ht="18" customHeight="1">
      <c r="B4199" s="12" t="s">
        <v>302</v>
      </c>
      <c r="C4199" s="6" t="s">
        <v>5151</v>
      </c>
      <c r="D4199" s="14" t="s">
        <v>2004</v>
      </c>
      <c r="E4199" s="19" t="s">
        <v>5152</v>
      </c>
      <c r="F4199" s="107" t="s">
        <v>3340</v>
      </c>
      <c r="G4199" s="22" t="s">
        <v>5153</v>
      </c>
      <c r="H4199" s="18">
        <v>59.7</v>
      </c>
      <c r="I4199" s="61">
        <v>1</v>
      </c>
      <c r="J4199" s="18">
        <f>H4199*I4199</f>
        <v>59.7</v>
      </c>
      <c r="K4199" s="39">
        <v>15.11</v>
      </c>
      <c r="L4199" s="39">
        <f>K4199*J4199</f>
        <v>902.06700000000001</v>
      </c>
      <c r="M4199" s="117" t="s">
        <v>323</v>
      </c>
      <c r="N4199" s="33">
        <v>45614</v>
      </c>
      <c r="O4199" s="32">
        <v>6632</v>
      </c>
      <c r="P4199" s="391">
        <f>ROUNDUP(S4199/V4199/VLOOKUP(B4199,$C$2:$F$6,3,FALSE),2)</f>
        <v>13.45</v>
      </c>
      <c r="Q4199" s="254">
        <v>13.45</v>
      </c>
      <c r="R4199" s="323">
        <f>Q4199*J4199</f>
        <v>802.96500000000003</v>
      </c>
      <c r="S4199" s="273">
        <v>1420</v>
      </c>
      <c r="T4199" s="287">
        <f>S4199*J4199</f>
        <v>84774</v>
      </c>
      <c r="U4199" s="264"/>
      <c r="V4199" s="260">
        <v>120</v>
      </c>
      <c r="W4199" s="1136">
        <f>(((K4199*V4199)-S4199)/(K4199*V4199))</f>
        <v>0.2168541804544451</v>
      </c>
    </row>
    <row r="4200" spans="1:23" customFormat="1" ht="18" customHeight="1">
      <c r="B4200" s="12" t="s">
        <v>302</v>
      </c>
      <c r="C4200" s="6" t="s">
        <v>5151</v>
      </c>
      <c r="D4200" s="14" t="s">
        <v>2004</v>
      </c>
      <c r="E4200" s="19" t="s">
        <v>5152</v>
      </c>
      <c r="F4200" s="107" t="s">
        <v>3340</v>
      </c>
      <c r="G4200" s="22" t="s">
        <v>5154</v>
      </c>
      <c r="H4200" s="18">
        <v>48.7</v>
      </c>
      <c r="I4200" s="61">
        <v>1</v>
      </c>
      <c r="J4200" s="18">
        <f>H4200*I4200</f>
        <v>48.7</v>
      </c>
      <c r="K4200" s="39">
        <v>15.11</v>
      </c>
      <c r="L4200" s="39">
        <f>K4200*J4200</f>
        <v>735.85699999999997</v>
      </c>
      <c r="M4200" s="117" t="s">
        <v>323</v>
      </c>
      <c r="N4200" s="33">
        <v>45614</v>
      </c>
      <c r="O4200" s="32">
        <v>6632</v>
      </c>
      <c r="P4200" s="391">
        <f>ROUNDUP(S4200/V4200/VLOOKUP(B4200,$C$2:$F$6,3,FALSE),2)</f>
        <v>13.45</v>
      </c>
      <c r="Q4200" s="254">
        <v>13.45</v>
      </c>
      <c r="R4200" s="323">
        <f>Q4200*J4200</f>
        <v>655.01499999999999</v>
      </c>
      <c r="S4200" s="273">
        <v>1420</v>
      </c>
      <c r="T4200" s="287">
        <f>S4200*J4200</f>
        <v>69154</v>
      </c>
      <c r="U4200" s="264"/>
      <c r="V4200" s="260">
        <v>120</v>
      </c>
      <c r="W4200" s="1136">
        <f>(((K4200*V4200)-S4200)/(K4200*V4200))</f>
        <v>0.2168541804544451</v>
      </c>
    </row>
    <row r="4201" spans="1:23" s="7" customFormat="1" ht="18" customHeight="1">
      <c r="B4201" s="12"/>
      <c r="C4201" s="6" t="s">
        <v>5151</v>
      </c>
      <c r="D4201" s="14" t="s">
        <v>2004</v>
      </c>
      <c r="E4201" s="82"/>
      <c r="F4201" s="102"/>
      <c r="G4201" s="22" t="s">
        <v>316</v>
      </c>
      <c r="H4201" s="8"/>
      <c r="I4201" s="35"/>
      <c r="J4201" s="38">
        <v>1</v>
      </c>
      <c r="K4201" s="39">
        <v>20</v>
      </c>
      <c r="L4201" s="39">
        <f>K4201*J4201</f>
        <v>20</v>
      </c>
      <c r="M4201" s="91"/>
      <c r="N4201" s="33">
        <v>45614</v>
      </c>
      <c r="O4201" s="32">
        <v>6632</v>
      </c>
      <c r="P4201" s="6"/>
      <c r="Q4201" s="322">
        <v>20</v>
      </c>
      <c r="R4201" s="322">
        <f>Q4201*J4201</f>
        <v>20</v>
      </c>
      <c r="S4201" s="7">
        <v>0</v>
      </c>
      <c r="T4201" s="7">
        <f>S4201*J4201</f>
        <v>0</v>
      </c>
      <c r="U4201" s="21"/>
      <c r="V4201" s="260">
        <v>120</v>
      </c>
      <c r="W4201" s="1136">
        <f>(((K4201*V4201)-S4201)/(K4201*V4201))</f>
        <v>1</v>
      </c>
    </row>
    <row r="4202" spans="1:23" s="191" customFormat="1" ht="15.75">
      <c r="B4202" s="190"/>
      <c r="C4202" s="179" t="s">
        <v>5151</v>
      </c>
      <c r="D4202" s="180" t="s">
        <v>2004</v>
      </c>
      <c r="E4202" s="181"/>
      <c r="F4202" s="182"/>
      <c r="G4202" s="309" t="s">
        <v>324</v>
      </c>
      <c r="H4202" s="184" t="s">
        <v>251</v>
      </c>
      <c r="I4202" s="185"/>
      <c r="J4202" s="183"/>
      <c r="K4202" s="192">
        <v>0</v>
      </c>
      <c r="L4202" s="187"/>
      <c r="M4202" s="187"/>
      <c r="N4202" s="187">
        <v>45614</v>
      </c>
      <c r="O4202" s="186">
        <v>6632</v>
      </c>
      <c r="P4202" s="179"/>
      <c r="Q4202" s="203"/>
      <c r="R4202" s="203"/>
      <c r="S4202" s="203"/>
      <c r="T4202" s="203"/>
      <c r="U4202" s="271"/>
      <c r="V4202" s="260">
        <v>120</v>
      </c>
      <c r="W4202" s="1136" t="e">
        <f>(((K4202*V4202)-S4202)/(K4202*V4202))</f>
        <v>#DIV/0!</v>
      </c>
    </row>
    <row r="4203" spans="1:23" s="7" customFormat="1" ht="18" customHeight="1">
      <c r="B4203" s="12"/>
      <c r="C4203" s="6" t="s">
        <v>5197</v>
      </c>
      <c r="D4203" s="14" t="s">
        <v>2608</v>
      </c>
      <c r="E4203" s="17" t="s">
        <v>2687</v>
      </c>
      <c r="F4203" s="319"/>
      <c r="G4203" s="299"/>
      <c r="H4203" s="300"/>
      <c r="I4203" s="320"/>
      <c r="J4203" s="321"/>
      <c r="K4203" s="110" t="s">
        <v>5</v>
      </c>
      <c r="L4203" s="139"/>
      <c r="M4203" s="33"/>
      <c r="N4203" s="33">
        <v>45642</v>
      </c>
      <c r="O4203" s="32">
        <v>6691</v>
      </c>
      <c r="P4203" s="6"/>
      <c r="Q4203" s="322"/>
      <c r="U4203" s="39"/>
      <c r="V4203" s="260">
        <v>120</v>
      </c>
    </row>
    <row r="4204" spans="1:23" s="7" customFormat="1" ht="18" customHeight="1">
      <c r="B4204" s="12" t="s">
        <v>300</v>
      </c>
      <c r="C4204" s="6" t="s">
        <v>5197</v>
      </c>
      <c r="D4204" s="14" t="s">
        <v>2608</v>
      </c>
      <c r="E4204" s="22">
        <v>5637</v>
      </c>
      <c r="F4204" s="24" t="s">
        <v>311</v>
      </c>
      <c r="G4204" s="22" t="s">
        <v>283</v>
      </c>
      <c r="H4204" s="813">
        <v>50</v>
      </c>
      <c r="I4204" s="814">
        <v>2</v>
      </c>
      <c r="J4204" s="8">
        <f>H4204*I4204</f>
        <v>100</v>
      </c>
      <c r="K4204" s="137">
        <v>0.24</v>
      </c>
      <c r="L4204" s="39">
        <f>K4204*J4204</f>
        <v>24</v>
      </c>
      <c r="M4204" s="117" t="s">
        <v>349</v>
      </c>
      <c r="N4204" s="33">
        <v>45642</v>
      </c>
      <c r="O4204" s="32">
        <v>6691</v>
      </c>
      <c r="P4204" s="391">
        <f>ROUNDUP(S4204/V4204/VLOOKUP(B4204,$C$2:$F$6,3,FALSE),2)</f>
        <v>0.13</v>
      </c>
      <c r="Q4204" s="322">
        <v>0.13</v>
      </c>
      <c r="R4204" s="322">
        <f>Q4204*J4204</f>
        <v>13</v>
      </c>
      <c r="S4204" s="752">
        <v>10.6</v>
      </c>
      <c r="T4204" s="7">
        <f>S4204*J4204</f>
        <v>1060</v>
      </c>
      <c r="U4204" s="778"/>
      <c r="V4204" s="260">
        <v>120</v>
      </c>
      <c r="W4204" s="1136">
        <f>(((K4204*V4204)-S4204)/(K4204*V4204))</f>
        <v>0.63194444444444431</v>
      </c>
    </row>
    <row r="4205" spans="1:23" s="7" customFormat="1" ht="18" customHeight="1">
      <c r="B4205" s="12" t="s">
        <v>300</v>
      </c>
      <c r="C4205" s="6" t="s">
        <v>5197</v>
      </c>
      <c r="D4205" s="14" t="s">
        <v>2608</v>
      </c>
      <c r="E4205" s="22">
        <v>5637</v>
      </c>
      <c r="F4205" s="24" t="s">
        <v>311</v>
      </c>
      <c r="G4205" s="22" t="s">
        <v>5198</v>
      </c>
      <c r="H4205" s="813">
        <v>50</v>
      </c>
      <c r="I4205" s="814">
        <v>2</v>
      </c>
      <c r="J4205" s="8">
        <f>H4205*I4205</f>
        <v>100</v>
      </c>
      <c r="K4205" s="137">
        <v>0.24</v>
      </c>
      <c r="L4205" s="39">
        <f>K4205*J4205</f>
        <v>24</v>
      </c>
      <c r="M4205" s="117" t="s">
        <v>349</v>
      </c>
      <c r="N4205" s="33">
        <v>45642</v>
      </c>
      <c r="O4205" s="32">
        <v>6691</v>
      </c>
      <c r="P4205" s="391">
        <f>ROUNDUP(S4205/V4205/VLOOKUP(B4205,$C$2:$F$6,3,FALSE),2)</f>
        <v>0.16</v>
      </c>
      <c r="Q4205" s="322">
        <v>0.16</v>
      </c>
      <c r="R4205" s="322">
        <f>Q4205*J4205</f>
        <v>16</v>
      </c>
      <c r="S4205" s="752">
        <v>12.8</v>
      </c>
      <c r="T4205" s="7">
        <f>S4205*J4205</f>
        <v>1280</v>
      </c>
      <c r="U4205" s="778"/>
      <c r="V4205" s="260">
        <v>120</v>
      </c>
      <c r="W4205" s="1136">
        <f>(((K4205*V4205)-S4205)/(K4205*V4205))</f>
        <v>0.55555555555555547</v>
      </c>
    </row>
    <row r="4206" spans="1:23" s="7" customFormat="1" ht="15">
      <c r="B4206" s="12"/>
      <c r="C4206" s="6" t="s">
        <v>5197</v>
      </c>
      <c r="D4206" s="14" t="s">
        <v>2608</v>
      </c>
      <c r="E4206" s="22"/>
      <c r="F4206" s="102"/>
      <c r="G4206" s="22" t="s">
        <v>316</v>
      </c>
      <c r="H4206" s="8"/>
      <c r="I4206" s="35"/>
      <c r="J4206" s="38">
        <v>1</v>
      </c>
      <c r="K4206" s="39">
        <v>12</v>
      </c>
      <c r="L4206" s="39">
        <f>K4206*J4206</f>
        <v>12</v>
      </c>
      <c r="M4206" s="91"/>
      <c r="N4206" s="33">
        <v>45642</v>
      </c>
      <c r="O4206" s="32">
        <v>6691</v>
      </c>
      <c r="P4206" s="6"/>
      <c r="Q4206" s="322">
        <v>12</v>
      </c>
      <c r="R4206" s="322">
        <f>Q4206*J4206</f>
        <v>12</v>
      </c>
      <c r="S4206" s="7">
        <v>1100</v>
      </c>
      <c r="T4206" s="7">
        <f>S4206*J4206</f>
        <v>1100</v>
      </c>
      <c r="U4206" s="21"/>
      <c r="V4206" s="260">
        <v>120</v>
      </c>
      <c r="W4206" s="1136">
        <f>(((K4206*V4206)-S4206)/(K4206*V4206))</f>
        <v>0.2361111111111111</v>
      </c>
    </row>
    <row r="4207" spans="1:23" s="191" customFormat="1" ht="15">
      <c r="B4207" s="190"/>
      <c r="C4207" s="179" t="s">
        <v>5197</v>
      </c>
      <c r="D4207" s="180" t="s">
        <v>2608</v>
      </c>
      <c r="E4207" s="181"/>
      <c r="F4207" s="622"/>
      <c r="G4207" s="182" t="s">
        <v>250</v>
      </c>
      <c r="H4207" s="184" t="s">
        <v>251</v>
      </c>
      <c r="I4207" s="185"/>
      <c r="J4207" s="183"/>
      <c r="K4207" s="192">
        <v>0</v>
      </c>
      <c r="L4207" s="188"/>
      <c r="M4207" s="187"/>
      <c r="N4207" s="187">
        <v>45642</v>
      </c>
      <c r="O4207" s="186">
        <v>6691</v>
      </c>
      <c r="P4207" s="179"/>
      <c r="Q4207" s="725">
        <v>0</v>
      </c>
      <c r="S4207" s="197">
        <v>0</v>
      </c>
      <c r="T4207" s="198">
        <v>0</v>
      </c>
      <c r="U4207" s="335"/>
      <c r="V4207" s="260">
        <v>120</v>
      </c>
      <c r="W4207" s="1136" t="e">
        <f>(((K4207*V4207)-S4207)/(K4207*V4207))</f>
        <v>#DIV/0!</v>
      </c>
    </row>
    <row r="4208" spans="1:23" customFormat="1" ht="18" customHeight="1">
      <c r="A4208" s="1"/>
      <c r="B4208" s="26"/>
      <c r="C4208" s="6" t="s">
        <v>5155</v>
      </c>
      <c r="D4208" s="14" t="s">
        <v>3202</v>
      </c>
      <c r="E4208" s="19" t="s">
        <v>59</v>
      </c>
      <c r="F4208" s="107"/>
      <c r="G4208" s="22"/>
      <c r="H4208" s="108"/>
      <c r="I4208" s="109"/>
      <c r="J4208" s="108"/>
      <c r="K4208" s="110" t="s">
        <v>5</v>
      </c>
      <c r="L4208" s="33"/>
      <c r="M4208" s="33"/>
      <c r="N4208" s="33">
        <v>45623</v>
      </c>
      <c r="O4208" s="32">
        <v>6654</v>
      </c>
      <c r="P4208" s="14"/>
      <c r="Q4208" s="254"/>
      <c r="R4208" s="1"/>
      <c r="S4208" s="261"/>
      <c r="T4208" s="92"/>
      <c r="U4208" s="264"/>
      <c r="V4208" s="260">
        <v>120</v>
      </c>
    </row>
    <row r="4209" spans="1:24" customFormat="1" ht="18" customHeight="1">
      <c r="A4209" s="1"/>
      <c r="B4209" s="12" t="s">
        <v>302</v>
      </c>
      <c r="C4209" s="6" t="s">
        <v>5155</v>
      </c>
      <c r="D4209" s="14" t="s">
        <v>3202</v>
      </c>
      <c r="E4209" s="22">
        <v>5521</v>
      </c>
      <c r="F4209" s="107">
        <v>148</v>
      </c>
      <c r="G4209" s="22" t="s">
        <v>212</v>
      </c>
      <c r="H4209" s="60">
        <v>59</v>
      </c>
      <c r="I4209" s="61">
        <v>2</v>
      </c>
      <c r="J4209" s="60">
        <f>H4209*I4209</f>
        <v>118</v>
      </c>
      <c r="K4209" s="39">
        <v>6.67</v>
      </c>
      <c r="L4209" s="39">
        <f>K4209*J4209</f>
        <v>787.06</v>
      </c>
      <c r="M4209" s="117" t="s">
        <v>323</v>
      </c>
      <c r="N4209" s="33">
        <v>45623</v>
      </c>
      <c r="O4209" s="32">
        <v>6654</v>
      </c>
      <c r="P4209" s="391">
        <f>ROUNDUP(S4209/V4209/VLOOKUP(B4209,$C$2:$F$6,3,FALSE),2)</f>
        <v>6.0699999999999994</v>
      </c>
      <c r="Q4209" s="254">
        <v>6.07</v>
      </c>
      <c r="R4209" s="323">
        <f>Q4209*J4209</f>
        <v>716.26</v>
      </c>
      <c r="S4209" s="273">
        <v>640</v>
      </c>
      <c r="T4209" s="287">
        <f>S4209*J4209</f>
        <v>75520</v>
      </c>
      <c r="U4209" s="264"/>
      <c r="V4209" s="260">
        <v>120</v>
      </c>
      <c r="W4209" s="1136">
        <f t="shared" ref="W4209:W4216" si="346">(((K4209*V4209)-S4209)/(K4209*V4209))</f>
        <v>0.20039980009995001</v>
      </c>
    </row>
    <row r="4210" spans="1:24" s="7" customFormat="1" ht="18" customHeight="1">
      <c r="B4210" s="12"/>
      <c r="C4210" s="6" t="s">
        <v>5155</v>
      </c>
      <c r="D4210" s="14" t="s">
        <v>3202</v>
      </c>
      <c r="E4210" s="22"/>
      <c r="F4210" s="102"/>
      <c r="G4210" s="22" t="s">
        <v>316</v>
      </c>
      <c r="H4210" s="8"/>
      <c r="I4210" s="35"/>
      <c r="J4210" s="38">
        <v>1</v>
      </c>
      <c r="K4210" s="39">
        <v>20</v>
      </c>
      <c r="L4210" s="39">
        <f>K4210*J4210</f>
        <v>20</v>
      </c>
      <c r="M4210" s="91"/>
      <c r="N4210" s="33">
        <v>45623</v>
      </c>
      <c r="O4210" s="32">
        <v>6654</v>
      </c>
      <c r="P4210" s="6" t="s">
        <v>3</v>
      </c>
      <c r="Q4210" s="39">
        <v>20</v>
      </c>
      <c r="R4210" s="39">
        <v>20</v>
      </c>
      <c r="S4210" s="7">
        <v>2500</v>
      </c>
      <c r="T4210" s="287">
        <f>S4210*J4210</f>
        <v>2500</v>
      </c>
      <c r="U4210" s="21"/>
      <c r="V4210" s="260">
        <v>120</v>
      </c>
      <c r="W4210" s="1136">
        <f t="shared" si="346"/>
        <v>-4.1666666666666664E-2</v>
      </c>
    </row>
    <row r="4211" spans="1:24" s="191" customFormat="1" ht="15">
      <c r="B4211" s="190"/>
      <c r="C4211" s="179" t="s">
        <v>5155</v>
      </c>
      <c r="D4211" s="180" t="s">
        <v>3202</v>
      </c>
      <c r="E4211" s="181"/>
      <c r="F4211" s="182"/>
      <c r="G4211" s="182" t="s">
        <v>2738</v>
      </c>
      <c r="H4211" s="184" t="s">
        <v>251</v>
      </c>
      <c r="I4211" s="185"/>
      <c r="J4211" s="183"/>
      <c r="K4211" s="192">
        <v>0</v>
      </c>
      <c r="L4211" s="187"/>
      <c r="M4211" s="187"/>
      <c r="N4211" s="187">
        <v>45623</v>
      </c>
      <c r="O4211" s="186">
        <v>6654</v>
      </c>
      <c r="P4211" s="179"/>
      <c r="Q4211" s="203"/>
      <c r="R4211" s="203"/>
      <c r="S4211" s="203"/>
      <c r="T4211" s="203"/>
      <c r="U4211" s="271"/>
      <c r="V4211" s="260">
        <v>120</v>
      </c>
      <c r="W4211" s="1136" t="e">
        <f t="shared" si="346"/>
        <v>#DIV/0!</v>
      </c>
    </row>
    <row r="4212" spans="1:24" s="7" customFormat="1" ht="18" customHeight="1">
      <c r="B4212" s="12"/>
      <c r="C4212" s="965" t="s">
        <v>5157</v>
      </c>
      <c r="D4212" s="14" t="s">
        <v>3202</v>
      </c>
      <c r="E4212" s="19" t="s">
        <v>5158</v>
      </c>
      <c r="F4212" s="107"/>
      <c r="G4212" s="22"/>
      <c r="H4212" s="108"/>
      <c r="I4212" s="109"/>
      <c r="J4212" s="108"/>
      <c r="K4212" s="29" t="s">
        <v>5</v>
      </c>
      <c r="L4212" s="39"/>
      <c r="M4212" s="91"/>
      <c r="N4212" s="33">
        <v>45623</v>
      </c>
      <c r="O4212" s="32">
        <v>6659</v>
      </c>
      <c r="P4212" s="14"/>
      <c r="Q4212" s="322"/>
      <c r="U4212" s="14"/>
      <c r="V4212" s="384">
        <v>120</v>
      </c>
      <c r="W4212" s="1136" t="e">
        <f t="shared" si="346"/>
        <v>#VALUE!</v>
      </c>
    </row>
    <row r="4213" spans="1:24" s="7" customFormat="1" ht="18" customHeight="1">
      <c r="B4213" s="12" t="s">
        <v>302</v>
      </c>
      <c r="C4213" s="965" t="s">
        <v>5157</v>
      </c>
      <c r="D4213" s="14" t="s">
        <v>3202</v>
      </c>
      <c r="E4213" s="22" t="s">
        <v>5159</v>
      </c>
      <c r="F4213" s="107">
        <v>148</v>
      </c>
      <c r="G4213" s="396" t="s">
        <v>2094</v>
      </c>
      <c r="H4213" s="108"/>
      <c r="I4213" s="109"/>
      <c r="J4213" s="8">
        <v>1</v>
      </c>
      <c r="K4213" s="39">
        <v>15.69</v>
      </c>
      <c r="L4213" s="39">
        <f>K4213*J4213</f>
        <v>15.69</v>
      </c>
      <c r="M4213" s="117" t="s">
        <v>323</v>
      </c>
      <c r="N4213" s="33">
        <v>45623</v>
      </c>
      <c r="O4213" s="32">
        <v>6659</v>
      </c>
      <c r="P4213" s="391">
        <f>ROUNDUP(S4213/V4213/VLOOKUP(B4213,$C$2:$F$6,3,FALSE),2)</f>
        <v>10.709999999999999</v>
      </c>
      <c r="Q4213" s="322">
        <v>10.71</v>
      </c>
      <c r="R4213" s="322">
        <f>Q4213*J4213</f>
        <v>10.71</v>
      </c>
      <c r="S4213" s="92">
        <v>1130</v>
      </c>
      <c r="T4213" s="7">
        <f>S4213*J4213</f>
        <v>1130</v>
      </c>
      <c r="U4213" s="21"/>
      <c r="V4213" s="260">
        <v>120</v>
      </c>
      <c r="W4213" s="1136">
        <f t="shared" si="346"/>
        <v>0.3998300403654132</v>
      </c>
    </row>
    <row r="4214" spans="1:24" s="7" customFormat="1" ht="18" customHeight="1">
      <c r="B4214" s="12"/>
      <c r="C4214" s="965" t="s">
        <v>5157</v>
      </c>
      <c r="D4214" s="14" t="s">
        <v>3202</v>
      </c>
      <c r="E4214" s="49"/>
      <c r="F4214" s="102"/>
      <c r="G4214" s="22" t="s">
        <v>4329</v>
      </c>
      <c r="H4214" s="8"/>
      <c r="I4214" s="35"/>
      <c r="J4214" s="38">
        <v>1</v>
      </c>
      <c r="K4214" s="39">
        <v>15</v>
      </c>
      <c r="L4214" s="39">
        <f>K4214*J4214</f>
        <v>15</v>
      </c>
      <c r="M4214" s="91"/>
      <c r="N4214" s="33">
        <v>45623</v>
      </c>
      <c r="O4214" s="32">
        <v>6659</v>
      </c>
      <c r="P4214" s="6" t="s">
        <v>3</v>
      </c>
      <c r="Q4214" s="39">
        <v>15</v>
      </c>
      <c r="R4214" s="322">
        <f>Q4214*J4214</f>
        <v>15</v>
      </c>
      <c r="S4214" s="7">
        <v>1500</v>
      </c>
      <c r="T4214" s="7">
        <f>S4214*J4214</f>
        <v>1500</v>
      </c>
      <c r="U4214" s="21"/>
      <c r="V4214" s="260">
        <v>120</v>
      </c>
      <c r="W4214" s="1136">
        <f t="shared" si="346"/>
        <v>0.16666666666666666</v>
      </c>
    </row>
    <row r="4215" spans="1:24" s="7" customFormat="1" ht="18" customHeight="1">
      <c r="B4215" s="12"/>
      <c r="C4215" s="965" t="s">
        <v>5157</v>
      </c>
      <c r="D4215" s="14" t="s">
        <v>3202</v>
      </c>
      <c r="E4215" s="22"/>
      <c r="F4215" s="102"/>
      <c r="G4215" s="22" t="s">
        <v>316</v>
      </c>
      <c r="H4215" s="8"/>
      <c r="I4215" s="35"/>
      <c r="J4215" s="38">
        <v>1</v>
      </c>
      <c r="K4215" s="39">
        <v>15</v>
      </c>
      <c r="L4215" s="39">
        <f>K4215*J4215</f>
        <v>15</v>
      </c>
      <c r="M4215" s="91"/>
      <c r="N4215" s="33">
        <v>45623</v>
      </c>
      <c r="O4215" s="32">
        <v>6659</v>
      </c>
      <c r="P4215" s="6" t="s">
        <v>3</v>
      </c>
      <c r="Q4215" s="39">
        <v>15</v>
      </c>
      <c r="R4215" s="39">
        <v>15</v>
      </c>
      <c r="S4215" s="7">
        <v>0</v>
      </c>
      <c r="T4215" s="287">
        <f>S4215*J4215</f>
        <v>0</v>
      </c>
      <c r="U4215" s="21"/>
      <c r="V4215" s="260">
        <v>120</v>
      </c>
      <c r="W4215" s="1136">
        <f>(((K4215*V4215)-S4215)/(K4215*V4215))</f>
        <v>1</v>
      </c>
    </row>
    <row r="4216" spans="1:24" s="191" customFormat="1" ht="18" customHeight="1">
      <c r="B4216" s="190"/>
      <c r="C4216" s="966" t="s">
        <v>5157</v>
      </c>
      <c r="D4216" s="180" t="s">
        <v>3202</v>
      </c>
      <c r="E4216" s="217"/>
      <c r="F4216" s="182"/>
      <c r="G4216" s="182" t="s">
        <v>250</v>
      </c>
      <c r="H4216" s="184" t="s">
        <v>251</v>
      </c>
      <c r="I4216" s="185"/>
      <c r="J4216" s="183"/>
      <c r="K4216" s="192">
        <v>0</v>
      </c>
      <c r="L4216" s="187"/>
      <c r="M4216" s="187"/>
      <c r="N4216" s="187">
        <v>45623</v>
      </c>
      <c r="O4216" s="186">
        <v>6659</v>
      </c>
      <c r="P4216" s="179"/>
      <c r="Q4216" s="255">
        <v>0</v>
      </c>
      <c r="R4216" s="322">
        <v>0</v>
      </c>
      <c r="S4216" s="275">
        <v>0</v>
      </c>
      <c r="T4216" s="198">
        <v>0</v>
      </c>
      <c r="U4216" s="271"/>
      <c r="V4216" s="260">
        <v>120</v>
      </c>
      <c r="W4216" s="1136" t="e">
        <f t="shared" si="346"/>
        <v>#DIV/0!</v>
      </c>
    </row>
    <row r="4217" spans="1:24" s="7" customFormat="1" ht="18" customHeight="1">
      <c r="B4217" s="12"/>
      <c r="C4217" s="6" t="s">
        <v>5160</v>
      </c>
      <c r="D4217" s="14" t="s">
        <v>2004</v>
      </c>
      <c r="E4217" s="19" t="s">
        <v>2358</v>
      </c>
      <c r="F4217" s="24"/>
      <c r="G4217" s="22"/>
      <c r="H4217" s="60"/>
      <c r="I4217" s="61"/>
      <c r="J4217" s="60"/>
      <c r="K4217" s="16" t="s">
        <v>5</v>
      </c>
      <c r="L4217" s="139"/>
      <c r="M4217" s="33"/>
      <c r="N4217" s="33">
        <v>45624</v>
      </c>
      <c r="O4217" s="32">
        <v>6665</v>
      </c>
      <c r="P4217" s="6" t="s">
        <v>3</v>
      </c>
      <c r="Q4217" s="358"/>
      <c r="U4217" s="120"/>
      <c r="V4217" s="260">
        <v>120</v>
      </c>
    </row>
    <row r="4218" spans="1:24" s="7" customFormat="1" ht="18" customHeight="1">
      <c r="B4218" s="12" t="s">
        <v>300</v>
      </c>
      <c r="C4218" s="6" t="s">
        <v>5160</v>
      </c>
      <c r="D4218" s="14" t="s">
        <v>2004</v>
      </c>
      <c r="E4218" s="22" t="s">
        <v>3291</v>
      </c>
      <c r="F4218" s="24"/>
      <c r="G4218" s="22" t="s">
        <v>58</v>
      </c>
      <c r="H4218" s="108"/>
      <c r="I4218" s="109"/>
      <c r="J4218" s="8">
        <v>219</v>
      </c>
      <c r="K4218" s="39">
        <v>1.04</v>
      </c>
      <c r="L4218" s="39">
        <f>K4218*J4218</f>
        <v>227.76000000000002</v>
      </c>
      <c r="M4218" s="117" t="s">
        <v>323</v>
      </c>
      <c r="N4218" s="33">
        <v>45624</v>
      </c>
      <c r="O4218" s="32">
        <v>6665</v>
      </c>
      <c r="P4218" s="391">
        <f>ROUNDUP(S4218/V4218/VLOOKUP(B4218,$C$2:$F$6,3,FALSE),2)</f>
        <v>0.74</v>
      </c>
      <c r="Q4218" s="322">
        <v>0.74</v>
      </c>
      <c r="R4218" s="322">
        <f>Q4218*J4218</f>
        <v>162.06</v>
      </c>
      <c r="S4218" s="7">
        <v>62</v>
      </c>
      <c r="T4218" s="7">
        <f>S4218*J4218</f>
        <v>13578</v>
      </c>
      <c r="U4218" s="386"/>
      <c r="V4218" s="260">
        <v>120</v>
      </c>
      <c r="W4218" s="1136">
        <f>(((K4218*V4218)-S4218)/(K4218*V4218))</f>
        <v>0.5032051282051283</v>
      </c>
    </row>
    <row r="4219" spans="1:24" s="7" customFormat="1" ht="18" customHeight="1">
      <c r="B4219" s="12"/>
      <c r="C4219" s="6" t="s">
        <v>5160</v>
      </c>
      <c r="D4219" s="14" t="s">
        <v>2004</v>
      </c>
      <c r="E4219" s="82"/>
      <c r="F4219" s="102"/>
      <c r="G4219" s="22" t="s">
        <v>316</v>
      </c>
      <c r="H4219" s="8"/>
      <c r="I4219" s="35"/>
      <c r="J4219" s="38">
        <v>1</v>
      </c>
      <c r="K4219" s="39">
        <v>12</v>
      </c>
      <c r="L4219" s="39">
        <f>K4219*J4219</f>
        <v>12</v>
      </c>
      <c r="M4219" s="91"/>
      <c r="N4219" s="33">
        <v>45624</v>
      </c>
      <c r="O4219" s="32">
        <v>6665</v>
      </c>
      <c r="P4219" s="6"/>
      <c r="Q4219" s="322">
        <v>12</v>
      </c>
      <c r="R4219" s="322">
        <f>Q4219*J4219</f>
        <v>12</v>
      </c>
      <c r="S4219" s="7">
        <v>0</v>
      </c>
      <c r="T4219" s="7">
        <f>S4219*J4219</f>
        <v>0</v>
      </c>
      <c r="U4219" s="21"/>
      <c r="V4219" s="260">
        <v>120</v>
      </c>
      <c r="W4219" s="1136">
        <f>(((K4219*V4219)-S4219)/(K4219*V4219))</f>
        <v>1</v>
      </c>
    </row>
    <row r="4220" spans="1:24" s="191" customFormat="1" ht="18" customHeight="1">
      <c r="B4220" s="190"/>
      <c r="C4220" s="179" t="s">
        <v>5160</v>
      </c>
      <c r="D4220" s="180" t="s">
        <v>2004</v>
      </c>
      <c r="E4220" s="181"/>
      <c r="F4220" s="182"/>
      <c r="G4220" s="182" t="s">
        <v>250</v>
      </c>
      <c r="H4220" s="184" t="s">
        <v>251</v>
      </c>
      <c r="I4220" s="185"/>
      <c r="J4220" s="183"/>
      <c r="K4220" s="192">
        <v>0</v>
      </c>
      <c r="L4220" s="946"/>
      <c r="M4220" s="947"/>
      <c r="N4220" s="187">
        <v>45624</v>
      </c>
      <c r="O4220" s="186">
        <v>6665</v>
      </c>
      <c r="P4220" s="179"/>
      <c r="Q4220" s="322">
        <v>0</v>
      </c>
      <c r="R4220" s="218"/>
      <c r="S4220" s="197">
        <v>0</v>
      </c>
      <c r="T4220" s="197">
        <v>0</v>
      </c>
      <c r="U4220" s="335"/>
      <c r="V4220" s="260">
        <v>120</v>
      </c>
      <c r="W4220" s="1136" t="e">
        <f>(((K4220*V4220)-S4220)/(K4220*V4220))</f>
        <v>#DIV/0!</v>
      </c>
      <c r="X4220" s="218"/>
    </row>
    <row r="4221" spans="1:24" s="7" customFormat="1" ht="18" customHeight="1">
      <c r="B4221" s="12"/>
      <c r="C4221" s="1303" t="s">
        <v>4973</v>
      </c>
      <c r="D4221" s="14"/>
      <c r="E4221" s="19" t="s">
        <v>5161</v>
      </c>
      <c r="F4221" s="22"/>
      <c r="G4221" s="37"/>
      <c r="H4221" s="108"/>
      <c r="I4221" s="108"/>
      <c r="J4221" s="108"/>
      <c r="K4221" s="110" t="s">
        <v>5</v>
      </c>
      <c r="L4221" s="33"/>
      <c r="M4221" s="33"/>
      <c r="N4221" s="33"/>
      <c r="O4221" s="1306" t="s">
        <v>4978</v>
      </c>
      <c r="P4221" s="6"/>
      <c r="Q4221" s="223"/>
      <c r="S4221" s="1174"/>
      <c r="T4221" s="92"/>
      <c r="U4221" s="266"/>
      <c r="V4221" s="260">
        <v>120</v>
      </c>
    </row>
    <row r="4222" spans="1:24" s="7" customFormat="1" ht="15.95" customHeight="1">
      <c r="B4222" s="12" t="s">
        <v>300</v>
      </c>
      <c r="C4222" s="1303" t="s">
        <v>4973</v>
      </c>
      <c r="D4222" s="14"/>
      <c r="E4222" s="22" t="s">
        <v>5162</v>
      </c>
      <c r="F4222" s="107">
        <v>160</v>
      </c>
      <c r="G4222" s="37" t="s">
        <v>5172</v>
      </c>
      <c r="H4222" s="60"/>
      <c r="I4222" s="61"/>
      <c r="J4222" s="60">
        <v>1</v>
      </c>
      <c r="K4222" s="39"/>
      <c r="L4222" s="39"/>
      <c r="M4222" s="117" t="s">
        <v>323</v>
      </c>
      <c r="N4222" s="33">
        <v>45629</v>
      </c>
      <c r="O4222" s="1306" t="s">
        <v>4978</v>
      </c>
      <c r="P4222" s="391"/>
      <c r="Q4222" s="254"/>
      <c r="R4222" s="323"/>
      <c r="S4222" s="1345">
        <v>2400</v>
      </c>
      <c r="T4222" s="92">
        <f t="shared" ref="T4222:T4227" si="347">S4222*J4222</f>
        <v>2400</v>
      </c>
      <c r="U4222" s="1200"/>
      <c r="V4222" s="260">
        <v>120</v>
      </c>
      <c r="W4222" s="1136" t="e">
        <f>(((K4222*V4222)-S4222)/(K4222*V4222))</f>
        <v>#DIV/0!</v>
      </c>
    </row>
    <row r="4223" spans="1:24" s="7" customFormat="1" ht="15.95" customHeight="1">
      <c r="B4223" s="12" t="s">
        <v>300</v>
      </c>
      <c r="C4223" s="1303" t="s">
        <v>4973</v>
      </c>
      <c r="D4223" s="14"/>
      <c r="E4223" s="22" t="s">
        <v>5163</v>
      </c>
      <c r="F4223" s="107">
        <v>160</v>
      </c>
      <c r="G4223" s="1347" t="s">
        <v>5173</v>
      </c>
      <c r="H4223" s="60"/>
      <c r="I4223" s="61"/>
      <c r="J4223" s="60">
        <v>1</v>
      </c>
      <c r="K4223" s="39"/>
      <c r="L4223" s="39"/>
      <c r="M4223" s="117" t="s">
        <v>323</v>
      </c>
      <c r="N4223" s="33">
        <v>45629</v>
      </c>
      <c r="O4223" s="1306" t="s">
        <v>4978</v>
      </c>
      <c r="P4223" s="391"/>
      <c r="Q4223" s="254"/>
      <c r="R4223" s="323"/>
      <c r="S4223" s="1345">
        <v>3100</v>
      </c>
      <c r="T4223" s="92">
        <f t="shared" si="347"/>
        <v>3100</v>
      </c>
      <c r="U4223" s="1200"/>
      <c r="V4223" s="260">
        <v>120</v>
      </c>
      <c r="W4223" s="1136" t="e">
        <f t="shared" ref="W4223:W4228" si="348">(((K4223*V4223)-S4223)/(K4223*V4223))</f>
        <v>#DIV/0!</v>
      </c>
    </row>
    <row r="4224" spans="1:24" s="7" customFormat="1" ht="15.95" customHeight="1">
      <c r="B4224" s="12" t="s">
        <v>300</v>
      </c>
      <c r="C4224" s="1303" t="s">
        <v>4973</v>
      </c>
      <c r="D4224" s="14"/>
      <c r="E4224" s="22" t="s">
        <v>5164</v>
      </c>
      <c r="F4224" s="107">
        <v>160</v>
      </c>
      <c r="G4224" s="37" t="s">
        <v>5174</v>
      </c>
      <c r="H4224" s="60"/>
      <c r="I4224" s="61"/>
      <c r="J4224" s="60">
        <v>1</v>
      </c>
      <c r="K4224" s="39"/>
      <c r="L4224" s="39"/>
      <c r="M4224" s="117" t="s">
        <v>323</v>
      </c>
      <c r="N4224" s="33">
        <v>45629</v>
      </c>
      <c r="O4224" s="1306" t="s">
        <v>4978</v>
      </c>
      <c r="P4224" s="391"/>
      <c r="Q4224" s="254"/>
      <c r="R4224" s="323"/>
      <c r="S4224" s="1345">
        <v>2400</v>
      </c>
      <c r="T4224" s="92">
        <f t="shared" si="347"/>
        <v>2400</v>
      </c>
      <c r="U4224" s="1200"/>
      <c r="V4224" s="260">
        <v>120</v>
      </c>
      <c r="W4224" s="1136" t="e">
        <f t="shared" si="348"/>
        <v>#DIV/0!</v>
      </c>
    </row>
    <row r="4225" spans="2:23" s="7" customFormat="1" ht="15.95" customHeight="1">
      <c r="B4225" s="12" t="s">
        <v>300</v>
      </c>
      <c r="C4225" s="1303" t="s">
        <v>4973</v>
      </c>
      <c r="D4225" s="14"/>
      <c r="E4225" s="22" t="s">
        <v>5165</v>
      </c>
      <c r="F4225" s="107">
        <v>150</v>
      </c>
      <c r="G4225" s="37" t="s">
        <v>5174</v>
      </c>
      <c r="H4225" s="60"/>
      <c r="I4225" s="61"/>
      <c r="J4225" s="60">
        <v>1</v>
      </c>
      <c r="K4225" s="39"/>
      <c r="L4225" s="39"/>
      <c r="M4225" s="117" t="s">
        <v>323</v>
      </c>
      <c r="N4225" s="33">
        <v>45629</v>
      </c>
      <c r="O4225" s="1306" t="s">
        <v>4978</v>
      </c>
      <c r="P4225" s="391"/>
      <c r="Q4225" s="254"/>
      <c r="R4225" s="323"/>
      <c r="S4225" s="1345">
        <v>2100</v>
      </c>
      <c r="T4225" s="92">
        <f t="shared" si="347"/>
        <v>2100</v>
      </c>
      <c r="U4225" s="1200"/>
      <c r="V4225" s="260">
        <v>120</v>
      </c>
      <c r="W4225" s="1136" t="e">
        <f t="shared" si="348"/>
        <v>#DIV/0!</v>
      </c>
    </row>
    <row r="4226" spans="2:23" s="7" customFormat="1" ht="15.95" customHeight="1">
      <c r="B4226" s="12" t="s">
        <v>300</v>
      </c>
      <c r="C4226" s="1303" t="s">
        <v>4973</v>
      </c>
      <c r="D4226" s="14"/>
      <c r="E4226" s="22" t="s">
        <v>5166</v>
      </c>
      <c r="F4226" s="107">
        <v>160</v>
      </c>
      <c r="G4226" s="37" t="s">
        <v>5174</v>
      </c>
      <c r="H4226" s="60"/>
      <c r="I4226" s="61"/>
      <c r="J4226" s="60">
        <v>1</v>
      </c>
      <c r="K4226" s="39"/>
      <c r="L4226" s="39"/>
      <c r="M4226" s="117" t="s">
        <v>323</v>
      </c>
      <c r="N4226" s="33">
        <v>45629</v>
      </c>
      <c r="O4226" s="1306" t="s">
        <v>4978</v>
      </c>
      <c r="P4226" s="391"/>
      <c r="Q4226" s="254"/>
      <c r="R4226" s="323"/>
      <c r="S4226" s="1345">
        <v>1900</v>
      </c>
      <c r="T4226" s="92">
        <f t="shared" si="347"/>
        <v>1900</v>
      </c>
      <c r="U4226" s="1200"/>
      <c r="V4226" s="260">
        <v>120</v>
      </c>
      <c r="W4226" s="1136" t="e">
        <f t="shared" si="348"/>
        <v>#DIV/0!</v>
      </c>
    </row>
    <row r="4227" spans="2:23" s="7" customFormat="1" ht="18" customHeight="1">
      <c r="B4227" s="12"/>
      <c r="C4227" s="1303" t="s">
        <v>4973</v>
      </c>
      <c r="D4227" s="14"/>
      <c r="E4227" s="49"/>
      <c r="F4227" s="102"/>
      <c r="G4227" s="22" t="s">
        <v>4329</v>
      </c>
      <c r="H4227" s="8"/>
      <c r="I4227" s="35"/>
      <c r="J4227" s="38">
        <v>5</v>
      </c>
      <c r="K4227" s="39"/>
      <c r="L4227" s="39"/>
      <c r="M4227" s="117" t="s">
        <v>323</v>
      </c>
      <c r="N4227" s="33">
        <v>45629</v>
      </c>
      <c r="O4227" s="1306" t="s">
        <v>4978</v>
      </c>
      <c r="P4227" s="6"/>
      <c r="Q4227" s="39"/>
      <c r="R4227" s="322"/>
      <c r="S4227" s="7">
        <v>500</v>
      </c>
      <c r="T4227" s="7">
        <f t="shared" si="347"/>
        <v>2500</v>
      </c>
      <c r="U4227" s="21"/>
      <c r="V4227" s="260">
        <v>120</v>
      </c>
      <c r="W4227" s="1136" t="e">
        <f t="shared" si="348"/>
        <v>#DIV/0!</v>
      </c>
    </row>
    <row r="4228" spans="2:23" s="7" customFormat="1" ht="18" customHeight="1">
      <c r="B4228" s="12"/>
      <c r="C4228" s="1303" t="s">
        <v>4973</v>
      </c>
      <c r="D4228" s="14"/>
      <c r="E4228" s="22"/>
      <c r="F4228" s="102"/>
      <c r="G4228" s="22" t="s">
        <v>316</v>
      </c>
      <c r="H4228" s="8"/>
      <c r="I4228" s="35"/>
      <c r="J4228" s="38">
        <v>1</v>
      </c>
      <c r="K4228" s="39"/>
      <c r="L4228" s="39"/>
      <c r="M4228" s="117" t="s">
        <v>323</v>
      </c>
      <c r="N4228" s="33">
        <v>45629</v>
      </c>
      <c r="O4228" s="1306" t="s">
        <v>4978</v>
      </c>
      <c r="P4228" s="6"/>
      <c r="Q4228" s="39"/>
      <c r="R4228" s="39"/>
      <c r="S4228" s="7">
        <v>0</v>
      </c>
      <c r="T4228" s="287">
        <f>S4228*J4228</f>
        <v>0</v>
      </c>
      <c r="U4228" s="21"/>
      <c r="V4228" s="260">
        <v>120</v>
      </c>
      <c r="W4228" s="1136" t="e">
        <f t="shared" si="348"/>
        <v>#DIV/0!</v>
      </c>
    </row>
    <row r="4229" spans="2:23" s="7" customFormat="1" ht="18" customHeight="1">
      <c r="B4229" s="12"/>
      <c r="C4229" s="1303" t="s">
        <v>4973</v>
      </c>
      <c r="D4229" s="14"/>
      <c r="E4229" s="19" t="s">
        <v>5161</v>
      </c>
      <c r="F4229" s="22"/>
      <c r="G4229" s="37"/>
      <c r="H4229" s="108"/>
      <c r="I4229" s="108"/>
      <c r="J4229" s="108"/>
      <c r="K4229" s="110" t="s">
        <v>5</v>
      </c>
      <c r="L4229" s="33"/>
      <c r="M4229" s="33"/>
      <c r="N4229" s="33"/>
      <c r="O4229" s="1306" t="s">
        <v>4978</v>
      </c>
      <c r="P4229" s="6"/>
      <c r="Q4229" s="223"/>
      <c r="S4229" s="1174"/>
      <c r="T4229" s="92"/>
      <c r="U4229" s="266"/>
      <c r="V4229" s="260">
        <v>120</v>
      </c>
    </row>
    <row r="4230" spans="2:23" s="7" customFormat="1" ht="15.95" customHeight="1">
      <c r="B4230" s="12" t="s">
        <v>300</v>
      </c>
      <c r="C4230" s="1303" t="s">
        <v>4973</v>
      </c>
      <c r="D4230" s="14"/>
      <c r="E4230" s="22" t="s">
        <v>5217</v>
      </c>
      <c r="F4230" s="107">
        <v>160</v>
      </c>
      <c r="G4230" s="37" t="s">
        <v>5172</v>
      </c>
      <c r="H4230" s="60"/>
      <c r="I4230" s="61"/>
      <c r="J4230" s="60">
        <v>1</v>
      </c>
      <c r="K4230" s="39"/>
      <c r="L4230" s="39"/>
      <c r="M4230" s="117" t="s">
        <v>323</v>
      </c>
      <c r="N4230" s="33">
        <v>45639</v>
      </c>
      <c r="O4230" s="1306" t="s">
        <v>4978</v>
      </c>
      <c r="P4230" s="391"/>
      <c r="Q4230" s="254"/>
      <c r="R4230" s="323"/>
      <c r="S4230" s="1345">
        <v>2100</v>
      </c>
      <c r="T4230" s="92">
        <f t="shared" ref="T4230:T4237" si="349">S4230*J4230</f>
        <v>2100</v>
      </c>
      <c r="U4230" s="1200"/>
      <c r="V4230" s="260">
        <v>120</v>
      </c>
      <c r="W4230" s="1136" t="e">
        <f t="shared" ref="W4230:W4237" si="350">(((K4230*V4230)-S4230)/(K4230*V4230))</f>
        <v>#DIV/0!</v>
      </c>
    </row>
    <row r="4231" spans="2:23" s="7" customFormat="1" ht="15.95" customHeight="1">
      <c r="B4231" s="12" t="s">
        <v>300</v>
      </c>
      <c r="C4231" s="1303" t="s">
        <v>4973</v>
      </c>
      <c r="D4231" s="14"/>
      <c r="E4231" s="22" t="s">
        <v>5218</v>
      </c>
      <c r="F4231" s="107">
        <v>160</v>
      </c>
      <c r="G4231" s="37" t="s">
        <v>5174</v>
      </c>
      <c r="H4231" s="60"/>
      <c r="I4231" s="61"/>
      <c r="J4231" s="60">
        <v>1</v>
      </c>
      <c r="K4231" s="39"/>
      <c r="L4231" s="39"/>
      <c r="M4231" s="117" t="s">
        <v>323</v>
      </c>
      <c r="N4231" s="33">
        <v>45639</v>
      </c>
      <c r="O4231" s="1306" t="s">
        <v>4978</v>
      </c>
      <c r="P4231" s="391"/>
      <c r="Q4231" s="254"/>
      <c r="R4231" s="323"/>
      <c r="S4231" s="1345">
        <v>2100</v>
      </c>
      <c r="T4231" s="92">
        <f t="shared" si="349"/>
        <v>2100</v>
      </c>
      <c r="U4231" s="1200"/>
      <c r="V4231" s="260">
        <v>120</v>
      </c>
      <c r="W4231" s="1136" t="e">
        <f t="shared" si="350"/>
        <v>#DIV/0!</v>
      </c>
    </row>
    <row r="4232" spans="2:23" s="7" customFormat="1" ht="18" customHeight="1">
      <c r="B4232" s="12"/>
      <c r="C4232" s="1303" t="s">
        <v>4973</v>
      </c>
      <c r="D4232" s="14"/>
      <c r="E4232" s="49"/>
      <c r="F4232" s="102"/>
      <c r="G4232" s="22" t="s">
        <v>4329</v>
      </c>
      <c r="H4232" s="8"/>
      <c r="I4232" s="35"/>
      <c r="J4232" s="38">
        <v>2</v>
      </c>
      <c r="K4232" s="39"/>
      <c r="L4232" s="39"/>
      <c r="M4232" s="117" t="s">
        <v>323</v>
      </c>
      <c r="N4232" s="33">
        <v>45639</v>
      </c>
      <c r="O4232" s="1306" t="s">
        <v>4978</v>
      </c>
      <c r="P4232" s="6"/>
      <c r="Q4232" s="39"/>
      <c r="R4232" s="322"/>
      <c r="S4232" s="7">
        <v>500</v>
      </c>
      <c r="T4232" s="7">
        <f t="shared" si="349"/>
        <v>1000</v>
      </c>
      <c r="U4232" s="21"/>
      <c r="V4232" s="260">
        <v>120</v>
      </c>
      <c r="W4232" s="1136" t="e">
        <f t="shared" si="350"/>
        <v>#DIV/0!</v>
      </c>
    </row>
    <row r="4233" spans="2:23" s="7" customFormat="1" ht="18" customHeight="1">
      <c r="B4233" s="12"/>
      <c r="C4233" s="1303" t="s">
        <v>4973</v>
      </c>
      <c r="D4233" s="14"/>
      <c r="E4233" s="22"/>
      <c r="F4233" s="102"/>
      <c r="G4233" s="22" t="s">
        <v>316</v>
      </c>
      <c r="H4233" s="8"/>
      <c r="I4233" s="35"/>
      <c r="J4233" s="38">
        <v>1</v>
      </c>
      <c r="K4233" s="39"/>
      <c r="L4233" s="39"/>
      <c r="M4233" s="117" t="s">
        <v>323</v>
      </c>
      <c r="N4233" s="33">
        <v>45639</v>
      </c>
      <c r="O4233" s="1306" t="s">
        <v>4978</v>
      </c>
      <c r="P4233" s="6"/>
      <c r="Q4233" s="39"/>
      <c r="R4233" s="39"/>
      <c r="S4233" s="7">
        <v>1000</v>
      </c>
      <c r="T4233" s="287">
        <f t="shared" si="349"/>
        <v>1000</v>
      </c>
      <c r="U4233" s="21"/>
      <c r="V4233" s="260">
        <v>120</v>
      </c>
      <c r="W4233" s="1136" t="e">
        <f t="shared" si="350"/>
        <v>#DIV/0!</v>
      </c>
    </row>
    <row r="4234" spans="2:23" s="7" customFormat="1" ht="15.95" customHeight="1">
      <c r="B4234" s="12" t="s">
        <v>300</v>
      </c>
      <c r="C4234" s="1303" t="s">
        <v>4973</v>
      </c>
      <c r="D4234" s="14"/>
      <c r="E4234" s="22" t="s">
        <v>5213</v>
      </c>
      <c r="F4234" s="107">
        <v>160</v>
      </c>
      <c r="G4234" s="1347" t="s">
        <v>5214</v>
      </c>
      <c r="H4234" s="60"/>
      <c r="I4234" s="61"/>
      <c r="J4234" s="60">
        <v>1</v>
      </c>
      <c r="K4234" s="39"/>
      <c r="L4234" s="39"/>
      <c r="M4234" s="117" t="s">
        <v>323</v>
      </c>
      <c r="N4234" s="33">
        <v>45645</v>
      </c>
      <c r="O4234" s="1306" t="s">
        <v>4978</v>
      </c>
      <c r="P4234" s="391"/>
      <c r="Q4234" s="254"/>
      <c r="R4234" s="323"/>
      <c r="S4234" s="1345">
        <v>3100</v>
      </c>
      <c r="T4234" s="92">
        <f t="shared" si="349"/>
        <v>3100</v>
      </c>
      <c r="U4234" s="1200"/>
      <c r="V4234" s="260">
        <v>120</v>
      </c>
      <c r="W4234" s="1136" t="e">
        <f t="shared" si="350"/>
        <v>#DIV/0!</v>
      </c>
    </row>
    <row r="4235" spans="2:23" s="7" customFormat="1" ht="15.95" customHeight="1">
      <c r="B4235" s="12" t="s">
        <v>300</v>
      </c>
      <c r="C4235" s="1303" t="s">
        <v>4973</v>
      </c>
      <c r="D4235" s="14"/>
      <c r="E4235" s="82"/>
      <c r="F4235" s="107"/>
      <c r="G4235" s="1347" t="s">
        <v>5215</v>
      </c>
      <c r="H4235" s="60"/>
      <c r="I4235" s="61"/>
      <c r="J4235" s="38">
        <v>1</v>
      </c>
      <c r="K4235" s="39"/>
      <c r="L4235" s="39"/>
      <c r="M4235" s="117" t="s">
        <v>323</v>
      </c>
      <c r="N4235" s="33">
        <v>45645</v>
      </c>
      <c r="O4235" s="1306" t="s">
        <v>4978</v>
      </c>
      <c r="P4235" s="391"/>
      <c r="Q4235" s="254"/>
      <c r="R4235" s="323"/>
      <c r="S4235" s="1345">
        <v>15000</v>
      </c>
      <c r="T4235" s="92">
        <f t="shared" si="349"/>
        <v>15000</v>
      </c>
      <c r="U4235" s="1200"/>
      <c r="V4235" s="260">
        <v>120</v>
      </c>
      <c r="W4235" s="1136" t="e">
        <f t="shared" si="350"/>
        <v>#DIV/0!</v>
      </c>
    </row>
    <row r="4236" spans="2:23" s="7" customFormat="1" ht="18" customHeight="1">
      <c r="B4236" s="12"/>
      <c r="C4236" s="1303" t="s">
        <v>4973</v>
      </c>
      <c r="D4236" s="14"/>
      <c r="E4236" s="49"/>
      <c r="F4236" s="102"/>
      <c r="G4236" s="22" t="s">
        <v>4329</v>
      </c>
      <c r="H4236" s="8"/>
      <c r="I4236" s="35"/>
      <c r="J4236" s="38">
        <v>1</v>
      </c>
      <c r="K4236" s="39"/>
      <c r="L4236" s="39"/>
      <c r="M4236" s="117" t="s">
        <v>323</v>
      </c>
      <c r="N4236" s="33">
        <v>45645</v>
      </c>
      <c r="O4236" s="1306" t="s">
        <v>4978</v>
      </c>
      <c r="P4236" s="6"/>
      <c r="Q4236" s="39"/>
      <c r="R4236" s="322"/>
      <c r="S4236" s="7">
        <v>500</v>
      </c>
      <c r="T4236" s="7">
        <f t="shared" si="349"/>
        <v>500</v>
      </c>
      <c r="U4236" s="21"/>
      <c r="V4236" s="260">
        <v>120</v>
      </c>
      <c r="W4236" s="1136" t="e">
        <f t="shared" si="350"/>
        <v>#DIV/0!</v>
      </c>
    </row>
    <row r="4237" spans="2:23" s="7" customFormat="1" ht="18" customHeight="1">
      <c r="B4237" s="12"/>
      <c r="C4237" s="1303" t="s">
        <v>4973</v>
      </c>
      <c r="D4237" s="14"/>
      <c r="E4237" s="22"/>
      <c r="F4237" s="102"/>
      <c r="G4237" s="22" t="s">
        <v>316</v>
      </c>
      <c r="H4237" s="8"/>
      <c r="I4237" s="35"/>
      <c r="J4237" s="38">
        <v>1</v>
      </c>
      <c r="K4237" s="39"/>
      <c r="L4237" s="39"/>
      <c r="M4237" s="117" t="s">
        <v>323</v>
      </c>
      <c r="N4237" s="33">
        <v>45645</v>
      </c>
      <c r="O4237" s="1306" t="s">
        <v>4978</v>
      </c>
      <c r="P4237" s="6"/>
      <c r="Q4237" s="39"/>
      <c r="R4237" s="39"/>
      <c r="S4237" s="7">
        <v>0</v>
      </c>
      <c r="T4237" s="287">
        <f t="shared" si="349"/>
        <v>0</v>
      </c>
      <c r="U4237" s="21"/>
      <c r="V4237" s="260">
        <v>120</v>
      </c>
      <c r="W4237" s="1136" t="e">
        <f t="shared" si="350"/>
        <v>#DIV/0!</v>
      </c>
    </row>
    <row r="4238" spans="2:23" s="191" customFormat="1" ht="18" customHeight="1">
      <c r="B4238" s="190"/>
      <c r="C4238" s="1304" t="s">
        <v>4973</v>
      </c>
      <c r="D4238" s="180"/>
      <c r="E4238" s="217"/>
      <c r="F4238" s="182"/>
      <c r="G4238" s="182" t="s">
        <v>250</v>
      </c>
      <c r="H4238" s="184" t="s">
        <v>251</v>
      </c>
      <c r="I4238" s="185"/>
      <c r="J4238" s="183"/>
      <c r="K4238" s="192"/>
      <c r="L4238" s="187"/>
      <c r="M4238" s="187"/>
      <c r="N4238" s="187">
        <v>45645</v>
      </c>
      <c r="O4238" s="1307" t="s">
        <v>4978</v>
      </c>
      <c r="P4238" s="179"/>
      <c r="Q4238" s="255"/>
      <c r="R4238" s="322"/>
      <c r="S4238" s="275"/>
      <c r="T4238" s="275"/>
      <c r="U4238" s="271"/>
      <c r="V4238" s="260"/>
      <c r="W4238" s="1136"/>
    </row>
    <row r="4239" spans="2:23" ht="15">
      <c r="C4239" s="6" t="s">
        <v>5230</v>
      </c>
      <c r="D4239" s="14" t="s">
        <v>3067</v>
      </c>
      <c r="E4239" s="19" t="s">
        <v>4626</v>
      </c>
      <c r="F4239" s="107"/>
      <c r="G4239" s="22"/>
      <c r="H4239" s="108"/>
      <c r="I4239" s="109"/>
      <c r="J4239" s="108"/>
      <c r="K4239" s="110" t="s">
        <v>5</v>
      </c>
      <c r="L4239" s="33"/>
      <c r="M4239" s="33"/>
      <c r="N4239" s="33">
        <v>45649</v>
      </c>
      <c r="O4239" s="32">
        <v>6719</v>
      </c>
      <c r="P4239" s="14"/>
      <c r="Q4239" s="254"/>
      <c r="S4239" s="1196"/>
      <c r="T4239" s="92"/>
      <c r="U4239" s="264"/>
      <c r="V4239" s="260">
        <v>120</v>
      </c>
      <c r="W4239" s="1136" t="e">
        <f>(((K4239*V4239)-S4239)/(K4239*V4239))</f>
        <v>#VALUE!</v>
      </c>
    </row>
    <row r="4240" spans="2:23" ht="15.75">
      <c r="B4240" s="12" t="s">
        <v>302</v>
      </c>
      <c r="C4240" s="6" t="s">
        <v>5230</v>
      </c>
      <c r="D4240" s="14" t="s">
        <v>3067</v>
      </c>
      <c r="E4240" s="221" t="s">
        <v>5231</v>
      </c>
      <c r="F4240" s="133" t="s">
        <v>3061</v>
      </c>
      <c r="G4240" s="396" t="s">
        <v>4625</v>
      </c>
      <c r="H4240" s="18">
        <v>44.1</v>
      </c>
      <c r="I4240" s="61">
        <v>1</v>
      </c>
      <c r="J4240" s="131">
        <f>H4240*I4240</f>
        <v>44.1</v>
      </c>
      <c r="K4240" s="322">
        <v>23.6</v>
      </c>
      <c r="L4240" s="39">
        <f>K4240*J4240</f>
        <v>1040.76</v>
      </c>
      <c r="M4240" s="117" t="s">
        <v>323</v>
      </c>
      <c r="N4240" s="33">
        <v>45649</v>
      </c>
      <c r="O4240" s="32">
        <v>6719</v>
      </c>
      <c r="P4240" s="391">
        <f>ROUNDUP(S4240/V4240/VLOOKUP(B4240,$C$2:$F$6,3,FALSE),2)</f>
        <v>19.89</v>
      </c>
      <c r="Q4240" s="254">
        <v>19.89</v>
      </c>
      <c r="R4240" s="323">
        <f>Q4240*J4240</f>
        <v>877.149</v>
      </c>
      <c r="S4240" s="273">
        <v>2100</v>
      </c>
      <c r="T4240" s="287">
        <f>S4240*J4240</f>
        <v>92610</v>
      </c>
      <c r="U4240" s="264"/>
      <c r="V4240" s="260">
        <v>120</v>
      </c>
      <c r="W4240" s="1136">
        <f>(((K4240*V4240)-S4240)/(K4240*V4240))</f>
        <v>0.25847457627118642</v>
      </c>
    </row>
    <row r="4241" spans="1:51" s="7" customFormat="1" ht="18" customHeight="1">
      <c r="B4241" s="12"/>
      <c r="C4241" s="6" t="s">
        <v>5230</v>
      </c>
      <c r="D4241" s="14" t="s">
        <v>3067</v>
      </c>
      <c r="E4241" s="22"/>
      <c r="F4241" s="102"/>
      <c r="G4241" s="22" t="s">
        <v>316</v>
      </c>
      <c r="H4241" s="8"/>
      <c r="I4241" s="35"/>
      <c r="J4241" s="38">
        <v>1</v>
      </c>
      <c r="K4241" s="39">
        <v>20</v>
      </c>
      <c r="L4241" s="39">
        <f>K4241*J4241</f>
        <v>20</v>
      </c>
      <c r="M4241" s="91"/>
      <c r="N4241" s="33">
        <v>45649</v>
      </c>
      <c r="O4241" s="32">
        <v>6719</v>
      </c>
      <c r="P4241" s="6"/>
      <c r="Q4241" s="322">
        <v>20</v>
      </c>
      <c r="R4241" s="322">
        <f>Q4241*J4241</f>
        <v>20</v>
      </c>
      <c r="S4241" s="7">
        <v>0</v>
      </c>
      <c r="T4241" s="7">
        <f>S4241*J4241</f>
        <v>0</v>
      </c>
      <c r="U4241" s="21"/>
      <c r="V4241" s="260">
        <v>120</v>
      </c>
      <c r="W4241" s="1136">
        <f>(((K4241*V4241)-S4241)/(K4241*V4241))</f>
        <v>1</v>
      </c>
    </row>
    <row r="4242" spans="1:51" s="191" customFormat="1" ht="18" customHeight="1">
      <c r="B4242" s="190"/>
      <c r="C4242" s="179" t="s">
        <v>5230</v>
      </c>
      <c r="D4242" s="180" t="s">
        <v>3067</v>
      </c>
      <c r="E4242" s="217"/>
      <c r="F4242" s="182"/>
      <c r="G4242" s="182" t="s">
        <v>250</v>
      </c>
      <c r="H4242" s="184" t="s">
        <v>251</v>
      </c>
      <c r="I4242" s="185"/>
      <c r="J4242" s="183"/>
      <c r="K4242" s="192">
        <v>0</v>
      </c>
      <c r="L4242" s="187"/>
      <c r="M4242" s="187"/>
      <c r="N4242" s="187">
        <v>45649</v>
      </c>
      <c r="O4242" s="186">
        <v>6719</v>
      </c>
      <c r="P4242" s="179"/>
      <c r="Q4242" s="255">
        <v>0</v>
      </c>
      <c r="R4242" s="322">
        <v>0</v>
      </c>
      <c r="S4242" s="275">
        <v>0</v>
      </c>
      <c r="T4242" s="198">
        <v>0</v>
      </c>
      <c r="U4242" s="271"/>
      <c r="V4242" s="260">
        <v>120</v>
      </c>
      <c r="W4242" s="1136" t="e">
        <f>(((K4242*V4242)-S4242)/(K4242*V4242))</f>
        <v>#DIV/0!</v>
      </c>
    </row>
    <row r="4243" spans="1:51" s="7" customFormat="1" ht="18" customHeight="1">
      <c r="B4243" s="12"/>
      <c r="C4243" s="6" t="s">
        <v>5238</v>
      </c>
      <c r="D4243" s="14" t="s">
        <v>4693</v>
      </c>
      <c r="E4243" s="19" t="s">
        <v>4809</v>
      </c>
      <c r="F4243" s="107"/>
      <c r="G4243" s="22"/>
      <c r="H4243" s="108"/>
      <c r="I4243" s="109"/>
      <c r="J4243" s="108"/>
      <c r="K4243" s="29" t="s">
        <v>5</v>
      </c>
      <c r="L4243" s="39"/>
      <c r="M4243" s="91"/>
      <c r="N4243" s="33">
        <v>45651</v>
      </c>
      <c r="O4243" s="32">
        <v>6730</v>
      </c>
      <c r="P4243" s="14"/>
      <c r="Q4243" s="322"/>
      <c r="U4243" s="14"/>
      <c r="V4243" s="384">
        <v>120</v>
      </c>
    </row>
    <row r="4244" spans="1:51" s="7" customFormat="1" ht="18" customHeight="1">
      <c r="B4244" s="12" t="s">
        <v>302</v>
      </c>
      <c r="C4244" s="6" t="s">
        <v>5238</v>
      </c>
      <c r="D4244" s="14" t="s">
        <v>4693</v>
      </c>
      <c r="E4244" s="22" t="s">
        <v>4808</v>
      </c>
      <c r="F4244" s="107">
        <v>140</v>
      </c>
      <c r="G4244" s="396" t="s">
        <v>4483</v>
      </c>
      <c r="H4244" s="131">
        <v>53.9</v>
      </c>
      <c r="I4244" s="109">
        <v>1</v>
      </c>
      <c r="J4244" s="131">
        <v>53.9</v>
      </c>
      <c r="K4244" s="39">
        <v>14.64</v>
      </c>
      <c r="L4244" s="39">
        <f>K4244*J4244</f>
        <v>789.096</v>
      </c>
      <c r="M4244" s="117" t="s">
        <v>323</v>
      </c>
      <c r="N4244" s="33">
        <v>45651</v>
      </c>
      <c r="O4244" s="32">
        <v>6730</v>
      </c>
      <c r="P4244" s="391">
        <f>ROUNDUP(S4244/V4244/VLOOKUP(B4244,$C$2:$F$6,3,FALSE),2)</f>
        <v>11.65</v>
      </c>
      <c r="Q4244" s="322">
        <v>11.65</v>
      </c>
      <c r="R4244" s="322">
        <f>Q4244*J4244</f>
        <v>627.93500000000006</v>
      </c>
      <c r="S4244" s="92">
        <v>1230</v>
      </c>
      <c r="T4244" s="7">
        <f>S4244*J4244</f>
        <v>66297</v>
      </c>
      <c r="U4244" s="21"/>
      <c r="V4244" s="260">
        <v>120</v>
      </c>
      <c r="W4244" s="1136">
        <f>(((K4244*V4244)-S4244)/(K4244*V4244))</f>
        <v>0.29986338797814216</v>
      </c>
    </row>
    <row r="4245" spans="1:51" s="7" customFormat="1" ht="18" customHeight="1">
      <c r="B4245" s="12" t="s">
        <v>302</v>
      </c>
      <c r="C4245" s="6" t="s">
        <v>5238</v>
      </c>
      <c r="D4245" s="14" t="s">
        <v>4693</v>
      </c>
      <c r="E4245" s="22" t="s">
        <v>4808</v>
      </c>
      <c r="F4245" s="107">
        <v>140</v>
      </c>
      <c r="G4245" s="396" t="s">
        <v>4483</v>
      </c>
      <c r="H4245" s="131">
        <v>51.8</v>
      </c>
      <c r="I4245" s="109">
        <v>1</v>
      </c>
      <c r="J4245" s="131">
        <v>51.8</v>
      </c>
      <c r="K4245" s="39">
        <v>14.64</v>
      </c>
      <c r="L4245" s="39">
        <f>K4245*J4245</f>
        <v>758.35199999999998</v>
      </c>
      <c r="M4245" s="117" t="s">
        <v>323</v>
      </c>
      <c r="N4245" s="33">
        <v>45651</v>
      </c>
      <c r="O4245" s="32">
        <v>6730</v>
      </c>
      <c r="P4245" s="391">
        <f>ROUNDUP(S4245/V4245/VLOOKUP(B4245,$C$2:$F$6,3,FALSE),2)</f>
        <v>11.65</v>
      </c>
      <c r="Q4245" s="322">
        <v>11.65</v>
      </c>
      <c r="R4245" s="322">
        <f>Q4245*J4245</f>
        <v>603.47</v>
      </c>
      <c r="S4245" s="92">
        <v>1230</v>
      </c>
      <c r="T4245" s="7">
        <f>S4245*J4245</f>
        <v>63714</v>
      </c>
      <c r="U4245" s="21"/>
      <c r="V4245" s="260">
        <v>120</v>
      </c>
      <c r="W4245" s="1136">
        <f>(((K4245*V4245)-S4245)/(K4245*V4245))</f>
        <v>0.29986338797814216</v>
      </c>
    </row>
    <row r="4246" spans="1:51" s="7" customFormat="1" ht="18" customHeight="1">
      <c r="B4246" s="12" t="s">
        <v>302</v>
      </c>
      <c r="C4246" s="6" t="s">
        <v>5238</v>
      </c>
      <c r="D4246" s="14" t="s">
        <v>4693</v>
      </c>
      <c r="E4246" s="22" t="s">
        <v>4808</v>
      </c>
      <c r="F4246" s="107">
        <v>140</v>
      </c>
      <c r="G4246" s="396" t="s">
        <v>4483</v>
      </c>
      <c r="H4246" s="131">
        <v>51.1</v>
      </c>
      <c r="I4246" s="109">
        <v>1</v>
      </c>
      <c r="J4246" s="131">
        <v>51.1</v>
      </c>
      <c r="K4246" s="39">
        <v>14.64</v>
      </c>
      <c r="L4246" s="39">
        <f>K4246*J4246</f>
        <v>748.10400000000004</v>
      </c>
      <c r="M4246" s="117" t="s">
        <v>323</v>
      </c>
      <c r="N4246" s="33">
        <v>45651</v>
      </c>
      <c r="O4246" s="32">
        <v>6730</v>
      </c>
      <c r="P4246" s="391">
        <f>ROUNDUP(S4246/V4246/VLOOKUP(B4246,$C$2:$F$6,3,FALSE),2)</f>
        <v>11.65</v>
      </c>
      <c r="Q4246" s="322">
        <v>11.65</v>
      </c>
      <c r="R4246" s="322">
        <f>Q4246*J4246</f>
        <v>595.31500000000005</v>
      </c>
      <c r="S4246" s="92">
        <v>1230</v>
      </c>
      <c r="T4246" s="7">
        <f>S4246*J4246</f>
        <v>62853</v>
      </c>
      <c r="U4246" s="21"/>
      <c r="V4246" s="260">
        <v>120</v>
      </c>
      <c r="W4246" s="1136">
        <f>(((K4246*V4246)-S4246)/(K4246*V4246))</f>
        <v>0.29986338797814216</v>
      </c>
    </row>
    <row r="4247" spans="1:51" s="7" customFormat="1" ht="18" customHeight="1">
      <c r="B4247" s="12" t="s">
        <v>302</v>
      </c>
      <c r="C4247" s="6" t="s">
        <v>5238</v>
      </c>
      <c r="D4247" s="14" t="s">
        <v>4693</v>
      </c>
      <c r="E4247" s="22" t="s">
        <v>4808</v>
      </c>
      <c r="F4247" s="107">
        <v>140</v>
      </c>
      <c r="G4247" s="396" t="s">
        <v>4483</v>
      </c>
      <c r="H4247" s="131">
        <v>50.7</v>
      </c>
      <c r="I4247" s="109">
        <v>1</v>
      </c>
      <c r="J4247" s="131">
        <v>50.7</v>
      </c>
      <c r="K4247" s="39">
        <v>14.64</v>
      </c>
      <c r="L4247" s="39">
        <f>K4247*J4247</f>
        <v>742.24800000000005</v>
      </c>
      <c r="M4247" s="117" t="s">
        <v>323</v>
      </c>
      <c r="N4247" s="33">
        <v>45651</v>
      </c>
      <c r="O4247" s="32">
        <v>6730</v>
      </c>
      <c r="P4247" s="391">
        <f>ROUNDUP(S4247/V4247/VLOOKUP(B4247,$C$2:$F$6,3,FALSE),2)</f>
        <v>11.65</v>
      </c>
      <c r="Q4247" s="322">
        <v>11.65</v>
      </c>
      <c r="R4247" s="322">
        <f>Q4247*J4247</f>
        <v>590.65500000000009</v>
      </c>
      <c r="S4247" s="92">
        <v>1230</v>
      </c>
      <c r="T4247" s="7">
        <f>S4247*J4247</f>
        <v>62361</v>
      </c>
      <c r="U4247" s="21"/>
      <c r="V4247" s="260">
        <v>120</v>
      </c>
      <c r="W4247" s="1136">
        <f>(((K4247*V4247)-S4247)/(K4247*V4247))</f>
        <v>0.29986338797814216</v>
      </c>
    </row>
    <row r="4248" spans="1:51" s="7" customFormat="1" ht="18" customHeight="1">
      <c r="B4248" s="12"/>
      <c r="C4248" s="6" t="s">
        <v>5239</v>
      </c>
      <c r="D4248" s="14" t="s">
        <v>4693</v>
      </c>
      <c r="E4248" s="19" t="s">
        <v>4809</v>
      </c>
      <c r="F4248" s="107"/>
      <c r="G4248" s="22"/>
      <c r="H4248" s="108"/>
      <c r="I4248" s="109"/>
      <c r="J4248" s="108"/>
      <c r="K4248" s="29" t="s">
        <v>5</v>
      </c>
      <c r="L4248" s="39"/>
      <c r="M4248" s="91"/>
      <c r="N4248" s="33">
        <v>45651</v>
      </c>
      <c r="O4248" s="32">
        <v>6731</v>
      </c>
      <c r="P4248" s="14"/>
      <c r="Q4248" s="322"/>
      <c r="U4248" s="14"/>
      <c r="V4248" s="384">
        <v>120</v>
      </c>
    </row>
    <row r="4249" spans="1:51" s="7" customFormat="1" ht="18" customHeight="1">
      <c r="B4249" s="12" t="s">
        <v>302</v>
      </c>
      <c r="C4249" s="6" t="s">
        <v>5239</v>
      </c>
      <c r="D4249" s="14" t="s">
        <v>4693</v>
      </c>
      <c r="E4249" s="22" t="s">
        <v>4808</v>
      </c>
      <c r="F4249" s="107">
        <v>140</v>
      </c>
      <c r="G4249" s="396" t="s">
        <v>4483</v>
      </c>
      <c r="H4249" s="131">
        <v>52.3</v>
      </c>
      <c r="I4249" s="109">
        <v>1</v>
      </c>
      <c r="J4249" s="131">
        <v>52.3</v>
      </c>
      <c r="K4249" s="39">
        <v>14.64</v>
      </c>
      <c r="L4249" s="39">
        <f t="shared" ref="L4249:L4254" si="351">K4249*J4249</f>
        <v>765.67200000000003</v>
      </c>
      <c r="M4249" s="117" t="s">
        <v>323</v>
      </c>
      <c r="N4249" s="33">
        <v>45651</v>
      </c>
      <c r="O4249" s="32">
        <v>6731</v>
      </c>
      <c r="P4249" s="391">
        <f>ROUNDUP(S4249/V4249/VLOOKUP(B4249,$C$2:$F$6,3,FALSE),2)</f>
        <v>11.65</v>
      </c>
      <c r="Q4249" s="322">
        <v>11.65</v>
      </c>
      <c r="R4249" s="322">
        <f t="shared" ref="R4249:R4254" si="352">Q4249*J4249</f>
        <v>609.29499999999996</v>
      </c>
      <c r="S4249" s="92">
        <v>1230</v>
      </c>
      <c r="T4249" s="7">
        <f t="shared" ref="T4249:T4254" si="353">S4249*J4249</f>
        <v>64329</v>
      </c>
      <c r="U4249" s="21"/>
      <c r="V4249" s="260">
        <v>120</v>
      </c>
      <c r="W4249" s="1136">
        <f t="shared" ref="W4249:W4254" si="354">(((K4249*V4249)-S4249)/(K4249*V4249))</f>
        <v>0.29986338797814216</v>
      </c>
    </row>
    <row r="4250" spans="1:51" s="7" customFormat="1" ht="18" customHeight="1">
      <c r="B4250" s="12" t="s">
        <v>302</v>
      </c>
      <c r="C4250" s="6" t="s">
        <v>5239</v>
      </c>
      <c r="D4250" s="14" t="s">
        <v>4693</v>
      </c>
      <c r="E4250" s="22" t="s">
        <v>4808</v>
      </c>
      <c r="F4250" s="107">
        <v>140</v>
      </c>
      <c r="G4250" s="396" t="s">
        <v>4483</v>
      </c>
      <c r="H4250" s="131">
        <v>51.4</v>
      </c>
      <c r="I4250" s="109">
        <v>1</v>
      </c>
      <c r="J4250" s="131">
        <v>51.4</v>
      </c>
      <c r="K4250" s="39">
        <v>14.64</v>
      </c>
      <c r="L4250" s="39">
        <f t="shared" si="351"/>
        <v>752.49599999999998</v>
      </c>
      <c r="M4250" s="117" t="s">
        <v>323</v>
      </c>
      <c r="N4250" s="33">
        <v>45651</v>
      </c>
      <c r="O4250" s="32">
        <v>6731</v>
      </c>
      <c r="P4250" s="391">
        <f>ROUNDUP(S4250/V4250/VLOOKUP(B4250,$C$2:$F$6,3,FALSE),2)</f>
        <v>11.65</v>
      </c>
      <c r="Q4250" s="322">
        <v>11.65</v>
      </c>
      <c r="R4250" s="322">
        <f t="shared" si="352"/>
        <v>598.80999999999995</v>
      </c>
      <c r="S4250" s="92">
        <v>1230</v>
      </c>
      <c r="T4250" s="7">
        <f t="shared" si="353"/>
        <v>63222</v>
      </c>
      <c r="U4250" s="21"/>
      <c r="V4250" s="260">
        <v>120</v>
      </c>
      <c r="W4250" s="1136">
        <f t="shared" si="354"/>
        <v>0.29986338797814216</v>
      </c>
    </row>
    <row r="4251" spans="1:51" s="7" customFormat="1" ht="18" customHeight="1">
      <c r="B4251" s="12" t="s">
        <v>302</v>
      </c>
      <c r="C4251" s="6" t="s">
        <v>5239</v>
      </c>
      <c r="D4251" s="14" t="s">
        <v>4693</v>
      </c>
      <c r="E4251" s="22" t="s">
        <v>4808</v>
      </c>
      <c r="F4251" s="107">
        <v>140</v>
      </c>
      <c r="G4251" s="396" t="s">
        <v>4483</v>
      </c>
      <c r="H4251" s="131">
        <v>51</v>
      </c>
      <c r="I4251" s="109">
        <v>1</v>
      </c>
      <c r="J4251" s="131">
        <v>51</v>
      </c>
      <c r="K4251" s="39">
        <v>14.64</v>
      </c>
      <c r="L4251" s="39">
        <f t="shared" si="351"/>
        <v>746.64</v>
      </c>
      <c r="M4251" s="117" t="s">
        <v>323</v>
      </c>
      <c r="N4251" s="33">
        <v>45651</v>
      </c>
      <c r="O4251" s="32">
        <v>6731</v>
      </c>
      <c r="P4251" s="391">
        <f>ROUNDUP(S4251/V4251/VLOOKUP(B4251,$C$2:$F$6,3,FALSE),2)</f>
        <v>11.65</v>
      </c>
      <c r="Q4251" s="322">
        <v>11.65</v>
      </c>
      <c r="R4251" s="322">
        <f t="shared" si="352"/>
        <v>594.15</v>
      </c>
      <c r="S4251" s="92">
        <v>1230</v>
      </c>
      <c r="T4251" s="7">
        <f t="shared" si="353"/>
        <v>62730</v>
      </c>
      <c r="U4251" s="21"/>
      <c r="V4251" s="260">
        <v>120</v>
      </c>
      <c r="W4251" s="1136">
        <f t="shared" si="354"/>
        <v>0.29986338797814216</v>
      </c>
    </row>
    <row r="4252" spans="1:51" s="7" customFormat="1" ht="18" customHeight="1">
      <c r="B4252" s="12" t="s">
        <v>302</v>
      </c>
      <c r="C4252" s="6" t="s">
        <v>5239</v>
      </c>
      <c r="D4252" s="14" t="s">
        <v>4693</v>
      </c>
      <c r="E4252" s="22" t="s">
        <v>4808</v>
      </c>
      <c r="F4252" s="107">
        <v>140</v>
      </c>
      <c r="G4252" s="396" t="s">
        <v>4483</v>
      </c>
      <c r="H4252" s="131">
        <v>50.7</v>
      </c>
      <c r="I4252" s="109">
        <v>1</v>
      </c>
      <c r="J4252" s="131">
        <v>50.7</v>
      </c>
      <c r="K4252" s="39">
        <v>14.64</v>
      </c>
      <c r="L4252" s="39">
        <f t="shared" si="351"/>
        <v>742.24800000000005</v>
      </c>
      <c r="M4252" s="117" t="s">
        <v>323</v>
      </c>
      <c r="N4252" s="33">
        <v>45651</v>
      </c>
      <c r="O4252" s="32">
        <v>6731</v>
      </c>
      <c r="P4252" s="391">
        <f>ROUNDUP(S4252/V4252/VLOOKUP(B4252,$C$2:$F$6,3,FALSE),2)</f>
        <v>11.65</v>
      </c>
      <c r="Q4252" s="322">
        <v>11.65</v>
      </c>
      <c r="R4252" s="322">
        <f t="shared" si="352"/>
        <v>590.65500000000009</v>
      </c>
      <c r="S4252" s="92">
        <v>1230</v>
      </c>
      <c r="T4252" s="7">
        <f t="shared" si="353"/>
        <v>62361</v>
      </c>
      <c r="U4252" s="21"/>
      <c r="V4252" s="260">
        <v>120</v>
      </c>
      <c r="W4252" s="1136">
        <f t="shared" si="354"/>
        <v>0.29986338797814216</v>
      </c>
    </row>
    <row r="4253" spans="1:51" s="7" customFormat="1" ht="18" customHeight="1">
      <c r="B4253" s="12" t="s">
        <v>302</v>
      </c>
      <c r="C4253" s="6" t="s">
        <v>5239</v>
      </c>
      <c r="D4253" s="14" t="s">
        <v>4693</v>
      </c>
      <c r="E4253" s="22" t="s">
        <v>4808</v>
      </c>
      <c r="F4253" s="107">
        <v>140</v>
      </c>
      <c r="G4253" s="396" t="s">
        <v>4483</v>
      </c>
      <c r="H4253" s="131">
        <v>50.6</v>
      </c>
      <c r="I4253" s="109">
        <v>2</v>
      </c>
      <c r="J4253" s="131">
        <f>H4253*I4253</f>
        <v>101.2</v>
      </c>
      <c r="K4253" s="39">
        <v>14.64</v>
      </c>
      <c r="L4253" s="39">
        <f t="shared" si="351"/>
        <v>1481.5680000000002</v>
      </c>
      <c r="M4253" s="117" t="s">
        <v>323</v>
      </c>
      <c r="N4253" s="33">
        <v>45651</v>
      </c>
      <c r="O4253" s="32">
        <v>6731</v>
      </c>
      <c r="P4253" s="391">
        <f>ROUNDUP(S4253/V4253/VLOOKUP(B4253,$C$2:$F$6,3,FALSE),2)</f>
        <v>11.65</v>
      </c>
      <c r="Q4253" s="322">
        <v>11.65</v>
      </c>
      <c r="R4253" s="322">
        <f t="shared" si="352"/>
        <v>1178.98</v>
      </c>
      <c r="S4253" s="92">
        <v>1230</v>
      </c>
      <c r="T4253" s="7">
        <f t="shared" si="353"/>
        <v>124476</v>
      </c>
      <c r="U4253" s="21"/>
      <c r="V4253" s="260">
        <v>120</v>
      </c>
      <c r="W4253" s="1136">
        <f t="shared" si="354"/>
        <v>0.29986338797814216</v>
      </c>
    </row>
    <row r="4254" spans="1:51" s="7" customFormat="1" ht="18" customHeight="1">
      <c r="B4254" s="12"/>
      <c r="C4254" s="6" t="s">
        <v>5239</v>
      </c>
      <c r="D4254" s="14" t="s">
        <v>4693</v>
      </c>
      <c r="E4254" s="49"/>
      <c r="F4254" s="102"/>
      <c r="G4254" s="22" t="s">
        <v>316</v>
      </c>
      <c r="H4254" s="8"/>
      <c r="I4254" s="35"/>
      <c r="J4254" s="38">
        <v>1</v>
      </c>
      <c r="K4254" s="39">
        <v>20</v>
      </c>
      <c r="L4254" s="39">
        <f t="shared" si="351"/>
        <v>20</v>
      </c>
      <c r="M4254" s="91"/>
      <c r="N4254" s="33">
        <v>45651</v>
      </c>
      <c r="O4254" s="32">
        <v>6731</v>
      </c>
      <c r="P4254" s="6" t="s">
        <v>3</v>
      </c>
      <c r="Q4254" s="39">
        <v>20</v>
      </c>
      <c r="R4254" s="322">
        <f t="shared" si="352"/>
        <v>20</v>
      </c>
      <c r="S4254" s="7">
        <v>0</v>
      </c>
      <c r="T4254" s="7">
        <f t="shared" si="353"/>
        <v>0</v>
      </c>
      <c r="U4254" s="21"/>
      <c r="V4254" s="260">
        <v>120</v>
      </c>
      <c r="W4254" s="1136">
        <f t="shared" si="354"/>
        <v>1</v>
      </c>
    </row>
    <row r="4255" spans="1:51" s="191" customFormat="1" ht="18" customHeight="1">
      <c r="B4255" s="190"/>
      <c r="C4255" s="179" t="s">
        <v>5237</v>
      </c>
      <c r="D4255" s="180" t="s">
        <v>4693</v>
      </c>
      <c r="E4255" s="181"/>
      <c r="F4255" s="622"/>
      <c r="G4255" s="182" t="s">
        <v>250</v>
      </c>
      <c r="H4255" s="184" t="s">
        <v>251</v>
      </c>
      <c r="I4255" s="185"/>
      <c r="J4255" s="183"/>
      <c r="K4255" s="192">
        <v>0</v>
      </c>
      <c r="L4255" s="187"/>
      <c r="M4255" s="187"/>
      <c r="N4255" s="187">
        <v>45651</v>
      </c>
      <c r="O4255" s="186">
        <v>6731</v>
      </c>
      <c r="P4255" s="179"/>
      <c r="Q4255" s="255">
        <v>0</v>
      </c>
      <c r="R4255" s="322">
        <v>0</v>
      </c>
      <c r="S4255" s="275">
        <v>0</v>
      </c>
      <c r="T4255" s="198">
        <v>0</v>
      </c>
      <c r="U4255" s="271"/>
      <c r="V4255" s="260">
        <v>120</v>
      </c>
      <c r="W4255" s="1136" t="e">
        <f t="shared" ref="W4255:W4263" si="355">(((K4255*V4255)-S4255)/(K4255*V4255))</f>
        <v>#DIV/0!</v>
      </c>
    </row>
    <row r="4256" spans="1:51" customFormat="1" ht="18" customHeight="1">
      <c r="A4256" s="1"/>
      <c r="B4256" s="26"/>
      <c r="C4256" s="6" t="s">
        <v>5241</v>
      </c>
      <c r="D4256" s="14" t="s">
        <v>4693</v>
      </c>
      <c r="E4256" s="19" t="s">
        <v>59</v>
      </c>
      <c r="F4256" s="107"/>
      <c r="G4256" s="22"/>
      <c r="H4256" s="108"/>
      <c r="I4256" s="109"/>
      <c r="J4256" s="108"/>
      <c r="K4256" s="110" t="s">
        <v>5</v>
      </c>
      <c r="L4256" s="33"/>
      <c r="M4256" s="33"/>
      <c r="N4256" s="33">
        <v>45664</v>
      </c>
      <c r="O4256" s="32">
        <v>6744</v>
      </c>
      <c r="P4256" s="14"/>
      <c r="Q4256" s="254"/>
      <c r="R4256" s="1"/>
      <c r="S4256" s="261"/>
      <c r="T4256" s="92"/>
      <c r="U4256" s="264"/>
      <c r="V4256" s="260">
        <v>120</v>
      </c>
      <c r="W4256" s="1136" t="e">
        <f t="shared" si="355"/>
        <v>#VALUE!</v>
      </c>
      <c r="X4256" s="1"/>
      <c r="Y4256" s="1"/>
      <c r="Z4256" s="1"/>
      <c r="AA4256" s="1"/>
      <c r="AB4256" s="1"/>
      <c r="AC4256" s="1"/>
      <c r="AD4256" s="1"/>
      <c r="AE4256" s="1"/>
      <c r="AF4256" s="1"/>
      <c r="AG4256" s="1"/>
      <c r="AH4256" s="1"/>
      <c r="AI4256" s="1"/>
      <c r="AJ4256" s="1"/>
      <c r="AK4256" s="1"/>
      <c r="AL4256" s="1"/>
      <c r="AM4256" s="1"/>
      <c r="AN4256" s="1"/>
      <c r="AO4256" s="1"/>
      <c r="AP4256" s="1"/>
      <c r="AQ4256" s="1"/>
      <c r="AR4256" s="1"/>
      <c r="AS4256" s="1"/>
      <c r="AT4256" s="1"/>
      <c r="AU4256" s="1"/>
      <c r="AV4256" s="1"/>
      <c r="AW4256" s="1"/>
      <c r="AX4256" s="1"/>
      <c r="AY4256" s="1"/>
    </row>
    <row r="4257" spans="1:51" customFormat="1" ht="18" customHeight="1">
      <c r="B4257" s="12" t="s">
        <v>302</v>
      </c>
      <c r="C4257" s="6" t="s">
        <v>5241</v>
      </c>
      <c r="D4257" s="14" t="s">
        <v>4693</v>
      </c>
      <c r="E4257" s="374">
        <v>2440</v>
      </c>
      <c r="F4257" s="107">
        <v>140</v>
      </c>
      <c r="G4257" s="22" t="s">
        <v>5240</v>
      </c>
      <c r="H4257" s="108">
        <v>58</v>
      </c>
      <c r="I4257" s="109">
        <v>1</v>
      </c>
      <c r="J4257" s="8">
        <f>H4257*I4257</f>
        <v>58</v>
      </c>
      <c r="K4257" s="39">
        <v>3.88</v>
      </c>
      <c r="L4257" s="39">
        <f>K4257*J4257</f>
        <v>225.04</v>
      </c>
      <c r="M4257" s="117" t="s">
        <v>323</v>
      </c>
      <c r="N4257" s="33">
        <v>45664</v>
      </c>
      <c r="O4257" s="32">
        <v>6744</v>
      </c>
      <c r="P4257" s="391">
        <f>ROUNDUP(S4257/V4257/VLOOKUP(B4257,$C$2:$F$6,3,FALSE),2)</f>
        <v>2.94</v>
      </c>
      <c r="Q4257" s="254">
        <v>2.94</v>
      </c>
      <c r="R4257" s="323">
        <f>Q4257*J4257</f>
        <v>170.52</v>
      </c>
      <c r="S4257" s="257">
        <v>310</v>
      </c>
      <c r="T4257" s="287">
        <f>S4257*J4257</f>
        <v>17980</v>
      </c>
      <c r="U4257" s="264"/>
      <c r="V4257" s="260">
        <v>120</v>
      </c>
      <c r="W4257" s="1136">
        <f t="shared" si="355"/>
        <v>0.33419243986254293</v>
      </c>
      <c r="X4257" s="1"/>
      <c r="Y4257" s="1"/>
      <c r="Z4257" s="1"/>
      <c r="AA4257" s="1"/>
      <c r="AB4257" s="1"/>
      <c r="AC4257" s="1"/>
      <c r="AD4257" s="1"/>
      <c r="AE4257" s="1"/>
      <c r="AF4257" s="1"/>
      <c r="AG4257" s="1"/>
      <c r="AH4257" s="1"/>
      <c r="AI4257" s="1"/>
      <c r="AJ4257" s="1"/>
      <c r="AK4257" s="1"/>
      <c r="AL4257" s="1"/>
      <c r="AM4257" s="1"/>
      <c r="AN4257" s="1"/>
      <c r="AO4257" s="1"/>
      <c r="AP4257" s="1"/>
      <c r="AQ4257" s="1"/>
      <c r="AR4257" s="1"/>
      <c r="AS4257" s="1"/>
      <c r="AT4257" s="1"/>
      <c r="AU4257" s="1"/>
      <c r="AV4257" s="1"/>
      <c r="AW4257" s="1"/>
      <c r="AX4257" s="1"/>
      <c r="AY4257" s="1"/>
    </row>
    <row r="4258" spans="1:51" s="7" customFormat="1" ht="15">
      <c r="B4258" s="12"/>
      <c r="C4258" s="6" t="s">
        <v>5241</v>
      </c>
      <c r="D4258" s="14" t="s">
        <v>4693</v>
      </c>
      <c r="E4258" s="49"/>
      <c r="F4258" s="102"/>
      <c r="G4258" s="22" t="s">
        <v>316</v>
      </c>
      <c r="H4258" s="38"/>
      <c r="I4258" s="35"/>
      <c r="J4258" s="38">
        <v>1</v>
      </c>
      <c r="K4258" s="39">
        <v>20</v>
      </c>
      <c r="L4258" s="39">
        <f>K4258*J4258</f>
        <v>20</v>
      </c>
      <c r="M4258" s="91"/>
      <c r="N4258" s="33">
        <v>45664</v>
      </c>
      <c r="O4258" s="32">
        <v>6744</v>
      </c>
      <c r="P4258" s="722"/>
      <c r="Q4258" s="322">
        <v>20</v>
      </c>
      <c r="R4258" s="322">
        <f>Q4258*J4258</f>
        <v>20</v>
      </c>
      <c r="S4258" s="1388">
        <v>2500</v>
      </c>
      <c r="T4258" s="1388">
        <f>S4258*J4258</f>
        <v>2500</v>
      </c>
      <c r="U4258" s="21"/>
      <c r="V4258" s="260">
        <v>120</v>
      </c>
      <c r="W4258" s="1136">
        <f t="shared" si="355"/>
        <v>-4.1666666666666664E-2</v>
      </c>
    </row>
    <row r="4259" spans="1:51" customFormat="1" ht="18" customHeight="1">
      <c r="A4259" s="1"/>
      <c r="B4259" s="26"/>
      <c r="C4259" s="6" t="s">
        <v>5242</v>
      </c>
      <c r="D4259" s="14" t="s">
        <v>4693</v>
      </c>
      <c r="E4259" s="19" t="s">
        <v>59</v>
      </c>
      <c r="F4259" s="107"/>
      <c r="G4259" s="22"/>
      <c r="H4259" s="108"/>
      <c r="I4259" s="109"/>
      <c r="J4259" s="108"/>
      <c r="K4259" s="110" t="s">
        <v>5</v>
      </c>
      <c r="L4259" s="33"/>
      <c r="M4259" s="33"/>
      <c r="N4259" s="33">
        <v>45664</v>
      </c>
      <c r="O4259" s="32">
        <v>6744</v>
      </c>
      <c r="P4259" s="14"/>
      <c r="Q4259" s="254"/>
      <c r="R4259" s="1"/>
      <c r="S4259" s="261"/>
      <c r="T4259" s="92"/>
      <c r="U4259" s="264"/>
      <c r="V4259" s="260">
        <v>120</v>
      </c>
      <c r="W4259" s="1136" t="e">
        <f>(((K4259*V4259)-S4259)/(K4259*V4259))</f>
        <v>#VALUE!</v>
      </c>
      <c r="X4259" s="1"/>
      <c r="Y4259" s="1"/>
      <c r="Z4259" s="1"/>
      <c r="AA4259" s="1"/>
      <c r="AB4259" s="1"/>
      <c r="AC4259" s="1"/>
      <c r="AD4259" s="1"/>
      <c r="AE4259" s="1"/>
      <c r="AF4259" s="1"/>
      <c r="AG4259" s="1"/>
      <c r="AH4259" s="1"/>
      <c r="AI4259" s="1"/>
      <c r="AJ4259" s="1"/>
      <c r="AK4259" s="1"/>
      <c r="AL4259" s="1"/>
      <c r="AM4259" s="1"/>
      <c r="AN4259" s="1"/>
      <c r="AO4259" s="1"/>
      <c r="AP4259" s="1"/>
      <c r="AQ4259" s="1"/>
      <c r="AR4259" s="1"/>
      <c r="AS4259" s="1"/>
      <c r="AT4259" s="1"/>
      <c r="AU4259" s="1"/>
      <c r="AV4259" s="1"/>
      <c r="AW4259" s="1"/>
      <c r="AX4259" s="1"/>
      <c r="AY4259" s="1"/>
    </row>
    <row r="4260" spans="1:51" customFormat="1" ht="18" customHeight="1">
      <c r="B4260" s="12" t="s">
        <v>302</v>
      </c>
      <c r="C4260" s="6" t="s">
        <v>5242</v>
      </c>
      <c r="D4260" s="14" t="s">
        <v>4693</v>
      </c>
      <c r="E4260" s="374">
        <v>2440</v>
      </c>
      <c r="F4260" s="107">
        <v>140</v>
      </c>
      <c r="G4260" s="22" t="s">
        <v>5240</v>
      </c>
      <c r="H4260" s="108">
        <v>20</v>
      </c>
      <c r="I4260" s="109">
        <v>1</v>
      </c>
      <c r="J4260" s="8">
        <f>H4260*I4260</f>
        <v>20</v>
      </c>
      <c r="K4260" s="39">
        <v>3.88</v>
      </c>
      <c r="L4260" s="39">
        <f>K4260*J4260</f>
        <v>77.599999999999994</v>
      </c>
      <c r="M4260" s="117" t="s">
        <v>323</v>
      </c>
      <c r="N4260" s="33">
        <v>45664</v>
      </c>
      <c r="O4260" s="32">
        <v>6745</v>
      </c>
      <c r="P4260" s="391">
        <f>ROUNDUP(S4260/V4260/VLOOKUP(B4260,$C$2:$F$6,3,FALSE),2)</f>
        <v>2.94</v>
      </c>
      <c r="Q4260" s="254">
        <v>2.94</v>
      </c>
      <c r="R4260" s="323">
        <f>Q4260*J4260</f>
        <v>58.8</v>
      </c>
      <c r="S4260" s="257">
        <v>310</v>
      </c>
      <c r="T4260" s="287">
        <f>S4260*J4260</f>
        <v>6200</v>
      </c>
      <c r="U4260" s="264"/>
      <c r="V4260" s="260">
        <v>120</v>
      </c>
      <c r="W4260" s="1136">
        <f>(((K4260*V4260)-S4260)/(K4260*V4260))</f>
        <v>0.33419243986254293</v>
      </c>
      <c r="X4260" s="1"/>
      <c r="Y4260" s="1"/>
      <c r="Z4260" s="1"/>
      <c r="AA4260" s="1"/>
      <c r="AB4260" s="1"/>
      <c r="AC4260" s="1"/>
      <c r="AD4260" s="1"/>
      <c r="AE4260" s="1"/>
      <c r="AF4260" s="1"/>
      <c r="AG4260" s="1"/>
      <c r="AH4260" s="1"/>
      <c r="AI4260" s="1"/>
      <c r="AJ4260" s="1"/>
      <c r="AK4260" s="1"/>
      <c r="AL4260" s="1"/>
      <c r="AM4260" s="1"/>
      <c r="AN4260" s="1"/>
      <c r="AO4260" s="1"/>
      <c r="AP4260" s="1"/>
      <c r="AQ4260" s="1"/>
      <c r="AR4260" s="1"/>
      <c r="AS4260" s="1"/>
      <c r="AT4260" s="1"/>
      <c r="AU4260" s="1"/>
      <c r="AV4260" s="1"/>
      <c r="AW4260" s="1"/>
      <c r="AX4260" s="1"/>
      <c r="AY4260" s="1"/>
    </row>
    <row r="4261" spans="1:51" s="7" customFormat="1" ht="15">
      <c r="B4261" s="12"/>
      <c r="C4261" s="6" t="s">
        <v>5242</v>
      </c>
      <c r="D4261" s="14" t="s">
        <v>4693</v>
      </c>
      <c r="E4261" s="49"/>
      <c r="F4261" s="102"/>
      <c r="G4261" s="22" t="s">
        <v>4329</v>
      </c>
      <c r="H4261" s="38"/>
      <c r="I4261" s="35"/>
      <c r="J4261" s="38">
        <v>1</v>
      </c>
      <c r="K4261" s="39">
        <v>15</v>
      </c>
      <c r="L4261" s="39">
        <f>K4261*J4261</f>
        <v>15</v>
      </c>
      <c r="M4261" s="91"/>
      <c r="N4261" s="33">
        <v>45664</v>
      </c>
      <c r="O4261" s="32">
        <v>6745</v>
      </c>
      <c r="P4261" s="722"/>
      <c r="Q4261" s="322">
        <v>15</v>
      </c>
      <c r="R4261" s="322">
        <f>Q4261*J4261</f>
        <v>15</v>
      </c>
      <c r="S4261" s="1388">
        <v>1000</v>
      </c>
      <c r="T4261" s="1388">
        <f>S4261*J4261</f>
        <v>1000</v>
      </c>
      <c r="U4261" s="21"/>
      <c r="V4261" s="260">
        <v>120</v>
      </c>
      <c r="W4261" s="1136">
        <f>(((K4261*V4261)-S4261)/(K4261*V4261))</f>
        <v>0.44444444444444442</v>
      </c>
    </row>
    <row r="4262" spans="1:51" s="7" customFormat="1" ht="15">
      <c r="B4262" s="12"/>
      <c r="C4262" s="6" t="s">
        <v>5242</v>
      </c>
      <c r="D4262" s="14" t="s">
        <v>4693</v>
      </c>
      <c r="E4262" s="49"/>
      <c r="F4262" s="102"/>
      <c r="G4262" s="22" t="s">
        <v>316</v>
      </c>
      <c r="H4262" s="38"/>
      <c r="I4262" s="35"/>
      <c r="J4262" s="38">
        <v>1</v>
      </c>
      <c r="K4262" s="39">
        <v>10</v>
      </c>
      <c r="L4262" s="39">
        <f>K4262*J4262</f>
        <v>10</v>
      </c>
      <c r="M4262" s="91"/>
      <c r="N4262" s="33">
        <v>45664</v>
      </c>
      <c r="O4262" s="32">
        <v>6745</v>
      </c>
      <c r="P4262" s="722"/>
      <c r="Q4262" s="322">
        <v>10</v>
      </c>
      <c r="R4262" s="322">
        <f>Q4262*J4262</f>
        <v>10</v>
      </c>
      <c r="S4262" s="1388">
        <v>1600</v>
      </c>
      <c r="T4262" s="1388">
        <f>S4262*J4262</f>
        <v>1600</v>
      </c>
      <c r="U4262" s="21"/>
      <c r="V4262" s="260">
        <v>120</v>
      </c>
      <c r="W4262" s="1136">
        <f>(((K4262*V4262)-S4262)/(K4262*V4262))</f>
        <v>-0.33333333333333331</v>
      </c>
    </row>
    <row r="4263" spans="1:51" s="191" customFormat="1" ht="15">
      <c r="B4263" s="190"/>
      <c r="C4263" s="179" t="s">
        <v>5242</v>
      </c>
      <c r="D4263" s="180" t="s">
        <v>4693</v>
      </c>
      <c r="E4263" s="181"/>
      <c r="F4263" s="182"/>
      <c r="G4263" s="182" t="s">
        <v>2738</v>
      </c>
      <c r="H4263" s="184" t="s">
        <v>251</v>
      </c>
      <c r="I4263" s="185"/>
      <c r="J4263" s="183"/>
      <c r="K4263" s="192">
        <v>0</v>
      </c>
      <c r="L4263" s="187"/>
      <c r="M4263" s="187"/>
      <c r="N4263" s="187">
        <v>45664</v>
      </c>
      <c r="O4263" s="186">
        <v>6745</v>
      </c>
      <c r="P4263" s="179"/>
      <c r="Q4263" s="203"/>
      <c r="R4263" s="203"/>
      <c r="S4263" s="203"/>
      <c r="T4263" s="203"/>
      <c r="U4263" s="271"/>
      <c r="V4263" s="260">
        <v>120</v>
      </c>
      <c r="W4263" s="1136" t="e">
        <f t="shared" si="355"/>
        <v>#DIV/0!</v>
      </c>
    </row>
    <row r="4264" spans="1:51" s="7" customFormat="1" ht="18" customHeight="1">
      <c r="B4264" s="12"/>
      <c r="C4264" s="6" t="s">
        <v>5246</v>
      </c>
      <c r="D4264" s="14" t="s">
        <v>5243</v>
      </c>
      <c r="E4264" s="19" t="s">
        <v>3205</v>
      </c>
      <c r="F4264" s="107"/>
      <c r="G4264" s="22"/>
      <c r="H4264" s="108"/>
      <c r="I4264" s="109"/>
      <c r="J4264" s="108"/>
      <c r="K4264" s="29" t="s">
        <v>5</v>
      </c>
      <c r="L4264" s="139"/>
      <c r="M4264" s="33"/>
      <c r="N4264" s="33">
        <v>45698</v>
      </c>
      <c r="O4264" s="32">
        <v>6761</v>
      </c>
      <c r="P4264" s="14"/>
      <c r="Q4264" s="322"/>
      <c r="U4264" s="14"/>
      <c r="V4264" s="260">
        <v>120</v>
      </c>
      <c r="W4264" s="1136" t="e">
        <f>(((K4264*V4264)-S4264)/(K4264*V4264))</f>
        <v>#VALUE!</v>
      </c>
    </row>
    <row r="4265" spans="1:51" s="7" customFormat="1" ht="18" customHeight="1">
      <c r="B4265" s="12" t="s">
        <v>300</v>
      </c>
      <c r="C4265" s="6" t="s">
        <v>5246</v>
      </c>
      <c r="D4265" s="14" t="s">
        <v>5243</v>
      </c>
      <c r="E4265" s="890" t="s">
        <v>5247</v>
      </c>
      <c r="F4265" s="107"/>
      <c r="G4265" s="22" t="s">
        <v>100</v>
      </c>
      <c r="H4265" s="108">
        <v>13.7</v>
      </c>
      <c r="I4265" s="109">
        <v>1</v>
      </c>
      <c r="J4265" s="131">
        <f>H4265*I4265</f>
        <v>13.7</v>
      </c>
      <c r="K4265" s="39">
        <v>5.19</v>
      </c>
      <c r="L4265" s="39">
        <f>K4265*J4265</f>
        <v>71.103000000000009</v>
      </c>
      <c r="M4265" s="117" t="s">
        <v>349</v>
      </c>
      <c r="N4265" s="33">
        <v>45698</v>
      </c>
      <c r="O4265" s="32">
        <v>6761</v>
      </c>
      <c r="P4265" s="391">
        <f>ROUNDUP(S4265/V4265/VLOOKUP(B4265,$C$2:$F$6,3,FALSE),2)</f>
        <v>3.34</v>
      </c>
      <c r="Q4265" s="611">
        <v>3.34</v>
      </c>
      <c r="R4265" s="322">
        <f>Q4265*J4265</f>
        <v>45.757999999999996</v>
      </c>
      <c r="S4265" s="7">
        <v>280</v>
      </c>
      <c r="T4265" s="7">
        <f>S4265*J4265</f>
        <v>3836</v>
      </c>
      <c r="U4265" s="21"/>
      <c r="V4265" s="260">
        <v>120</v>
      </c>
      <c r="W4265" s="1136">
        <f>(((K4265*V4265)-S4265)/(K4265*V4265))</f>
        <v>0.55041746949261405</v>
      </c>
    </row>
    <row r="4266" spans="1:51" s="7" customFormat="1" ht="15">
      <c r="B4266" s="12" t="s">
        <v>5245</v>
      </c>
      <c r="C4266" s="6" t="s">
        <v>5246</v>
      </c>
      <c r="D4266" s="14" t="s">
        <v>5243</v>
      </c>
      <c r="E4266" s="49"/>
      <c r="F4266" s="102"/>
      <c r="G4266" s="22" t="s">
        <v>5244</v>
      </c>
      <c r="H4266" s="38"/>
      <c r="I4266" s="35"/>
      <c r="J4266" s="38">
        <v>1</v>
      </c>
      <c r="K4266" s="39">
        <v>120</v>
      </c>
      <c r="L4266" s="39">
        <f>K4266*J4266</f>
        <v>120</v>
      </c>
      <c r="M4266" s="91"/>
      <c r="N4266" s="33">
        <v>45698</v>
      </c>
      <c r="O4266" s="32">
        <v>6761</v>
      </c>
      <c r="P4266" s="391">
        <f>ROUNDUP(S4266/V4266/VLOOKUP(B4266,$C$2:$F$6,3,FALSE),2)</f>
        <v>94.7</v>
      </c>
      <c r="Q4266" s="322">
        <v>94.7</v>
      </c>
      <c r="R4266" s="322">
        <f>Q4266*J4266</f>
        <v>94.7</v>
      </c>
      <c r="S4266" s="7">
        <v>10000</v>
      </c>
      <c r="T4266" s="7">
        <f>S4266*J4266</f>
        <v>10000</v>
      </c>
      <c r="U4266" s="21"/>
      <c r="V4266" s="260">
        <v>120</v>
      </c>
      <c r="W4266" s="1136">
        <f t="shared" ref="W4266:W4271" si="356">(((K4266*V4266)-S4266)/(K4266*V4266))</f>
        <v>0.30555555555555558</v>
      </c>
    </row>
    <row r="4267" spans="1:51" s="7" customFormat="1" ht="15">
      <c r="B4267" s="12"/>
      <c r="C4267" s="6" t="s">
        <v>5246</v>
      </c>
      <c r="D4267" s="14" t="s">
        <v>5243</v>
      </c>
      <c r="E4267" s="22"/>
      <c r="F4267" s="102"/>
      <c r="G4267" s="22" t="s">
        <v>316</v>
      </c>
      <c r="H4267" s="38"/>
      <c r="I4267" s="35"/>
      <c r="J4267" s="38">
        <v>1</v>
      </c>
      <c r="K4267" s="39">
        <v>12</v>
      </c>
      <c r="L4267" s="39">
        <f>K4267*J4267</f>
        <v>12</v>
      </c>
      <c r="M4267" s="91"/>
      <c r="N4267" s="33">
        <v>45698</v>
      </c>
      <c r="O4267" s="32">
        <v>6761</v>
      </c>
      <c r="P4267" s="722"/>
      <c r="Q4267" s="322">
        <v>12</v>
      </c>
      <c r="R4267" s="322">
        <f>Q4267*J4267</f>
        <v>12</v>
      </c>
      <c r="S4267" s="7">
        <v>0</v>
      </c>
      <c r="T4267" s="7">
        <f>S4267*J4267</f>
        <v>0</v>
      </c>
      <c r="U4267" s="21"/>
      <c r="V4267" s="260">
        <v>120</v>
      </c>
      <c r="W4267" s="1136">
        <f t="shared" si="356"/>
        <v>1</v>
      </c>
    </row>
    <row r="4268" spans="1:51" s="191" customFormat="1" ht="15">
      <c r="B4268" s="190"/>
      <c r="C4268" s="179" t="s">
        <v>5246</v>
      </c>
      <c r="D4268" s="180" t="s">
        <v>5243</v>
      </c>
      <c r="E4268" s="181"/>
      <c r="F4268" s="182"/>
      <c r="G4268" s="182" t="s">
        <v>2738</v>
      </c>
      <c r="H4268" s="184" t="s">
        <v>251</v>
      </c>
      <c r="I4268" s="185"/>
      <c r="J4268" s="183"/>
      <c r="K4268" s="192">
        <v>0</v>
      </c>
      <c r="L4268" s="187"/>
      <c r="M4268" s="187"/>
      <c r="N4268" s="187">
        <v>45698</v>
      </c>
      <c r="O4268" s="186">
        <v>6761</v>
      </c>
      <c r="P4268" s="179"/>
      <c r="Q4268" s="203"/>
      <c r="R4268" s="203"/>
      <c r="S4268" s="203"/>
      <c r="T4268" s="203"/>
      <c r="U4268" s="271"/>
      <c r="V4268" s="260">
        <v>120</v>
      </c>
      <c r="W4268" s="1136" t="e">
        <f t="shared" si="356"/>
        <v>#DIV/0!</v>
      </c>
    </row>
    <row r="4269" spans="1:51" customFormat="1" ht="18" customHeight="1">
      <c r="A4269" s="1"/>
      <c r="B4269" s="26"/>
      <c r="C4269" s="6" t="s">
        <v>5248</v>
      </c>
      <c r="D4269" s="14" t="s">
        <v>4963</v>
      </c>
      <c r="E4269" s="19" t="s">
        <v>59</v>
      </c>
      <c r="F4269" s="107"/>
      <c r="G4269" s="22"/>
      <c r="H4269" s="108"/>
      <c r="I4269" s="109"/>
      <c r="J4269" s="108"/>
      <c r="K4269" s="110" t="s">
        <v>5</v>
      </c>
      <c r="L4269" s="33"/>
      <c r="M4269" s="33"/>
      <c r="N4269" s="1398">
        <v>45666</v>
      </c>
      <c r="O4269" s="32">
        <v>6753</v>
      </c>
      <c r="P4269" s="14"/>
      <c r="Q4269" s="254"/>
      <c r="R4269" s="1"/>
      <c r="S4269" s="261"/>
      <c r="T4269" s="92"/>
      <c r="U4269" s="264"/>
      <c r="V4269" s="260">
        <v>120</v>
      </c>
      <c r="W4269" s="1136" t="e">
        <f t="shared" si="356"/>
        <v>#VALUE!</v>
      </c>
      <c r="X4269" s="1"/>
      <c r="Y4269" s="1"/>
      <c r="Z4269" s="1"/>
      <c r="AA4269" s="1"/>
      <c r="AB4269" s="1"/>
      <c r="AC4269" s="1"/>
      <c r="AD4269" s="1"/>
      <c r="AE4269" s="1"/>
      <c r="AF4269" s="1"/>
      <c r="AG4269" s="1"/>
      <c r="AH4269" s="1"/>
      <c r="AI4269" s="1"/>
      <c r="AJ4269" s="1"/>
      <c r="AK4269" s="1"/>
      <c r="AL4269" s="1"/>
      <c r="AM4269" s="1"/>
      <c r="AN4269" s="1"/>
      <c r="AO4269" s="1"/>
      <c r="AP4269" s="1"/>
      <c r="AQ4269" s="1"/>
      <c r="AR4269" s="1"/>
      <c r="AS4269" s="1"/>
      <c r="AT4269" s="1"/>
      <c r="AU4269" s="1"/>
      <c r="AV4269" s="1"/>
      <c r="AW4269" s="1"/>
      <c r="AX4269" s="1"/>
      <c r="AY4269" s="1"/>
    </row>
    <row r="4270" spans="1:51" customFormat="1" ht="18" customHeight="1">
      <c r="B4270" s="12" t="s">
        <v>302</v>
      </c>
      <c r="C4270" s="6" t="s">
        <v>5248</v>
      </c>
      <c r="D4270" s="14" t="s">
        <v>4963</v>
      </c>
      <c r="E4270" s="374">
        <v>2440</v>
      </c>
      <c r="F4270" s="107">
        <v>140</v>
      </c>
      <c r="G4270" s="22" t="s">
        <v>5249</v>
      </c>
      <c r="H4270" s="108">
        <v>58</v>
      </c>
      <c r="I4270" s="109">
        <v>2</v>
      </c>
      <c r="J4270" s="8">
        <f>H4270*I4270</f>
        <v>116</v>
      </c>
      <c r="K4270" s="39">
        <v>4.17</v>
      </c>
      <c r="L4270" s="39">
        <f>K4270*J4270</f>
        <v>483.71999999999997</v>
      </c>
      <c r="M4270" s="117" t="s">
        <v>323</v>
      </c>
      <c r="N4270" s="1398">
        <v>45666</v>
      </c>
      <c r="O4270" s="32">
        <v>6753</v>
      </c>
      <c r="P4270" s="391">
        <f>ROUNDUP(S4270/V4270/VLOOKUP(B4270,$C$2:$F$6,3,FALSE),2)</f>
        <v>2.94</v>
      </c>
      <c r="Q4270" s="254">
        <v>2.94</v>
      </c>
      <c r="R4270" s="323">
        <f>Q4270*J4270</f>
        <v>341.04</v>
      </c>
      <c r="S4270" s="257">
        <v>310</v>
      </c>
      <c r="T4270" s="287">
        <f>S4270*J4270</f>
        <v>35960</v>
      </c>
      <c r="U4270" s="264"/>
      <c r="V4270" s="260">
        <v>120</v>
      </c>
      <c r="W4270" s="1136">
        <f t="shared" si="356"/>
        <v>0.3804956035171862</v>
      </c>
      <c r="X4270" s="1"/>
      <c r="Y4270" s="1"/>
      <c r="Z4270" s="1"/>
      <c r="AA4270" s="1"/>
      <c r="AB4270" s="1"/>
      <c r="AC4270" s="1"/>
      <c r="AD4270" s="1"/>
      <c r="AE4270" s="1"/>
      <c r="AF4270" s="1"/>
      <c r="AG4270" s="1"/>
      <c r="AH4270" s="1"/>
      <c r="AI4270" s="1"/>
      <c r="AJ4270" s="1"/>
      <c r="AK4270" s="1"/>
      <c r="AL4270" s="1"/>
      <c r="AM4270" s="1"/>
      <c r="AN4270" s="1"/>
      <c r="AO4270" s="1"/>
      <c r="AP4270" s="1"/>
      <c r="AQ4270" s="1"/>
      <c r="AR4270" s="1"/>
      <c r="AS4270" s="1"/>
      <c r="AT4270" s="1"/>
      <c r="AU4270" s="1"/>
      <c r="AV4270" s="1"/>
      <c r="AW4270" s="1"/>
      <c r="AX4270" s="1"/>
      <c r="AY4270" s="1"/>
    </row>
    <row r="4271" spans="1:51" s="7" customFormat="1" ht="15">
      <c r="B4271" s="12"/>
      <c r="C4271" s="6" t="s">
        <v>5248</v>
      </c>
      <c r="D4271" s="14" t="s">
        <v>4963</v>
      </c>
      <c r="E4271" s="49"/>
      <c r="F4271" s="102"/>
      <c r="G4271" s="22" t="s">
        <v>316</v>
      </c>
      <c r="H4271" s="38"/>
      <c r="I4271" s="35"/>
      <c r="J4271" s="38">
        <v>1</v>
      </c>
      <c r="K4271" s="39">
        <v>20</v>
      </c>
      <c r="L4271" s="39">
        <f>K4271*J4271</f>
        <v>20</v>
      </c>
      <c r="M4271" s="91"/>
      <c r="N4271" s="1398">
        <v>45666</v>
      </c>
      <c r="O4271" s="32">
        <v>6753</v>
      </c>
      <c r="P4271" s="722"/>
      <c r="Q4271" s="322">
        <v>20</v>
      </c>
      <c r="R4271" s="322">
        <f>Q4271*J4271</f>
        <v>20</v>
      </c>
      <c r="S4271" s="7">
        <v>2500</v>
      </c>
      <c r="T4271" s="7">
        <f>S4271*J4271</f>
        <v>2500</v>
      </c>
      <c r="U4271" s="21"/>
      <c r="V4271" s="260">
        <v>120</v>
      </c>
      <c r="W4271" s="1136">
        <f t="shared" si="356"/>
        <v>-4.1666666666666664E-2</v>
      </c>
    </row>
    <row r="4272" spans="1:51" s="191" customFormat="1" ht="15">
      <c r="B4272" s="190"/>
      <c r="C4272" s="179" t="s">
        <v>5248</v>
      </c>
      <c r="D4272" s="180" t="s">
        <v>4963</v>
      </c>
      <c r="E4272" s="181"/>
      <c r="F4272" s="182"/>
      <c r="G4272" s="182" t="s">
        <v>2738</v>
      </c>
      <c r="H4272" s="184" t="s">
        <v>374</v>
      </c>
      <c r="I4272" s="185"/>
      <c r="J4272" s="183"/>
      <c r="K4272" s="203">
        <v>150</v>
      </c>
      <c r="L4272" s="203">
        <v>150</v>
      </c>
      <c r="M4272" s="187"/>
      <c r="N4272" s="187">
        <v>45666</v>
      </c>
      <c r="O4272" s="186">
        <v>6753</v>
      </c>
      <c r="P4272" s="179"/>
      <c r="Q4272" s="322">
        <v>150</v>
      </c>
      <c r="R4272" s="322">
        <v>150</v>
      </c>
      <c r="S4272" s="838">
        <v>13676</v>
      </c>
      <c r="T4272" s="838">
        <v>13676</v>
      </c>
      <c r="U4272" s="271"/>
      <c r="V4272" s="260">
        <v>120</v>
      </c>
      <c r="W4272" s="1136">
        <f>(((K4272*V4272)-S4272)/(K4272*V4272))</f>
        <v>0.24022222222222223</v>
      </c>
    </row>
    <row r="4273" spans="1:51" customFormat="1" ht="18" customHeight="1">
      <c r="A4273" s="1"/>
      <c r="B4273" s="26"/>
      <c r="C4273" s="965" t="s">
        <v>5250</v>
      </c>
      <c r="D4273" s="14" t="s">
        <v>3238</v>
      </c>
      <c r="E4273" s="19" t="s">
        <v>59</v>
      </c>
      <c r="F4273" s="107"/>
      <c r="G4273" s="22"/>
      <c r="H4273" s="108"/>
      <c r="I4273" s="109"/>
      <c r="J4273" s="108"/>
      <c r="K4273" s="110" t="s">
        <v>5</v>
      </c>
      <c r="L4273" s="33"/>
      <c r="M4273" s="33"/>
      <c r="N4273" s="1398">
        <v>45714</v>
      </c>
      <c r="O4273" s="32">
        <v>6756</v>
      </c>
      <c r="P4273" s="14"/>
      <c r="Q4273" s="254"/>
      <c r="R4273" s="1"/>
      <c r="S4273" s="261"/>
      <c r="T4273" s="92"/>
      <c r="U4273" s="264"/>
      <c r="V4273" s="260">
        <v>120</v>
      </c>
      <c r="W4273" s="1136" t="e">
        <f t="shared" ref="W4273:W4286" si="357">(((K4273*V4273)-S4273)/(K4273*V4273))</f>
        <v>#VALUE!</v>
      </c>
      <c r="X4273" s="1"/>
      <c r="Y4273" s="1"/>
      <c r="Z4273" s="1"/>
      <c r="AA4273" s="1"/>
      <c r="AB4273" s="1"/>
      <c r="AC4273" s="1"/>
      <c r="AD4273" s="1"/>
      <c r="AE4273" s="1"/>
      <c r="AF4273" s="1"/>
      <c r="AG4273" s="1"/>
      <c r="AH4273" s="1"/>
      <c r="AI4273" s="1"/>
      <c r="AJ4273" s="1"/>
      <c r="AK4273" s="1"/>
      <c r="AL4273" s="1"/>
      <c r="AM4273" s="1"/>
      <c r="AN4273" s="1"/>
      <c r="AO4273" s="1"/>
      <c r="AP4273" s="1"/>
      <c r="AQ4273" s="1"/>
      <c r="AR4273" s="1"/>
      <c r="AS4273" s="1"/>
      <c r="AT4273" s="1"/>
      <c r="AU4273" s="1"/>
      <c r="AV4273" s="1"/>
      <c r="AW4273" s="1"/>
      <c r="AX4273" s="1"/>
      <c r="AY4273" s="1"/>
    </row>
    <row r="4274" spans="1:51" customFormat="1" ht="18" customHeight="1">
      <c r="B4274" s="12" t="s">
        <v>302</v>
      </c>
      <c r="C4274" s="965" t="s">
        <v>5250</v>
      </c>
      <c r="D4274" s="14" t="s">
        <v>3238</v>
      </c>
      <c r="E4274" s="22">
        <v>2440</v>
      </c>
      <c r="F4274" s="107">
        <v>140</v>
      </c>
      <c r="G4274" s="22" t="s">
        <v>5249</v>
      </c>
      <c r="H4274" s="108">
        <v>58</v>
      </c>
      <c r="I4274" s="109">
        <v>9</v>
      </c>
      <c r="J4274" s="8">
        <f>H4274*I4274</f>
        <v>522</v>
      </c>
      <c r="K4274" s="39">
        <v>3.23</v>
      </c>
      <c r="L4274" s="39">
        <f>K4274*J4274</f>
        <v>1686.06</v>
      </c>
      <c r="M4274" s="117" t="s">
        <v>323</v>
      </c>
      <c r="N4274" s="1398">
        <v>45714</v>
      </c>
      <c r="O4274" s="32">
        <v>6756</v>
      </c>
      <c r="P4274" s="391">
        <f>ROUNDUP(S4274/V4274/VLOOKUP(B4274,$C$2:$F$6,3,FALSE),2)</f>
        <v>2.94</v>
      </c>
      <c r="Q4274" s="254">
        <v>2.94</v>
      </c>
      <c r="R4274" s="323">
        <f>Q4274*J4274</f>
        <v>1534.68</v>
      </c>
      <c r="S4274" s="257">
        <v>310</v>
      </c>
      <c r="T4274" s="287">
        <f>S4274*J4274</f>
        <v>161820</v>
      </c>
      <c r="U4274" s="264"/>
      <c r="V4274" s="260">
        <v>120</v>
      </c>
      <c r="W4274" s="1136">
        <f t="shared" si="357"/>
        <v>0.20020639834881326</v>
      </c>
      <c r="X4274" s="1"/>
      <c r="Y4274" s="1"/>
      <c r="Z4274" s="1"/>
      <c r="AA4274" s="1"/>
      <c r="AB4274" s="1"/>
      <c r="AC4274" s="1"/>
      <c r="AD4274" s="1"/>
      <c r="AE4274" s="1"/>
      <c r="AF4274" s="1"/>
      <c r="AG4274" s="1"/>
      <c r="AH4274" s="1"/>
      <c r="AI4274" s="1"/>
      <c r="AJ4274" s="1"/>
      <c r="AK4274" s="1"/>
      <c r="AL4274" s="1"/>
      <c r="AM4274" s="1"/>
      <c r="AN4274" s="1"/>
      <c r="AO4274" s="1"/>
      <c r="AP4274" s="1"/>
      <c r="AQ4274" s="1"/>
      <c r="AR4274" s="1"/>
      <c r="AS4274" s="1"/>
      <c r="AT4274" s="1"/>
      <c r="AU4274" s="1"/>
      <c r="AV4274" s="1"/>
      <c r="AW4274" s="1"/>
      <c r="AX4274" s="1"/>
      <c r="AY4274" s="1"/>
    </row>
    <row r="4275" spans="1:51" s="7" customFormat="1" ht="15">
      <c r="B4275" s="12"/>
      <c r="C4275" s="965" t="s">
        <v>5250</v>
      </c>
      <c r="D4275" s="14" t="s">
        <v>3238</v>
      </c>
      <c r="E4275" s="49"/>
      <c r="F4275" s="102"/>
      <c r="G4275" s="22" t="s">
        <v>316</v>
      </c>
      <c r="H4275" s="38"/>
      <c r="I4275" s="35"/>
      <c r="J4275" s="38">
        <v>1</v>
      </c>
      <c r="K4275" s="39">
        <v>20</v>
      </c>
      <c r="L4275" s="39">
        <f>K4275*J4275</f>
        <v>20</v>
      </c>
      <c r="M4275" s="91"/>
      <c r="N4275" s="1398">
        <v>45714</v>
      </c>
      <c r="O4275" s="32">
        <v>6756</v>
      </c>
      <c r="P4275" s="722"/>
      <c r="Q4275" s="322">
        <v>20</v>
      </c>
      <c r="R4275" s="322">
        <f>Q4275*J4275</f>
        <v>20</v>
      </c>
      <c r="S4275" s="7">
        <v>2500</v>
      </c>
      <c r="T4275" s="7">
        <f>S4275*J4275</f>
        <v>2500</v>
      </c>
      <c r="U4275" s="21"/>
      <c r="V4275" s="260">
        <v>120</v>
      </c>
      <c r="W4275" s="1136">
        <f t="shared" si="357"/>
        <v>-4.1666666666666664E-2</v>
      </c>
    </row>
    <row r="4276" spans="1:51" s="191" customFormat="1" ht="15">
      <c r="B4276" s="190"/>
      <c r="C4276" s="966" t="s">
        <v>5250</v>
      </c>
      <c r="D4276" s="180" t="s">
        <v>3238</v>
      </c>
      <c r="E4276" s="181"/>
      <c r="F4276" s="182"/>
      <c r="G4276" s="182" t="s">
        <v>2738</v>
      </c>
      <c r="H4276" s="184" t="s">
        <v>251</v>
      </c>
      <c r="I4276" s="185"/>
      <c r="J4276" s="183"/>
      <c r="K4276" s="192">
        <v>0</v>
      </c>
      <c r="L4276" s="187"/>
      <c r="M4276" s="187"/>
      <c r="N4276" s="1399">
        <v>45714</v>
      </c>
      <c r="O4276" s="186">
        <v>6756</v>
      </c>
      <c r="P4276" s="179"/>
      <c r="Q4276" s="203"/>
      <c r="R4276" s="203"/>
      <c r="S4276" s="203"/>
      <c r="T4276" s="203"/>
      <c r="U4276" s="271"/>
      <c r="V4276" s="260">
        <v>120</v>
      </c>
      <c r="W4276" s="1136" t="e">
        <f t="shared" si="357"/>
        <v>#DIV/0!</v>
      </c>
    </row>
    <row r="4277" spans="1:51" s="7" customFormat="1" ht="15">
      <c r="B4277" s="12"/>
      <c r="C4277" s="965" t="s">
        <v>5252</v>
      </c>
      <c r="D4277" s="14" t="s">
        <v>3150</v>
      </c>
      <c r="E4277" s="19" t="s">
        <v>2244</v>
      </c>
      <c r="F4277" s="24"/>
      <c r="G4277" s="22"/>
      <c r="H4277" s="60"/>
      <c r="I4277" s="61"/>
      <c r="J4277" s="8"/>
      <c r="K4277" s="110" t="s">
        <v>5</v>
      </c>
      <c r="L4277" s="139"/>
      <c r="M4277" s="33"/>
      <c r="N4277" s="33">
        <v>45674</v>
      </c>
      <c r="O4277" s="32">
        <v>6779</v>
      </c>
      <c r="P4277" s="6" t="s">
        <v>8</v>
      </c>
      <c r="Q4277" s="358"/>
      <c r="U4277" s="120"/>
      <c r="V4277" s="260">
        <v>120</v>
      </c>
      <c r="W4277" s="1136" t="e">
        <f t="shared" si="357"/>
        <v>#VALUE!</v>
      </c>
    </row>
    <row r="4278" spans="1:51" s="7" customFormat="1" ht="18" customHeight="1">
      <c r="B4278" s="12" t="s">
        <v>300</v>
      </c>
      <c r="C4278" s="965" t="s">
        <v>5252</v>
      </c>
      <c r="D4278" s="14" t="s">
        <v>3150</v>
      </c>
      <c r="E4278" s="22">
        <v>11700</v>
      </c>
      <c r="F4278" s="37">
        <v>24</v>
      </c>
      <c r="G4278" s="22" t="s">
        <v>5251</v>
      </c>
      <c r="H4278" s="8">
        <v>10</v>
      </c>
      <c r="I4278" s="35">
        <v>2</v>
      </c>
      <c r="J4278" s="108">
        <f>H4278*I4278</f>
        <v>20</v>
      </c>
      <c r="K4278" s="958">
        <v>2.84</v>
      </c>
      <c r="L4278" s="39">
        <f>K4278*J4278</f>
        <v>56.8</v>
      </c>
      <c r="M4278" s="117" t="s">
        <v>349</v>
      </c>
      <c r="N4278" s="33">
        <v>45674</v>
      </c>
      <c r="O4278" s="32">
        <v>6779</v>
      </c>
      <c r="P4278" s="391">
        <f>ROUNDUP(S4278/V4278/VLOOKUP(B4278,$C$2:$F$6,3,FALSE),2)</f>
        <v>1.83</v>
      </c>
      <c r="Q4278" s="322">
        <v>1.83</v>
      </c>
      <c r="R4278" s="322">
        <f>Q4278*J4278</f>
        <v>36.6</v>
      </c>
      <c r="S4278" s="7">
        <v>153.30000000000001</v>
      </c>
      <c r="T4278" s="7">
        <f>S4278*J4278</f>
        <v>3066</v>
      </c>
      <c r="U4278" s="39"/>
      <c r="V4278" s="260">
        <v>120</v>
      </c>
      <c r="W4278" s="1136">
        <f t="shared" si="357"/>
        <v>0.55017605633802813</v>
      </c>
    </row>
    <row r="4279" spans="1:51" s="7" customFormat="1" ht="18" customHeight="1">
      <c r="B4279" s="12" t="s">
        <v>300</v>
      </c>
      <c r="C4279" s="965" t="s">
        <v>5252</v>
      </c>
      <c r="D4279" s="14" t="s">
        <v>3150</v>
      </c>
      <c r="E4279" s="22">
        <v>11700</v>
      </c>
      <c r="F4279" s="37">
        <v>36</v>
      </c>
      <c r="G4279" s="22" t="s">
        <v>5251</v>
      </c>
      <c r="H4279" s="8">
        <v>10</v>
      </c>
      <c r="I4279" s="35">
        <v>2</v>
      </c>
      <c r="J4279" s="108">
        <f>H4279*I4279</f>
        <v>20</v>
      </c>
      <c r="K4279" s="958">
        <v>4.72</v>
      </c>
      <c r="L4279" s="39">
        <f>K4279*J4279</f>
        <v>94.399999999999991</v>
      </c>
      <c r="M4279" s="117" t="s">
        <v>349</v>
      </c>
      <c r="N4279" s="33">
        <v>45674</v>
      </c>
      <c r="O4279" s="32">
        <v>6779</v>
      </c>
      <c r="P4279" s="391">
        <f>ROUNDUP(S4279/V4279/VLOOKUP(B4279,$C$2:$F$6,3,FALSE),2)</f>
        <v>3.0399999999999996</v>
      </c>
      <c r="Q4279" s="322">
        <v>3.04</v>
      </c>
      <c r="R4279" s="322">
        <f>Q4279*J4279</f>
        <v>60.8</v>
      </c>
      <c r="S4279" s="7">
        <v>255.1</v>
      </c>
      <c r="T4279" s="7">
        <f>S4279*J4279</f>
        <v>5102</v>
      </c>
      <c r="U4279" s="39"/>
      <c r="V4279" s="260">
        <v>120</v>
      </c>
      <c r="W4279" s="1136">
        <f t="shared" si="357"/>
        <v>0.54961158192090387</v>
      </c>
    </row>
    <row r="4280" spans="1:51" s="7" customFormat="1" ht="18" customHeight="1">
      <c r="B4280" s="12" t="s">
        <v>300</v>
      </c>
      <c r="C4280" s="965" t="s">
        <v>5252</v>
      </c>
      <c r="D4280" s="14" t="s">
        <v>3150</v>
      </c>
      <c r="E4280" s="22">
        <v>11700</v>
      </c>
      <c r="F4280" s="37">
        <v>48</v>
      </c>
      <c r="G4280" s="22" t="s">
        <v>5251</v>
      </c>
      <c r="H4280" s="8">
        <v>10</v>
      </c>
      <c r="I4280" s="35">
        <v>2</v>
      </c>
      <c r="J4280" s="108">
        <f>H4280*I4280</f>
        <v>20</v>
      </c>
      <c r="K4280" s="958">
        <v>7</v>
      </c>
      <c r="L4280" s="39">
        <f>K4280*J4280</f>
        <v>140</v>
      </c>
      <c r="M4280" s="117" t="s">
        <v>349</v>
      </c>
      <c r="N4280" s="33">
        <v>45674</v>
      </c>
      <c r="O4280" s="32">
        <v>6779</v>
      </c>
      <c r="P4280" s="391">
        <f>ROUNDUP(S4280/V4280/VLOOKUP(B4280,$C$2:$F$6,3,FALSE),2)</f>
        <v>4.4799999999999995</v>
      </c>
      <c r="Q4280" s="322">
        <v>4.4800000000000004</v>
      </c>
      <c r="R4280" s="322">
        <f>Q4280*J4280</f>
        <v>89.600000000000009</v>
      </c>
      <c r="S4280" s="7">
        <v>376</v>
      </c>
      <c r="T4280" s="7">
        <f>S4280*J4280</f>
        <v>7520</v>
      </c>
      <c r="U4280" s="39"/>
      <c r="V4280" s="260">
        <v>120</v>
      </c>
      <c r="W4280" s="1136">
        <f t="shared" si="357"/>
        <v>0.55238095238095242</v>
      </c>
    </row>
    <row r="4281" spans="1:51" customFormat="1" ht="15.95" customHeight="1">
      <c r="A4281" s="1"/>
      <c r="B4281" s="12" t="s">
        <v>306</v>
      </c>
      <c r="C4281" s="965" t="s">
        <v>5252</v>
      </c>
      <c r="D4281" s="14" t="s">
        <v>3150</v>
      </c>
      <c r="E4281" s="22"/>
      <c r="F4281" s="102"/>
      <c r="G4281" s="37" t="s">
        <v>316</v>
      </c>
      <c r="H4281" s="8"/>
      <c r="I4281" s="35"/>
      <c r="J4281" s="38">
        <v>1</v>
      </c>
      <c r="K4281" s="39">
        <v>12</v>
      </c>
      <c r="L4281" s="39">
        <f>K4281*J4281</f>
        <v>12</v>
      </c>
      <c r="M4281" s="91"/>
      <c r="N4281" s="33">
        <v>45674</v>
      </c>
      <c r="O4281" s="32">
        <v>6779</v>
      </c>
      <c r="P4281" s="39"/>
      <c r="Q4281" s="358">
        <v>12</v>
      </c>
      <c r="R4281" s="323">
        <v>12</v>
      </c>
      <c r="S4281" s="7">
        <v>0</v>
      </c>
      <c r="T4281" s="7">
        <v>0</v>
      </c>
      <c r="U4281" s="270"/>
      <c r="V4281" s="260">
        <v>120</v>
      </c>
      <c r="W4281" s="1136">
        <f t="shared" si="357"/>
        <v>1</v>
      </c>
    </row>
    <row r="4282" spans="1:51" s="191" customFormat="1" ht="15">
      <c r="B4282" s="190"/>
      <c r="C4282" s="966" t="s">
        <v>5252</v>
      </c>
      <c r="D4282" s="180" t="s">
        <v>3150</v>
      </c>
      <c r="E4282" s="181"/>
      <c r="F4282" s="182"/>
      <c r="G4282" s="182" t="s">
        <v>250</v>
      </c>
      <c r="H4282" s="184" t="s">
        <v>251</v>
      </c>
      <c r="I4282" s="185"/>
      <c r="J4282" s="183"/>
      <c r="K4282" s="192">
        <v>0</v>
      </c>
      <c r="L4282" s="187"/>
      <c r="M4282" s="187"/>
      <c r="N4282" s="187">
        <v>45674</v>
      </c>
      <c r="O4282" s="186">
        <v>6779</v>
      </c>
      <c r="P4282" s="179"/>
      <c r="Q4282" s="255">
        <v>0</v>
      </c>
      <c r="S4282" s="275">
        <v>0</v>
      </c>
      <c r="T4282" s="198">
        <v>0</v>
      </c>
      <c r="U4282" s="271"/>
      <c r="V4282" s="260">
        <v>120</v>
      </c>
      <c r="W4282" s="1136" t="e">
        <f t="shared" si="357"/>
        <v>#DIV/0!</v>
      </c>
    </row>
    <row r="4283" spans="1:51" customFormat="1" ht="18" customHeight="1">
      <c r="A4283" s="1"/>
      <c r="B4283" s="26"/>
      <c r="C4283" s="6" t="s">
        <v>5255</v>
      </c>
      <c r="D4283" s="14" t="s">
        <v>3067</v>
      </c>
      <c r="E4283" s="19" t="s">
        <v>59</v>
      </c>
      <c r="F4283" s="107"/>
      <c r="G4283" s="22"/>
      <c r="H4283" s="108"/>
      <c r="I4283" s="109"/>
      <c r="J4283" s="108"/>
      <c r="K4283" s="110" t="s">
        <v>5</v>
      </c>
      <c r="L4283" s="33"/>
      <c r="M4283" s="33"/>
      <c r="N4283" s="1398">
        <v>45685</v>
      </c>
      <c r="O4283" s="32">
        <v>6809</v>
      </c>
      <c r="P4283" s="14"/>
      <c r="Q4283" s="254"/>
      <c r="R4283" s="1"/>
      <c r="S4283" s="261"/>
      <c r="T4283" s="92"/>
      <c r="U4283" s="264"/>
      <c r="V4283" s="260">
        <v>120</v>
      </c>
      <c r="W4283" s="1136" t="e">
        <f t="shared" si="357"/>
        <v>#VALUE!</v>
      </c>
      <c r="X4283" s="1"/>
      <c r="Y4283" s="1"/>
      <c r="Z4283" s="1"/>
      <c r="AA4283" s="1"/>
      <c r="AB4283" s="1"/>
      <c r="AC4283" s="1"/>
      <c r="AD4283" s="1"/>
      <c r="AE4283" s="1"/>
      <c r="AF4283" s="1"/>
      <c r="AG4283" s="1"/>
      <c r="AH4283" s="1"/>
      <c r="AI4283" s="1"/>
      <c r="AJ4283" s="1"/>
      <c r="AK4283" s="1"/>
      <c r="AL4283" s="1"/>
      <c r="AM4283" s="1"/>
      <c r="AN4283" s="1"/>
      <c r="AO4283" s="1"/>
      <c r="AP4283" s="1"/>
      <c r="AQ4283" s="1"/>
      <c r="AR4283" s="1"/>
      <c r="AS4283" s="1"/>
      <c r="AT4283" s="1"/>
      <c r="AU4283" s="1"/>
      <c r="AV4283" s="1"/>
      <c r="AW4283" s="1"/>
      <c r="AX4283" s="1"/>
      <c r="AY4283" s="1"/>
    </row>
    <row r="4284" spans="1:51" customFormat="1" ht="18" customHeight="1">
      <c r="B4284" s="12" t="s">
        <v>302</v>
      </c>
      <c r="C4284" s="6" t="s">
        <v>5255</v>
      </c>
      <c r="D4284" s="14" t="s">
        <v>3067</v>
      </c>
      <c r="E4284" s="22">
        <v>2440</v>
      </c>
      <c r="F4284" s="107">
        <v>140</v>
      </c>
      <c r="G4284" s="22" t="s">
        <v>5128</v>
      </c>
      <c r="H4284" s="108">
        <v>58</v>
      </c>
      <c r="I4284" s="109">
        <v>1</v>
      </c>
      <c r="J4284" s="8">
        <f>H4284*I4284</f>
        <v>58</v>
      </c>
      <c r="K4284" s="39">
        <v>3.88</v>
      </c>
      <c r="L4284" s="39">
        <f>K4284*J4284</f>
        <v>225.04</v>
      </c>
      <c r="M4284" s="117" t="s">
        <v>323</v>
      </c>
      <c r="N4284" s="1398">
        <v>45685</v>
      </c>
      <c r="O4284" s="32">
        <v>6809</v>
      </c>
      <c r="P4284" s="391">
        <f>ROUNDUP(S4284/V4284/VLOOKUP(B4284,$C$2:$F$6,3,FALSE),2)</f>
        <v>2.94</v>
      </c>
      <c r="Q4284" s="254">
        <v>2.94</v>
      </c>
      <c r="R4284" s="323">
        <f>Q4284*J4284</f>
        <v>170.52</v>
      </c>
      <c r="S4284" s="257">
        <v>310</v>
      </c>
      <c r="T4284" s="287">
        <f>S4284*J4284</f>
        <v>17980</v>
      </c>
      <c r="U4284" s="264"/>
      <c r="V4284" s="260">
        <v>120</v>
      </c>
      <c r="W4284" s="1136">
        <f t="shared" si="357"/>
        <v>0.33419243986254293</v>
      </c>
      <c r="X4284" s="1"/>
      <c r="Y4284" s="1"/>
      <c r="Z4284" s="1"/>
      <c r="AA4284" s="1"/>
      <c r="AB4284" s="1"/>
      <c r="AC4284" s="1"/>
      <c r="AD4284" s="1"/>
      <c r="AE4284" s="1"/>
      <c r="AF4284" s="1"/>
      <c r="AG4284" s="1"/>
      <c r="AH4284" s="1"/>
      <c r="AI4284" s="1"/>
      <c r="AJ4284" s="1"/>
      <c r="AK4284" s="1"/>
      <c r="AL4284" s="1"/>
      <c r="AM4284" s="1"/>
      <c r="AN4284" s="1"/>
      <c r="AO4284" s="1"/>
      <c r="AP4284" s="1"/>
      <c r="AQ4284" s="1"/>
      <c r="AR4284" s="1"/>
      <c r="AS4284" s="1"/>
      <c r="AT4284" s="1"/>
      <c r="AU4284" s="1"/>
      <c r="AV4284" s="1"/>
      <c r="AW4284" s="1"/>
      <c r="AX4284" s="1"/>
      <c r="AY4284" s="1"/>
    </row>
    <row r="4285" spans="1:51" s="7" customFormat="1" ht="15">
      <c r="B4285" s="12"/>
      <c r="C4285" s="6" t="s">
        <v>5255</v>
      </c>
      <c r="D4285" s="14" t="s">
        <v>3067</v>
      </c>
      <c r="E4285" s="49"/>
      <c r="F4285" s="102"/>
      <c r="G4285" s="22" t="s">
        <v>316</v>
      </c>
      <c r="H4285" s="38"/>
      <c r="I4285" s="35"/>
      <c r="J4285" s="38">
        <v>1</v>
      </c>
      <c r="K4285" s="39">
        <v>20</v>
      </c>
      <c r="L4285" s="39">
        <f>K4285*J4285</f>
        <v>20</v>
      </c>
      <c r="M4285" s="91"/>
      <c r="N4285" s="1398">
        <v>45685</v>
      </c>
      <c r="O4285" s="32">
        <v>6809</v>
      </c>
      <c r="P4285" s="722"/>
      <c r="Q4285" s="322">
        <v>20</v>
      </c>
      <c r="R4285" s="322">
        <f>Q4285*J4285</f>
        <v>20</v>
      </c>
      <c r="S4285" s="7">
        <v>2500</v>
      </c>
      <c r="T4285" s="7">
        <f>S4285*J4285</f>
        <v>2500</v>
      </c>
      <c r="U4285" s="21"/>
      <c r="V4285" s="260">
        <v>120</v>
      </c>
      <c r="W4285" s="1136">
        <f t="shared" si="357"/>
        <v>-4.1666666666666664E-2</v>
      </c>
    </row>
    <row r="4286" spans="1:51" s="191" customFormat="1" ht="15">
      <c r="B4286" s="190"/>
      <c r="C4286" s="179" t="s">
        <v>5255</v>
      </c>
      <c r="D4286" s="180" t="s">
        <v>3067</v>
      </c>
      <c r="E4286" s="181"/>
      <c r="F4286" s="182"/>
      <c r="G4286" s="182" t="s">
        <v>2738</v>
      </c>
      <c r="H4286" s="184" t="s">
        <v>251</v>
      </c>
      <c r="I4286" s="185"/>
      <c r="J4286" s="183"/>
      <c r="K4286" s="192">
        <v>0</v>
      </c>
      <c r="L4286" s="187"/>
      <c r="M4286" s="187"/>
      <c r="N4286" s="1399">
        <v>45685</v>
      </c>
      <c r="O4286" s="186">
        <v>6809</v>
      </c>
      <c r="P4286" s="179"/>
      <c r="Q4286" s="203"/>
      <c r="R4286" s="203"/>
      <c r="S4286" s="203"/>
      <c r="T4286" s="203"/>
      <c r="U4286" s="271"/>
      <c r="V4286" s="260">
        <v>120</v>
      </c>
      <c r="W4286" s="1136" t="e">
        <f t="shared" si="357"/>
        <v>#DIV/0!</v>
      </c>
    </row>
    <row r="4287" spans="1:51" customFormat="1" ht="18" customHeight="1">
      <c r="A4287" s="1"/>
      <c r="B4287" s="26"/>
      <c r="C4287" s="6" t="s">
        <v>5256</v>
      </c>
      <c r="D4287" s="14" t="s">
        <v>3067</v>
      </c>
      <c r="E4287" s="19" t="s">
        <v>59</v>
      </c>
      <c r="F4287" s="107"/>
      <c r="G4287" s="22"/>
      <c r="H4287" s="108"/>
      <c r="I4287" s="109"/>
      <c r="J4287" s="108"/>
      <c r="K4287" s="110" t="s">
        <v>5</v>
      </c>
      <c r="L4287" s="33"/>
      <c r="M4287" s="33"/>
      <c r="N4287" s="1398">
        <v>45685</v>
      </c>
      <c r="O4287" s="32">
        <v>6810</v>
      </c>
      <c r="P4287" s="14"/>
      <c r="Q4287" s="254"/>
      <c r="R4287" s="1"/>
      <c r="S4287" s="261"/>
      <c r="T4287" s="92"/>
      <c r="U4287" s="264"/>
      <c r="V4287" s="260">
        <v>120</v>
      </c>
      <c r="W4287" s="1136" t="e">
        <f>(((K4287*V4287)-S4287)/(K4287*V4287))</f>
        <v>#VALUE!</v>
      </c>
      <c r="X4287" s="1"/>
      <c r="Y4287" s="1"/>
      <c r="Z4287" s="1"/>
      <c r="AA4287" s="1"/>
      <c r="AB4287" s="1"/>
      <c r="AC4287" s="1"/>
      <c r="AD4287" s="1"/>
      <c r="AE4287" s="1"/>
      <c r="AF4287" s="1"/>
      <c r="AG4287" s="1"/>
      <c r="AH4287" s="1"/>
      <c r="AI4287" s="1"/>
      <c r="AJ4287" s="1"/>
      <c r="AK4287" s="1"/>
      <c r="AL4287" s="1"/>
      <c r="AM4287" s="1"/>
      <c r="AN4287" s="1"/>
      <c r="AO4287" s="1"/>
      <c r="AP4287" s="1"/>
      <c r="AQ4287" s="1"/>
      <c r="AR4287" s="1"/>
      <c r="AS4287" s="1"/>
      <c r="AT4287" s="1"/>
      <c r="AU4287" s="1"/>
      <c r="AV4287" s="1"/>
      <c r="AW4287" s="1"/>
      <c r="AX4287" s="1"/>
      <c r="AY4287" s="1"/>
    </row>
    <row r="4288" spans="1:51" customFormat="1" ht="18" customHeight="1">
      <c r="B4288" s="12" t="s">
        <v>302</v>
      </c>
      <c r="C4288" s="6" t="s">
        <v>5256</v>
      </c>
      <c r="D4288" s="14" t="s">
        <v>3067</v>
      </c>
      <c r="E4288" s="22">
        <v>2440</v>
      </c>
      <c r="F4288" s="107">
        <v>140</v>
      </c>
      <c r="G4288" s="22" t="s">
        <v>5128</v>
      </c>
      <c r="H4288" s="108">
        <v>58</v>
      </c>
      <c r="I4288" s="109">
        <v>5</v>
      </c>
      <c r="J4288" s="8">
        <f>H4288*I4288</f>
        <v>290</v>
      </c>
      <c r="K4288" s="39">
        <v>3.88</v>
      </c>
      <c r="L4288" s="39">
        <f>K4288*J4288</f>
        <v>1125.2</v>
      </c>
      <c r="M4288" s="117" t="s">
        <v>323</v>
      </c>
      <c r="N4288" s="1398">
        <v>45685</v>
      </c>
      <c r="O4288" s="32">
        <v>6810</v>
      </c>
      <c r="P4288" s="391">
        <f>ROUNDUP(S4288/V4288/VLOOKUP(B4288,$C$2:$F$6,3,FALSE),2)</f>
        <v>2.94</v>
      </c>
      <c r="Q4288" s="254">
        <v>2.94</v>
      </c>
      <c r="R4288" s="323">
        <f>Q4288*J4288</f>
        <v>852.6</v>
      </c>
      <c r="S4288" s="257">
        <v>310</v>
      </c>
      <c r="T4288" s="287">
        <f>S4288*J4288</f>
        <v>89900</v>
      </c>
      <c r="U4288" s="264"/>
      <c r="V4288" s="260">
        <v>120</v>
      </c>
      <c r="W4288" s="1136">
        <f>(((K4288*V4288)-S4288)/(K4288*V4288))</f>
        <v>0.33419243986254293</v>
      </c>
      <c r="X4288" s="1"/>
      <c r="Y4288" s="1"/>
      <c r="Z4288" s="1"/>
      <c r="AA4288" s="1"/>
      <c r="AB4288" s="1"/>
      <c r="AC4288" s="1"/>
      <c r="AD4288" s="1"/>
      <c r="AE4288" s="1"/>
      <c r="AF4288" s="1"/>
      <c r="AG4288" s="1"/>
      <c r="AH4288" s="1"/>
      <c r="AI4288" s="1"/>
      <c r="AJ4288" s="1"/>
      <c r="AK4288" s="1"/>
      <c r="AL4288" s="1"/>
      <c r="AM4288" s="1"/>
      <c r="AN4288" s="1"/>
      <c r="AO4288" s="1"/>
      <c r="AP4288" s="1"/>
      <c r="AQ4288" s="1"/>
      <c r="AR4288" s="1"/>
      <c r="AS4288" s="1"/>
      <c r="AT4288" s="1"/>
      <c r="AU4288" s="1"/>
      <c r="AV4288" s="1"/>
      <c r="AW4288" s="1"/>
      <c r="AX4288" s="1"/>
      <c r="AY4288" s="1"/>
    </row>
    <row r="4289" spans="2:23" s="7" customFormat="1" ht="15">
      <c r="B4289" s="12"/>
      <c r="C4289" s="6" t="s">
        <v>5256</v>
      </c>
      <c r="D4289" s="14" t="s">
        <v>3067</v>
      </c>
      <c r="E4289" s="49"/>
      <c r="F4289" s="102"/>
      <c r="G4289" s="22" t="s">
        <v>316</v>
      </c>
      <c r="H4289" s="38"/>
      <c r="I4289" s="35"/>
      <c r="J4289" s="38">
        <v>1</v>
      </c>
      <c r="K4289" s="39">
        <v>20</v>
      </c>
      <c r="L4289" s="39">
        <f>K4289*J4289</f>
        <v>20</v>
      </c>
      <c r="M4289" s="91"/>
      <c r="N4289" s="1398">
        <v>45685</v>
      </c>
      <c r="O4289" s="32">
        <v>6810</v>
      </c>
      <c r="P4289" s="722"/>
      <c r="Q4289" s="322">
        <v>20</v>
      </c>
      <c r="R4289" s="322">
        <f>Q4289*J4289</f>
        <v>20</v>
      </c>
      <c r="S4289" s="7">
        <v>2500</v>
      </c>
      <c r="T4289" s="7">
        <f>S4289*J4289</f>
        <v>2500</v>
      </c>
      <c r="U4289" s="21"/>
      <c r="V4289" s="260">
        <v>120</v>
      </c>
      <c r="W4289" s="1136">
        <f>(((K4289*V4289)-S4289)/(K4289*V4289))</f>
        <v>-4.1666666666666664E-2</v>
      </c>
    </row>
    <row r="4290" spans="2:23" s="191" customFormat="1" ht="15">
      <c r="B4290" s="190"/>
      <c r="C4290" s="179" t="s">
        <v>5256</v>
      </c>
      <c r="D4290" s="180" t="s">
        <v>3067</v>
      </c>
      <c r="E4290" s="181"/>
      <c r="F4290" s="182"/>
      <c r="G4290" s="182" t="s">
        <v>2738</v>
      </c>
      <c r="H4290" s="184" t="s">
        <v>251</v>
      </c>
      <c r="I4290" s="185"/>
      <c r="J4290" s="183"/>
      <c r="K4290" s="192">
        <v>0</v>
      </c>
      <c r="L4290" s="187"/>
      <c r="M4290" s="187"/>
      <c r="N4290" s="1399">
        <v>45685</v>
      </c>
      <c r="O4290" s="186">
        <v>6810</v>
      </c>
      <c r="P4290" s="179"/>
      <c r="Q4290" s="203"/>
      <c r="R4290" s="203"/>
      <c r="S4290" s="203"/>
      <c r="T4290" s="203"/>
      <c r="U4290" s="271"/>
      <c r="V4290" s="260">
        <v>120</v>
      </c>
      <c r="W4290" s="1136" t="e">
        <f>(((K4290*V4290)-S4290)/(K4290*V4290))</f>
        <v>#DIV/0!</v>
      </c>
    </row>
    <row r="4291" spans="2:23" s="7" customFormat="1" ht="18" customHeight="1">
      <c r="B4291" s="12"/>
      <c r="C4291" s="965" t="s">
        <v>5275</v>
      </c>
      <c r="D4291" s="14" t="s">
        <v>1970</v>
      </c>
      <c r="E4291" s="19" t="s">
        <v>5273</v>
      </c>
      <c r="F4291" s="22"/>
      <c r="G4291" s="37"/>
      <c r="H4291" s="108"/>
      <c r="I4291" s="108"/>
      <c r="J4291" s="108"/>
      <c r="K4291" s="110" t="s">
        <v>5</v>
      </c>
      <c r="L4291" s="33"/>
      <c r="M4291" s="33"/>
      <c r="N4291" s="33">
        <v>45688</v>
      </c>
      <c r="O4291" s="32">
        <v>6816</v>
      </c>
      <c r="P4291" s="6"/>
      <c r="Q4291" s="223"/>
      <c r="S4291" s="1174"/>
      <c r="T4291" s="92"/>
      <c r="U4291" s="266"/>
      <c r="V4291" s="260">
        <v>120</v>
      </c>
    </row>
    <row r="4292" spans="2:23" s="7" customFormat="1" ht="15.95" customHeight="1">
      <c r="B4292" s="12" t="s">
        <v>302</v>
      </c>
      <c r="C4292" s="965" t="s">
        <v>5275</v>
      </c>
      <c r="D4292" s="14" t="s">
        <v>1970</v>
      </c>
      <c r="E4292" s="22" t="s">
        <v>5272</v>
      </c>
      <c r="F4292" s="107">
        <v>148</v>
      </c>
      <c r="G4292" s="37" t="s">
        <v>5274</v>
      </c>
      <c r="H4292" s="60"/>
      <c r="I4292" s="61"/>
      <c r="J4292" s="60">
        <v>3</v>
      </c>
      <c r="K4292" s="39">
        <v>14.31</v>
      </c>
      <c r="L4292" s="39">
        <f>K4292*J4292</f>
        <v>42.93</v>
      </c>
      <c r="M4292" s="117" t="s">
        <v>323</v>
      </c>
      <c r="N4292" s="1398">
        <v>45688</v>
      </c>
      <c r="O4292" s="32">
        <v>6816</v>
      </c>
      <c r="P4292" s="391">
        <f>ROUNDUP(S4292/V4292/VLOOKUP(B4292,$C$2:$F$6,3,FALSE),2)</f>
        <v>9.76</v>
      </c>
      <c r="Q4292" s="254">
        <v>9.76</v>
      </c>
      <c r="R4292" s="323">
        <f>Q4292*J4292</f>
        <v>29.28</v>
      </c>
      <c r="S4292" s="257">
        <v>1030</v>
      </c>
      <c r="T4292" s="92">
        <f>S4292*J4292</f>
        <v>3090</v>
      </c>
      <c r="U4292" s="1200">
        <v>22.033000000000001</v>
      </c>
      <c r="V4292" s="260">
        <v>120</v>
      </c>
      <c r="W4292" s="1136">
        <f t="shared" ref="W4292:W4297" si="358">(((K4292*V4292)-S4292)/(K4292*V4292))</f>
        <v>0.40018634987188451</v>
      </c>
    </row>
    <row r="4293" spans="2:23" s="7" customFormat="1" ht="15">
      <c r="B4293" s="12"/>
      <c r="C4293" s="965" t="s">
        <v>5275</v>
      </c>
      <c r="D4293" s="14" t="s">
        <v>1970</v>
      </c>
      <c r="E4293" s="49"/>
      <c r="F4293" s="102"/>
      <c r="G4293" s="22" t="s">
        <v>4329</v>
      </c>
      <c r="H4293" s="38"/>
      <c r="I4293" s="35"/>
      <c r="J4293" s="38">
        <v>1</v>
      </c>
      <c r="K4293" s="39">
        <v>15</v>
      </c>
      <c r="L4293" s="39">
        <f>K4293*J4293</f>
        <v>15</v>
      </c>
      <c r="M4293" s="91"/>
      <c r="N4293" s="1398">
        <v>45688</v>
      </c>
      <c r="O4293" s="32">
        <v>6816</v>
      </c>
      <c r="P4293" s="722"/>
      <c r="Q4293" s="322">
        <v>15</v>
      </c>
      <c r="R4293" s="322">
        <f>Q4293*J4293</f>
        <v>15</v>
      </c>
      <c r="S4293" s="7">
        <v>1500</v>
      </c>
      <c r="T4293" s="7">
        <f>S4293*J4293</f>
        <v>1500</v>
      </c>
      <c r="U4293" s="21"/>
      <c r="V4293" s="260">
        <v>120</v>
      </c>
      <c r="W4293" s="1136">
        <f t="shared" si="358"/>
        <v>0.16666666666666666</v>
      </c>
    </row>
    <row r="4294" spans="2:23" s="7" customFormat="1" ht="15">
      <c r="B4294" s="12"/>
      <c r="C4294" s="965" t="s">
        <v>5275</v>
      </c>
      <c r="D4294" s="14" t="s">
        <v>1970</v>
      </c>
      <c r="E4294" s="49"/>
      <c r="F4294" s="102"/>
      <c r="G4294" s="22" t="s">
        <v>316</v>
      </c>
      <c r="H4294" s="38"/>
      <c r="I4294" s="35"/>
      <c r="J4294" s="38">
        <v>1</v>
      </c>
      <c r="K4294" s="39">
        <v>15</v>
      </c>
      <c r="L4294" s="39">
        <f>K4294*J4294</f>
        <v>15</v>
      </c>
      <c r="M4294" s="91"/>
      <c r="N4294" s="1398">
        <v>45688</v>
      </c>
      <c r="O4294" s="32">
        <v>6816</v>
      </c>
      <c r="P4294" s="722"/>
      <c r="Q4294" s="322">
        <v>15</v>
      </c>
      <c r="R4294" s="322">
        <f>Q4294*J4294</f>
        <v>15</v>
      </c>
      <c r="S4294" s="7">
        <v>0</v>
      </c>
      <c r="T4294" s="7">
        <f>S4294*J4294</f>
        <v>0</v>
      </c>
      <c r="U4294" s="21"/>
      <c r="V4294" s="260">
        <v>120</v>
      </c>
      <c r="W4294" s="1136">
        <f t="shared" si="358"/>
        <v>1</v>
      </c>
    </row>
    <row r="4295" spans="2:23" s="191" customFormat="1" ht="15">
      <c r="B4295" s="190"/>
      <c r="C4295" s="966" t="s">
        <v>5275</v>
      </c>
      <c r="D4295" s="180" t="s">
        <v>1970</v>
      </c>
      <c r="E4295" s="181"/>
      <c r="F4295" s="182"/>
      <c r="G4295" s="182" t="s">
        <v>2738</v>
      </c>
      <c r="H4295" s="184" t="s">
        <v>251</v>
      </c>
      <c r="I4295" s="185"/>
      <c r="J4295" s="183"/>
      <c r="K4295" s="192">
        <v>0</v>
      </c>
      <c r="L4295" s="187"/>
      <c r="M4295" s="187"/>
      <c r="N4295" s="1399">
        <v>45688</v>
      </c>
      <c r="O4295" s="186">
        <v>6816</v>
      </c>
      <c r="P4295" s="179"/>
      <c r="Q4295" s="203"/>
      <c r="R4295" s="203"/>
      <c r="S4295" s="203"/>
      <c r="T4295" s="203"/>
      <c r="U4295" s="271"/>
      <c r="V4295" s="260">
        <v>120</v>
      </c>
      <c r="W4295" s="1136" t="e">
        <f t="shared" si="358"/>
        <v>#DIV/0!</v>
      </c>
    </row>
    <row r="4296" spans="2:23" s="7" customFormat="1" ht="18" customHeight="1">
      <c r="B4296" s="12"/>
      <c r="C4296" s="6" t="s">
        <v>5276</v>
      </c>
      <c r="D4296" s="14" t="s">
        <v>5277</v>
      </c>
      <c r="E4296" s="19" t="s">
        <v>10</v>
      </c>
      <c r="F4296" s="107"/>
      <c r="G4296" s="22"/>
      <c r="H4296" s="108"/>
      <c r="I4296" s="109"/>
      <c r="J4296" s="108"/>
      <c r="K4296" s="29" t="s">
        <v>5</v>
      </c>
      <c r="L4296" s="39"/>
      <c r="M4296" s="91"/>
      <c r="N4296" s="33">
        <v>45691</v>
      </c>
      <c r="O4296" s="32">
        <v>6817</v>
      </c>
      <c r="P4296" s="14"/>
      <c r="Q4296" s="322"/>
      <c r="U4296" s="14"/>
      <c r="V4296" s="260">
        <v>120</v>
      </c>
      <c r="W4296" s="1136" t="e">
        <f t="shared" si="358"/>
        <v>#VALUE!</v>
      </c>
    </row>
    <row r="4297" spans="2:23" s="7" customFormat="1" ht="18" customHeight="1">
      <c r="B4297" s="12" t="s">
        <v>302</v>
      </c>
      <c r="C4297" s="6" t="s">
        <v>5276</v>
      </c>
      <c r="D4297" s="14" t="s">
        <v>5277</v>
      </c>
      <c r="E4297" s="22" t="s">
        <v>190</v>
      </c>
      <c r="F4297" s="107">
        <v>160</v>
      </c>
      <c r="G4297" s="396" t="s">
        <v>5278</v>
      </c>
      <c r="H4297" s="60"/>
      <c r="I4297" s="61"/>
      <c r="J4297" s="60">
        <v>5</v>
      </c>
      <c r="K4297" s="39">
        <v>5.28</v>
      </c>
      <c r="L4297" s="39">
        <f>K4297*J4297</f>
        <v>26.400000000000002</v>
      </c>
      <c r="M4297" s="117" t="s">
        <v>323</v>
      </c>
      <c r="N4297" s="33">
        <v>45691</v>
      </c>
      <c r="O4297" s="32">
        <v>6817</v>
      </c>
      <c r="P4297" s="391">
        <f>ROUNDUP(S4297/V4297/VLOOKUP(B4297,$C$2:$F$6,3,FALSE),2)</f>
        <v>3.98</v>
      </c>
      <c r="Q4297" s="322">
        <v>3.98</v>
      </c>
      <c r="R4297" s="322">
        <f>Q4297*J4297</f>
        <v>19.899999999999999</v>
      </c>
      <c r="S4297" s="7">
        <v>420</v>
      </c>
      <c r="T4297" s="7">
        <f>S4297*J4297</f>
        <v>2100</v>
      </c>
      <c r="U4297" s="21"/>
      <c r="V4297" s="260">
        <v>120</v>
      </c>
      <c r="W4297" s="1136">
        <f t="shared" si="358"/>
        <v>0.33712121212121215</v>
      </c>
    </row>
    <row r="4298" spans="2:23" s="7" customFormat="1" ht="18" customHeight="1">
      <c r="B4298" s="12"/>
      <c r="C4298" s="6" t="s">
        <v>5276</v>
      </c>
      <c r="D4298" s="14" t="s">
        <v>5277</v>
      </c>
      <c r="E4298" s="82"/>
      <c r="F4298" s="102"/>
      <c r="G4298" s="22" t="s">
        <v>4329</v>
      </c>
      <c r="H4298" s="8"/>
      <c r="I4298" s="35"/>
      <c r="J4298" s="38">
        <v>1</v>
      </c>
      <c r="K4298" s="39">
        <v>15</v>
      </c>
      <c r="L4298" s="39">
        <f>K4298*J4298</f>
        <v>15</v>
      </c>
      <c r="M4298" s="91"/>
      <c r="N4298" s="33">
        <v>45691</v>
      </c>
      <c r="O4298" s="32">
        <v>6817</v>
      </c>
      <c r="P4298" s="6"/>
      <c r="Q4298" s="322">
        <v>15</v>
      </c>
      <c r="R4298" s="322">
        <f>Q4298*J4298</f>
        <v>15</v>
      </c>
      <c r="S4298" s="7">
        <v>1000</v>
      </c>
      <c r="T4298" s="7">
        <f>S4298*J4298</f>
        <v>1000</v>
      </c>
      <c r="U4298" s="21"/>
      <c r="V4298" s="260">
        <v>120</v>
      </c>
    </row>
    <row r="4299" spans="2:23" s="7" customFormat="1" ht="18" customHeight="1">
      <c r="B4299" s="12"/>
      <c r="C4299" s="6" t="s">
        <v>5276</v>
      </c>
      <c r="D4299" s="14" t="s">
        <v>5277</v>
      </c>
      <c r="E4299" s="82"/>
      <c r="F4299" s="102"/>
      <c r="G4299" s="22" t="s">
        <v>316</v>
      </c>
      <c r="H4299" s="8"/>
      <c r="I4299" s="35"/>
      <c r="J4299" s="38">
        <v>1</v>
      </c>
      <c r="K4299" s="39">
        <v>20</v>
      </c>
      <c r="L4299" s="39">
        <f>K4299*J4299</f>
        <v>20</v>
      </c>
      <c r="M4299" s="91"/>
      <c r="N4299" s="33">
        <v>45691</v>
      </c>
      <c r="O4299" s="32">
        <v>6817</v>
      </c>
      <c r="P4299" s="6"/>
      <c r="Q4299" s="322">
        <v>20</v>
      </c>
      <c r="R4299" s="322">
        <f>Q4299*J4299</f>
        <v>20</v>
      </c>
      <c r="S4299" s="7">
        <v>1600</v>
      </c>
      <c r="T4299" s="7">
        <f>S4299*J4299</f>
        <v>1600</v>
      </c>
      <c r="U4299" s="21"/>
      <c r="V4299" s="260">
        <v>120</v>
      </c>
    </row>
    <row r="4300" spans="2:23" s="191" customFormat="1" ht="15">
      <c r="B4300" s="190"/>
      <c r="C4300" s="179" t="s">
        <v>5276</v>
      </c>
      <c r="D4300" s="180" t="s">
        <v>5277</v>
      </c>
      <c r="E4300" s="181"/>
      <c r="F4300" s="182"/>
      <c r="G4300" s="182" t="s">
        <v>2738</v>
      </c>
      <c r="H4300" s="184" t="s">
        <v>251</v>
      </c>
      <c r="I4300" s="185"/>
      <c r="J4300" s="183"/>
      <c r="K4300" s="192">
        <v>0</v>
      </c>
      <c r="L4300" s="187"/>
      <c r="M4300" s="187"/>
      <c r="N4300" s="187">
        <v>45691</v>
      </c>
      <c r="O4300" s="186">
        <v>6817</v>
      </c>
      <c r="P4300" s="179"/>
      <c r="Q4300" s="255">
        <v>0</v>
      </c>
      <c r="S4300" s="274">
        <v>0</v>
      </c>
      <c r="T4300" s="198">
        <v>0</v>
      </c>
      <c r="U4300" s="271"/>
      <c r="V4300" s="260">
        <v>120</v>
      </c>
    </row>
    <row r="4301" spans="2:23" s="7" customFormat="1" ht="18" customHeight="1">
      <c r="B4301" s="12"/>
      <c r="C4301" s="965" t="s">
        <v>5279</v>
      </c>
      <c r="D4301" s="14" t="s">
        <v>3112</v>
      </c>
      <c r="E4301" s="19" t="s">
        <v>4639</v>
      </c>
      <c r="F4301" s="107"/>
      <c r="G4301" s="22"/>
      <c r="H4301" s="108"/>
      <c r="I4301" s="109"/>
      <c r="J4301" s="108"/>
      <c r="K4301" s="29" t="s">
        <v>5</v>
      </c>
      <c r="L4301" s="39"/>
      <c r="M4301" s="91"/>
      <c r="N4301" s="1398">
        <v>45692</v>
      </c>
      <c r="O4301" s="32">
        <v>6821</v>
      </c>
      <c r="P4301" s="14"/>
      <c r="Q4301" s="322"/>
      <c r="U4301" s="14"/>
      <c r="V4301" s="1258">
        <v>120</v>
      </c>
    </row>
    <row r="4302" spans="2:23" s="7" customFormat="1" ht="18" customHeight="1">
      <c r="B4302" s="12" t="s">
        <v>302</v>
      </c>
      <c r="C4302" s="965" t="s">
        <v>5279</v>
      </c>
      <c r="D4302" s="14" t="s">
        <v>3112</v>
      </c>
      <c r="E4302" s="374" t="s">
        <v>4633</v>
      </c>
      <c r="F4302" s="107">
        <v>145</v>
      </c>
      <c r="G4302" s="396" t="s">
        <v>4634</v>
      </c>
      <c r="H4302" s="18">
        <v>57.8</v>
      </c>
      <c r="I4302" s="61">
        <v>2</v>
      </c>
      <c r="J4302" s="18">
        <f>H4302*I4302</f>
        <v>115.6</v>
      </c>
      <c r="K4302" s="39">
        <v>9.8699999999999992</v>
      </c>
      <c r="L4302" s="39">
        <f>K4302*J4302</f>
        <v>1140.9719999999998</v>
      </c>
      <c r="M4302" s="117" t="s">
        <v>323</v>
      </c>
      <c r="N4302" s="1398">
        <v>45692</v>
      </c>
      <c r="O4302" s="32">
        <v>6821</v>
      </c>
      <c r="P4302" s="391">
        <f>ROUNDUP(S4302/V4302/VLOOKUP(B4302,$C$2:$F$6,3,FALSE),2)</f>
        <v>7.01</v>
      </c>
      <c r="Q4302" s="322">
        <v>7.01</v>
      </c>
      <c r="R4302" s="322">
        <f>Q4302*J4302</f>
        <v>810.35599999999988</v>
      </c>
      <c r="S4302" s="7">
        <v>740</v>
      </c>
      <c r="T4302" s="7">
        <f>S4302*J4302</f>
        <v>85544</v>
      </c>
      <c r="U4302" s="21"/>
      <c r="V4302" s="260">
        <v>120</v>
      </c>
      <c r="W4302" s="1136">
        <f>(((K4302*V4302)-S4302)/(K4302*V4302))</f>
        <v>0.37521107733873682</v>
      </c>
    </row>
    <row r="4303" spans="2:23" s="7" customFormat="1" ht="18" customHeight="1">
      <c r="B4303" s="12"/>
      <c r="C4303" s="965" t="s">
        <v>5279</v>
      </c>
      <c r="D4303" s="14" t="s">
        <v>3112</v>
      </c>
      <c r="E4303" s="22"/>
      <c r="F4303" s="102"/>
      <c r="G4303" s="22" t="s">
        <v>316</v>
      </c>
      <c r="H4303" s="8"/>
      <c r="I4303" s="35"/>
      <c r="J4303" s="38">
        <v>1</v>
      </c>
      <c r="K4303" s="39">
        <v>20</v>
      </c>
      <c r="L4303" s="39">
        <f>K4303*J4303</f>
        <v>20</v>
      </c>
      <c r="M4303" s="91"/>
      <c r="N4303" s="1398">
        <v>45692</v>
      </c>
      <c r="O4303" s="32">
        <v>6821</v>
      </c>
      <c r="P4303" s="6" t="s">
        <v>3</v>
      </c>
      <c r="Q4303" s="39">
        <v>20</v>
      </c>
      <c r="R4303" s="322">
        <f>Q4303*J4303</f>
        <v>20</v>
      </c>
      <c r="S4303" s="7">
        <v>0</v>
      </c>
      <c r="T4303" s="7">
        <f>S4303*J4303</f>
        <v>0</v>
      </c>
      <c r="U4303" s="21"/>
      <c r="V4303" s="260">
        <v>120</v>
      </c>
      <c r="W4303" s="1136">
        <f t="shared" ref="W4303:W4314" si="359">(((K4303*V4303)-S4303)/(K4303*V4303))</f>
        <v>1</v>
      </c>
    </row>
    <row r="4304" spans="2:23" s="191" customFormat="1" ht="18" customHeight="1">
      <c r="B4304" s="190"/>
      <c r="C4304" s="966" t="s">
        <v>5279</v>
      </c>
      <c r="D4304" s="180" t="s">
        <v>3112</v>
      </c>
      <c r="E4304" s="217"/>
      <c r="F4304" s="182"/>
      <c r="G4304" s="182" t="s">
        <v>250</v>
      </c>
      <c r="H4304" s="184" t="s">
        <v>251</v>
      </c>
      <c r="I4304" s="185"/>
      <c r="J4304" s="183"/>
      <c r="K4304" s="192">
        <v>0</v>
      </c>
      <c r="L4304" s="192">
        <v>0</v>
      </c>
      <c r="M4304" s="187"/>
      <c r="N4304" s="1399">
        <v>45692</v>
      </c>
      <c r="O4304" s="186">
        <v>6821</v>
      </c>
      <c r="P4304" s="179"/>
      <c r="Q4304" s="334">
        <v>0</v>
      </c>
      <c r="R4304" s="334">
        <v>0</v>
      </c>
      <c r="S4304" s="197">
        <v>0</v>
      </c>
      <c r="T4304" s="197">
        <v>0</v>
      </c>
      <c r="U4304" s="335"/>
      <c r="V4304" s="260">
        <v>120</v>
      </c>
      <c r="W4304" s="1136" t="e">
        <f t="shared" si="359"/>
        <v>#DIV/0!</v>
      </c>
    </row>
    <row r="4305" spans="1:23" customFormat="1" ht="18" customHeight="1">
      <c r="A4305" s="1"/>
      <c r="B4305" s="26"/>
      <c r="C4305" s="6" t="s">
        <v>5280</v>
      </c>
      <c r="D4305" s="14" t="s">
        <v>3202</v>
      </c>
      <c r="E4305" s="19" t="s">
        <v>59</v>
      </c>
      <c r="F4305" s="107"/>
      <c r="G4305" s="22"/>
      <c r="H4305" s="108"/>
      <c r="I4305" s="109"/>
      <c r="J4305" s="108"/>
      <c r="K4305" s="110" t="s">
        <v>5</v>
      </c>
      <c r="L4305" s="33"/>
      <c r="M4305" s="33"/>
      <c r="N4305" s="33">
        <v>45700</v>
      </c>
      <c r="O4305" s="32">
        <v>6829</v>
      </c>
      <c r="P4305" s="14"/>
      <c r="Q4305" s="254"/>
      <c r="R4305" s="1"/>
      <c r="S4305" s="261"/>
      <c r="T4305" s="92"/>
      <c r="U4305" s="264"/>
      <c r="V4305" s="260">
        <v>120</v>
      </c>
      <c r="W4305" s="1136" t="e">
        <f t="shared" si="359"/>
        <v>#VALUE!</v>
      </c>
    </row>
    <row r="4306" spans="1:23" ht="18" customHeight="1">
      <c r="B4306" s="12" t="s">
        <v>302</v>
      </c>
      <c r="C4306" s="6" t="s">
        <v>5280</v>
      </c>
      <c r="D4306" s="14" t="s">
        <v>3202</v>
      </c>
      <c r="E4306" s="374" t="s">
        <v>5291</v>
      </c>
      <c r="F4306" s="107">
        <v>140</v>
      </c>
      <c r="G4306" s="396" t="s">
        <v>2367</v>
      </c>
      <c r="H4306" s="60">
        <v>58</v>
      </c>
      <c r="I4306" s="61">
        <v>2</v>
      </c>
      <c r="J4306" s="60">
        <f t="shared" ref="J4306:J4312" si="360">H4306*I4306</f>
        <v>116</v>
      </c>
      <c r="K4306" s="39">
        <v>3.89</v>
      </c>
      <c r="L4306" s="39">
        <f t="shared" ref="L4306:L4312" si="361">K4306*J4306</f>
        <v>451.24</v>
      </c>
      <c r="M4306" s="117" t="s">
        <v>323</v>
      </c>
      <c r="N4306" s="33">
        <v>45700</v>
      </c>
      <c r="O4306" s="32">
        <v>6829</v>
      </c>
      <c r="P4306" s="391">
        <f t="shared" ref="P4306:P4312" si="362">ROUNDUP(S4306/V4306/VLOOKUP(B4306,$C$2:$F$6,3,FALSE),2)</f>
        <v>2.94</v>
      </c>
      <c r="Q4306" s="254">
        <v>2.94</v>
      </c>
      <c r="R4306" s="323">
        <f t="shared" ref="R4306:R4312" si="363">Q4306*J4306</f>
        <v>341.04</v>
      </c>
      <c r="S4306" s="273">
        <v>310</v>
      </c>
      <c r="T4306" s="287">
        <f t="shared" ref="T4306:T4312" si="364">S4306*J4306</f>
        <v>35960</v>
      </c>
      <c r="U4306" s="264"/>
      <c r="V4306" s="260">
        <v>120</v>
      </c>
      <c r="W4306" s="1136">
        <f t="shared" si="359"/>
        <v>0.33590402742073694</v>
      </c>
    </row>
    <row r="4307" spans="1:23" ht="18" customHeight="1">
      <c r="B4307" s="12" t="s">
        <v>302</v>
      </c>
      <c r="C4307" s="6" t="s">
        <v>5280</v>
      </c>
      <c r="D4307" s="14" t="s">
        <v>3202</v>
      </c>
      <c r="E4307" s="374" t="s">
        <v>5412</v>
      </c>
      <c r="F4307" s="107">
        <v>152</v>
      </c>
      <c r="G4307" s="396" t="s">
        <v>2367</v>
      </c>
      <c r="H4307" s="60">
        <v>58</v>
      </c>
      <c r="I4307" s="61">
        <v>15</v>
      </c>
      <c r="J4307" s="60">
        <f t="shared" si="360"/>
        <v>870</v>
      </c>
      <c r="K4307" s="39">
        <v>3.34</v>
      </c>
      <c r="L4307" s="39">
        <f t="shared" si="361"/>
        <v>2905.7999999999997</v>
      </c>
      <c r="M4307" s="117" t="s">
        <v>323</v>
      </c>
      <c r="N4307" s="33">
        <v>45737</v>
      </c>
      <c r="O4307" s="32">
        <v>6950</v>
      </c>
      <c r="P4307" s="391">
        <f t="shared" si="362"/>
        <v>2.5099999999999998</v>
      </c>
      <c r="Q4307" s="254">
        <v>2.66</v>
      </c>
      <c r="R4307" s="323">
        <f t="shared" si="363"/>
        <v>2314.2000000000003</v>
      </c>
      <c r="S4307" s="273">
        <v>265</v>
      </c>
      <c r="T4307" s="287">
        <f t="shared" si="364"/>
        <v>230550</v>
      </c>
      <c r="U4307" s="264"/>
      <c r="V4307" s="260">
        <v>120</v>
      </c>
      <c r="W4307" s="1136">
        <f t="shared" ref="W4307:W4312" si="365">(((K4307*V4307)-S4307)/(K4307*V4307))</f>
        <v>0.33882235528942106</v>
      </c>
    </row>
    <row r="4308" spans="1:23" ht="18" customHeight="1">
      <c r="B4308" s="12" t="s">
        <v>302</v>
      </c>
      <c r="C4308" s="6" t="s">
        <v>5280</v>
      </c>
      <c r="D4308" s="14" t="s">
        <v>3202</v>
      </c>
      <c r="E4308" s="374" t="s">
        <v>5412</v>
      </c>
      <c r="F4308" s="107">
        <v>152</v>
      </c>
      <c r="G4308" s="396" t="s">
        <v>2367</v>
      </c>
      <c r="H4308" s="60">
        <v>58</v>
      </c>
      <c r="I4308" s="61">
        <v>8</v>
      </c>
      <c r="J4308" s="60">
        <f t="shared" si="360"/>
        <v>464</v>
      </c>
      <c r="K4308" s="39">
        <v>3.34</v>
      </c>
      <c r="L4308" s="39">
        <f t="shared" si="361"/>
        <v>1549.76</v>
      </c>
      <c r="M4308" s="117" t="s">
        <v>323</v>
      </c>
      <c r="N4308" s="33">
        <v>45737</v>
      </c>
      <c r="O4308" s="32">
        <v>6950</v>
      </c>
      <c r="P4308" s="391">
        <f t="shared" si="362"/>
        <v>2.5099999999999998</v>
      </c>
      <c r="Q4308" s="254">
        <v>2.66</v>
      </c>
      <c r="R4308" s="323">
        <f t="shared" si="363"/>
        <v>1234.24</v>
      </c>
      <c r="S4308" s="273">
        <v>265</v>
      </c>
      <c r="T4308" s="287">
        <f t="shared" si="364"/>
        <v>122960</v>
      </c>
      <c r="U4308" s="264"/>
      <c r="V4308" s="260">
        <v>120</v>
      </c>
      <c r="W4308" s="1136">
        <f t="shared" si="365"/>
        <v>0.33882235528942106</v>
      </c>
    </row>
    <row r="4309" spans="1:23" ht="18" customHeight="1">
      <c r="B4309" s="12" t="s">
        <v>302</v>
      </c>
      <c r="C4309" s="6" t="s">
        <v>5280</v>
      </c>
      <c r="D4309" s="14" t="s">
        <v>3202</v>
      </c>
      <c r="E4309" s="374" t="s">
        <v>5412</v>
      </c>
      <c r="F4309" s="107">
        <v>152</v>
      </c>
      <c r="G4309" s="396" t="s">
        <v>2367</v>
      </c>
      <c r="H4309" s="60">
        <v>55</v>
      </c>
      <c r="I4309" s="61">
        <v>3</v>
      </c>
      <c r="J4309" s="60">
        <f t="shared" si="360"/>
        <v>165</v>
      </c>
      <c r="K4309" s="39">
        <v>3.34</v>
      </c>
      <c r="L4309" s="39">
        <f t="shared" si="361"/>
        <v>551.1</v>
      </c>
      <c r="M4309" s="117" t="s">
        <v>323</v>
      </c>
      <c r="N4309" s="33">
        <v>45737</v>
      </c>
      <c r="O4309" s="32">
        <v>6950</v>
      </c>
      <c r="P4309" s="391">
        <f t="shared" si="362"/>
        <v>2.5099999999999998</v>
      </c>
      <c r="Q4309" s="254">
        <v>2.66</v>
      </c>
      <c r="R4309" s="323">
        <f t="shared" si="363"/>
        <v>438.90000000000003</v>
      </c>
      <c r="S4309" s="273">
        <v>265</v>
      </c>
      <c r="T4309" s="287">
        <f t="shared" si="364"/>
        <v>43725</v>
      </c>
      <c r="U4309" s="264"/>
      <c r="V4309" s="260">
        <v>120</v>
      </c>
      <c r="W4309" s="1136">
        <f t="shared" si="365"/>
        <v>0.33882235528942106</v>
      </c>
    </row>
    <row r="4310" spans="1:23" ht="18" customHeight="1">
      <c r="B4310" s="12" t="s">
        <v>302</v>
      </c>
      <c r="C4310" s="6" t="s">
        <v>5280</v>
      </c>
      <c r="D4310" s="14" t="s">
        <v>3202</v>
      </c>
      <c r="E4310" s="374" t="s">
        <v>5412</v>
      </c>
      <c r="F4310" s="107">
        <v>152</v>
      </c>
      <c r="G4310" s="396" t="s">
        <v>2367</v>
      </c>
      <c r="H4310" s="60">
        <v>54</v>
      </c>
      <c r="I4310" s="61">
        <v>2</v>
      </c>
      <c r="J4310" s="60">
        <f t="shared" si="360"/>
        <v>108</v>
      </c>
      <c r="K4310" s="39">
        <v>3.34</v>
      </c>
      <c r="L4310" s="39">
        <f t="shared" si="361"/>
        <v>360.71999999999997</v>
      </c>
      <c r="M4310" s="117" t="s">
        <v>323</v>
      </c>
      <c r="N4310" s="33">
        <v>45737</v>
      </c>
      <c r="O4310" s="32">
        <v>6950</v>
      </c>
      <c r="P4310" s="391">
        <f t="shared" si="362"/>
        <v>2.5099999999999998</v>
      </c>
      <c r="Q4310" s="254">
        <v>2.66</v>
      </c>
      <c r="R4310" s="323">
        <f t="shared" si="363"/>
        <v>287.28000000000003</v>
      </c>
      <c r="S4310" s="273">
        <v>265</v>
      </c>
      <c r="T4310" s="287">
        <f t="shared" si="364"/>
        <v>28620</v>
      </c>
      <c r="U4310" s="264"/>
      <c r="V4310" s="260">
        <v>120</v>
      </c>
      <c r="W4310" s="1136">
        <f t="shared" si="365"/>
        <v>0.33882235528942106</v>
      </c>
    </row>
    <row r="4311" spans="1:23" ht="18" customHeight="1">
      <c r="B4311" s="12" t="s">
        <v>302</v>
      </c>
      <c r="C4311" s="6" t="s">
        <v>5280</v>
      </c>
      <c r="D4311" s="14" t="s">
        <v>3202</v>
      </c>
      <c r="E4311" s="374" t="s">
        <v>5412</v>
      </c>
      <c r="F4311" s="107">
        <v>152</v>
      </c>
      <c r="G4311" s="396" t="s">
        <v>2367</v>
      </c>
      <c r="H4311" s="60">
        <v>53</v>
      </c>
      <c r="I4311" s="61">
        <v>1</v>
      </c>
      <c r="J4311" s="60">
        <f t="shared" si="360"/>
        <v>53</v>
      </c>
      <c r="K4311" s="39">
        <v>3.34</v>
      </c>
      <c r="L4311" s="39">
        <f t="shared" si="361"/>
        <v>177.01999999999998</v>
      </c>
      <c r="M4311" s="117" t="s">
        <v>323</v>
      </c>
      <c r="N4311" s="33">
        <v>45737</v>
      </c>
      <c r="O4311" s="32">
        <v>6950</v>
      </c>
      <c r="P4311" s="391">
        <f t="shared" si="362"/>
        <v>2.5099999999999998</v>
      </c>
      <c r="Q4311" s="254">
        <v>2.66</v>
      </c>
      <c r="R4311" s="323">
        <f t="shared" si="363"/>
        <v>140.98000000000002</v>
      </c>
      <c r="S4311" s="273">
        <v>265</v>
      </c>
      <c r="T4311" s="287">
        <f t="shared" si="364"/>
        <v>14045</v>
      </c>
      <c r="U4311" s="264"/>
      <c r="V4311" s="260">
        <v>120</v>
      </c>
      <c r="W4311" s="1136">
        <f t="shared" si="365"/>
        <v>0.33882235528942106</v>
      </c>
    </row>
    <row r="4312" spans="1:23" ht="18" customHeight="1">
      <c r="B4312" s="12" t="s">
        <v>302</v>
      </c>
      <c r="C4312" s="6" t="s">
        <v>5280</v>
      </c>
      <c r="D4312" s="14" t="s">
        <v>3202</v>
      </c>
      <c r="E4312" s="374" t="s">
        <v>5412</v>
      </c>
      <c r="F4312" s="107">
        <v>152</v>
      </c>
      <c r="G4312" s="396" t="s">
        <v>2367</v>
      </c>
      <c r="H4312" s="60">
        <v>52</v>
      </c>
      <c r="I4312" s="61">
        <v>1</v>
      </c>
      <c r="J4312" s="60">
        <f t="shared" si="360"/>
        <v>52</v>
      </c>
      <c r="K4312" s="39">
        <v>3.34</v>
      </c>
      <c r="L4312" s="39">
        <f t="shared" si="361"/>
        <v>173.68</v>
      </c>
      <c r="M4312" s="117" t="s">
        <v>323</v>
      </c>
      <c r="N4312" s="33">
        <v>45737</v>
      </c>
      <c r="O4312" s="32">
        <v>6950</v>
      </c>
      <c r="P4312" s="391">
        <f t="shared" si="362"/>
        <v>2.5099999999999998</v>
      </c>
      <c r="Q4312" s="254">
        <v>2.66</v>
      </c>
      <c r="R4312" s="323">
        <f t="shared" si="363"/>
        <v>138.32</v>
      </c>
      <c r="S4312" s="273">
        <v>265</v>
      </c>
      <c r="T4312" s="287">
        <f t="shared" si="364"/>
        <v>13780</v>
      </c>
      <c r="U4312" s="264"/>
      <c r="V4312" s="260">
        <v>120</v>
      </c>
      <c r="W4312" s="1136">
        <f t="shared" si="365"/>
        <v>0.33882235528942106</v>
      </c>
    </row>
    <row r="4313" spans="1:23" customFormat="1" ht="18" customHeight="1">
      <c r="A4313" s="1"/>
      <c r="B4313" s="26"/>
      <c r="C4313" s="6" t="s">
        <v>5280</v>
      </c>
      <c r="D4313" s="14" t="s">
        <v>3202</v>
      </c>
      <c r="E4313" s="19" t="s">
        <v>59</v>
      </c>
      <c r="F4313" s="107"/>
      <c r="G4313" s="22"/>
      <c r="H4313" s="108"/>
      <c r="I4313" s="109"/>
      <c r="J4313" s="108"/>
      <c r="K4313" s="110" t="s">
        <v>5</v>
      </c>
      <c r="L4313" s="33"/>
      <c r="M4313" s="33"/>
      <c r="N4313" s="33">
        <v>45700</v>
      </c>
      <c r="O4313" s="32">
        <v>6829</v>
      </c>
      <c r="P4313" s="14"/>
      <c r="Q4313" s="254"/>
      <c r="R4313" s="1"/>
      <c r="S4313" s="261"/>
      <c r="T4313" s="92"/>
      <c r="U4313" s="264"/>
      <c r="V4313" s="260">
        <v>120</v>
      </c>
      <c r="W4313" s="1136" t="e">
        <f t="shared" si="359"/>
        <v>#VALUE!</v>
      </c>
    </row>
    <row r="4314" spans="1:23" customFormat="1" ht="18" customHeight="1">
      <c r="A4314" s="1"/>
      <c r="B4314" s="12" t="s">
        <v>302</v>
      </c>
      <c r="C4314" s="6" t="s">
        <v>5280</v>
      </c>
      <c r="D4314" s="14" t="s">
        <v>3202</v>
      </c>
      <c r="E4314" s="374" t="s">
        <v>5292</v>
      </c>
      <c r="F4314" s="107">
        <v>148</v>
      </c>
      <c r="G4314" s="22" t="s">
        <v>212</v>
      </c>
      <c r="H4314" s="60">
        <v>56</v>
      </c>
      <c r="I4314" s="61">
        <v>2</v>
      </c>
      <c r="J4314" s="60">
        <f t="shared" ref="J4314:J4322" si="366">H4314*I4314</f>
        <v>112</v>
      </c>
      <c r="K4314" s="39">
        <v>6.67</v>
      </c>
      <c r="L4314" s="39">
        <f t="shared" ref="L4314:L4323" si="367">K4314*J4314</f>
        <v>747.04</v>
      </c>
      <c r="M4314" s="117" t="s">
        <v>323</v>
      </c>
      <c r="N4314" s="33">
        <v>45700</v>
      </c>
      <c r="O4314" s="32">
        <v>6829</v>
      </c>
      <c r="P4314" s="391">
        <f t="shared" ref="P4314:P4322" si="368">ROUNDUP(S4314/V4314/VLOOKUP(B4314,$C$2:$F$6,3,FALSE),2)</f>
        <v>6.0699999999999994</v>
      </c>
      <c r="Q4314" s="254">
        <v>6.07</v>
      </c>
      <c r="R4314" s="323">
        <f t="shared" ref="R4314:R4323" si="369">Q4314*J4314</f>
        <v>679.84</v>
      </c>
      <c r="S4314" s="273">
        <v>640</v>
      </c>
      <c r="T4314" s="287">
        <f t="shared" ref="T4314:T4322" si="370">S4314*J4314</f>
        <v>71680</v>
      </c>
      <c r="U4314" s="264"/>
      <c r="V4314" s="260">
        <v>120</v>
      </c>
      <c r="W4314" s="1136">
        <f t="shared" si="359"/>
        <v>0.20039980009995001</v>
      </c>
    </row>
    <row r="4315" spans="1:23" customFormat="1" ht="18" customHeight="1">
      <c r="A4315" s="1"/>
      <c r="B4315" s="12" t="s">
        <v>5295</v>
      </c>
      <c r="C4315" s="6" t="s">
        <v>5280</v>
      </c>
      <c r="D4315" s="14" t="s">
        <v>3202</v>
      </c>
      <c r="E4315" s="374" t="s">
        <v>5292</v>
      </c>
      <c r="F4315" s="107">
        <v>148</v>
      </c>
      <c r="G4315" s="22" t="s">
        <v>212</v>
      </c>
      <c r="H4315" s="60">
        <v>57</v>
      </c>
      <c r="I4315" s="61">
        <v>2</v>
      </c>
      <c r="J4315" s="60">
        <f t="shared" si="366"/>
        <v>114</v>
      </c>
      <c r="K4315" s="39">
        <v>6.67</v>
      </c>
      <c r="L4315" s="39">
        <f t="shared" si="367"/>
        <v>760.38</v>
      </c>
      <c r="M4315" s="117" t="s">
        <v>323</v>
      </c>
      <c r="N4315" s="33">
        <v>45700</v>
      </c>
      <c r="O4315" s="32">
        <v>6829</v>
      </c>
      <c r="P4315" s="391">
        <f t="shared" si="368"/>
        <v>6.0699999999999994</v>
      </c>
      <c r="Q4315" s="254">
        <v>6.07</v>
      </c>
      <c r="R4315" s="323">
        <f t="shared" si="369"/>
        <v>691.98</v>
      </c>
      <c r="S4315" s="273">
        <v>640</v>
      </c>
      <c r="T4315" s="287">
        <f t="shared" si="370"/>
        <v>72960</v>
      </c>
      <c r="U4315" s="264"/>
      <c r="V4315" s="260">
        <v>120</v>
      </c>
      <c r="W4315" s="1136">
        <f t="shared" ref="W4315:W4324" si="371">(((K4315*V4315)-S4315)/(K4315*V4315))</f>
        <v>0.20039980009995001</v>
      </c>
    </row>
    <row r="4316" spans="1:23" customFormat="1" ht="18" customHeight="1">
      <c r="A4316" s="1"/>
      <c r="B4316" s="12" t="s">
        <v>5295</v>
      </c>
      <c r="C4316" s="6" t="s">
        <v>5280</v>
      </c>
      <c r="D4316" s="14" t="s">
        <v>3202</v>
      </c>
      <c r="E4316" s="374" t="s">
        <v>5292</v>
      </c>
      <c r="F4316" s="107">
        <v>148</v>
      </c>
      <c r="G4316" s="22" t="s">
        <v>212</v>
      </c>
      <c r="H4316" s="60">
        <v>59</v>
      </c>
      <c r="I4316" s="61">
        <v>1</v>
      </c>
      <c r="J4316" s="60">
        <f t="shared" si="366"/>
        <v>59</v>
      </c>
      <c r="K4316" s="39">
        <v>6.67</v>
      </c>
      <c r="L4316" s="39">
        <f t="shared" si="367"/>
        <v>393.53</v>
      </c>
      <c r="M4316" s="117" t="s">
        <v>323</v>
      </c>
      <c r="N4316" s="33">
        <v>45700</v>
      </c>
      <c r="O4316" s="32">
        <v>6829</v>
      </c>
      <c r="P4316" s="391">
        <f t="shared" si="368"/>
        <v>6.0699999999999994</v>
      </c>
      <c r="Q4316" s="254">
        <v>6.07</v>
      </c>
      <c r="R4316" s="323">
        <f t="shared" si="369"/>
        <v>358.13</v>
      </c>
      <c r="S4316" s="273">
        <v>640</v>
      </c>
      <c r="T4316" s="287">
        <f t="shared" si="370"/>
        <v>37760</v>
      </c>
      <c r="U4316" s="264"/>
      <c r="V4316" s="260">
        <v>120</v>
      </c>
      <c r="W4316" s="1136">
        <f t="shared" si="371"/>
        <v>0.20039980009995001</v>
      </c>
    </row>
    <row r="4317" spans="1:23" customFormat="1" ht="18" customHeight="1">
      <c r="A4317" s="1"/>
      <c r="B4317" s="12" t="s">
        <v>302</v>
      </c>
      <c r="C4317" s="6" t="s">
        <v>5280</v>
      </c>
      <c r="D4317" s="14" t="s">
        <v>3202</v>
      </c>
      <c r="E4317" s="19" t="s">
        <v>5293</v>
      </c>
      <c r="F4317" s="107">
        <v>148</v>
      </c>
      <c r="G4317" s="22" t="s">
        <v>212</v>
      </c>
      <c r="H4317" s="60">
        <v>58</v>
      </c>
      <c r="I4317" s="61">
        <v>24</v>
      </c>
      <c r="J4317" s="60">
        <f t="shared" si="366"/>
        <v>1392</v>
      </c>
      <c r="K4317" s="39">
        <v>6.31</v>
      </c>
      <c r="L4317" s="39">
        <f t="shared" si="367"/>
        <v>8783.5199999999986</v>
      </c>
      <c r="M4317" s="117" t="s">
        <v>323</v>
      </c>
      <c r="N4317" s="33">
        <v>45800</v>
      </c>
      <c r="O4317" s="32">
        <v>7097</v>
      </c>
      <c r="P4317" s="391">
        <f t="shared" si="368"/>
        <v>5.59</v>
      </c>
      <c r="Q4317" s="254">
        <v>5.73</v>
      </c>
      <c r="R4317" s="323">
        <f t="shared" si="369"/>
        <v>7976.1600000000008</v>
      </c>
      <c r="S4317" s="273">
        <v>590</v>
      </c>
      <c r="T4317" s="287">
        <f t="shared" si="370"/>
        <v>821280</v>
      </c>
      <c r="U4317" s="264"/>
      <c r="V4317" s="260">
        <v>120</v>
      </c>
      <c r="W4317" s="1136">
        <f t="shared" si="371"/>
        <v>0.22081352350765973</v>
      </c>
    </row>
    <row r="4318" spans="1:23" customFormat="1" ht="18" customHeight="1">
      <c r="A4318" s="1"/>
      <c r="B4318" s="12" t="s">
        <v>302</v>
      </c>
      <c r="C4318" s="6" t="s">
        <v>5280</v>
      </c>
      <c r="D4318" s="14" t="s">
        <v>3202</v>
      </c>
      <c r="E4318" s="19" t="s">
        <v>5293</v>
      </c>
      <c r="F4318" s="107">
        <v>148</v>
      </c>
      <c r="G4318" s="22" t="s">
        <v>212</v>
      </c>
      <c r="H4318" s="60">
        <v>59</v>
      </c>
      <c r="I4318" s="61">
        <v>2</v>
      </c>
      <c r="J4318" s="60">
        <f t="shared" si="366"/>
        <v>118</v>
      </c>
      <c r="K4318" s="39">
        <v>6.31</v>
      </c>
      <c r="L4318" s="39">
        <f t="shared" si="367"/>
        <v>744.57999999999993</v>
      </c>
      <c r="M4318" s="117" t="s">
        <v>323</v>
      </c>
      <c r="N4318" s="33">
        <v>45800</v>
      </c>
      <c r="O4318" s="32">
        <v>7097</v>
      </c>
      <c r="P4318" s="391">
        <f t="shared" si="368"/>
        <v>5.59</v>
      </c>
      <c r="Q4318" s="254">
        <v>5.73</v>
      </c>
      <c r="R4318" s="323">
        <f t="shared" si="369"/>
        <v>676.1400000000001</v>
      </c>
      <c r="S4318" s="273">
        <v>590</v>
      </c>
      <c r="T4318" s="287">
        <f t="shared" si="370"/>
        <v>69620</v>
      </c>
      <c r="U4318" s="264"/>
      <c r="V4318" s="260">
        <v>120</v>
      </c>
      <c r="W4318" s="1136">
        <f t="shared" si="371"/>
        <v>0.22081352350765973</v>
      </c>
    </row>
    <row r="4319" spans="1:23" customFormat="1" ht="18" customHeight="1">
      <c r="A4319" s="1"/>
      <c r="B4319" s="12" t="s">
        <v>302</v>
      </c>
      <c r="C4319" s="6" t="s">
        <v>5280</v>
      </c>
      <c r="D4319" s="14" t="s">
        <v>3202</v>
      </c>
      <c r="E4319" s="19" t="s">
        <v>5293</v>
      </c>
      <c r="F4319" s="107">
        <v>148</v>
      </c>
      <c r="G4319" s="22" t="s">
        <v>212</v>
      </c>
      <c r="H4319" s="60">
        <v>57</v>
      </c>
      <c r="I4319" s="61">
        <v>1</v>
      </c>
      <c r="J4319" s="60">
        <f t="shared" si="366"/>
        <v>57</v>
      </c>
      <c r="K4319" s="39">
        <v>6.31</v>
      </c>
      <c r="L4319" s="39">
        <f t="shared" si="367"/>
        <v>359.66999999999996</v>
      </c>
      <c r="M4319" s="117" t="s">
        <v>323</v>
      </c>
      <c r="N4319" s="33">
        <v>45800</v>
      </c>
      <c r="O4319" s="32">
        <v>7097</v>
      </c>
      <c r="P4319" s="391">
        <f t="shared" si="368"/>
        <v>5.59</v>
      </c>
      <c r="Q4319" s="254">
        <v>5.73</v>
      </c>
      <c r="R4319" s="323">
        <f t="shared" si="369"/>
        <v>326.61</v>
      </c>
      <c r="S4319" s="273">
        <v>590</v>
      </c>
      <c r="T4319" s="287">
        <f t="shared" si="370"/>
        <v>33630</v>
      </c>
      <c r="U4319" s="264"/>
      <c r="V4319" s="260">
        <v>120</v>
      </c>
      <c r="W4319" s="1136">
        <f t="shared" si="371"/>
        <v>0.22081352350765973</v>
      </c>
    </row>
    <row r="4320" spans="1:23" customFormat="1" ht="18" customHeight="1">
      <c r="A4320" s="1"/>
      <c r="B4320" s="12" t="s">
        <v>302</v>
      </c>
      <c r="C4320" s="6" t="s">
        <v>5280</v>
      </c>
      <c r="D4320" s="14" t="s">
        <v>3202</v>
      </c>
      <c r="E4320" s="19" t="s">
        <v>5293</v>
      </c>
      <c r="F4320" s="107">
        <v>148</v>
      </c>
      <c r="G4320" s="22" t="s">
        <v>212</v>
      </c>
      <c r="H4320" s="60">
        <v>60</v>
      </c>
      <c r="I4320" s="61">
        <v>1</v>
      </c>
      <c r="J4320" s="60">
        <f t="shared" si="366"/>
        <v>60</v>
      </c>
      <c r="K4320" s="39">
        <v>6.31</v>
      </c>
      <c r="L4320" s="39">
        <f t="shared" si="367"/>
        <v>378.59999999999997</v>
      </c>
      <c r="M4320" s="117" t="s">
        <v>323</v>
      </c>
      <c r="N4320" s="33">
        <v>45800</v>
      </c>
      <c r="O4320" s="32">
        <v>7097</v>
      </c>
      <c r="P4320" s="391">
        <f t="shared" si="368"/>
        <v>5.59</v>
      </c>
      <c r="Q4320" s="254">
        <v>5.73</v>
      </c>
      <c r="R4320" s="323">
        <f t="shared" si="369"/>
        <v>343.8</v>
      </c>
      <c r="S4320" s="273">
        <v>590</v>
      </c>
      <c r="T4320" s="287">
        <f t="shared" si="370"/>
        <v>35400</v>
      </c>
      <c r="U4320" s="264"/>
      <c r="V4320" s="260">
        <v>120</v>
      </c>
      <c r="W4320" s="1136">
        <f t="shared" si="371"/>
        <v>0.22081352350765973</v>
      </c>
    </row>
    <row r="4321" spans="1:23" customFormat="1" ht="18" customHeight="1">
      <c r="A4321" s="1"/>
      <c r="B4321" s="12" t="s">
        <v>302</v>
      </c>
      <c r="C4321" s="6" t="s">
        <v>5280</v>
      </c>
      <c r="D4321" s="14" t="s">
        <v>3202</v>
      </c>
      <c r="E4321" s="19" t="s">
        <v>5293</v>
      </c>
      <c r="F4321" s="107">
        <v>148</v>
      </c>
      <c r="G4321" s="22" t="s">
        <v>212</v>
      </c>
      <c r="H4321" s="60">
        <v>56</v>
      </c>
      <c r="I4321" s="61">
        <v>1</v>
      </c>
      <c r="J4321" s="60">
        <f t="shared" si="366"/>
        <v>56</v>
      </c>
      <c r="K4321" s="39">
        <v>6.31</v>
      </c>
      <c r="L4321" s="39">
        <f t="shared" si="367"/>
        <v>353.35999999999996</v>
      </c>
      <c r="M4321" s="117" t="s">
        <v>323</v>
      </c>
      <c r="N4321" s="33">
        <v>45800</v>
      </c>
      <c r="O4321" s="32">
        <v>7097</v>
      </c>
      <c r="P4321" s="391">
        <f t="shared" si="368"/>
        <v>5.59</v>
      </c>
      <c r="Q4321" s="254">
        <v>5.73</v>
      </c>
      <c r="R4321" s="323">
        <f t="shared" si="369"/>
        <v>320.88</v>
      </c>
      <c r="S4321" s="273">
        <v>590</v>
      </c>
      <c r="T4321" s="287">
        <f t="shared" si="370"/>
        <v>33040</v>
      </c>
      <c r="U4321" s="264"/>
      <c r="V4321" s="260">
        <v>120</v>
      </c>
      <c r="W4321" s="1136">
        <f t="shared" si="371"/>
        <v>0.22081352350765973</v>
      </c>
    </row>
    <row r="4322" spans="1:23" customFormat="1" ht="18" customHeight="1">
      <c r="A4322" s="1"/>
      <c r="B4322" s="12" t="s">
        <v>302</v>
      </c>
      <c r="C4322" s="6" t="s">
        <v>5280</v>
      </c>
      <c r="D4322" s="14" t="s">
        <v>3202</v>
      </c>
      <c r="E4322" s="19" t="s">
        <v>5293</v>
      </c>
      <c r="F4322" s="107">
        <v>148</v>
      </c>
      <c r="G4322" s="22" t="s">
        <v>212</v>
      </c>
      <c r="H4322" s="60">
        <v>54</v>
      </c>
      <c r="I4322" s="61">
        <v>1</v>
      </c>
      <c r="J4322" s="60">
        <f t="shared" si="366"/>
        <v>54</v>
      </c>
      <c r="K4322" s="39">
        <v>6.31</v>
      </c>
      <c r="L4322" s="39">
        <f t="shared" si="367"/>
        <v>340.73999999999995</v>
      </c>
      <c r="M4322" s="117" t="s">
        <v>323</v>
      </c>
      <c r="N4322" s="33">
        <v>45800</v>
      </c>
      <c r="O4322" s="32">
        <v>7097</v>
      </c>
      <c r="P4322" s="391">
        <f t="shared" si="368"/>
        <v>5.59</v>
      </c>
      <c r="Q4322" s="254">
        <v>5.73</v>
      </c>
      <c r="R4322" s="323">
        <f t="shared" si="369"/>
        <v>309.42</v>
      </c>
      <c r="S4322" s="273">
        <v>590</v>
      </c>
      <c r="T4322" s="287">
        <f t="shared" si="370"/>
        <v>31860</v>
      </c>
      <c r="U4322" s="264"/>
      <c r="V4322" s="260">
        <v>120</v>
      </c>
      <c r="W4322" s="1136">
        <f t="shared" si="371"/>
        <v>0.22081352350765973</v>
      </c>
    </row>
    <row r="4323" spans="1:23" s="7" customFormat="1" ht="18" customHeight="1">
      <c r="B4323" s="12"/>
      <c r="C4323" s="6" t="s">
        <v>5280</v>
      </c>
      <c r="D4323" s="14" t="s">
        <v>3202</v>
      </c>
      <c r="E4323" s="22"/>
      <c r="F4323" s="102"/>
      <c r="G4323" s="22" t="s">
        <v>316</v>
      </c>
      <c r="H4323" s="8"/>
      <c r="I4323" s="35"/>
      <c r="J4323" s="38">
        <v>2</v>
      </c>
      <c r="K4323" s="39">
        <v>25</v>
      </c>
      <c r="L4323" s="39">
        <f t="shared" si="367"/>
        <v>50</v>
      </c>
      <c r="M4323" s="91"/>
      <c r="N4323" s="33">
        <v>45700</v>
      </c>
      <c r="O4323" s="32">
        <v>6829</v>
      </c>
      <c r="P4323" s="6" t="s">
        <v>3</v>
      </c>
      <c r="Q4323" s="39">
        <v>25</v>
      </c>
      <c r="R4323" s="323">
        <f t="shared" si="369"/>
        <v>50</v>
      </c>
      <c r="S4323" s="1388">
        <v>2500</v>
      </c>
      <c r="T4323" s="1403">
        <v>2500</v>
      </c>
      <c r="U4323" s="21"/>
      <c r="V4323" s="260">
        <v>120</v>
      </c>
      <c r="W4323" s="1136">
        <f t="shared" si="371"/>
        <v>0.16666666666666666</v>
      </c>
    </row>
    <row r="4324" spans="1:23" s="191" customFormat="1" ht="15">
      <c r="B4324" s="190"/>
      <c r="C4324" s="179" t="s">
        <v>5280</v>
      </c>
      <c r="D4324" s="180" t="s">
        <v>3202</v>
      </c>
      <c r="E4324" s="181"/>
      <c r="F4324" s="182"/>
      <c r="G4324" s="182" t="s">
        <v>2738</v>
      </c>
      <c r="H4324" s="184" t="s">
        <v>251</v>
      </c>
      <c r="I4324" s="185"/>
      <c r="J4324" s="183"/>
      <c r="K4324" s="192">
        <v>0</v>
      </c>
      <c r="L4324" s="187"/>
      <c r="M4324" s="187"/>
      <c r="N4324" s="187">
        <v>45700</v>
      </c>
      <c r="O4324" s="186">
        <v>6829</v>
      </c>
      <c r="P4324" s="179"/>
      <c r="Q4324" s="203"/>
      <c r="R4324" s="203"/>
      <c r="S4324" s="203"/>
      <c r="T4324" s="203"/>
      <c r="U4324" s="271"/>
      <c r="V4324" s="260">
        <v>120</v>
      </c>
      <c r="W4324" s="1136" t="e">
        <f t="shared" si="371"/>
        <v>#DIV/0!</v>
      </c>
    </row>
    <row r="4325" spans="1:23" s="7" customFormat="1" ht="18" customHeight="1">
      <c r="B4325" s="12"/>
      <c r="C4325" s="965" t="s">
        <v>5294</v>
      </c>
      <c r="D4325" s="14" t="s">
        <v>1970</v>
      </c>
      <c r="E4325" s="19" t="s">
        <v>5273</v>
      </c>
      <c r="F4325" s="22"/>
      <c r="G4325" s="37"/>
      <c r="H4325" s="108"/>
      <c r="I4325" s="108"/>
      <c r="J4325" s="108"/>
      <c r="K4325" s="110" t="s">
        <v>5</v>
      </c>
      <c r="L4325" s="33"/>
      <c r="M4325" s="33"/>
      <c r="N4325" s="33">
        <v>45695</v>
      </c>
      <c r="O4325" s="32">
        <v>6828</v>
      </c>
      <c r="P4325" s="6"/>
      <c r="Q4325" s="223"/>
      <c r="S4325" s="1174"/>
      <c r="T4325" s="92"/>
      <c r="U4325" s="266"/>
      <c r="V4325" s="260">
        <v>120</v>
      </c>
    </row>
    <row r="4326" spans="1:23" s="7" customFormat="1" ht="15.95" customHeight="1">
      <c r="B4326" s="12" t="s">
        <v>302</v>
      </c>
      <c r="C4326" s="965" t="s">
        <v>5294</v>
      </c>
      <c r="D4326" s="14" t="s">
        <v>1970</v>
      </c>
      <c r="E4326" s="22" t="s">
        <v>5272</v>
      </c>
      <c r="F4326" s="107">
        <v>148</v>
      </c>
      <c r="G4326" s="37" t="s">
        <v>5274</v>
      </c>
      <c r="H4326" s="60">
        <v>50</v>
      </c>
      <c r="I4326" s="61">
        <v>1</v>
      </c>
      <c r="J4326" s="60">
        <v>51</v>
      </c>
      <c r="K4326" s="39">
        <v>12.88</v>
      </c>
      <c r="L4326" s="39">
        <f>K4326*J4326</f>
        <v>656.88</v>
      </c>
      <c r="M4326" s="117" t="s">
        <v>323</v>
      </c>
      <c r="N4326" s="33">
        <v>45695</v>
      </c>
      <c r="O4326" s="32">
        <v>6828</v>
      </c>
      <c r="P4326" s="391">
        <f>ROUNDUP(S4326/V4326/VLOOKUP(B4326,$C$2:$F$6,3,FALSE),2)</f>
        <v>9.76</v>
      </c>
      <c r="Q4326" s="254">
        <v>9.76</v>
      </c>
      <c r="R4326" s="323">
        <f>Q4326*J4326</f>
        <v>497.76</v>
      </c>
      <c r="S4326" s="257">
        <v>1030</v>
      </c>
      <c r="T4326" s="92">
        <f>S4326*J4326</f>
        <v>52530</v>
      </c>
      <c r="U4326" s="1200"/>
      <c r="V4326" s="260">
        <v>120</v>
      </c>
      <c r="W4326" s="1136">
        <f>(((K4326*V4326)-S4326)/(K4326*V4326))</f>
        <v>0.33359213250517605</v>
      </c>
    </row>
    <row r="4327" spans="1:23" s="7" customFormat="1" ht="15.95" customHeight="1">
      <c r="B4327" s="12" t="s">
        <v>302</v>
      </c>
      <c r="C4327" s="965" t="s">
        <v>5294</v>
      </c>
      <c r="D4327" s="14" t="s">
        <v>1970</v>
      </c>
      <c r="E4327" s="22" t="s">
        <v>5272</v>
      </c>
      <c r="F4327" s="107">
        <v>148</v>
      </c>
      <c r="G4327" s="37" t="s">
        <v>5274</v>
      </c>
      <c r="H4327" s="60"/>
      <c r="I4327" s="61"/>
      <c r="J4327" s="60">
        <v>14</v>
      </c>
      <c r="K4327" s="39">
        <v>14.31</v>
      </c>
      <c r="L4327" s="39">
        <f>K4327*J4327</f>
        <v>200.34</v>
      </c>
      <c r="M4327" s="117" t="s">
        <v>323</v>
      </c>
      <c r="N4327" s="33">
        <v>45695</v>
      </c>
      <c r="O4327" s="32">
        <v>6828</v>
      </c>
      <c r="P4327" s="391">
        <f>ROUNDUP(S4327/V4327/VLOOKUP(B4327,$C$2:$F$6,3,FALSE),2)</f>
        <v>9.76</v>
      </c>
      <c r="Q4327" s="254">
        <v>9.76</v>
      </c>
      <c r="R4327" s="323">
        <f>Q4327*J4327</f>
        <v>136.63999999999999</v>
      </c>
      <c r="S4327" s="257">
        <v>1030</v>
      </c>
      <c r="T4327" s="92">
        <f>S4327*J4327</f>
        <v>14420</v>
      </c>
      <c r="U4327" s="1200"/>
      <c r="V4327" s="260">
        <v>120</v>
      </c>
      <c r="W4327" s="1136">
        <f t="shared" ref="W4327:W4340" si="372">(((K4327*V4327)-S4327)/(K4327*V4327))</f>
        <v>0.40018634987188451</v>
      </c>
    </row>
    <row r="4328" spans="1:23" s="7" customFormat="1" ht="15">
      <c r="B4328" s="12"/>
      <c r="C4328" s="965" t="s">
        <v>5294</v>
      </c>
      <c r="D4328" s="14" t="s">
        <v>1970</v>
      </c>
      <c r="E4328" s="49"/>
      <c r="F4328" s="102"/>
      <c r="G4328" s="22" t="s">
        <v>4329</v>
      </c>
      <c r="H4328" s="38"/>
      <c r="I4328" s="35"/>
      <c r="J4328" s="60">
        <v>14</v>
      </c>
      <c r="K4328" s="39">
        <v>4.16</v>
      </c>
      <c r="L4328" s="39">
        <f>K4328*J4328</f>
        <v>58.24</v>
      </c>
      <c r="M4328" s="91"/>
      <c r="N4328" s="33">
        <v>45695</v>
      </c>
      <c r="O4328" s="32">
        <v>6828</v>
      </c>
      <c r="P4328" s="722"/>
      <c r="Q4328" s="322">
        <v>4.16</v>
      </c>
      <c r="R4328" s="322">
        <f>Q4328*J4328</f>
        <v>58.24</v>
      </c>
      <c r="S4328" s="7">
        <v>400</v>
      </c>
      <c r="T4328" s="7">
        <f>S4328*J4328</f>
        <v>5600</v>
      </c>
      <c r="U4328" s="21"/>
      <c r="V4328" s="260">
        <v>120</v>
      </c>
      <c r="W4328" s="1136">
        <f t="shared" si="372"/>
        <v>0.19871794871794879</v>
      </c>
    </row>
    <row r="4329" spans="1:23" s="7" customFormat="1" ht="15">
      <c r="B4329" s="12"/>
      <c r="C4329" s="965" t="s">
        <v>5294</v>
      </c>
      <c r="D4329" s="14" t="s">
        <v>1970</v>
      </c>
      <c r="E4329" s="49"/>
      <c r="F4329" s="102"/>
      <c r="G4329" s="22" t="s">
        <v>316</v>
      </c>
      <c r="H4329" s="38"/>
      <c r="I4329" s="35"/>
      <c r="J4329" s="38">
        <v>1</v>
      </c>
      <c r="K4329" s="39">
        <v>20</v>
      </c>
      <c r="L4329" s="39">
        <f>K4329*J4329</f>
        <v>20</v>
      </c>
      <c r="M4329" s="91"/>
      <c r="N4329" s="1398">
        <v>45695</v>
      </c>
      <c r="O4329" s="32">
        <v>6828</v>
      </c>
      <c r="P4329" s="722"/>
      <c r="Q4329" s="322">
        <v>20</v>
      </c>
      <c r="R4329" s="322">
        <f>Q4329*J4329</f>
        <v>20</v>
      </c>
      <c r="S4329" s="7">
        <v>0</v>
      </c>
      <c r="T4329" s="7">
        <f>S4329*J4329</f>
        <v>0</v>
      </c>
      <c r="U4329" s="21"/>
      <c r="V4329" s="260">
        <v>120</v>
      </c>
      <c r="W4329" s="1136">
        <f t="shared" si="372"/>
        <v>1</v>
      </c>
    </row>
    <row r="4330" spans="1:23" s="191" customFormat="1" ht="15">
      <c r="B4330" s="190"/>
      <c r="C4330" s="966" t="s">
        <v>5294</v>
      </c>
      <c r="D4330" s="180" t="s">
        <v>1970</v>
      </c>
      <c r="E4330" s="181"/>
      <c r="F4330" s="182"/>
      <c r="G4330" s="182" t="s">
        <v>2738</v>
      </c>
      <c r="H4330" s="184" t="s">
        <v>251</v>
      </c>
      <c r="I4330" s="185"/>
      <c r="J4330" s="183"/>
      <c r="K4330" s="192">
        <v>0</v>
      </c>
      <c r="L4330" s="187"/>
      <c r="M4330" s="187"/>
      <c r="N4330" s="1399">
        <v>45695</v>
      </c>
      <c r="O4330" s="186">
        <v>6828</v>
      </c>
      <c r="P4330" s="179"/>
      <c r="Q4330" s="203"/>
      <c r="R4330" s="203"/>
      <c r="S4330" s="203"/>
      <c r="T4330" s="203"/>
      <c r="U4330" s="271"/>
      <c r="V4330" s="260">
        <v>120</v>
      </c>
      <c r="W4330" s="1136" t="e">
        <f t="shared" si="372"/>
        <v>#DIV/0!</v>
      </c>
    </row>
    <row r="4331" spans="1:23" s="7" customFormat="1" ht="18" customHeight="1">
      <c r="B4331" s="12"/>
      <c r="C4331" s="6" t="s">
        <v>5296</v>
      </c>
      <c r="D4331" s="14" t="s">
        <v>2171</v>
      </c>
      <c r="E4331" s="19" t="s">
        <v>10</v>
      </c>
      <c r="F4331" s="107"/>
      <c r="G4331" s="1256"/>
      <c r="H4331" s="108"/>
      <c r="I4331" s="109"/>
      <c r="J4331" s="108"/>
      <c r="K4331" s="29" t="s">
        <v>5</v>
      </c>
      <c r="L4331" s="139"/>
      <c r="M4331" s="33"/>
      <c r="N4331" s="33">
        <v>45713</v>
      </c>
      <c r="O4331" s="32">
        <v>6844</v>
      </c>
      <c r="P4331" s="14"/>
      <c r="Q4331" s="322"/>
      <c r="U4331" s="14"/>
      <c r="V4331" s="260">
        <v>120</v>
      </c>
      <c r="W4331" s="1136" t="e">
        <f t="shared" si="372"/>
        <v>#VALUE!</v>
      </c>
    </row>
    <row r="4332" spans="1:23" s="7" customFormat="1" ht="18" customHeight="1">
      <c r="B4332" s="12" t="s">
        <v>302</v>
      </c>
      <c r="C4332" s="6" t="s">
        <v>5296</v>
      </c>
      <c r="D4332" s="14" t="s">
        <v>2171</v>
      </c>
      <c r="E4332" s="22" t="s">
        <v>207</v>
      </c>
      <c r="F4332" s="107">
        <v>152</v>
      </c>
      <c r="G4332" s="22" t="s">
        <v>5297</v>
      </c>
      <c r="H4332" s="1255">
        <v>50</v>
      </c>
      <c r="I4332" s="109">
        <v>1</v>
      </c>
      <c r="J4332" s="8">
        <f t="shared" ref="J4332:J4338" si="373">I4332*H4332</f>
        <v>50</v>
      </c>
      <c r="K4332" s="39">
        <v>4.7300000000000004</v>
      </c>
      <c r="L4332" s="39">
        <f t="shared" ref="L4332:L4339" si="374">K4332*J4332</f>
        <v>236.50000000000003</v>
      </c>
      <c r="M4332" s="403" t="s">
        <v>322</v>
      </c>
      <c r="N4332" s="33">
        <v>45713</v>
      </c>
      <c r="O4332" s="32">
        <v>6844</v>
      </c>
      <c r="P4332" s="391">
        <f t="shared" ref="P4332:P4338" si="375">ROUNDUP(S4332/V4332/VLOOKUP(B4332,$C$2:$F$6,3,FALSE),2)</f>
        <v>3.4099999999999997</v>
      </c>
      <c r="Q4332" s="322">
        <v>3.41</v>
      </c>
      <c r="R4332" s="322">
        <f t="shared" ref="R4332:R4339" si="376">Q4332*J4332</f>
        <v>170.5</v>
      </c>
      <c r="S4332" s="7">
        <v>360</v>
      </c>
      <c r="T4332" s="7">
        <f t="shared" ref="T4332:T4338" si="377">S4332*J4332</f>
        <v>18000</v>
      </c>
      <c r="U4332" s="21"/>
      <c r="V4332" s="260">
        <v>120</v>
      </c>
      <c r="W4332" s="1136">
        <f t="shared" si="372"/>
        <v>0.36575052854122625</v>
      </c>
    </row>
    <row r="4333" spans="1:23" s="7" customFormat="1" ht="18" customHeight="1">
      <c r="B4333" s="12" t="s">
        <v>302</v>
      </c>
      <c r="C4333" s="6" t="s">
        <v>5296</v>
      </c>
      <c r="D4333" s="14" t="s">
        <v>2171</v>
      </c>
      <c r="E4333" s="22" t="s">
        <v>207</v>
      </c>
      <c r="F4333" s="107">
        <v>152</v>
      </c>
      <c r="G4333" s="22" t="s">
        <v>5298</v>
      </c>
      <c r="H4333" s="1255">
        <v>50</v>
      </c>
      <c r="I4333" s="109">
        <v>2</v>
      </c>
      <c r="J4333" s="8">
        <f t="shared" si="373"/>
        <v>100</v>
      </c>
      <c r="K4333" s="39">
        <v>4.7300000000000004</v>
      </c>
      <c r="L4333" s="39">
        <f t="shared" si="374"/>
        <v>473.00000000000006</v>
      </c>
      <c r="M4333" s="403" t="s">
        <v>322</v>
      </c>
      <c r="N4333" s="33">
        <v>45713</v>
      </c>
      <c r="O4333" s="32">
        <v>6844</v>
      </c>
      <c r="P4333" s="391">
        <f t="shared" si="375"/>
        <v>3.4099999999999997</v>
      </c>
      <c r="Q4333" s="322">
        <v>3.41</v>
      </c>
      <c r="R4333" s="322">
        <f t="shared" si="376"/>
        <v>341</v>
      </c>
      <c r="S4333" s="7">
        <v>360</v>
      </c>
      <c r="T4333" s="7">
        <f t="shared" si="377"/>
        <v>36000</v>
      </c>
      <c r="U4333" s="21"/>
      <c r="V4333" s="260">
        <v>120</v>
      </c>
      <c r="W4333" s="1136">
        <f>(((K4333*V4333)-S4333)/(K4333*V4333))</f>
        <v>0.36575052854122625</v>
      </c>
    </row>
    <row r="4334" spans="1:23" s="7" customFormat="1" ht="18" customHeight="1">
      <c r="B4334" s="12" t="s">
        <v>302</v>
      </c>
      <c r="C4334" s="6" t="s">
        <v>5296</v>
      </c>
      <c r="D4334" s="14" t="s">
        <v>2171</v>
      </c>
      <c r="E4334" s="22" t="s">
        <v>207</v>
      </c>
      <c r="F4334" s="107">
        <v>152</v>
      </c>
      <c r="G4334" s="22" t="s">
        <v>5299</v>
      </c>
      <c r="H4334" s="1255">
        <v>50</v>
      </c>
      <c r="I4334" s="109">
        <v>1</v>
      </c>
      <c r="J4334" s="8">
        <f t="shared" si="373"/>
        <v>50</v>
      </c>
      <c r="K4334" s="39">
        <v>4.7300000000000004</v>
      </c>
      <c r="L4334" s="39">
        <f t="shared" si="374"/>
        <v>236.50000000000003</v>
      </c>
      <c r="M4334" s="403" t="s">
        <v>322</v>
      </c>
      <c r="N4334" s="33">
        <v>45713</v>
      </c>
      <c r="O4334" s="32">
        <v>6844</v>
      </c>
      <c r="P4334" s="391">
        <f t="shared" si="375"/>
        <v>3.4099999999999997</v>
      </c>
      <c r="Q4334" s="322">
        <v>3.41</v>
      </c>
      <c r="R4334" s="322">
        <f t="shared" si="376"/>
        <v>170.5</v>
      </c>
      <c r="S4334" s="7">
        <v>360</v>
      </c>
      <c r="T4334" s="7">
        <f t="shared" si="377"/>
        <v>18000</v>
      </c>
      <c r="U4334" s="21"/>
      <c r="V4334" s="260">
        <v>120</v>
      </c>
      <c r="W4334" s="1136">
        <f>(((K4334*V4334)-S4334)/(K4334*V4334))</f>
        <v>0.36575052854122625</v>
      </c>
    </row>
    <row r="4335" spans="1:23" s="7" customFormat="1" ht="18" customHeight="1">
      <c r="B4335" s="12" t="s">
        <v>302</v>
      </c>
      <c r="C4335" s="6" t="s">
        <v>5296</v>
      </c>
      <c r="D4335" s="14" t="s">
        <v>2171</v>
      </c>
      <c r="E4335" s="22" t="s">
        <v>207</v>
      </c>
      <c r="F4335" s="107">
        <v>152</v>
      </c>
      <c r="G4335" s="22" t="s">
        <v>5300</v>
      </c>
      <c r="H4335" s="1255">
        <v>50</v>
      </c>
      <c r="I4335" s="109">
        <v>2</v>
      </c>
      <c r="J4335" s="8">
        <f t="shared" si="373"/>
        <v>100</v>
      </c>
      <c r="K4335" s="39">
        <v>4.7300000000000004</v>
      </c>
      <c r="L4335" s="39">
        <f t="shared" si="374"/>
        <v>473.00000000000006</v>
      </c>
      <c r="M4335" s="403" t="s">
        <v>322</v>
      </c>
      <c r="N4335" s="33">
        <v>45713</v>
      </c>
      <c r="O4335" s="32">
        <v>6844</v>
      </c>
      <c r="P4335" s="391">
        <f t="shared" si="375"/>
        <v>3.4099999999999997</v>
      </c>
      <c r="Q4335" s="322">
        <v>3.41</v>
      </c>
      <c r="R4335" s="322">
        <f t="shared" si="376"/>
        <v>341</v>
      </c>
      <c r="S4335" s="7">
        <v>360</v>
      </c>
      <c r="T4335" s="7">
        <f t="shared" si="377"/>
        <v>36000</v>
      </c>
      <c r="U4335" s="21"/>
      <c r="V4335" s="260">
        <v>120</v>
      </c>
      <c r="W4335" s="1136">
        <f>(((K4335*V4335)-S4335)/(K4335*V4335))</f>
        <v>0.36575052854122625</v>
      </c>
    </row>
    <row r="4336" spans="1:23" s="7" customFormat="1" ht="18" customHeight="1">
      <c r="B4336" s="12" t="s">
        <v>302</v>
      </c>
      <c r="C4336" s="6" t="s">
        <v>5296</v>
      </c>
      <c r="D4336" s="14" t="s">
        <v>2171</v>
      </c>
      <c r="E4336" s="22" t="s">
        <v>207</v>
      </c>
      <c r="F4336" s="107">
        <v>152</v>
      </c>
      <c r="G4336" s="22" t="s">
        <v>5301</v>
      </c>
      <c r="H4336" s="1255">
        <v>50</v>
      </c>
      <c r="I4336" s="109">
        <v>1</v>
      </c>
      <c r="J4336" s="8">
        <f t="shared" si="373"/>
        <v>50</v>
      </c>
      <c r="K4336" s="39">
        <v>4.7300000000000004</v>
      </c>
      <c r="L4336" s="39">
        <f t="shared" si="374"/>
        <v>236.50000000000003</v>
      </c>
      <c r="M4336" s="403" t="s">
        <v>322</v>
      </c>
      <c r="N4336" s="33">
        <v>45713</v>
      </c>
      <c r="O4336" s="32">
        <v>6844</v>
      </c>
      <c r="P4336" s="391">
        <f t="shared" si="375"/>
        <v>3.4099999999999997</v>
      </c>
      <c r="Q4336" s="322">
        <v>3.41</v>
      </c>
      <c r="R4336" s="322">
        <f t="shared" si="376"/>
        <v>170.5</v>
      </c>
      <c r="S4336" s="7">
        <v>360</v>
      </c>
      <c r="T4336" s="7">
        <f t="shared" si="377"/>
        <v>18000</v>
      </c>
      <c r="U4336" s="21"/>
      <c r="V4336" s="260">
        <v>120</v>
      </c>
      <c r="W4336" s="1136">
        <f>(((K4336*V4336)-S4336)/(K4336*V4336))</f>
        <v>0.36575052854122625</v>
      </c>
    </row>
    <row r="4337" spans="1:24" s="7" customFormat="1" ht="18" customHeight="1">
      <c r="B4337" s="12" t="s">
        <v>302</v>
      </c>
      <c r="C4337" s="6" t="s">
        <v>5296</v>
      </c>
      <c r="D4337" s="14" t="s">
        <v>2171</v>
      </c>
      <c r="E4337" s="22" t="s">
        <v>190</v>
      </c>
      <c r="F4337" s="107">
        <v>160</v>
      </c>
      <c r="G4337" s="22" t="s">
        <v>5302</v>
      </c>
      <c r="H4337" s="1255">
        <v>50</v>
      </c>
      <c r="I4337" s="109">
        <v>1</v>
      </c>
      <c r="J4337" s="8">
        <f t="shared" si="373"/>
        <v>50</v>
      </c>
      <c r="K4337" s="39">
        <v>5.56</v>
      </c>
      <c r="L4337" s="39">
        <f t="shared" si="374"/>
        <v>278</v>
      </c>
      <c r="M4337" s="117" t="s">
        <v>322</v>
      </c>
      <c r="N4337" s="33">
        <v>45713</v>
      </c>
      <c r="O4337" s="32">
        <v>6844</v>
      </c>
      <c r="P4337" s="391">
        <f t="shared" si="375"/>
        <v>3.98</v>
      </c>
      <c r="Q4337" s="322">
        <v>3.98</v>
      </c>
      <c r="R4337" s="322">
        <f t="shared" si="376"/>
        <v>199</v>
      </c>
      <c r="S4337" s="7">
        <v>420</v>
      </c>
      <c r="T4337" s="7">
        <f t="shared" si="377"/>
        <v>21000</v>
      </c>
      <c r="U4337" s="21"/>
      <c r="V4337" s="260">
        <v>120</v>
      </c>
      <c r="W4337" s="1136">
        <f>(((K4337*V4337)-S4337)/(K4337*V4337))</f>
        <v>0.37050359712230208</v>
      </c>
    </row>
    <row r="4338" spans="1:24" s="7" customFormat="1" ht="18" customHeight="1">
      <c r="B4338" s="12" t="s">
        <v>302</v>
      </c>
      <c r="C4338" s="6" t="s">
        <v>5296</v>
      </c>
      <c r="D4338" s="14" t="s">
        <v>2171</v>
      </c>
      <c r="E4338" s="22" t="s">
        <v>190</v>
      </c>
      <c r="F4338" s="107">
        <v>160</v>
      </c>
      <c r="G4338" s="22" t="s">
        <v>5303</v>
      </c>
      <c r="H4338" s="1255">
        <v>50</v>
      </c>
      <c r="I4338" s="109">
        <v>3</v>
      </c>
      <c r="J4338" s="8">
        <f t="shared" si="373"/>
        <v>150</v>
      </c>
      <c r="K4338" s="39">
        <v>5.56</v>
      </c>
      <c r="L4338" s="39">
        <f t="shared" si="374"/>
        <v>833.99999999999989</v>
      </c>
      <c r="M4338" s="117" t="s">
        <v>322</v>
      </c>
      <c r="N4338" s="33">
        <v>45713</v>
      </c>
      <c r="O4338" s="32">
        <v>6844</v>
      </c>
      <c r="P4338" s="391">
        <f t="shared" si="375"/>
        <v>3.98</v>
      </c>
      <c r="Q4338" s="322">
        <v>3.98</v>
      </c>
      <c r="R4338" s="322">
        <f t="shared" si="376"/>
        <v>597</v>
      </c>
      <c r="S4338" s="7">
        <v>420</v>
      </c>
      <c r="T4338" s="7">
        <f t="shared" si="377"/>
        <v>63000</v>
      </c>
      <c r="U4338" s="21"/>
      <c r="V4338" s="260">
        <v>120</v>
      </c>
      <c r="W4338" s="1136">
        <f t="shared" si="372"/>
        <v>0.37050359712230208</v>
      </c>
    </row>
    <row r="4339" spans="1:24" s="7" customFormat="1" ht="18" customHeight="1">
      <c r="B4339" s="12"/>
      <c r="C4339" s="6" t="s">
        <v>5296</v>
      </c>
      <c r="D4339" s="14" t="s">
        <v>2171</v>
      </c>
      <c r="E4339" s="22"/>
      <c r="F4339" s="102"/>
      <c r="G4339" s="22" t="s">
        <v>316</v>
      </c>
      <c r="H4339" s="8"/>
      <c r="I4339" s="35"/>
      <c r="J4339" s="38">
        <v>1</v>
      </c>
      <c r="K4339" s="39">
        <v>25</v>
      </c>
      <c r="L4339" s="39">
        <f t="shared" si="374"/>
        <v>25</v>
      </c>
      <c r="M4339" s="91"/>
      <c r="N4339" s="33">
        <v>45713</v>
      </c>
      <c r="O4339" s="32">
        <v>6844</v>
      </c>
      <c r="P4339" s="6" t="s">
        <v>3</v>
      </c>
      <c r="Q4339" s="39">
        <v>25</v>
      </c>
      <c r="R4339" s="322">
        <f t="shared" si="376"/>
        <v>25</v>
      </c>
      <c r="S4339" s="1388">
        <v>2500</v>
      </c>
      <c r="T4339" s="1388">
        <v>2500</v>
      </c>
      <c r="U4339" s="21"/>
      <c r="V4339" s="260">
        <v>120</v>
      </c>
      <c r="W4339" s="1136">
        <f t="shared" si="372"/>
        <v>0.16666666666666666</v>
      </c>
    </row>
    <row r="4340" spans="1:24" s="191" customFormat="1" ht="15.75">
      <c r="B4340" s="190"/>
      <c r="C4340" s="179" t="s">
        <v>5296</v>
      </c>
      <c r="D4340" s="180" t="s">
        <v>2171</v>
      </c>
      <c r="E4340" s="181"/>
      <c r="F4340" s="182"/>
      <c r="G4340" s="309" t="s">
        <v>324</v>
      </c>
      <c r="H4340" s="184" t="s">
        <v>252</v>
      </c>
      <c r="I4340" s="185"/>
      <c r="J4340" s="183"/>
      <c r="K4340" s="203">
        <v>1180</v>
      </c>
      <c r="L4340" s="203">
        <v>1180</v>
      </c>
      <c r="M4340" s="187"/>
      <c r="N4340" s="187">
        <v>45713</v>
      </c>
      <c r="O4340" s="186">
        <v>6844</v>
      </c>
      <c r="P4340" s="179"/>
      <c r="Q4340" s="203">
        <v>1180</v>
      </c>
      <c r="R4340" s="203">
        <v>1180</v>
      </c>
      <c r="S4340" s="1444">
        <f>84405+7910</f>
        <v>92315</v>
      </c>
      <c r="T4340" s="1444">
        <f>84405+7910</f>
        <v>92315</v>
      </c>
      <c r="U4340" s="271"/>
      <c r="V4340" s="260">
        <v>120</v>
      </c>
      <c r="W4340" s="1136">
        <f t="shared" si="372"/>
        <v>0.34805790960451977</v>
      </c>
    </row>
    <row r="4341" spans="1:24" s="7" customFormat="1" ht="15">
      <c r="B4341" s="12"/>
      <c r="C4341" s="6" t="s">
        <v>5304</v>
      </c>
      <c r="D4341" s="14" t="s">
        <v>2034</v>
      </c>
      <c r="E4341" s="19" t="s">
        <v>4420</v>
      </c>
      <c r="F4341" s="24"/>
      <c r="G4341" s="22"/>
      <c r="H4341" s="60"/>
      <c r="I4341" s="61"/>
      <c r="J4341" s="60"/>
      <c r="K4341" s="16" t="s">
        <v>101</v>
      </c>
      <c r="L4341" s="33"/>
      <c r="M4341" s="33"/>
      <c r="N4341" s="1398">
        <v>45701</v>
      </c>
      <c r="O4341" s="32">
        <v>6851</v>
      </c>
      <c r="P4341" s="6"/>
      <c r="Q4341" s="252"/>
      <c r="S4341" s="257"/>
      <c r="T4341" s="92"/>
      <c r="U4341" s="265"/>
      <c r="V4341" s="260"/>
    </row>
    <row r="4342" spans="1:24" s="7" customFormat="1" ht="16.899999999999999" customHeight="1">
      <c r="B4342" s="12" t="s">
        <v>302</v>
      </c>
      <c r="C4342" s="6" t="s">
        <v>5304</v>
      </c>
      <c r="D4342" s="14" t="s">
        <v>2034</v>
      </c>
      <c r="E4342" s="374" t="s">
        <v>4411</v>
      </c>
      <c r="F4342" s="37" t="s">
        <v>4421</v>
      </c>
      <c r="G4342" s="37" t="s">
        <v>4409</v>
      </c>
      <c r="H4342" s="1401">
        <v>53</v>
      </c>
      <c r="I4342" s="61">
        <v>1</v>
      </c>
      <c r="J4342" s="1402">
        <f>H4342*I4342</f>
        <v>53</v>
      </c>
      <c r="K4342" s="39">
        <v>3.34</v>
      </c>
      <c r="L4342" s="39">
        <f>K4342*J4342</f>
        <v>177.01999999999998</v>
      </c>
      <c r="M4342" s="117" t="s">
        <v>349</v>
      </c>
      <c r="N4342" s="1398">
        <v>45701</v>
      </c>
      <c r="O4342" s="32">
        <v>6851</v>
      </c>
      <c r="P4342" s="391">
        <f>ROUNDUP(S4342/V4342/VLOOKUP(B4342,$C$2:$F$6,3,FALSE),2)</f>
        <v>2.2799999999999998</v>
      </c>
      <c r="Q4342" s="358">
        <v>2.2799999999999998</v>
      </c>
      <c r="R4342" s="322">
        <f>Q4342*J4342</f>
        <v>120.83999999999999</v>
      </c>
      <c r="S4342" s="7">
        <v>240</v>
      </c>
      <c r="T4342" s="7">
        <f>S4342*J4342</f>
        <v>12720</v>
      </c>
      <c r="U4342" s="267"/>
      <c r="V4342" s="260">
        <v>120</v>
      </c>
      <c r="W4342" s="1136">
        <f t="shared" ref="W4342:W4348" si="378">(((K4342*V4342)-S4342)/(K4342*V4342))</f>
        <v>0.4011976047904191</v>
      </c>
    </row>
    <row r="4343" spans="1:24" s="7" customFormat="1" ht="16.899999999999999" customHeight="1">
      <c r="B4343" s="12" t="s">
        <v>302</v>
      </c>
      <c r="C4343" s="6" t="s">
        <v>5304</v>
      </c>
      <c r="D4343" s="14" t="s">
        <v>2034</v>
      </c>
      <c r="E4343" s="374" t="s">
        <v>4411</v>
      </c>
      <c r="F4343" s="37" t="s">
        <v>4421</v>
      </c>
      <c r="G4343" s="37" t="s">
        <v>4409</v>
      </c>
      <c r="H4343" s="1401">
        <v>54</v>
      </c>
      <c r="I4343" s="61">
        <v>2</v>
      </c>
      <c r="J4343" s="1402">
        <f>H4343*I4343</f>
        <v>108</v>
      </c>
      <c r="K4343" s="39">
        <v>3.34</v>
      </c>
      <c r="L4343" s="39">
        <f>K4343*J4343</f>
        <v>360.71999999999997</v>
      </c>
      <c r="M4343" s="117" t="s">
        <v>349</v>
      </c>
      <c r="N4343" s="1398">
        <v>45701</v>
      </c>
      <c r="O4343" s="32">
        <v>6851</v>
      </c>
      <c r="P4343" s="391">
        <f>ROUNDUP(S4343/V4343/VLOOKUP(B4343,$C$2:$F$6,3,FALSE),2)</f>
        <v>2.2799999999999998</v>
      </c>
      <c r="Q4343" s="358">
        <v>2.2799999999999998</v>
      </c>
      <c r="R4343" s="322">
        <f>Q4343*J4343</f>
        <v>246.23999999999998</v>
      </c>
      <c r="S4343" s="7">
        <v>240</v>
      </c>
      <c r="T4343" s="7">
        <f>S4343*J4343</f>
        <v>25920</v>
      </c>
      <c r="U4343" s="267"/>
      <c r="V4343" s="260">
        <v>120</v>
      </c>
      <c r="W4343" s="1136">
        <f t="shared" si="378"/>
        <v>0.4011976047904191</v>
      </c>
    </row>
    <row r="4344" spans="1:24" s="7" customFormat="1" ht="16.899999999999999" customHeight="1">
      <c r="B4344" s="12" t="s">
        <v>302</v>
      </c>
      <c r="C4344" s="6" t="s">
        <v>5304</v>
      </c>
      <c r="D4344" s="14" t="s">
        <v>2034</v>
      </c>
      <c r="E4344" s="374" t="s">
        <v>4411</v>
      </c>
      <c r="F4344" s="37" t="s">
        <v>4421</v>
      </c>
      <c r="G4344" s="37" t="s">
        <v>4409</v>
      </c>
      <c r="H4344" s="1401">
        <v>54.5</v>
      </c>
      <c r="I4344" s="61">
        <v>1</v>
      </c>
      <c r="J4344" s="1402">
        <f>H4344*I4344</f>
        <v>54.5</v>
      </c>
      <c r="K4344" s="39">
        <v>3.34</v>
      </c>
      <c r="L4344" s="39">
        <f>K4344*J4344</f>
        <v>182.03</v>
      </c>
      <c r="M4344" s="117" t="s">
        <v>349</v>
      </c>
      <c r="N4344" s="1398">
        <v>45701</v>
      </c>
      <c r="O4344" s="32">
        <v>6851</v>
      </c>
      <c r="P4344" s="391">
        <f>ROUNDUP(S4344/V4344/VLOOKUP(B4344,$C$2:$F$6,3,FALSE),2)</f>
        <v>2.2799999999999998</v>
      </c>
      <c r="Q4344" s="358">
        <v>2.2799999999999998</v>
      </c>
      <c r="R4344" s="322">
        <f>Q4344*J4344</f>
        <v>124.25999999999999</v>
      </c>
      <c r="S4344" s="7">
        <v>240</v>
      </c>
      <c r="T4344" s="7">
        <f>S4344*J4344</f>
        <v>13080</v>
      </c>
      <c r="U4344" s="267"/>
      <c r="V4344" s="260">
        <v>120</v>
      </c>
      <c r="W4344" s="1136">
        <f t="shared" si="378"/>
        <v>0.4011976047904191</v>
      </c>
    </row>
    <row r="4345" spans="1:24" s="7" customFormat="1" ht="18" customHeight="1">
      <c r="B4345" s="12"/>
      <c r="C4345" s="6" t="s">
        <v>5304</v>
      </c>
      <c r="D4345" s="14" t="s">
        <v>2034</v>
      </c>
      <c r="E4345" s="22"/>
      <c r="F4345" s="102"/>
      <c r="G4345" s="22" t="s">
        <v>316</v>
      </c>
      <c r="H4345" s="8"/>
      <c r="I4345" s="35"/>
      <c r="J4345" s="38">
        <v>1</v>
      </c>
      <c r="K4345" s="39">
        <v>20</v>
      </c>
      <c r="L4345" s="39">
        <f>K4345*J4345</f>
        <v>20</v>
      </c>
      <c r="M4345" s="91"/>
      <c r="N4345" s="1398">
        <v>45701</v>
      </c>
      <c r="O4345" s="32">
        <v>6851</v>
      </c>
      <c r="P4345" s="6"/>
      <c r="Q4345" s="322">
        <v>20</v>
      </c>
      <c r="R4345" s="322">
        <f>Q4345*J4345</f>
        <v>20</v>
      </c>
      <c r="S4345" s="1388">
        <v>2500</v>
      </c>
      <c r="T4345" s="1388">
        <f>S4345*J4345</f>
        <v>2500</v>
      </c>
      <c r="U4345" s="21"/>
      <c r="V4345" s="260">
        <v>120</v>
      </c>
      <c r="W4345" s="1136">
        <f t="shared" si="378"/>
        <v>-4.1666666666666664E-2</v>
      </c>
    </row>
    <row r="4346" spans="1:24" s="191" customFormat="1" ht="18" customHeight="1">
      <c r="B4346" s="190"/>
      <c r="C4346" s="179" t="s">
        <v>5304</v>
      </c>
      <c r="D4346" s="180" t="s">
        <v>2034</v>
      </c>
      <c r="E4346" s="181"/>
      <c r="F4346" s="182"/>
      <c r="G4346" s="182" t="s">
        <v>250</v>
      </c>
      <c r="H4346" s="184" t="s">
        <v>252</v>
      </c>
      <c r="I4346" s="185"/>
      <c r="J4346" s="183"/>
      <c r="K4346" s="203">
        <v>291</v>
      </c>
      <c r="L4346" s="203">
        <v>291</v>
      </c>
      <c r="M4346" s="947"/>
      <c r="N4346" s="187">
        <v>45701</v>
      </c>
      <c r="O4346" s="186">
        <v>6851</v>
      </c>
      <c r="P4346" s="179"/>
      <c r="Q4346" s="203">
        <v>291</v>
      </c>
      <c r="R4346" s="203">
        <v>291</v>
      </c>
      <c r="S4346" s="1411">
        <v>28770</v>
      </c>
      <c r="T4346" s="1411">
        <v>28770</v>
      </c>
      <c r="U4346" s="335"/>
      <c r="V4346" s="260">
        <v>120</v>
      </c>
      <c r="W4346" s="1136">
        <f t="shared" si="378"/>
        <v>0.17611683848797252</v>
      </c>
      <c r="X4346" s="218"/>
    </row>
    <row r="4347" spans="1:24" customFormat="1" ht="18" customHeight="1">
      <c r="A4347" s="1"/>
      <c r="B4347" s="26"/>
      <c r="C4347" s="6" t="s">
        <v>5309</v>
      </c>
      <c r="D4347" s="14" t="s">
        <v>3202</v>
      </c>
      <c r="E4347" s="19" t="s">
        <v>5310</v>
      </c>
      <c r="F4347" s="107"/>
      <c r="G4347" s="22"/>
      <c r="H4347" s="108"/>
      <c r="I4347" s="109"/>
      <c r="J4347" s="108"/>
      <c r="K4347" s="110" t="s">
        <v>5</v>
      </c>
      <c r="L4347" s="33"/>
      <c r="M4347" s="33"/>
      <c r="N4347" s="33">
        <v>45707</v>
      </c>
      <c r="O4347" s="32">
        <v>6858</v>
      </c>
      <c r="P4347" s="14"/>
      <c r="Q4347" s="254"/>
      <c r="R4347" s="1"/>
      <c r="S4347" s="261"/>
      <c r="T4347" s="92"/>
      <c r="U4347" s="264"/>
      <c r="V4347" s="260">
        <v>120</v>
      </c>
      <c r="W4347" s="1136" t="e">
        <f t="shared" si="378"/>
        <v>#VALUE!</v>
      </c>
    </row>
    <row r="4348" spans="1:24" ht="18" customHeight="1">
      <c r="B4348" s="12" t="s">
        <v>302</v>
      </c>
      <c r="C4348" s="6" t="s">
        <v>5309</v>
      </c>
      <c r="D4348" s="14" t="s">
        <v>3202</v>
      </c>
      <c r="E4348" s="374">
        <v>5081</v>
      </c>
      <c r="F4348" s="107">
        <v>140</v>
      </c>
      <c r="G4348" s="396" t="s">
        <v>5311</v>
      </c>
      <c r="H4348" s="18">
        <v>27.5</v>
      </c>
      <c r="I4348" s="61">
        <v>1</v>
      </c>
      <c r="J4348" s="18">
        <f>H4348*I4348</f>
        <v>27.5</v>
      </c>
      <c r="K4348" s="39">
        <v>9.17</v>
      </c>
      <c r="L4348" s="39">
        <f>K4348*J4348</f>
        <v>252.17500000000001</v>
      </c>
      <c r="M4348" s="117" t="s">
        <v>323</v>
      </c>
      <c r="N4348" s="33">
        <v>45707</v>
      </c>
      <c r="O4348" s="32">
        <v>6858</v>
      </c>
      <c r="P4348" s="391">
        <f>ROUNDUP(S4348/V4348/VLOOKUP(B4348,$C$2:$F$6,3,FALSE),2)</f>
        <v>8.0499999999999989</v>
      </c>
      <c r="Q4348" s="254">
        <v>8.0500000000000007</v>
      </c>
      <c r="R4348" s="323">
        <f>Q4348*J4348</f>
        <v>221.37500000000003</v>
      </c>
      <c r="S4348" s="273">
        <v>850</v>
      </c>
      <c r="T4348" s="287">
        <f>S4348*J4348</f>
        <v>23375</v>
      </c>
      <c r="U4348" s="264"/>
      <c r="V4348" s="260">
        <v>120</v>
      </c>
      <c r="W4348" s="1136">
        <f t="shared" si="378"/>
        <v>0.22755361686659403</v>
      </c>
    </row>
    <row r="4349" spans="1:24" s="7" customFormat="1" ht="18" customHeight="1">
      <c r="B4349" s="12"/>
      <c r="C4349" s="6" t="s">
        <v>5309</v>
      </c>
      <c r="D4349" s="14" t="s">
        <v>3202</v>
      </c>
      <c r="E4349" s="82"/>
      <c r="F4349" s="102"/>
      <c r="G4349" s="22" t="s">
        <v>4329</v>
      </c>
      <c r="H4349" s="8"/>
      <c r="I4349" s="35"/>
      <c r="J4349" s="38">
        <v>1</v>
      </c>
      <c r="K4349" s="39">
        <v>12</v>
      </c>
      <c r="L4349" s="39">
        <f>K4349*J4349</f>
        <v>12</v>
      </c>
      <c r="M4349" s="91"/>
      <c r="N4349" s="33">
        <v>45707</v>
      </c>
      <c r="O4349" s="32">
        <v>6858</v>
      </c>
      <c r="P4349" s="6"/>
      <c r="Q4349" s="322">
        <v>12</v>
      </c>
      <c r="R4349" s="322">
        <f>Q4349*J4349</f>
        <v>12</v>
      </c>
      <c r="S4349" s="1388">
        <v>0</v>
      </c>
      <c r="T4349" s="1388">
        <v>0</v>
      </c>
      <c r="U4349" s="21"/>
      <c r="V4349" s="260">
        <v>120</v>
      </c>
    </row>
    <row r="4350" spans="1:24" s="7" customFormat="1" ht="18" customHeight="1">
      <c r="B4350" s="12"/>
      <c r="C4350" s="6" t="s">
        <v>5309</v>
      </c>
      <c r="D4350" s="14" t="s">
        <v>3202</v>
      </c>
      <c r="E4350" s="22"/>
      <c r="F4350" s="102"/>
      <c r="G4350" s="22" t="s">
        <v>316</v>
      </c>
      <c r="H4350" s="8"/>
      <c r="I4350" s="35"/>
      <c r="J4350" s="38">
        <v>1</v>
      </c>
      <c r="K4350" s="39">
        <v>20</v>
      </c>
      <c r="L4350" s="39">
        <f>K4350*J4350</f>
        <v>20</v>
      </c>
      <c r="M4350" s="91"/>
      <c r="N4350" s="33">
        <v>45707</v>
      </c>
      <c r="O4350" s="32">
        <v>6858</v>
      </c>
      <c r="P4350" s="6"/>
      <c r="Q4350" s="322">
        <v>20</v>
      </c>
      <c r="R4350" s="322">
        <f>Q4350*J4350</f>
        <v>20</v>
      </c>
      <c r="S4350" s="1388">
        <v>1600</v>
      </c>
      <c r="T4350" s="1388">
        <v>1600</v>
      </c>
      <c r="U4350" s="21"/>
      <c r="V4350" s="260">
        <v>120</v>
      </c>
      <c r="W4350" s="1136">
        <f t="shared" ref="W4350:W4358" si="379">(((K4350*V4350)-S4350)/(K4350*V4350))</f>
        <v>0.33333333333333331</v>
      </c>
    </row>
    <row r="4351" spans="1:24" s="191" customFormat="1" ht="15">
      <c r="B4351" s="190"/>
      <c r="C4351" s="179" t="s">
        <v>5309</v>
      </c>
      <c r="D4351" s="180" t="s">
        <v>3202</v>
      </c>
      <c r="E4351" s="181"/>
      <c r="F4351" s="182"/>
      <c r="G4351" s="182" t="s">
        <v>2738</v>
      </c>
      <c r="H4351" s="184" t="s">
        <v>251</v>
      </c>
      <c r="I4351" s="185"/>
      <c r="J4351" s="183"/>
      <c r="K4351" s="192">
        <v>0</v>
      </c>
      <c r="L4351" s="187"/>
      <c r="M4351" s="187"/>
      <c r="N4351" s="187">
        <v>45707</v>
      </c>
      <c r="O4351" s="186">
        <v>6858</v>
      </c>
      <c r="P4351" s="179"/>
      <c r="Q4351" s="203"/>
      <c r="R4351" s="203"/>
      <c r="S4351" s="203"/>
      <c r="T4351" s="203"/>
      <c r="U4351" s="271"/>
      <c r="V4351" s="260">
        <v>120</v>
      </c>
      <c r="W4351" s="1136" t="e">
        <f t="shared" si="379"/>
        <v>#DIV/0!</v>
      </c>
    </row>
    <row r="4352" spans="1:24" s="7" customFormat="1" ht="18" customHeight="1">
      <c r="B4352" s="12"/>
      <c r="C4352" s="6" t="s">
        <v>5317</v>
      </c>
      <c r="D4352" s="14" t="s">
        <v>4193</v>
      </c>
      <c r="E4352" s="17" t="s">
        <v>160</v>
      </c>
      <c r="F4352" s="319"/>
      <c r="G4352" s="299"/>
      <c r="H4352" s="300" t="s">
        <v>355</v>
      </c>
      <c r="I4352" s="320"/>
      <c r="J4352" s="321"/>
      <c r="K4352" s="110" t="s">
        <v>101</v>
      </c>
      <c r="L4352" s="139"/>
      <c r="M4352" s="33"/>
      <c r="N4352" s="33">
        <v>45709</v>
      </c>
      <c r="O4352" s="32">
        <v>6878</v>
      </c>
      <c r="P4352" s="6"/>
      <c r="Q4352" s="322"/>
      <c r="U4352" s="39"/>
      <c r="V4352" s="260">
        <v>120</v>
      </c>
      <c r="W4352" s="1136" t="e">
        <f t="shared" si="379"/>
        <v>#VALUE!</v>
      </c>
    </row>
    <row r="4353" spans="1:51" s="7" customFormat="1" ht="18" customHeight="1">
      <c r="B4353" s="12" t="s">
        <v>300</v>
      </c>
      <c r="C4353" s="6" t="s">
        <v>5317</v>
      </c>
      <c r="D4353" s="14" t="s">
        <v>4193</v>
      </c>
      <c r="E4353" s="22">
        <v>14552</v>
      </c>
      <c r="F4353" s="24">
        <v>10</v>
      </c>
      <c r="G4353" s="22" t="s">
        <v>5312</v>
      </c>
      <c r="H4353" s="108">
        <v>30</v>
      </c>
      <c r="I4353" s="109">
        <v>1</v>
      </c>
      <c r="J4353" s="8">
        <f>H4353*I4353</f>
        <v>30</v>
      </c>
      <c r="K4353" s="39">
        <v>0.77</v>
      </c>
      <c r="L4353" s="39">
        <f>K4353*J4353</f>
        <v>23.1</v>
      </c>
      <c r="M4353" s="117" t="s">
        <v>323</v>
      </c>
      <c r="N4353" s="33">
        <v>45709</v>
      </c>
      <c r="O4353" s="32">
        <v>6878</v>
      </c>
      <c r="P4353" s="391">
        <f>ROUNDUP(S4353/V4353/VLOOKUP(B4353,$C$2:$F$6,3,FALSE),2)</f>
        <v>0.49</v>
      </c>
      <c r="Q4353" s="358">
        <v>0.49</v>
      </c>
      <c r="R4353" s="322">
        <f>Q4353*J4353</f>
        <v>14.7</v>
      </c>
      <c r="S4353" s="7">
        <v>41</v>
      </c>
      <c r="T4353" s="7">
        <f>S4353*J4353</f>
        <v>1230</v>
      </c>
      <c r="U4353" s="267"/>
      <c r="V4353" s="260">
        <v>120</v>
      </c>
      <c r="W4353" s="1136">
        <f t="shared" si="379"/>
        <v>0.55627705627705626</v>
      </c>
    </row>
    <row r="4354" spans="1:51" s="7" customFormat="1" ht="18" customHeight="1">
      <c r="B4354" s="12" t="s">
        <v>300</v>
      </c>
      <c r="C4354" s="6" t="s">
        <v>5317</v>
      </c>
      <c r="D4354" s="14" t="s">
        <v>4193</v>
      </c>
      <c r="E4354" s="22">
        <v>14552</v>
      </c>
      <c r="F4354" s="24">
        <v>10</v>
      </c>
      <c r="G4354" s="22" t="s">
        <v>5313</v>
      </c>
      <c r="H4354" s="108">
        <v>30</v>
      </c>
      <c r="I4354" s="109">
        <v>1</v>
      </c>
      <c r="J4354" s="8">
        <f>H4354*I4354</f>
        <v>30</v>
      </c>
      <c r="K4354" s="39">
        <v>0.77</v>
      </c>
      <c r="L4354" s="39">
        <f>K4354*J4354</f>
        <v>23.1</v>
      </c>
      <c r="M4354" s="117" t="s">
        <v>323</v>
      </c>
      <c r="N4354" s="33">
        <v>45709</v>
      </c>
      <c r="O4354" s="32">
        <v>6878</v>
      </c>
      <c r="P4354" s="391">
        <f>ROUNDUP(S4354/V4354/VLOOKUP(B4354,$C$2:$F$6,3,FALSE),2)</f>
        <v>0.49</v>
      </c>
      <c r="Q4354" s="358">
        <v>0.49</v>
      </c>
      <c r="R4354" s="322">
        <f>Q4354*J4354</f>
        <v>14.7</v>
      </c>
      <c r="S4354" s="7">
        <v>41</v>
      </c>
      <c r="T4354" s="7">
        <f>S4354*J4354</f>
        <v>1230</v>
      </c>
      <c r="U4354" s="267"/>
      <c r="V4354" s="260">
        <v>120</v>
      </c>
      <c r="W4354" s="1136">
        <f t="shared" si="379"/>
        <v>0.55627705627705626</v>
      </c>
    </row>
    <row r="4355" spans="1:51" s="7" customFormat="1" ht="18" customHeight="1">
      <c r="B4355" s="12"/>
      <c r="C4355" s="6" t="s">
        <v>5317</v>
      </c>
      <c r="D4355" s="14" t="s">
        <v>4193</v>
      </c>
      <c r="E4355" s="49"/>
      <c r="F4355" s="102"/>
      <c r="G4355" s="22" t="s">
        <v>316</v>
      </c>
      <c r="H4355" s="8"/>
      <c r="I4355" s="35"/>
      <c r="J4355" s="38">
        <v>1</v>
      </c>
      <c r="K4355" s="39">
        <v>12</v>
      </c>
      <c r="L4355" s="39">
        <f>K4355*J4355</f>
        <v>12</v>
      </c>
      <c r="M4355" s="117" t="s">
        <v>349</v>
      </c>
      <c r="N4355" s="33">
        <v>45709</v>
      </c>
      <c r="O4355" s="32">
        <v>6878</v>
      </c>
      <c r="P4355" s="6" t="s">
        <v>3</v>
      </c>
      <c r="Q4355" s="39">
        <v>12</v>
      </c>
      <c r="R4355" s="322">
        <f>Q4355*J4355</f>
        <v>12</v>
      </c>
      <c r="S4355" s="7">
        <v>1100</v>
      </c>
      <c r="T4355" s="7">
        <f>S4355*J4355</f>
        <v>1100</v>
      </c>
      <c r="U4355" s="21"/>
      <c r="V4355" s="260">
        <v>120</v>
      </c>
      <c r="W4355" s="1136">
        <f t="shared" si="379"/>
        <v>0.2361111111111111</v>
      </c>
    </row>
    <row r="4356" spans="1:51" s="191" customFormat="1" ht="18" customHeight="1">
      <c r="B4356" s="190"/>
      <c r="C4356" s="179" t="s">
        <v>5317</v>
      </c>
      <c r="D4356" s="180" t="s">
        <v>4193</v>
      </c>
      <c r="E4356" s="217"/>
      <c r="F4356" s="182"/>
      <c r="G4356" s="182" t="s">
        <v>250</v>
      </c>
      <c r="H4356" s="184" t="s">
        <v>251</v>
      </c>
      <c r="I4356" s="185"/>
      <c r="J4356" s="183"/>
      <c r="K4356" s="192">
        <v>0</v>
      </c>
      <c r="L4356" s="187"/>
      <c r="M4356" s="1310"/>
      <c r="N4356" s="187">
        <v>45709</v>
      </c>
      <c r="O4356" s="186">
        <v>6878</v>
      </c>
      <c r="P4356" s="179"/>
      <c r="Q4356" s="255">
        <v>0</v>
      </c>
      <c r="R4356" s="322">
        <v>0</v>
      </c>
      <c r="S4356" s="275">
        <v>0</v>
      </c>
      <c r="T4356" s="198">
        <v>0</v>
      </c>
      <c r="U4356" s="271"/>
      <c r="V4356" s="260">
        <v>120</v>
      </c>
      <c r="W4356" s="1136" t="e">
        <f t="shared" si="379"/>
        <v>#DIV/0!</v>
      </c>
    </row>
    <row r="4357" spans="1:51" s="7" customFormat="1" ht="18" customHeight="1">
      <c r="B4357" s="12"/>
      <c r="C4357" s="965" t="s">
        <v>5314</v>
      </c>
      <c r="D4357" s="14" t="s">
        <v>2162</v>
      </c>
      <c r="E4357" s="19" t="s">
        <v>2163</v>
      </c>
      <c r="F4357" s="37"/>
      <c r="G4357" s="37"/>
      <c r="H4357" s="108"/>
      <c r="I4357" s="108"/>
      <c r="J4357" s="108"/>
      <c r="K4357" s="110" t="s">
        <v>5</v>
      </c>
      <c r="L4357" s="139"/>
      <c r="M4357" s="33"/>
      <c r="N4357" s="33">
        <v>45709</v>
      </c>
      <c r="O4357" s="32">
        <v>6877</v>
      </c>
      <c r="P4357" s="6"/>
      <c r="Q4357" s="339"/>
      <c r="U4357" s="21"/>
      <c r="V4357" s="260">
        <v>120</v>
      </c>
      <c r="W4357" s="1136" t="e">
        <f t="shared" si="379"/>
        <v>#VALUE!</v>
      </c>
    </row>
    <row r="4358" spans="1:51" s="7" customFormat="1" ht="18" customHeight="1">
      <c r="B4358" s="12" t="s">
        <v>300</v>
      </c>
      <c r="C4358" s="965" t="s">
        <v>5314</v>
      </c>
      <c r="D4358" s="14" t="s">
        <v>2162</v>
      </c>
      <c r="E4358" s="22">
        <v>5603</v>
      </c>
      <c r="F4358" s="37"/>
      <c r="G4358" s="22" t="s">
        <v>185</v>
      </c>
      <c r="H4358" s="108">
        <v>50</v>
      </c>
      <c r="I4358" s="950">
        <v>4</v>
      </c>
      <c r="J4358" s="8">
        <f>I4358*H4358</f>
        <v>200</v>
      </c>
      <c r="K4358" s="39">
        <v>0.34</v>
      </c>
      <c r="L4358" s="39">
        <f>K4358*J4358</f>
        <v>68</v>
      </c>
      <c r="M4358" s="117" t="s">
        <v>349</v>
      </c>
      <c r="N4358" s="33">
        <v>45709</v>
      </c>
      <c r="O4358" s="32">
        <v>6877</v>
      </c>
      <c r="P4358" s="391">
        <f>ROUNDUP(S4358/V4358/VLOOKUP(B4358,$C$2:$F$6,3,FALSE),2)</f>
        <v>0.22</v>
      </c>
      <c r="Q4358" s="322">
        <v>0.22</v>
      </c>
      <c r="R4358" s="322">
        <f>Q4358*J4358</f>
        <v>44</v>
      </c>
      <c r="S4358" s="7">
        <v>18.3</v>
      </c>
      <c r="T4358" s="7">
        <f>S4358*J4358</f>
        <v>3660</v>
      </c>
      <c r="U4358" s="21"/>
      <c r="V4358" s="260">
        <v>120</v>
      </c>
      <c r="W4358" s="1136">
        <f t="shared" si="379"/>
        <v>0.55147058823529416</v>
      </c>
    </row>
    <row r="4359" spans="1:51" s="7" customFormat="1" ht="18" customHeight="1">
      <c r="B4359" s="12"/>
      <c r="C4359" s="965" t="s">
        <v>5314</v>
      </c>
      <c r="D4359" s="14" t="s">
        <v>2162</v>
      </c>
      <c r="E4359" s="22"/>
      <c r="F4359" s="102"/>
      <c r="G4359" s="22" t="s">
        <v>316</v>
      </c>
      <c r="H4359" s="8"/>
      <c r="I4359" s="35"/>
      <c r="J4359" s="38">
        <v>1</v>
      </c>
      <c r="K4359" s="39">
        <v>12</v>
      </c>
      <c r="L4359" s="39">
        <f>K4359*J4359</f>
        <v>12</v>
      </c>
      <c r="M4359" s="91"/>
      <c r="N4359" s="33">
        <v>45709</v>
      </c>
      <c r="O4359" s="32">
        <v>6877</v>
      </c>
      <c r="P4359" s="6" t="s">
        <v>3</v>
      </c>
      <c r="Q4359" s="39">
        <v>12</v>
      </c>
      <c r="R4359" s="322">
        <f>Q4359*J4359</f>
        <v>12</v>
      </c>
      <c r="S4359" s="7">
        <v>1100</v>
      </c>
      <c r="T4359" s="7">
        <f>S4359*J4359</f>
        <v>1100</v>
      </c>
      <c r="U4359" s="21"/>
      <c r="V4359" s="260">
        <v>120</v>
      </c>
      <c r="W4359" s="1136">
        <f t="shared" ref="W4359:W4390" si="380">(((K4359*V4359)-S4359)/(K4359*V4359))</f>
        <v>0.2361111111111111</v>
      </c>
    </row>
    <row r="4360" spans="1:51" s="191" customFormat="1" ht="18" customHeight="1">
      <c r="B4360" s="190"/>
      <c r="C4360" s="966" t="s">
        <v>5314</v>
      </c>
      <c r="D4360" s="180" t="s">
        <v>2162</v>
      </c>
      <c r="E4360" s="217"/>
      <c r="F4360" s="182"/>
      <c r="G4360" s="182" t="s">
        <v>250</v>
      </c>
      <c r="H4360" s="184" t="s">
        <v>251</v>
      </c>
      <c r="I4360" s="185"/>
      <c r="J4360" s="183"/>
      <c r="K4360" s="192">
        <v>0</v>
      </c>
      <c r="L4360" s="192">
        <v>0</v>
      </c>
      <c r="M4360" s="187"/>
      <c r="N4360" s="187">
        <v>45709</v>
      </c>
      <c r="O4360" s="186">
        <v>6877</v>
      </c>
      <c r="P4360" s="179"/>
      <c r="Q4360" s="334">
        <v>0</v>
      </c>
      <c r="R4360" s="334">
        <v>0</v>
      </c>
      <c r="S4360" s="197">
        <v>0</v>
      </c>
      <c r="T4360" s="197">
        <v>0</v>
      </c>
      <c r="U4360" s="335"/>
      <c r="V4360" s="260">
        <v>120</v>
      </c>
      <c r="W4360" s="1136" t="e">
        <f t="shared" si="380"/>
        <v>#DIV/0!</v>
      </c>
    </row>
    <row r="4361" spans="1:51" customFormat="1" ht="18" customHeight="1">
      <c r="A4361" s="1"/>
      <c r="B4361" s="26"/>
      <c r="C4361" s="6" t="s">
        <v>5315</v>
      </c>
      <c r="D4361" s="14" t="s">
        <v>3067</v>
      </c>
      <c r="E4361" s="19" t="s">
        <v>59</v>
      </c>
      <c r="F4361" s="107"/>
      <c r="G4361" s="22"/>
      <c r="H4361" s="108"/>
      <c r="I4361" s="109"/>
      <c r="J4361" s="108"/>
      <c r="K4361" s="110" t="s">
        <v>5</v>
      </c>
      <c r="L4361" s="33"/>
      <c r="M4361" s="33"/>
      <c r="N4361" s="1398">
        <v>45714</v>
      </c>
      <c r="O4361" s="32">
        <v>6880</v>
      </c>
      <c r="P4361" s="14"/>
      <c r="Q4361" s="254"/>
      <c r="R4361" s="1"/>
      <c r="S4361" s="261"/>
      <c r="T4361" s="92"/>
      <c r="U4361" s="264"/>
      <c r="V4361" s="260">
        <v>120</v>
      </c>
      <c r="W4361" s="1136" t="e">
        <f t="shared" si="380"/>
        <v>#VALUE!</v>
      </c>
      <c r="X4361" s="1"/>
      <c r="Y4361" s="1"/>
      <c r="Z4361" s="1"/>
      <c r="AA4361" s="1"/>
      <c r="AB4361" s="1"/>
      <c r="AC4361" s="1"/>
      <c r="AD4361" s="1"/>
      <c r="AE4361" s="1"/>
      <c r="AF4361" s="1"/>
      <c r="AG4361" s="1"/>
      <c r="AH4361" s="1"/>
      <c r="AI4361" s="1"/>
      <c r="AJ4361" s="1"/>
      <c r="AK4361" s="1"/>
      <c r="AL4361" s="1"/>
      <c r="AM4361" s="1"/>
      <c r="AN4361" s="1"/>
      <c r="AO4361" s="1"/>
      <c r="AP4361" s="1"/>
      <c r="AQ4361" s="1"/>
      <c r="AR4361" s="1"/>
      <c r="AS4361" s="1"/>
      <c r="AT4361" s="1"/>
      <c r="AU4361" s="1"/>
      <c r="AV4361" s="1"/>
      <c r="AW4361" s="1"/>
      <c r="AX4361" s="1"/>
      <c r="AY4361" s="1"/>
    </row>
    <row r="4362" spans="1:51" customFormat="1" ht="18" customHeight="1">
      <c r="B4362" s="12" t="s">
        <v>302</v>
      </c>
      <c r="C4362" s="6" t="s">
        <v>5315</v>
      </c>
      <c r="D4362" s="14" t="s">
        <v>3067</v>
      </c>
      <c r="E4362" s="22">
        <v>2440</v>
      </c>
      <c r="F4362" s="107">
        <v>140</v>
      </c>
      <c r="G4362" s="22" t="s">
        <v>5128</v>
      </c>
      <c r="H4362" s="108">
        <v>44</v>
      </c>
      <c r="I4362" s="109">
        <v>1</v>
      </c>
      <c r="J4362" s="8">
        <f>H4362*I4362</f>
        <v>44</v>
      </c>
      <c r="K4362" s="39">
        <v>4.3099999999999996</v>
      </c>
      <c r="L4362" s="39">
        <f>K4362*J4362</f>
        <v>189.64</v>
      </c>
      <c r="M4362" s="117" t="s">
        <v>323</v>
      </c>
      <c r="N4362" s="1398">
        <v>45714</v>
      </c>
      <c r="O4362" s="32">
        <v>6880</v>
      </c>
      <c r="P4362" s="391">
        <f>ROUNDUP(S4362/V4362/VLOOKUP(B4362,$C$2:$F$6,3,FALSE),2)</f>
        <v>2.94</v>
      </c>
      <c r="Q4362" s="254">
        <v>2.94</v>
      </c>
      <c r="R4362" s="323">
        <f>Q4362*J4362</f>
        <v>129.35999999999999</v>
      </c>
      <c r="S4362" s="257">
        <v>310</v>
      </c>
      <c r="T4362" s="287">
        <f>S4362*J4362</f>
        <v>13640</v>
      </c>
      <c r="U4362" s="264"/>
      <c r="V4362" s="260">
        <v>120</v>
      </c>
      <c r="W4362" s="1136">
        <f t="shared" si="380"/>
        <v>0.40061871616395972</v>
      </c>
      <c r="X4362" s="1"/>
      <c r="Y4362" s="1"/>
      <c r="Z4362" s="1"/>
      <c r="AA4362" s="1"/>
      <c r="AB4362" s="1"/>
      <c r="AC4362" s="1"/>
      <c r="AD4362" s="1"/>
      <c r="AE4362" s="1"/>
      <c r="AF4362" s="1"/>
      <c r="AG4362" s="1"/>
      <c r="AH4362" s="1"/>
      <c r="AI4362" s="1"/>
      <c r="AJ4362" s="1"/>
      <c r="AK4362" s="1"/>
      <c r="AL4362" s="1"/>
      <c r="AM4362" s="1"/>
      <c r="AN4362" s="1"/>
      <c r="AO4362" s="1"/>
      <c r="AP4362" s="1"/>
      <c r="AQ4362" s="1"/>
      <c r="AR4362" s="1"/>
      <c r="AS4362" s="1"/>
      <c r="AT4362" s="1"/>
      <c r="AU4362" s="1"/>
      <c r="AV4362" s="1"/>
      <c r="AW4362" s="1"/>
      <c r="AX4362" s="1"/>
      <c r="AY4362" s="1"/>
    </row>
    <row r="4363" spans="1:51" s="7" customFormat="1" ht="15">
      <c r="B4363" s="12"/>
      <c r="C4363" s="6" t="s">
        <v>5315</v>
      </c>
      <c r="D4363" s="14" t="s">
        <v>3067</v>
      </c>
      <c r="E4363" s="49"/>
      <c r="F4363" s="102"/>
      <c r="G4363" s="22" t="s">
        <v>316</v>
      </c>
      <c r="H4363" s="38"/>
      <c r="I4363" s="35"/>
      <c r="J4363" s="38">
        <v>1</v>
      </c>
      <c r="K4363" s="39">
        <v>20</v>
      </c>
      <c r="L4363" s="39">
        <f>K4363*J4363</f>
        <v>20</v>
      </c>
      <c r="M4363" s="91"/>
      <c r="N4363" s="1398">
        <v>45714</v>
      </c>
      <c r="O4363" s="32">
        <v>6880</v>
      </c>
      <c r="P4363" s="722"/>
      <c r="Q4363" s="322">
        <v>20</v>
      </c>
      <c r="R4363" s="322">
        <f>Q4363*J4363</f>
        <v>20</v>
      </c>
      <c r="S4363" s="7">
        <v>2500</v>
      </c>
      <c r="T4363" s="7">
        <f>S4363*J4363</f>
        <v>2500</v>
      </c>
      <c r="U4363" s="21"/>
      <c r="V4363" s="260">
        <v>120</v>
      </c>
      <c r="W4363" s="1136">
        <f t="shared" si="380"/>
        <v>-4.1666666666666664E-2</v>
      </c>
    </row>
    <row r="4364" spans="1:51" s="191" customFormat="1" ht="15">
      <c r="B4364" s="190"/>
      <c r="C4364" s="179" t="s">
        <v>5315</v>
      </c>
      <c r="D4364" s="180" t="s">
        <v>3067</v>
      </c>
      <c r="E4364" s="181"/>
      <c r="F4364" s="182"/>
      <c r="G4364" s="182" t="s">
        <v>2738</v>
      </c>
      <c r="H4364" s="184" t="s">
        <v>251</v>
      </c>
      <c r="I4364" s="185"/>
      <c r="J4364" s="183"/>
      <c r="K4364" s="192">
        <v>0</v>
      </c>
      <c r="L4364" s="187"/>
      <c r="M4364" s="187"/>
      <c r="N4364" s="1399">
        <v>45714</v>
      </c>
      <c r="O4364" s="186">
        <v>6880</v>
      </c>
      <c r="P4364" s="179"/>
      <c r="Q4364" s="203"/>
      <c r="R4364" s="203"/>
      <c r="S4364" s="203"/>
      <c r="T4364" s="203"/>
      <c r="U4364" s="271"/>
      <c r="V4364" s="260">
        <v>120</v>
      </c>
      <c r="W4364" s="1136" t="e">
        <f t="shared" si="380"/>
        <v>#DIV/0!</v>
      </c>
    </row>
    <row r="4365" spans="1:51" customFormat="1" ht="18" customHeight="1">
      <c r="A4365" s="1"/>
      <c r="B4365" s="26"/>
      <c r="C4365" s="6" t="s">
        <v>5316</v>
      </c>
      <c r="D4365" s="14" t="s">
        <v>3067</v>
      </c>
      <c r="E4365" s="19" t="s">
        <v>59</v>
      </c>
      <c r="F4365" s="107"/>
      <c r="G4365" s="22"/>
      <c r="H4365" s="108"/>
      <c r="I4365" s="109"/>
      <c r="J4365" s="108"/>
      <c r="K4365" s="110" t="s">
        <v>5</v>
      </c>
      <c r="L4365" s="33"/>
      <c r="M4365" s="33"/>
      <c r="N4365" s="1398">
        <v>45714</v>
      </c>
      <c r="O4365" s="32">
        <v>6881</v>
      </c>
      <c r="P4365" s="14"/>
      <c r="Q4365" s="254"/>
      <c r="R4365" s="1"/>
      <c r="S4365" s="261"/>
      <c r="T4365" s="92"/>
      <c r="U4365" s="264"/>
      <c r="V4365" s="260">
        <v>120</v>
      </c>
      <c r="W4365" s="1136" t="e">
        <f t="shared" si="380"/>
        <v>#VALUE!</v>
      </c>
      <c r="X4365" s="1"/>
      <c r="Y4365" s="1"/>
      <c r="Z4365" s="1"/>
      <c r="AA4365" s="1"/>
      <c r="AB4365" s="1"/>
      <c r="AC4365" s="1"/>
      <c r="AD4365" s="1"/>
      <c r="AE4365" s="1"/>
      <c r="AF4365" s="1"/>
      <c r="AG4365" s="1"/>
      <c r="AH4365" s="1"/>
      <c r="AI4365" s="1"/>
      <c r="AJ4365" s="1"/>
      <c r="AK4365" s="1"/>
      <c r="AL4365" s="1"/>
      <c r="AM4365" s="1"/>
      <c r="AN4365" s="1"/>
      <c r="AO4365" s="1"/>
      <c r="AP4365" s="1"/>
      <c r="AQ4365" s="1"/>
      <c r="AR4365" s="1"/>
      <c r="AS4365" s="1"/>
      <c r="AT4365" s="1"/>
      <c r="AU4365" s="1"/>
      <c r="AV4365" s="1"/>
      <c r="AW4365" s="1"/>
      <c r="AX4365" s="1"/>
      <c r="AY4365" s="1"/>
    </row>
    <row r="4366" spans="1:51" customFormat="1" ht="18" customHeight="1">
      <c r="B4366" s="12" t="s">
        <v>302</v>
      </c>
      <c r="C4366" s="6" t="s">
        <v>5316</v>
      </c>
      <c r="D4366" s="14" t="s">
        <v>3067</v>
      </c>
      <c r="E4366" s="22">
        <v>2440</v>
      </c>
      <c r="F4366" s="107">
        <v>140</v>
      </c>
      <c r="G4366" s="22" t="s">
        <v>5128</v>
      </c>
      <c r="H4366" s="108">
        <v>50</v>
      </c>
      <c r="I4366" s="109">
        <v>1</v>
      </c>
      <c r="J4366" s="8">
        <f>H4366*I4366</f>
        <v>50</v>
      </c>
      <c r="K4366" s="39">
        <v>4.3099999999999996</v>
      </c>
      <c r="L4366" s="39">
        <f>K4366*J4366</f>
        <v>215.49999999999997</v>
      </c>
      <c r="M4366" s="117" t="s">
        <v>323</v>
      </c>
      <c r="N4366" s="1398">
        <v>45714</v>
      </c>
      <c r="O4366" s="32">
        <v>6881</v>
      </c>
      <c r="P4366" s="391">
        <f>ROUNDUP(S4366/V4366/VLOOKUP(B4366,$C$2:$F$6,3,FALSE),2)</f>
        <v>2.94</v>
      </c>
      <c r="Q4366" s="254">
        <v>2.94</v>
      </c>
      <c r="R4366" s="323">
        <f>Q4366*J4366</f>
        <v>147</v>
      </c>
      <c r="S4366" s="257">
        <v>310</v>
      </c>
      <c r="T4366" s="287">
        <f>S4366*J4366</f>
        <v>15500</v>
      </c>
      <c r="U4366" s="264"/>
      <c r="V4366" s="260">
        <v>120</v>
      </c>
      <c r="W4366" s="1136">
        <f t="shared" si="380"/>
        <v>0.40061871616395972</v>
      </c>
      <c r="X4366" s="1"/>
      <c r="Y4366" s="1"/>
      <c r="Z4366" s="1"/>
      <c r="AA4366" s="1"/>
      <c r="AB4366" s="1"/>
      <c r="AC4366" s="1"/>
      <c r="AD4366" s="1"/>
      <c r="AE4366" s="1"/>
      <c r="AF4366" s="1"/>
      <c r="AG4366" s="1"/>
      <c r="AH4366" s="1"/>
      <c r="AI4366" s="1"/>
      <c r="AJ4366" s="1"/>
      <c r="AK4366" s="1"/>
      <c r="AL4366" s="1"/>
      <c r="AM4366" s="1"/>
      <c r="AN4366" s="1"/>
      <c r="AO4366" s="1"/>
      <c r="AP4366" s="1"/>
      <c r="AQ4366" s="1"/>
      <c r="AR4366" s="1"/>
      <c r="AS4366" s="1"/>
      <c r="AT4366" s="1"/>
      <c r="AU4366" s="1"/>
      <c r="AV4366" s="1"/>
      <c r="AW4366" s="1"/>
      <c r="AX4366" s="1"/>
      <c r="AY4366" s="1"/>
    </row>
    <row r="4367" spans="1:51" s="7" customFormat="1" ht="15">
      <c r="B4367" s="12"/>
      <c r="C4367" s="6" t="s">
        <v>5316</v>
      </c>
      <c r="D4367" s="14" t="s">
        <v>3067</v>
      </c>
      <c r="E4367" s="49"/>
      <c r="F4367" s="102"/>
      <c r="G4367" s="22" t="s">
        <v>316</v>
      </c>
      <c r="H4367" s="38"/>
      <c r="I4367" s="35"/>
      <c r="J4367" s="38">
        <v>1</v>
      </c>
      <c r="K4367" s="39">
        <v>20</v>
      </c>
      <c r="L4367" s="39">
        <f>K4367*J4367</f>
        <v>20</v>
      </c>
      <c r="M4367" s="91"/>
      <c r="N4367" s="1398">
        <v>45714</v>
      </c>
      <c r="O4367" s="32">
        <v>6881</v>
      </c>
      <c r="P4367" s="722"/>
      <c r="Q4367" s="322">
        <v>20</v>
      </c>
      <c r="R4367" s="322">
        <f>Q4367*J4367</f>
        <v>20</v>
      </c>
      <c r="S4367" s="7">
        <v>2500</v>
      </c>
      <c r="T4367" s="7">
        <f>S4367*J4367</f>
        <v>2500</v>
      </c>
      <c r="U4367" s="21"/>
      <c r="V4367" s="260">
        <v>120</v>
      </c>
      <c r="W4367" s="1136">
        <f t="shared" si="380"/>
        <v>-4.1666666666666664E-2</v>
      </c>
    </row>
    <row r="4368" spans="1:51" s="191" customFormat="1" ht="15">
      <c r="B4368" s="190"/>
      <c r="C4368" s="179" t="s">
        <v>5316</v>
      </c>
      <c r="D4368" s="180" t="s">
        <v>3067</v>
      </c>
      <c r="E4368" s="181"/>
      <c r="F4368" s="182"/>
      <c r="G4368" s="182" t="s">
        <v>2738</v>
      </c>
      <c r="H4368" s="184" t="s">
        <v>251</v>
      </c>
      <c r="I4368" s="185"/>
      <c r="J4368" s="183"/>
      <c r="K4368" s="192">
        <v>0</v>
      </c>
      <c r="L4368" s="187"/>
      <c r="M4368" s="187"/>
      <c r="N4368" s="1399">
        <v>45714</v>
      </c>
      <c r="O4368" s="186">
        <v>6881</v>
      </c>
      <c r="P4368" s="179"/>
      <c r="Q4368" s="203"/>
      <c r="R4368" s="203"/>
      <c r="S4368" s="203"/>
      <c r="T4368" s="203"/>
      <c r="U4368" s="271"/>
      <c r="V4368" s="260">
        <v>120</v>
      </c>
      <c r="W4368" s="1136" t="e">
        <f t="shared" si="380"/>
        <v>#DIV/0!</v>
      </c>
    </row>
    <row r="4369" spans="1:23" s="7" customFormat="1" ht="15">
      <c r="B4369" s="12"/>
      <c r="C4369" s="965" t="s">
        <v>5352</v>
      </c>
      <c r="D4369" s="14" t="s">
        <v>3150</v>
      </c>
      <c r="E4369" s="19" t="s">
        <v>2244</v>
      </c>
      <c r="F4369" s="24"/>
      <c r="G4369" s="22"/>
      <c r="H4369" s="60"/>
      <c r="I4369" s="61"/>
      <c r="J4369" s="8"/>
      <c r="K4369" s="110" t="s">
        <v>5</v>
      </c>
      <c r="L4369" s="139"/>
      <c r="M4369" s="33"/>
      <c r="N4369" s="33">
        <v>45721</v>
      </c>
      <c r="O4369" s="32">
        <v>6905</v>
      </c>
      <c r="P4369" s="6" t="s">
        <v>8</v>
      </c>
      <c r="Q4369" s="358"/>
      <c r="U4369" s="120"/>
      <c r="V4369" s="260">
        <v>120</v>
      </c>
      <c r="W4369" s="1136" t="e">
        <f t="shared" si="380"/>
        <v>#VALUE!</v>
      </c>
    </row>
    <row r="4370" spans="1:23" s="7" customFormat="1" ht="18" customHeight="1">
      <c r="B4370" s="12" t="s">
        <v>300</v>
      </c>
      <c r="C4370" s="965" t="s">
        <v>5352</v>
      </c>
      <c r="D4370" s="14" t="s">
        <v>3150</v>
      </c>
      <c r="E4370" s="22">
        <v>11700</v>
      </c>
      <c r="F4370" s="37">
        <v>18</v>
      </c>
      <c r="G4370" s="22" t="s">
        <v>319</v>
      </c>
      <c r="H4370" s="8">
        <v>10</v>
      </c>
      <c r="I4370" s="35">
        <v>1</v>
      </c>
      <c r="J4370" s="108">
        <f t="shared" ref="J4370:J4381" si="381">H4370*I4370</f>
        <v>10</v>
      </c>
      <c r="K4370" s="958">
        <v>2.29</v>
      </c>
      <c r="L4370" s="39">
        <f t="shared" ref="L4370:L4382" si="382">K4370*J4370</f>
        <v>22.9</v>
      </c>
      <c r="M4370" s="117" t="s">
        <v>349</v>
      </c>
      <c r="N4370" s="33">
        <v>45721</v>
      </c>
      <c r="O4370" s="32">
        <v>6905</v>
      </c>
      <c r="P4370" s="391">
        <f t="shared" ref="P4370:P4381" si="383">ROUNDUP(S4370/V4370/VLOOKUP(B4370,$C$2:$F$6,3,FALSE),2)</f>
        <v>1.48</v>
      </c>
      <c r="Q4370" s="322">
        <v>1.48</v>
      </c>
      <c r="R4370" s="322">
        <f t="shared" ref="R4370:R4381" si="384">Q4370*J4370</f>
        <v>14.8</v>
      </c>
      <c r="S4370" s="7">
        <v>123.6</v>
      </c>
      <c r="T4370" s="7">
        <f t="shared" ref="T4370:T4381" si="385">S4370*J4370</f>
        <v>1236</v>
      </c>
      <c r="U4370" s="39"/>
      <c r="V4370" s="260">
        <v>120</v>
      </c>
      <c r="W4370" s="1136">
        <f>(((K4370*V4370)-S4370)/(K4370*V4370))</f>
        <v>0.55021834061135377</v>
      </c>
    </row>
    <row r="4371" spans="1:23" s="7" customFormat="1" ht="18" customHeight="1">
      <c r="B4371" s="12" t="s">
        <v>300</v>
      </c>
      <c r="C4371" s="965" t="s">
        <v>5352</v>
      </c>
      <c r="D4371" s="14" t="s">
        <v>3150</v>
      </c>
      <c r="E4371" s="22">
        <v>11700</v>
      </c>
      <c r="F4371" s="37">
        <v>24</v>
      </c>
      <c r="G4371" s="22" t="s">
        <v>319</v>
      </c>
      <c r="H4371" s="8">
        <v>10</v>
      </c>
      <c r="I4371" s="35">
        <v>1</v>
      </c>
      <c r="J4371" s="108">
        <f t="shared" si="381"/>
        <v>10</v>
      </c>
      <c r="K4371" s="958">
        <v>2.84</v>
      </c>
      <c r="L4371" s="39">
        <f t="shared" si="382"/>
        <v>28.4</v>
      </c>
      <c r="M4371" s="117" t="s">
        <v>349</v>
      </c>
      <c r="N4371" s="33">
        <v>45728</v>
      </c>
      <c r="O4371" s="32">
        <v>6906</v>
      </c>
      <c r="P4371" s="391">
        <f t="shared" si="383"/>
        <v>1.83</v>
      </c>
      <c r="Q4371" s="322">
        <v>1.83</v>
      </c>
      <c r="R4371" s="322">
        <f t="shared" si="384"/>
        <v>18.3</v>
      </c>
      <c r="S4371" s="7">
        <v>153.30000000000001</v>
      </c>
      <c r="T4371" s="7">
        <f t="shared" si="385"/>
        <v>1533</v>
      </c>
      <c r="U4371" s="39"/>
      <c r="V4371" s="260">
        <v>120</v>
      </c>
      <c r="W4371" s="1136">
        <f t="shared" si="380"/>
        <v>0.55017605633802813</v>
      </c>
    </row>
    <row r="4372" spans="1:23" s="7" customFormat="1" ht="18" customHeight="1">
      <c r="B4372" s="12" t="s">
        <v>300</v>
      </c>
      <c r="C4372" s="965" t="s">
        <v>5352</v>
      </c>
      <c r="D4372" s="14" t="s">
        <v>3150</v>
      </c>
      <c r="E4372" s="22">
        <v>11700</v>
      </c>
      <c r="F4372" s="37">
        <v>48</v>
      </c>
      <c r="G4372" s="22" t="s">
        <v>319</v>
      </c>
      <c r="H4372" s="8">
        <v>10</v>
      </c>
      <c r="I4372" s="35">
        <v>1</v>
      </c>
      <c r="J4372" s="108">
        <f t="shared" si="381"/>
        <v>10</v>
      </c>
      <c r="K4372" s="958">
        <v>6.97</v>
      </c>
      <c r="L4372" s="39">
        <f t="shared" si="382"/>
        <v>69.7</v>
      </c>
      <c r="M4372" s="117" t="s">
        <v>349</v>
      </c>
      <c r="N4372" s="33">
        <v>45721</v>
      </c>
      <c r="O4372" s="32">
        <v>6905</v>
      </c>
      <c r="P4372" s="391">
        <f t="shared" si="383"/>
        <v>4.4799999999999995</v>
      </c>
      <c r="Q4372" s="322">
        <v>4.4800000000000004</v>
      </c>
      <c r="R4372" s="322">
        <f t="shared" si="384"/>
        <v>44.800000000000004</v>
      </c>
      <c r="S4372" s="7">
        <v>376</v>
      </c>
      <c r="T4372" s="7">
        <f t="shared" si="385"/>
        <v>3760</v>
      </c>
      <c r="U4372" s="39"/>
      <c r="V4372" s="260">
        <v>120</v>
      </c>
      <c r="W4372" s="1136">
        <f t="shared" si="380"/>
        <v>0.55045432807269246</v>
      </c>
    </row>
    <row r="4373" spans="1:23" s="7" customFormat="1" ht="18" customHeight="1">
      <c r="B4373" s="12" t="s">
        <v>300</v>
      </c>
      <c r="C4373" s="965" t="s">
        <v>5352</v>
      </c>
      <c r="D4373" s="14" t="s">
        <v>3150</v>
      </c>
      <c r="E4373" s="22">
        <v>11700</v>
      </c>
      <c r="F4373" s="37">
        <v>18</v>
      </c>
      <c r="G4373" s="22" t="s">
        <v>157</v>
      </c>
      <c r="H4373" s="8">
        <v>10</v>
      </c>
      <c r="I4373" s="35">
        <v>1</v>
      </c>
      <c r="J4373" s="108">
        <f t="shared" si="381"/>
        <v>10</v>
      </c>
      <c r="K4373" s="958">
        <v>2.29</v>
      </c>
      <c r="L4373" s="39">
        <f t="shared" si="382"/>
        <v>22.9</v>
      </c>
      <c r="M4373" s="117" t="s">
        <v>349</v>
      </c>
      <c r="N4373" s="33">
        <v>45721</v>
      </c>
      <c r="O4373" s="32">
        <v>6905</v>
      </c>
      <c r="P4373" s="391">
        <f t="shared" si="383"/>
        <v>1.48</v>
      </c>
      <c r="Q4373" s="322">
        <v>1.48</v>
      </c>
      <c r="R4373" s="322">
        <f t="shared" si="384"/>
        <v>14.8</v>
      </c>
      <c r="S4373" s="7">
        <v>123.6</v>
      </c>
      <c r="T4373" s="7">
        <f t="shared" si="385"/>
        <v>1236</v>
      </c>
      <c r="U4373" s="39"/>
      <c r="V4373" s="260">
        <v>120</v>
      </c>
      <c r="W4373" s="1136">
        <f t="shared" si="380"/>
        <v>0.55021834061135377</v>
      </c>
    </row>
    <row r="4374" spans="1:23" s="7" customFormat="1" ht="18" customHeight="1">
      <c r="B4374" s="12" t="s">
        <v>300</v>
      </c>
      <c r="C4374" s="965" t="s">
        <v>5352</v>
      </c>
      <c r="D4374" s="14" t="s">
        <v>3150</v>
      </c>
      <c r="E4374" s="22">
        <v>11700</v>
      </c>
      <c r="F4374" s="37">
        <v>24</v>
      </c>
      <c r="G4374" s="22" t="s">
        <v>157</v>
      </c>
      <c r="H4374" s="8">
        <v>10</v>
      </c>
      <c r="I4374" s="35">
        <v>1</v>
      </c>
      <c r="J4374" s="108">
        <f t="shared" si="381"/>
        <v>10</v>
      </c>
      <c r="K4374" s="958">
        <v>2.84</v>
      </c>
      <c r="L4374" s="39">
        <f t="shared" si="382"/>
        <v>28.4</v>
      </c>
      <c r="M4374" s="117" t="s">
        <v>349</v>
      </c>
      <c r="N4374" s="33">
        <v>45721</v>
      </c>
      <c r="O4374" s="32">
        <v>6905</v>
      </c>
      <c r="P4374" s="391">
        <f t="shared" si="383"/>
        <v>1.83</v>
      </c>
      <c r="Q4374" s="322">
        <v>1.83</v>
      </c>
      <c r="R4374" s="322">
        <f t="shared" si="384"/>
        <v>18.3</v>
      </c>
      <c r="S4374" s="7">
        <v>153.30000000000001</v>
      </c>
      <c r="T4374" s="7">
        <f t="shared" si="385"/>
        <v>1533</v>
      </c>
      <c r="U4374" s="39"/>
      <c r="V4374" s="260">
        <v>120</v>
      </c>
      <c r="W4374" s="1136">
        <f t="shared" ref="W4374:W4381" si="386">(((K4374*V4374)-S4374)/(K4374*V4374))</f>
        <v>0.55017605633802813</v>
      </c>
    </row>
    <row r="4375" spans="1:23" s="7" customFormat="1" ht="18" customHeight="1">
      <c r="B4375" s="12" t="s">
        <v>300</v>
      </c>
      <c r="C4375" s="965" t="s">
        <v>5352</v>
      </c>
      <c r="D4375" s="14" t="s">
        <v>3150</v>
      </c>
      <c r="E4375" s="22">
        <v>11700</v>
      </c>
      <c r="F4375" s="37">
        <v>48</v>
      </c>
      <c r="G4375" s="22" t="s">
        <v>157</v>
      </c>
      <c r="H4375" s="8">
        <v>10</v>
      </c>
      <c r="I4375" s="35">
        <v>1</v>
      </c>
      <c r="J4375" s="108">
        <f t="shared" si="381"/>
        <v>10</v>
      </c>
      <c r="K4375" s="958">
        <v>6.97</v>
      </c>
      <c r="L4375" s="39">
        <f t="shared" si="382"/>
        <v>69.7</v>
      </c>
      <c r="M4375" s="117" t="s">
        <v>349</v>
      </c>
      <c r="N4375" s="33">
        <v>45721</v>
      </c>
      <c r="O4375" s="32">
        <v>6905</v>
      </c>
      <c r="P4375" s="391">
        <f t="shared" si="383"/>
        <v>4.4799999999999995</v>
      </c>
      <c r="Q4375" s="322">
        <v>4.4800000000000004</v>
      </c>
      <c r="R4375" s="322">
        <f t="shared" si="384"/>
        <v>44.800000000000004</v>
      </c>
      <c r="S4375" s="7">
        <v>376</v>
      </c>
      <c r="T4375" s="7">
        <f t="shared" si="385"/>
        <v>3760</v>
      </c>
      <c r="U4375" s="39"/>
      <c r="V4375" s="260">
        <v>120</v>
      </c>
      <c r="W4375" s="1136">
        <f t="shared" si="386"/>
        <v>0.55045432807269246</v>
      </c>
    </row>
    <row r="4376" spans="1:23" s="7" customFormat="1" ht="18" customHeight="1">
      <c r="B4376" s="12" t="s">
        <v>300</v>
      </c>
      <c r="C4376" s="965" t="s">
        <v>5352</v>
      </c>
      <c r="D4376" s="14" t="s">
        <v>3150</v>
      </c>
      <c r="E4376" s="22">
        <v>11700</v>
      </c>
      <c r="F4376" s="37">
        <v>18</v>
      </c>
      <c r="G4376" s="22" t="s">
        <v>4964</v>
      </c>
      <c r="H4376" s="8">
        <v>10</v>
      </c>
      <c r="I4376" s="35">
        <v>1</v>
      </c>
      <c r="J4376" s="108">
        <f t="shared" si="381"/>
        <v>10</v>
      </c>
      <c r="K4376" s="958">
        <v>2.29</v>
      </c>
      <c r="L4376" s="39">
        <f t="shared" si="382"/>
        <v>22.9</v>
      </c>
      <c r="M4376" s="117" t="s">
        <v>349</v>
      </c>
      <c r="N4376" s="33">
        <v>45721</v>
      </c>
      <c r="O4376" s="32">
        <v>6905</v>
      </c>
      <c r="P4376" s="391">
        <f t="shared" si="383"/>
        <v>1.48</v>
      </c>
      <c r="Q4376" s="322">
        <v>1.48</v>
      </c>
      <c r="R4376" s="322">
        <f t="shared" si="384"/>
        <v>14.8</v>
      </c>
      <c r="S4376" s="7">
        <v>123.6</v>
      </c>
      <c r="T4376" s="7">
        <f t="shared" si="385"/>
        <v>1236</v>
      </c>
      <c r="U4376" s="39"/>
      <c r="V4376" s="260">
        <v>120</v>
      </c>
      <c r="W4376" s="1136">
        <f t="shared" si="386"/>
        <v>0.55021834061135377</v>
      </c>
    </row>
    <row r="4377" spans="1:23" s="7" customFormat="1" ht="18" customHeight="1">
      <c r="B4377" s="12" t="s">
        <v>300</v>
      </c>
      <c r="C4377" s="965" t="s">
        <v>5352</v>
      </c>
      <c r="D4377" s="14" t="s">
        <v>3150</v>
      </c>
      <c r="E4377" s="22">
        <v>11700</v>
      </c>
      <c r="F4377" s="37">
        <v>24</v>
      </c>
      <c r="G4377" s="22" t="s">
        <v>4964</v>
      </c>
      <c r="H4377" s="8">
        <v>10</v>
      </c>
      <c r="I4377" s="35">
        <v>1</v>
      </c>
      <c r="J4377" s="108">
        <f t="shared" si="381"/>
        <v>10</v>
      </c>
      <c r="K4377" s="958">
        <v>2.84</v>
      </c>
      <c r="L4377" s="39">
        <f t="shared" si="382"/>
        <v>28.4</v>
      </c>
      <c r="M4377" s="117" t="s">
        <v>349</v>
      </c>
      <c r="N4377" s="33">
        <v>45721</v>
      </c>
      <c r="O4377" s="32">
        <v>6905</v>
      </c>
      <c r="P4377" s="391">
        <f t="shared" si="383"/>
        <v>1.83</v>
      </c>
      <c r="Q4377" s="322">
        <v>1.83</v>
      </c>
      <c r="R4377" s="322">
        <f t="shared" si="384"/>
        <v>18.3</v>
      </c>
      <c r="S4377" s="7">
        <v>153.30000000000001</v>
      </c>
      <c r="T4377" s="7">
        <f t="shared" si="385"/>
        <v>1533</v>
      </c>
      <c r="U4377" s="39"/>
      <c r="V4377" s="260">
        <v>120</v>
      </c>
      <c r="W4377" s="1136">
        <f t="shared" si="386"/>
        <v>0.55017605633802813</v>
      </c>
    </row>
    <row r="4378" spans="1:23" s="7" customFormat="1" ht="18" customHeight="1">
      <c r="B4378" s="12" t="s">
        <v>300</v>
      </c>
      <c r="C4378" s="965" t="s">
        <v>5352</v>
      </c>
      <c r="D4378" s="14" t="s">
        <v>3150</v>
      </c>
      <c r="E4378" s="22">
        <v>11700</v>
      </c>
      <c r="F4378" s="37">
        <v>48</v>
      </c>
      <c r="G4378" s="22" t="s">
        <v>4964</v>
      </c>
      <c r="H4378" s="8">
        <v>10</v>
      </c>
      <c r="I4378" s="35">
        <v>1</v>
      </c>
      <c r="J4378" s="108">
        <f t="shared" si="381"/>
        <v>10</v>
      </c>
      <c r="K4378" s="958">
        <v>6.97</v>
      </c>
      <c r="L4378" s="39">
        <f t="shared" si="382"/>
        <v>69.7</v>
      </c>
      <c r="M4378" s="117" t="s">
        <v>349</v>
      </c>
      <c r="N4378" s="33">
        <v>45721</v>
      </c>
      <c r="O4378" s="32">
        <v>6905</v>
      </c>
      <c r="P4378" s="391">
        <f t="shared" si="383"/>
        <v>4.4799999999999995</v>
      </c>
      <c r="Q4378" s="322">
        <v>4.4800000000000004</v>
      </c>
      <c r="R4378" s="322">
        <f t="shared" si="384"/>
        <v>44.800000000000004</v>
      </c>
      <c r="S4378" s="7">
        <v>376</v>
      </c>
      <c r="T4378" s="7">
        <f t="shared" si="385"/>
        <v>3760</v>
      </c>
      <c r="U4378" s="39"/>
      <c r="V4378" s="260">
        <v>120</v>
      </c>
      <c r="W4378" s="1136">
        <f t="shared" si="386"/>
        <v>0.55045432807269246</v>
      </c>
    </row>
    <row r="4379" spans="1:23" s="7" customFormat="1" ht="18" customHeight="1">
      <c r="B4379" s="12" t="s">
        <v>300</v>
      </c>
      <c r="C4379" s="965" t="s">
        <v>5352</v>
      </c>
      <c r="D4379" s="14" t="s">
        <v>3150</v>
      </c>
      <c r="E4379" s="22">
        <v>11700</v>
      </c>
      <c r="F4379" s="37">
        <v>18</v>
      </c>
      <c r="G4379" s="22" t="s">
        <v>3899</v>
      </c>
      <c r="H4379" s="8">
        <v>10</v>
      </c>
      <c r="I4379" s="35">
        <v>1</v>
      </c>
      <c r="J4379" s="108">
        <f t="shared" si="381"/>
        <v>10</v>
      </c>
      <c r="K4379" s="958">
        <v>2.29</v>
      </c>
      <c r="L4379" s="39">
        <f t="shared" si="382"/>
        <v>22.9</v>
      </c>
      <c r="M4379" s="117" t="s">
        <v>349</v>
      </c>
      <c r="N4379" s="33">
        <v>45721</v>
      </c>
      <c r="O4379" s="32">
        <v>6905</v>
      </c>
      <c r="P4379" s="391">
        <f t="shared" si="383"/>
        <v>1.48</v>
      </c>
      <c r="Q4379" s="322">
        <v>1.48</v>
      </c>
      <c r="R4379" s="322">
        <f t="shared" si="384"/>
        <v>14.8</v>
      </c>
      <c r="S4379" s="7">
        <v>123.6</v>
      </c>
      <c r="T4379" s="7">
        <f t="shared" si="385"/>
        <v>1236</v>
      </c>
      <c r="U4379" s="39"/>
      <c r="V4379" s="260">
        <v>120</v>
      </c>
      <c r="W4379" s="1136">
        <f t="shared" si="386"/>
        <v>0.55021834061135377</v>
      </c>
    </row>
    <row r="4380" spans="1:23" s="7" customFormat="1" ht="18" customHeight="1">
      <c r="B4380" s="12" t="s">
        <v>300</v>
      </c>
      <c r="C4380" s="965" t="s">
        <v>5352</v>
      </c>
      <c r="D4380" s="14" t="s">
        <v>3150</v>
      </c>
      <c r="E4380" s="22">
        <v>11700</v>
      </c>
      <c r="F4380" s="37">
        <v>24</v>
      </c>
      <c r="G4380" s="22" t="s">
        <v>3899</v>
      </c>
      <c r="H4380" s="8">
        <v>10</v>
      </c>
      <c r="I4380" s="35">
        <v>1</v>
      </c>
      <c r="J4380" s="108">
        <f t="shared" si="381"/>
        <v>10</v>
      </c>
      <c r="K4380" s="958">
        <v>2.84</v>
      </c>
      <c r="L4380" s="39">
        <f t="shared" si="382"/>
        <v>28.4</v>
      </c>
      <c r="M4380" s="117" t="s">
        <v>349</v>
      </c>
      <c r="N4380" s="33">
        <v>45721</v>
      </c>
      <c r="O4380" s="32">
        <v>6905</v>
      </c>
      <c r="P4380" s="391">
        <f t="shared" si="383"/>
        <v>1.83</v>
      </c>
      <c r="Q4380" s="322">
        <v>1.83</v>
      </c>
      <c r="R4380" s="322">
        <f t="shared" si="384"/>
        <v>18.3</v>
      </c>
      <c r="S4380" s="7">
        <v>153.30000000000001</v>
      </c>
      <c r="T4380" s="7">
        <f t="shared" si="385"/>
        <v>1533</v>
      </c>
      <c r="U4380" s="39"/>
      <c r="V4380" s="260">
        <v>120</v>
      </c>
      <c r="W4380" s="1136">
        <f t="shared" si="386"/>
        <v>0.55017605633802813</v>
      </c>
    </row>
    <row r="4381" spans="1:23" s="7" customFormat="1" ht="18" customHeight="1">
      <c r="B4381" s="12" t="s">
        <v>300</v>
      </c>
      <c r="C4381" s="965" t="s">
        <v>5352</v>
      </c>
      <c r="D4381" s="14" t="s">
        <v>3150</v>
      </c>
      <c r="E4381" s="22">
        <v>11700</v>
      </c>
      <c r="F4381" s="37">
        <v>48</v>
      </c>
      <c r="G4381" s="22" t="s">
        <v>3899</v>
      </c>
      <c r="H4381" s="8">
        <v>10</v>
      </c>
      <c r="I4381" s="35">
        <v>1</v>
      </c>
      <c r="J4381" s="108">
        <f t="shared" si="381"/>
        <v>10</v>
      </c>
      <c r="K4381" s="958">
        <v>6.97</v>
      </c>
      <c r="L4381" s="39">
        <f t="shared" si="382"/>
        <v>69.7</v>
      </c>
      <c r="M4381" s="117" t="s">
        <v>349</v>
      </c>
      <c r="N4381" s="33">
        <v>45728</v>
      </c>
      <c r="O4381" s="32">
        <v>6906</v>
      </c>
      <c r="P4381" s="391">
        <f t="shared" si="383"/>
        <v>4.4799999999999995</v>
      </c>
      <c r="Q4381" s="322">
        <v>4.4800000000000004</v>
      </c>
      <c r="R4381" s="322">
        <f t="shared" si="384"/>
        <v>44.800000000000004</v>
      </c>
      <c r="S4381" s="7">
        <v>376</v>
      </c>
      <c r="T4381" s="7">
        <f t="shared" si="385"/>
        <v>3760</v>
      </c>
      <c r="U4381" s="39"/>
      <c r="V4381" s="260">
        <v>120</v>
      </c>
      <c r="W4381" s="1136">
        <f t="shared" si="386"/>
        <v>0.55045432807269246</v>
      </c>
    </row>
    <row r="4382" spans="1:23" customFormat="1" ht="15.95" customHeight="1">
      <c r="A4382" s="1"/>
      <c r="B4382" s="12" t="s">
        <v>306</v>
      </c>
      <c r="C4382" s="965" t="s">
        <v>5352</v>
      </c>
      <c r="D4382" s="14" t="s">
        <v>3150</v>
      </c>
      <c r="E4382" s="22"/>
      <c r="F4382" s="102"/>
      <c r="G4382" s="37" t="s">
        <v>316</v>
      </c>
      <c r="H4382" s="8"/>
      <c r="I4382" s="35"/>
      <c r="J4382" s="38">
        <v>1</v>
      </c>
      <c r="K4382" s="39">
        <v>12</v>
      </c>
      <c r="L4382" s="39">
        <f t="shared" si="382"/>
        <v>12</v>
      </c>
      <c r="M4382" s="91"/>
      <c r="N4382" s="33">
        <v>45721</v>
      </c>
      <c r="O4382" s="32">
        <v>6905</v>
      </c>
      <c r="P4382" s="39"/>
      <c r="Q4382" s="358">
        <v>12</v>
      </c>
      <c r="R4382" s="323">
        <v>12</v>
      </c>
      <c r="S4382" s="7">
        <v>0</v>
      </c>
      <c r="T4382" s="7">
        <v>0</v>
      </c>
      <c r="U4382" s="270"/>
      <c r="V4382" s="260">
        <v>120</v>
      </c>
      <c r="W4382" s="1136">
        <f t="shared" si="380"/>
        <v>1</v>
      </c>
    </row>
    <row r="4383" spans="1:23" s="191" customFormat="1" ht="15">
      <c r="B4383" s="190"/>
      <c r="C4383" s="966" t="s">
        <v>5352</v>
      </c>
      <c r="D4383" s="180" t="s">
        <v>3150</v>
      </c>
      <c r="E4383" s="181"/>
      <c r="F4383" s="182"/>
      <c r="G4383" s="182" t="s">
        <v>250</v>
      </c>
      <c r="H4383" s="184" t="s">
        <v>251</v>
      </c>
      <c r="I4383" s="185"/>
      <c r="J4383" s="183"/>
      <c r="K4383" s="192">
        <v>0</v>
      </c>
      <c r="L4383" s="187"/>
      <c r="M4383" s="187"/>
      <c r="N4383" s="187">
        <v>45721</v>
      </c>
      <c r="O4383" s="186">
        <v>6905</v>
      </c>
      <c r="P4383" s="179"/>
      <c r="Q4383" s="255">
        <v>0</v>
      </c>
      <c r="S4383" s="275">
        <v>0</v>
      </c>
      <c r="T4383" s="198">
        <v>0</v>
      </c>
      <c r="U4383" s="271"/>
      <c r="V4383" s="260">
        <v>120</v>
      </c>
      <c r="W4383" s="1136" t="e">
        <f t="shared" si="380"/>
        <v>#DIV/0!</v>
      </c>
    </row>
    <row r="4384" spans="1:23" s="7" customFormat="1" ht="18" customHeight="1">
      <c r="B4384" s="12"/>
      <c r="C4384" s="965" t="s">
        <v>5364</v>
      </c>
      <c r="D4384" s="14" t="s">
        <v>5365</v>
      </c>
      <c r="E4384" s="19" t="s">
        <v>200</v>
      </c>
      <c r="F4384" s="37"/>
      <c r="G4384" s="37"/>
      <c r="H4384" s="108"/>
      <c r="I4384" s="108"/>
      <c r="J4384" s="108"/>
      <c r="K4384" s="29" t="s">
        <v>5</v>
      </c>
      <c r="L4384" s="139"/>
      <c r="M4384" s="33"/>
      <c r="N4384" s="33">
        <v>45728</v>
      </c>
      <c r="O4384" s="32">
        <v>6899</v>
      </c>
      <c r="P4384" s="6"/>
      <c r="Q4384" s="339"/>
      <c r="U4384" s="21"/>
      <c r="V4384" s="260">
        <v>120</v>
      </c>
      <c r="W4384" s="1136" t="e">
        <f t="shared" si="380"/>
        <v>#VALUE!</v>
      </c>
    </row>
    <row r="4385" spans="2:23" s="7" customFormat="1" ht="18" customHeight="1">
      <c r="B4385" s="12" t="s">
        <v>300</v>
      </c>
      <c r="C4385" s="965" t="s">
        <v>5364</v>
      </c>
      <c r="D4385" s="14" t="s">
        <v>5365</v>
      </c>
      <c r="E4385" s="374" t="s">
        <v>2950</v>
      </c>
      <c r="F4385" s="37"/>
      <c r="G4385" s="839" t="s">
        <v>5366</v>
      </c>
      <c r="H4385" s="108">
        <v>30</v>
      </c>
      <c r="I4385" s="109">
        <v>2</v>
      </c>
      <c r="J4385" s="8">
        <f>H4385*I4385</f>
        <v>60</v>
      </c>
      <c r="K4385" s="39">
        <v>0.84</v>
      </c>
      <c r="L4385" s="39">
        <f>K4385*J4385</f>
        <v>50.4</v>
      </c>
      <c r="M4385" s="117" t="s">
        <v>349</v>
      </c>
      <c r="N4385" s="33">
        <v>45728</v>
      </c>
      <c r="O4385" s="32">
        <v>6899</v>
      </c>
      <c r="P4385" s="391">
        <f>ROUNDUP(S4385/V4385/VLOOKUP(B4385,$C$2:$F$6,3,FALSE),2)</f>
        <v>0.54</v>
      </c>
      <c r="Q4385" s="322">
        <v>0.54</v>
      </c>
      <c r="R4385" s="322">
        <f>Q4385*J4385</f>
        <v>32.400000000000006</v>
      </c>
      <c r="S4385" s="7">
        <v>45</v>
      </c>
      <c r="T4385" s="7">
        <f>S4385*J4385</f>
        <v>2700</v>
      </c>
      <c r="U4385" s="778"/>
      <c r="V4385" s="260">
        <v>120</v>
      </c>
      <c r="W4385" s="1136">
        <f t="shared" si="380"/>
        <v>0.5535714285714286</v>
      </c>
    </row>
    <row r="4386" spans="2:23" s="7" customFormat="1" ht="18" customHeight="1">
      <c r="B4386" s="12" t="s">
        <v>300</v>
      </c>
      <c r="C4386" s="965" t="s">
        <v>5364</v>
      </c>
      <c r="D4386" s="14" t="s">
        <v>5365</v>
      </c>
      <c r="E4386" s="374" t="s">
        <v>2950</v>
      </c>
      <c r="F4386" s="37"/>
      <c r="G4386" s="839" t="s">
        <v>5367</v>
      </c>
      <c r="H4386" s="108">
        <v>30</v>
      </c>
      <c r="I4386" s="109">
        <v>4</v>
      </c>
      <c r="J4386" s="8">
        <f>H4386*I4386</f>
        <v>120</v>
      </c>
      <c r="K4386" s="39">
        <v>0.84</v>
      </c>
      <c r="L4386" s="39">
        <f>K4386*J4386</f>
        <v>100.8</v>
      </c>
      <c r="M4386" s="117" t="s">
        <v>349</v>
      </c>
      <c r="N4386" s="33">
        <v>45728</v>
      </c>
      <c r="O4386" s="32">
        <v>6899</v>
      </c>
      <c r="P4386" s="391">
        <f>ROUNDUP(S4386/V4386/VLOOKUP(B4386,$C$2:$F$6,3,FALSE),2)</f>
        <v>0.54</v>
      </c>
      <c r="Q4386" s="322">
        <v>0.54</v>
      </c>
      <c r="R4386" s="322">
        <f>Q4386*J4386</f>
        <v>64.800000000000011</v>
      </c>
      <c r="S4386" s="7">
        <v>45</v>
      </c>
      <c r="T4386" s="7">
        <f>S4386*J4386</f>
        <v>5400</v>
      </c>
      <c r="U4386" s="778"/>
      <c r="V4386" s="260">
        <v>120</v>
      </c>
      <c r="W4386" s="1136">
        <f t="shared" si="380"/>
        <v>0.5535714285714286</v>
      </c>
    </row>
    <row r="4387" spans="2:23" s="7" customFormat="1" ht="18" customHeight="1">
      <c r="B4387" s="12"/>
      <c r="C4387" s="965" t="s">
        <v>5364</v>
      </c>
      <c r="D4387" s="14" t="s">
        <v>5365</v>
      </c>
      <c r="E4387" s="19" t="s">
        <v>200</v>
      </c>
      <c r="F4387" s="37"/>
      <c r="G4387" s="37"/>
      <c r="H4387" s="108"/>
      <c r="I4387" s="108"/>
      <c r="J4387" s="108"/>
      <c r="K4387" s="110" t="s">
        <v>5</v>
      </c>
      <c r="L4387" s="139"/>
      <c r="M4387" s="33"/>
      <c r="N4387" s="33">
        <v>45728</v>
      </c>
      <c r="O4387" s="32">
        <v>6899</v>
      </c>
      <c r="P4387" s="6"/>
      <c r="Q4387" s="339"/>
      <c r="U4387" s="21"/>
      <c r="V4387" s="260">
        <v>120</v>
      </c>
      <c r="W4387" s="1136" t="e">
        <f t="shared" si="380"/>
        <v>#VALUE!</v>
      </c>
    </row>
    <row r="4388" spans="2:23" s="7" customFormat="1" ht="18" customHeight="1">
      <c r="B4388" s="12" t="s">
        <v>300</v>
      </c>
      <c r="C4388" s="965" t="s">
        <v>5364</v>
      </c>
      <c r="D4388" s="14" t="s">
        <v>5365</v>
      </c>
      <c r="E4388" s="374">
        <v>5606</v>
      </c>
      <c r="F4388" s="37"/>
      <c r="G4388" s="22" t="s">
        <v>2710</v>
      </c>
      <c r="H4388" s="108">
        <v>50</v>
      </c>
      <c r="I4388" s="950">
        <v>1</v>
      </c>
      <c r="J4388" s="8">
        <f>I4388*H4388</f>
        <v>50</v>
      </c>
      <c r="K4388" s="39">
        <v>0.23</v>
      </c>
      <c r="L4388" s="39">
        <f>K4388*J4388</f>
        <v>11.5</v>
      </c>
      <c r="M4388" s="117" t="s">
        <v>349</v>
      </c>
      <c r="N4388" s="33">
        <v>45728</v>
      </c>
      <c r="O4388" s="32">
        <v>6899</v>
      </c>
      <c r="P4388" s="391">
        <f>ROUNDUP(S4388/V4388/VLOOKUP(B4388,$C$2:$F$6,3,FALSE),2)</f>
        <v>0.15000000000000002</v>
      </c>
      <c r="Q4388" s="322">
        <v>0.15</v>
      </c>
      <c r="R4388" s="322">
        <f>Q4388*J4388</f>
        <v>7.5</v>
      </c>
      <c r="S4388" s="7">
        <v>12.3</v>
      </c>
      <c r="T4388" s="7">
        <f>S4388*J4388</f>
        <v>615</v>
      </c>
      <c r="U4388" s="21"/>
      <c r="V4388" s="260">
        <v>120</v>
      </c>
      <c r="W4388" s="1136">
        <f t="shared" si="380"/>
        <v>0.55434782608695654</v>
      </c>
    </row>
    <row r="4389" spans="2:23" s="7" customFormat="1" ht="18" customHeight="1">
      <c r="B4389" s="12"/>
      <c r="C4389" s="965" t="s">
        <v>5364</v>
      </c>
      <c r="D4389" s="14" t="s">
        <v>5365</v>
      </c>
      <c r="E4389" s="22"/>
      <c r="F4389" s="102"/>
      <c r="G4389" s="22" t="s">
        <v>316</v>
      </c>
      <c r="H4389" s="8"/>
      <c r="I4389" s="35"/>
      <c r="J4389" s="38">
        <v>2</v>
      </c>
      <c r="K4389" s="39">
        <v>12</v>
      </c>
      <c r="L4389" s="39">
        <f>K4389*J4389</f>
        <v>24</v>
      </c>
      <c r="M4389" s="91"/>
      <c r="N4389" s="33">
        <v>45728</v>
      </c>
      <c r="O4389" s="32">
        <v>6899</v>
      </c>
      <c r="P4389" s="6" t="s">
        <v>3</v>
      </c>
      <c r="Q4389" s="39">
        <v>12</v>
      </c>
      <c r="R4389" s="322">
        <f>Q4389*J4389</f>
        <v>24</v>
      </c>
      <c r="S4389" s="1388">
        <f>900+1100</f>
        <v>2000</v>
      </c>
      <c r="T4389" s="1388">
        <f>900+1100</f>
        <v>2000</v>
      </c>
      <c r="U4389" s="21"/>
      <c r="V4389" s="260">
        <v>120</v>
      </c>
      <c r="W4389" s="1136">
        <f t="shared" si="380"/>
        <v>-0.3888888888888889</v>
      </c>
    </row>
    <row r="4390" spans="2:23" s="191" customFormat="1" ht="18" customHeight="1">
      <c r="B4390" s="190"/>
      <c r="C4390" s="966" t="s">
        <v>5364</v>
      </c>
      <c r="D4390" s="180" t="s">
        <v>5365</v>
      </c>
      <c r="E4390" s="217"/>
      <c r="F4390" s="182"/>
      <c r="G4390" s="182" t="s">
        <v>250</v>
      </c>
      <c r="H4390" s="184" t="s">
        <v>251</v>
      </c>
      <c r="I4390" s="185"/>
      <c r="J4390" s="183"/>
      <c r="K4390" s="192">
        <v>0</v>
      </c>
      <c r="L4390" s="192">
        <v>0</v>
      </c>
      <c r="M4390" s="187"/>
      <c r="N4390" s="187">
        <v>45728</v>
      </c>
      <c r="O4390" s="186">
        <v>6899</v>
      </c>
      <c r="P4390" s="179"/>
      <c r="Q4390" s="192">
        <v>0</v>
      </c>
      <c r="R4390" s="192">
        <v>0</v>
      </c>
      <c r="S4390" s="197">
        <v>0</v>
      </c>
      <c r="T4390" s="197">
        <v>0</v>
      </c>
      <c r="U4390" s="335"/>
      <c r="V4390" s="260">
        <v>120</v>
      </c>
      <c r="W4390" s="1136" t="e">
        <f t="shared" si="380"/>
        <v>#DIV/0!</v>
      </c>
    </row>
    <row r="4391" spans="2:23" s="7" customFormat="1" ht="18" customHeight="1">
      <c r="B4391" s="12"/>
      <c r="C4391" s="6" t="s">
        <v>5368</v>
      </c>
      <c r="D4391" s="14" t="s">
        <v>4693</v>
      </c>
      <c r="E4391" s="19" t="s">
        <v>4809</v>
      </c>
      <c r="F4391" s="107"/>
      <c r="G4391" s="22"/>
      <c r="H4391" s="108"/>
      <c r="I4391" s="109"/>
      <c r="J4391" s="108"/>
      <c r="K4391" s="29" t="s">
        <v>5</v>
      </c>
      <c r="L4391" s="39"/>
      <c r="M4391" s="91"/>
      <c r="N4391" s="1398">
        <v>45720</v>
      </c>
      <c r="O4391" s="32">
        <v>6900</v>
      </c>
      <c r="P4391" s="14"/>
      <c r="Q4391" s="322"/>
      <c r="U4391" s="14"/>
      <c r="V4391" s="384">
        <v>120</v>
      </c>
    </row>
    <row r="4392" spans="2:23" s="7" customFormat="1" ht="18" customHeight="1">
      <c r="B4392" s="12" t="s">
        <v>302</v>
      </c>
      <c r="C4392" s="6" t="s">
        <v>5368</v>
      </c>
      <c r="D4392" s="14" t="s">
        <v>4693</v>
      </c>
      <c r="E4392" s="22" t="s">
        <v>4808</v>
      </c>
      <c r="F4392" s="107">
        <v>140</v>
      </c>
      <c r="G4392" s="396" t="s">
        <v>4483</v>
      </c>
      <c r="H4392" s="131">
        <v>50.4</v>
      </c>
      <c r="I4392" s="109">
        <v>1</v>
      </c>
      <c r="J4392" s="131">
        <f>H4392*I4392</f>
        <v>50.4</v>
      </c>
      <c r="K4392" s="39">
        <v>13.87</v>
      </c>
      <c r="L4392" s="39">
        <f t="shared" ref="L4392:L4402" si="387">K4392*J4392</f>
        <v>699.04799999999989</v>
      </c>
      <c r="M4392" s="117" t="s">
        <v>323</v>
      </c>
      <c r="N4392" s="1398">
        <v>45720</v>
      </c>
      <c r="O4392" s="32">
        <v>6900</v>
      </c>
      <c r="P4392" s="391">
        <f>ROUNDUP(S4392/V4392/VLOOKUP(B4392,$C$2:$F$6,3,FALSE),2)</f>
        <v>11.459999999999999</v>
      </c>
      <c r="Q4392" s="322">
        <v>11.46</v>
      </c>
      <c r="R4392" s="322">
        <f t="shared" ref="R4392:R4402" si="388">Q4392*J4392</f>
        <v>577.58400000000006</v>
      </c>
      <c r="S4392" s="92">
        <v>1210</v>
      </c>
      <c r="T4392" s="7">
        <f t="shared" ref="T4392:T4397" si="389">S4392*J4392</f>
        <v>60984</v>
      </c>
      <c r="U4392" s="21"/>
      <c r="V4392" s="260">
        <v>120</v>
      </c>
      <c r="W4392" s="1136">
        <f t="shared" ref="W4392:W4410" si="390">(((K4392*V4392)-S4392)/(K4392*V4392))</f>
        <v>0.27301129536169183</v>
      </c>
    </row>
    <row r="4393" spans="2:23" s="7" customFormat="1" ht="18" customHeight="1">
      <c r="B4393" s="12" t="s">
        <v>302</v>
      </c>
      <c r="C4393" s="6" t="s">
        <v>5368</v>
      </c>
      <c r="D4393" s="14" t="s">
        <v>4693</v>
      </c>
      <c r="E4393" s="22" t="s">
        <v>4808</v>
      </c>
      <c r="F4393" s="107">
        <v>140</v>
      </c>
      <c r="G4393" s="396" t="s">
        <v>4483</v>
      </c>
      <c r="H4393" s="131">
        <v>50.2</v>
      </c>
      <c r="I4393" s="109">
        <v>2</v>
      </c>
      <c r="J4393" s="131">
        <f>H4393*I4393</f>
        <v>100.4</v>
      </c>
      <c r="K4393" s="39">
        <v>13.87</v>
      </c>
      <c r="L4393" s="39">
        <f t="shared" si="387"/>
        <v>1392.548</v>
      </c>
      <c r="M4393" s="117" t="s">
        <v>323</v>
      </c>
      <c r="N4393" s="1398">
        <v>45720</v>
      </c>
      <c r="O4393" s="32">
        <v>6900</v>
      </c>
      <c r="P4393" s="391">
        <f>ROUNDUP(S4393/V4393/VLOOKUP(B4393,$C$2:$F$6,3,FALSE),2)</f>
        <v>11.459999999999999</v>
      </c>
      <c r="Q4393" s="322">
        <v>11.46</v>
      </c>
      <c r="R4393" s="322">
        <f t="shared" si="388"/>
        <v>1150.5840000000001</v>
      </c>
      <c r="S4393" s="92">
        <v>1210</v>
      </c>
      <c r="T4393" s="7">
        <f t="shared" si="389"/>
        <v>121484</v>
      </c>
      <c r="U4393" s="21"/>
      <c r="V4393" s="260">
        <v>120</v>
      </c>
      <c r="W4393" s="1136">
        <f t="shared" si="390"/>
        <v>0.27301129536169183</v>
      </c>
    </row>
    <row r="4394" spans="2:23" s="7" customFormat="1" ht="18" customHeight="1">
      <c r="B4394" s="12" t="s">
        <v>302</v>
      </c>
      <c r="C4394" s="6" t="s">
        <v>5368</v>
      </c>
      <c r="D4394" s="14" t="s">
        <v>4693</v>
      </c>
      <c r="E4394" s="22" t="s">
        <v>4808</v>
      </c>
      <c r="F4394" s="107">
        <v>140</v>
      </c>
      <c r="G4394" s="396" t="s">
        <v>4483</v>
      </c>
      <c r="H4394" s="131">
        <v>50.1</v>
      </c>
      <c r="I4394" s="109">
        <v>1</v>
      </c>
      <c r="J4394" s="131">
        <f>H4394*I4394</f>
        <v>50.1</v>
      </c>
      <c r="K4394" s="39">
        <v>13.87</v>
      </c>
      <c r="L4394" s="39">
        <f t="shared" si="387"/>
        <v>694.88699999999994</v>
      </c>
      <c r="M4394" s="117" t="s">
        <v>323</v>
      </c>
      <c r="N4394" s="1398">
        <v>45720</v>
      </c>
      <c r="O4394" s="32">
        <v>6900</v>
      </c>
      <c r="P4394" s="391">
        <f>ROUNDUP(S4394/V4394/VLOOKUP(B4394,$C$2:$F$6,3,FALSE),2)</f>
        <v>11.459999999999999</v>
      </c>
      <c r="Q4394" s="322">
        <v>11.46</v>
      </c>
      <c r="R4394" s="322">
        <f t="shared" si="388"/>
        <v>574.14600000000007</v>
      </c>
      <c r="S4394" s="92">
        <v>1210</v>
      </c>
      <c r="T4394" s="7">
        <f t="shared" si="389"/>
        <v>60621</v>
      </c>
      <c r="U4394" s="21"/>
      <c r="V4394" s="260">
        <v>120</v>
      </c>
      <c r="W4394" s="1136">
        <f t="shared" si="390"/>
        <v>0.27301129536169183</v>
      </c>
    </row>
    <row r="4395" spans="2:23" s="7" customFormat="1" ht="18" customHeight="1">
      <c r="B4395" s="12" t="s">
        <v>302</v>
      </c>
      <c r="C4395" s="6" t="s">
        <v>5368</v>
      </c>
      <c r="D4395" s="14" t="s">
        <v>4693</v>
      </c>
      <c r="E4395" s="22" t="s">
        <v>4808</v>
      </c>
      <c r="F4395" s="107">
        <v>140</v>
      </c>
      <c r="G4395" s="396" t="s">
        <v>4483</v>
      </c>
      <c r="H4395" s="131">
        <v>23.1</v>
      </c>
      <c r="I4395" s="109">
        <v>1</v>
      </c>
      <c r="J4395" s="131">
        <f>H4395*I4395</f>
        <v>23.1</v>
      </c>
      <c r="K4395" s="39">
        <v>13.87</v>
      </c>
      <c r="L4395" s="39">
        <f t="shared" si="387"/>
        <v>320.39699999999999</v>
      </c>
      <c r="M4395" s="117" t="s">
        <v>323</v>
      </c>
      <c r="N4395" s="1398">
        <v>45720</v>
      </c>
      <c r="O4395" s="32">
        <v>6900</v>
      </c>
      <c r="P4395" s="391">
        <f>ROUNDUP(S4395/V4395/VLOOKUP(B4395,$C$2:$F$6,3,FALSE),2)</f>
        <v>11.459999999999999</v>
      </c>
      <c r="Q4395" s="322">
        <v>11.46</v>
      </c>
      <c r="R4395" s="322">
        <f t="shared" si="388"/>
        <v>264.72600000000006</v>
      </c>
      <c r="S4395" s="92">
        <v>1210</v>
      </c>
      <c r="T4395" s="7">
        <f t="shared" si="389"/>
        <v>27951</v>
      </c>
      <c r="U4395" s="21"/>
      <c r="V4395" s="260">
        <v>120</v>
      </c>
      <c r="W4395" s="1136">
        <f t="shared" si="390"/>
        <v>0.27301129536169183</v>
      </c>
    </row>
    <row r="4396" spans="2:23" s="7" customFormat="1" ht="18" customHeight="1">
      <c r="B4396" s="12"/>
      <c r="C4396" s="6" t="s">
        <v>5368</v>
      </c>
      <c r="D4396" s="14" t="s">
        <v>4693</v>
      </c>
      <c r="E4396" s="49"/>
      <c r="F4396" s="102"/>
      <c r="G4396" s="22" t="s">
        <v>316</v>
      </c>
      <c r="H4396" s="8"/>
      <c r="I4396" s="35"/>
      <c r="J4396" s="38">
        <v>1</v>
      </c>
      <c r="K4396" s="39">
        <v>20</v>
      </c>
      <c r="L4396" s="39">
        <f t="shared" si="387"/>
        <v>20</v>
      </c>
      <c r="M4396" s="91"/>
      <c r="N4396" s="1398">
        <v>45720</v>
      </c>
      <c r="O4396" s="32">
        <v>6900</v>
      </c>
      <c r="P4396" s="6" t="s">
        <v>3</v>
      </c>
      <c r="Q4396" s="39">
        <v>20</v>
      </c>
      <c r="R4396" s="322">
        <f t="shared" si="388"/>
        <v>20</v>
      </c>
      <c r="S4396" s="7">
        <v>0</v>
      </c>
      <c r="T4396" s="7">
        <f t="shared" si="389"/>
        <v>0</v>
      </c>
      <c r="U4396" s="21"/>
      <c r="V4396" s="260">
        <v>120</v>
      </c>
      <c r="W4396" s="1136">
        <f t="shared" si="390"/>
        <v>1</v>
      </c>
    </row>
    <row r="4397" spans="2:23" s="7" customFormat="1" ht="18" customHeight="1">
      <c r="B4397" s="12" t="s">
        <v>302</v>
      </c>
      <c r="C4397" s="6" t="s">
        <v>5368</v>
      </c>
      <c r="D4397" s="14" t="s">
        <v>4693</v>
      </c>
      <c r="E4397" s="22" t="s">
        <v>4808</v>
      </c>
      <c r="F4397" s="107">
        <v>140</v>
      </c>
      <c r="G4397" s="396" t="s">
        <v>4483</v>
      </c>
      <c r="H4397" s="131">
        <v>53.4</v>
      </c>
      <c r="I4397" s="109">
        <v>1</v>
      </c>
      <c r="J4397" s="131">
        <f>I4397*H4397</f>
        <v>53.4</v>
      </c>
      <c r="K4397" s="39">
        <v>13.87</v>
      </c>
      <c r="L4397" s="39">
        <f t="shared" si="387"/>
        <v>740.6579999999999</v>
      </c>
      <c r="M4397" s="117" t="s">
        <v>323</v>
      </c>
      <c r="N4397" s="33">
        <v>45772</v>
      </c>
      <c r="O4397" s="32">
        <v>7044</v>
      </c>
      <c r="P4397" s="391">
        <f>ROUNDUP(S4397/V4397/VLOOKUP(B4397,$C$2:$F$6,3,FALSE),2)</f>
        <v>11.459999999999999</v>
      </c>
      <c r="Q4397" s="322">
        <v>11.46</v>
      </c>
      <c r="R4397" s="322">
        <f t="shared" si="388"/>
        <v>611.96400000000006</v>
      </c>
      <c r="S4397" s="92">
        <v>1210</v>
      </c>
      <c r="T4397" s="7">
        <f t="shared" si="389"/>
        <v>64614</v>
      </c>
      <c r="U4397" s="21"/>
      <c r="V4397" s="260">
        <v>120</v>
      </c>
      <c r="W4397" s="1136">
        <f t="shared" si="390"/>
        <v>0.27301129536169183</v>
      </c>
    </row>
    <row r="4398" spans="2:23" s="7" customFormat="1" ht="18" customHeight="1">
      <c r="B4398" s="12" t="s">
        <v>302</v>
      </c>
      <c r="C4398" s="6" t="s">
        <v>5368</v>
      </c>
      <c r="D4398" s="14" t="s">
        <v>4693</v>
      </c>
      <c r="E4398" s="22" t="s">
        <v>4808</v>
      </c>
      <c r="F4398" s="107">
        <v>140</v>
      </c>
      <c r="G4398" s="396" t="s">
        <v>4483</v>
      </c>
      <c r="H4398" s="131">
        <v>51</v>
      </c>
      <c r="I4398" s="109">
        <v>1</v>
      </c>
      <c r="J4398" s="131">
        <f>I4398*H4398</f>
        <v>51</v>
      </c>
      <c r="K4398" s="39">
        <v>13.87</v>
      </c>
      <c r="L4398" s="39">
        <f>K4398*J4398</f>
        <v>707.37</v>
      </c>
      <c r="M4398" s="117" t="s">
        <v>323</v>
      </c>
      <c r="N4398" s="33">
        <v>45772</v>
      </c>
      <c r="O4398" s="32">
        <v>7044</v>
      </c>
      <c r="P4398" s="391">
        <f>ROUNDUP(S4398/V4398/VLOOKUP(B4398,$C$2:$F$6,3,FALSE),2)</f>
        <v>11.459999999999999</v>
      </c>
      <c r="Q4398" s="322">
        <v>11.46</v>
      </c>
      <c r="R4398" s="322">
        <f>Q4398*J4398</f>
        <v>584.46</v>
      </c>
      <c r="S4398" s="92">
        <v>1210</v>
      </c>
      <c r="T4398" s="7">
        <f>S4398*J4398</f>
        <v>61710</v>
      </c>
      <c r="U4398" s="21"/>
      <c r="V4398" s="260">
        <v>120</v>
      </c>
      <c r="W4398" s="1136">
        <f t="shared" si="390"/>
        <v>0.27301129536169183</v>
      </c>
    </row>
    <row r="4399" spans="2:23" s="7" customFormat="1" ht="18" customHeight="1">
      <c r="B4399" s="12" t="s">
        <v>302</v>
      </c>
      <c r="C4399" s="6" t="s">
        <v>5368</v>
      </c>
      <c r="D4399" s="14" t="s">
        <v>4693</v>
      </c>
      <c r="E4399" s="22" t="s">
        <v>4808</v>
      </c>
      <c r="F4399" s="107">
        <v>140</v>
      </c>
      <c r="G4399" s="396" t="s">
        <v>4483</v>
      </c>
      <c r="H4399" s="131">
        <v>50.4</v>
      </c>
      <c r="I4399" s="109">
        <v>1</v>
      </c>
      <c r="J4399" s="131">
        <f>I4399*H4399</f>
        <v>50.4</v>
      </c>
      <c r="K4399" s="39">
        <v>13.87</v>
      </c>
      <c r="L4399" s="39">
        <f>K4399*J4399</f>
        <v>699.04799999999989</v>
      </c>
      <c r="M4399" s="117" t="s">
        <v>323</v>
      </c>
      <c r="N4399" s="33">
        <v>45772</v>
      </c>
      <c r="O4399" s="32">
        <v>7044</v>
      </c>
      <c r="P4399" s="391">
        <f>ROUNDUP(S4399/V4399/VLOOKUP(B4399,$C$2:$F$6,3,FALSE),2)</f>
        <v>11.459999999999999</v>
      </c>
      <c r="Q4399" s="322">
        <v>11.46</v>
      </c>
      <c r="R4399" s="322">
        <f>Q4399*J4399</f>
        <v>577.58400000000006</v>
      </c>
      <c r="S4399" s="92">
        <v>1210</v>
      </c>
      <c r="T4399" s="7">
        <f>S4399*J4399</f>
        <v>60984</v>
      </c>
      <c r="U4399" s="21"/>
      <c r="V4399" s="260">
        <v>120</v>
      </c>
      <c r="W4399" s="1136">
        <f t="shared" si="390"/>
        <v>0.27301129536169183</v>
      </c>
    </row>
    <row r="4400" spans="2:23" s="7" customFormat="1" ht="18" customHeight="1">
      <c r="B4400" s="12" t="s">
        <v>302</v>
      </c>
      <c r="C4400" s="6" t="s">
        <v>5368</v>
      </c>
      <c r="D4400" s="14" t="s">
        <v>4693</v>
      </c>
      <c r="E4400" s="22" t="s">
        <v>4808</v>
      </c>
      <c r="F4400" s="107">
        <v>140</v>
      </c>
      <c r="G4400" s="396" t="s">
        <v>4483</v>
      </c>
      <c r="H4400" s="131">
        <v>50</v>
      </c>
      <c r="I4400" s="109">
        <v>1</v>
      </c>
      <c r="J4400" s="131">
        <f>I4400*H4400</f>
        <v>50</v>
      </c>
      <c r="K4400" s="39">
        <v>13.87</v>
      </c>
      <c r="L4400" s="39">
        <f>K4400*J4400</f>
        <v>693.5</v>
      </c>
      <c r="M4400" s="117" t="s">
        <v>323</v>
      </c>
      <c r="N4400" s="33">
        <v>45772</v>
      </c>
      <c r="O4400" s="32">
        <v>7044</v>
      </c>
      <c r="P4400" s="391">
        <f>ROUNDUP(S4400/V4400/VLOOKUP(B4400,$C$2:$F$6,3,FALSE),2)</f>
        <v>11.459999999999999</v>
      </c>
      <c r="Q4400" s="322">
        <v>11.46</v>
      </c>
      <c r="R4400" s="322">
        <f>Q4400*J4400</f>
        <v>573</v>
      </c>
      <c r="S4400" s="92">
        <v>1210</v>
      </c>
      <c r="T4400" s="7">
        <f>S4400*J4400</f>
        <v>60500</v>
      </c>
      <c r="U4400" s="21"/>
      <c r="V4400" s="260">
        <v>120</v>
      </c>
      <c r="W4400" s="1136">
        <f t="shared" si="390"/>
        <v>0.27301129536169183</v>
      </c>
    </row>
    <row r="4401" spans="2:23" s="7" customFormat="1" ht="18" customHeight="1">
      <c r="B4401" s="12" t="s">
        <v>302</v>
      </c>
      <c r="C4401" s="6" t="s">
        <v>5368</v>
      </c>
      <c r="D4401" s="14" t="s">
        <v>4693</v>
      </c>
      <c r="E4401" s="22" t="s">
        <v>4808</v>
      </c>
      <c r="F4401" s="107">
        <v>140</v>
      </c>
      <c r="G4401" s="396" t="s">
        <v>4483</v>
      </c>
      <c r="H4401" s="131">
        <v>48.2</v>
      </c>
      <c r="I4401" s="109">
        <v>1</v>
      </c>
      <c r="J4401" s="131">
        <f>I4401*H4401</f>
        <v>48.2</v>
      </c>
      <c r="K4401" s="39">
        <v>13.87</v>
      </c>
      <c r="L4401" s="39">
        <f>K4401*J4401</f>
        <v>668.53399999999999</v>
      </c>
      <c r="M4401" s="117" t="s">
        <v>323</v>
      </c>
      <c r="N4401" s="33">
        <v>45772</v>
      </c>
      <c r="O4401" s="32">
        <v>7044</v>
      </c>
      <c r="P4401" s="391">
        <f>ROUNDUP(S4401/V4401/VLOOKUP(B4401,$C$2:$F$6,3,FALSE),2)</f>
        <v>11.459999999999999</v>
      </c>
      <c r="Q4401" s="322">
        <v>11.46</v>
      </c>
      <c r="R4401" s="322">
        <f>Q4401*J4401</f>
        <v>552.37200000000007</v>
      </c>
      <c r="S4401" s="92">
        <v>1210</v>
      </c>
      <c r="T4401" s="7">
        <f>S4401*J4401</f>
        <v>58322</v>
      </c>
      <c r="U4401" s="21"/>
      <c r="V4401" s="260">
        <v>120</v>
      </c>
      <c r="W4401" s="1136">
        <f t="shared" si="390"/>
        <v>0.27301129536169183</v>
      </c>
    </row>
    <row r="4402" spans="2:23" s="7" customFormat="1" ht="18" customHeight="1">
      <c r="B4402" s="12"/>
      <c r="C4402" s="6" t="s">
        <v>5368</v>
      </c>
      <c r="D4402" s="14" t="s">
        <v>4693</v>
      </c>
      <c r="E4402" s="49"/>
      <c r="F4402" s="102"/>
      <c r="G4402" s="22" t="s">
        <v>316</v>
      </c>
      <c r="H4402" s="8"/>
      <c r="I4402" s="35"/>
      <c r="J4402" s="38">
        <v>1</v>
      </c>
      <c r="K4402" s="39">
        <v>20</v>
      </c>
      <c r="L4402" s="39">
        <f t="shared" si="387"/>
        <v>20</v>
      </c>
      <c r="M4402" s="91"/>
      <c r="N4402" s="33">
        <v>45772</v>
      </c>
      <c r="O4402" s="32">
        <v>7044</v>
      </c>
      <c r="P4402" s="6" t="s">
        <v>3</v>
      </c>
      <c r="Q4402" s="39">
        <v>20</v>
      </c>
      <c r="R4402" s="322">
        <f t="shared" si="388"/>
        <v>20</v>
      </c>
      <c r="S4402" s="7">
        <v>0</v>
      </c>
      <c r="T4402" s="7">
        <f>S4402*J4402</f>
        <v>0</v>
      </c>
      <c r="U4402" s="21"/>
      <c r="V4402" s="260">
        <v>120</v>
      </c>
      <c r="W4402" s="1136">
        <f t="shared" si="390"/>
        <v>1</v>
      </c>
    </row>
    <row r="4403" spans="2:23" s="191" customFormat="1" ht="18" customHeight="1">
      <c r="B4403" s="190"/>
      <c r="C4403" s="179" t="s">
        <v>5368</v>
      </c>
      <c r="D4403" s="180" t="s">
        <v>4693</v>
      </c>
      <c r="E4403" s="181"/>
      <c r="F4403" s="622"/>
      <c r="G4403" s="182" t="s">
        <v>250</v>
      </c>
      <c r="H4403" s="184" t="s">
        <v>251</v>
      </c>
      <c r="I4403" s="185"/>
      <c r="J4403" s="183"/>
      <c r="K4403" s="192">
        <v>0</v>
      </c>
      <c r="L4403" s="187"/>
      <c r="M4403" s="187"/>
      <c r="N4403" s="187">
        <v>45772</v>
      </c>
      <c r="O4403" s="186">
        <v>7044</v>
      </c>
      <c r="P4403" s="179"/>
      <c r="Q4403" s="255">
        <v>0</v>
      </c>
      <c r="R4403" s="322">
        <v>0</v>
      </c>
      <c r="S4403" s="275">
        <v>0</v>
      </c>
      <c r="T4403" s="198">
        <v>0</v>
      </c>
      <c r="U4403" s="271"/>
      <c r="V4403" s="260">
        <v>120</v>
      </c>
      <c r="W4403" s="1136" t="e">
        <f t="shared" si="390"/>
        <v>#DIV/0!</v>
      </c>
    </row>
    <row r="4404" spans="2:23" s="7" customFormat="1" ht="15.75">
      <c r="B4404" s="12"/>
      <c r="C4404" s="6" t="s">
        <v>5369</v>
      </c>
      <c r="D4404" s="14" t="s">
        <v>5370</v>
      </c>
      <c r="E4404" s="19" t="s">
        <v>5075</v>
      </c>
      <c r="F4404" s="24"/>
      <c r="G4404" s="22"/>
      <c r="H4404" s="60"/>
      <c r="I4404" s="61"/>
      <c r="J4404" s="60"/>
      <c r="K4404" s="16" t="s">
        <v>101</v>
      </c>
      <c r="L4404" s="33"/>
      <c r="M4404" s="117" t="s">
        <v>349</v>
      </c>
      <c r="N4404" s="33">
        <v>45744</v>
      </c>
      <c r="O4404" s="32">
        <v>6895</v>
      </c>
      <c r="P4404" s="6" t="s">
        <v>8</v>
      </c>
      <c r="Q4404" s="252"/>
      <c r="S4404" s="257"/>
      <c r="T4404" s="92"/>
      <c r="U4404" s="265"/>
      <c r="V4404" s="260">
        <v>120</v>
      </c>
      <c r="W4404" s="1136" t="e">
        <f t="shared" si="390"/>
        <v>#VALUE!</v>
      </c>
    </row>
    <row r="4405" spans="2:23" s="7" customFormat="1" ht="17.25" customHeight="1">
      <c r="B4405" s="12" t="s">
        <v>300</v>
      </c>
      <c r="C4405" s="6" t="s">
        <v>5369</v>
      </c>
      <c r="D4405" s="14" t="s">
        <v>5370</v>
      </c>
      <c r="E4405" s="1458" t="s">
        <v>5032</v>
      </c>
      <c r="F4405" s="37"/>
      <c r="G4405" s="37" t="s">
        <v>5005</v>
      </c>
      <c r="H4405" s="108"/>
      <c r="I4405" s="109"/>
      <c r="J4405" s="8">
        <v>812</v>
      </c>
      <c r="K4405" s="39">
        <v>0.45</v>
      </c>
      <c r="L4405" s="39">
        <f>K4405*J4405</f>
        <v>365.40000000000003</v>
      </c>
      <c r="M4405" s="117" t="s">
        <v>349</v>
      </c>
      <c r="N4405" s="33">
        <v>45744</v>
      </c>
      <c r="O4405" s="32">
        <v>6895</v>
      </c>
      <c r="P4405" s="391">
        <f>ROUNDUP(S4405/V4405/VLOOKUP(B4405,$C$2:$F$6,3,FALSE),2)</f>
        <v>0.36</v>
      </c>
      <c r="Q4405" s="39">
        <v>0.36</v>
      </c>
      <c r="R4405" s="322">
        <f>Q4405*J4405</f>
        <v>292.32</v>
      </c>
      <c r="S4405" s="7">
        <v>30</v>
      </c>
      <c r="T4405" s="7">
        <f>S4405*J4405</f>
        <v>24360</v>
      </c>
      <c r="U4405" s="21"/>
      <c r="V4405" s="260">
        <v>120</v>
      </c>
      <c r="W4405" s="1136">
        <f t="shared" si="390"/>
        <v>0.44444444444444442</v>
      </c>
    </row>
    <row r="4406" spans="2:23" s="7" customFormat="1" ht="17.25" customHeight="1">
      <c r="B4406" s="12" t="s">
        <v>300</v>
      </c>
      <c r="C4406" s="6" t="s">
        <v>5369</v>
      </c>
      <c r="D4406" s="14" t="s">
        <v>5370</v>
      </c>
      <c r="E4406" s="1458" t="s">
        <v>5034</v>
      </c>
      <c r="F4406" s="37"/>
      <c r="G4406" s="37" t="s">
        <v>5005</v>
      </c>
      <c r="H4406" s="108"/>
      <c r="I4406" s="109"/>
      <c r="J4406" s="8">
        <v>880</v>
      </c>
      <c r="K4406" s="39">
        <v>0.86</v>
      </c>
      <c r="L4406" s="39">
        <f>K4406*J4406</f>
        <v>756.8</v>
      </c>
      <c r="M4406" s="117" t="s">
        <v>349</v>
      </c>
      <c r="N4406" s="33">
        <v>45744</v>
      </c>
      <c r="O4406" s="32">
        <v>6895</v>
      </c>
      <c r="P4406" s="391">
        <f>ROUNDUP(S4406/V4406/VLOOKUP(B4406,$C$2:$F$6,3,FALSE),2)</f>
        <v>0.68</v>
      </c>
      <c r="Q4406" s="39">
        <v>0.68</v>
      </c>
      <c r="R4406" s="322">
        <f>Q4406*J4406</f>
        <v>598.40000000000009</v>
      </c>
      <c r="S4406" s="7">
        <v>57</v>
      </c>
      <c r="T4406" s="7">
        <f>S4406*J4406</f>
        <v>50160</v>
      </c>
      <c r="U4406" s="21"/>
      <c r="V4406" s="260">
        <v>120</v>
      </c>
      <c r="W4406" s="1136">
        <f t="shared" si="390"/>
        <v>0.44767441860465118</v>
      </c>
    </row>
    <row r="4407" spans="2:23" s="7" customFormat="1" ht="18" customHeight="1">
      <c r="B4407" s="12"/>
      <c r="C4407" s="6" t="s">
        <v>5369</v>
      </c>
      <c r="D4407" s="14" t="s">
        <v>5370</v>
      </c>
      <c r="E4407" s="49"/>
      <c r="F4407" s="102"/>
      <c r="G4407" s="22" t="s">
        <v>316</v>
      </c>
      <c r="H4407" s="8"/>
      <c r="I4407" s="35"/>
      <c r="J4407" s="38">
        <v>1</v>
      </c>
      <c r="K4407" s="39">
        <v>20</v>
      </c>
      <c r="L4407" s="39">
        <f>K4407*J4407</f>
        <v>20</v>
      </c>
      <c r="M4407" s="91"/>
      <c r="N4407" s="33">
        <v>45744</v>
      </c>
      <c r="O4407" s="32">
        <v>6895</v>
      </c>
      <c r="P4407" s="6" t="s">
        <v>3</v>
      </c>
      <c r="Q4407" s="39">
        <v>20</v>
      </c>
      <c r="R4407" s="322">
        <f>Q4407*J4407</f>
        <v>20</v>
      </c>
      <c r="S4407" s="7">
        <v>0</v>
      </c>
      <c r="T4407" s="7">
        <f>S4407*J4407</f>
        <v>0</v>
      </c>
      <c r="U4407" s="21"/>
      <c r="V4407" s="260">
        <v>120</v>
      </c>
      <c r="W4407" s="1136">
        <f t="shared" si="390"/>
        <v>1</v>
      </c>
    </row>
    <row r="4408" spans="2:23" s="191" customFormat="1" ht="18" customHeight="1">
      <c r="B4408" s="190"/>
      <c r="C4408" s="179" t="s">
        <v>5369</v>
      </c>
      <c r="D4408" s="180" t="s">
        <v>5370</v>
      </c>
      <c r="E4408" s="181"/>
      <c r="F4408" s="622"/>
      <c r="G4408" s="182" t="s">
        <v>250</v>
      </c>
      <c r="H4408" s="184" t="s">
        <v>251</v>
      </c>
      <c r="I4408" s="185"/>
      <c r="J4408" s="183"/>
      <c r="K4408" s="192">
        <v>0</v>
      </c>
      <c r="L4408" s="187"/>
      <c r="M4408" s="187"/>
      <c r="N4408" s="187">
        <v>45744</v>
      </c>
      <c r="O4408" s="186">
        <v>6895</v>
      </c>
      <c r="P4408" s="179"/>
      <c r="Q4408" s="255">
        <v>0</v>
      </c>
      <c r="R4408" s="322">
        <v>0</v>
      </c>
      <c r="S4408" s="275">
        <v>0</v>
      </c>
      <c r="T4408" s="198">
        <v>0</v>
      </c>
      <c r="U4408" s="271"/>
      <c r="V4408" s="260">
        <v>120</v>
      </c>
      <c r="W4408" s="1136" t="e">
        <f t="shared" si="390"/>
        <v>#DIV/0!</v>
      </c>
    </row>
    <row r="4409" spans="2:23" ht="15">
      <c r="C4409" s="6" t="s">
        <v>5373</v>
      </c>
      <c r="D4409" s="14" t="s">
        <v>3067</v>
      </c>
      <c r="E4409" s="19" t="s">
        <v>4626</v>
      </c>
      <c r="F4409" s="107"/>
      <c r="G4409" s="22"/>
      <c r="H4409" s="108"/>
      <c r="I4409" s="109"/>
      <c r="J4409" s="108"/>
      <c r="K4409" s="110" t="s">
        <v>5</v>
      </c>
      <c r="L4409" s="33"/>
      <c r="M4409" s="33"/>
      <c r="N4409" s="33">
        <v>45803</v>
      </c>
      <c r="O4409" s="32">
        <v>7143</v>
      </c>
      <c r="P4409" s="14"/>
      <c r="Q4409" s="254"/>
      <c r="S4409" s="1196"/>
      <c r="T4409" s="92"/>
      <c r="U4409" s="264"/>
      <c r="V4409" s="260">
        <v>120</v>
      </c>
      <c r="W4409" s="1136" t="e">
        <f t="shared" si="390"/>
        <v>#VALUE!</v>
      </c>
    </row>
    <row r="4410" spans="2:23" ht="15.75">
      <c r="B4410" s="12" t="s">
        <v>302</v>
      </c>
      <c r="C4410" s="6" t="s">
        <v>5373</v>
      </c>
      <c r="D4410" s="14" t="s">
        <v>3067</v>
      </c>
      <c r="E4410" s="221" t="s">
        <v>5231</v>
      </c>
      <c r="F4410" s="133" t="s">
        <v>3061</v>
      </c>
      <c r="G4410" s="396" t="s">
        <v>4625</v>
      </c>
      <c r="H4410" s="131">
        <v>44.2</v>
      </c>
      <c r="I4410" s="61">
        <v>1</v>
      </c>
      <c r="J4410" s="131">
        <f t="shared" ref="J4410:J4420" si="391">H4410*I4410</f>
        <v>44.2</v>
      </c>
      <c r="K4410" s="322">
        <v>23.6</v>
      </c>
      <c r="L4410" s="39">
        <f t="shared" ref="L4410:L4419" si="392">ROUND(K4410*J4410,3)</f>
        <v>1043.1199999999999</v>
      </c>
      <c r="M4410" s="117" t="s">
        <v>323</v>
      </c>
      <c r="N4410" s="33">
        <v>45803</v>
      </c>
      <c r="O4410" s="32">
        <v>7143</v>
      </c>
      <c r="P4410" s="391">
        <f t="shared" ref="P4410:P4420" si="393">ROUNDUP(S4410/V4410/VLOOKUP(B4410,$C$2:$F$6,3,FALSE),2)</f>
        <v>20.650000000000002</v>
      </c>
      <c r="Q4410" s="254">
        <v>20.65</v>
      </c>
      <c r="R4410" s="323">
        <f t="shared" ref="R4410:R4420" si="394">ROUND(Q4410*J4410,2)</f>
        <v>912.73</v>
      </c>
      <c r="S4410" s="273">
        <v>2180</v>
      </c>
      <c r="T4410" s="287">
        <f t="shared" ref="T4410:T4420" si="395">S4410*J4410</f>
        <v>96356</v>
      </c>
      <c r="U4410" s="264"/>
      <c r="V4410" s="260">
        <v>120</v>
      </c>
      <c r="W4410" s="1136">
        <f t="shared" si="390"/>
        <v>0.23022598870056496</v>
      </c>
    </row>
    <row r="4411" spans="2:23" ht="15.75">
      <c r="B4411" s="12" t="s">
        <v>302</v>
      </c>
      <c r="C4411" s="6" t="s">
        <v>5373</v>
      </c>
      <c r="D4411" s="14" t="s">
        <v>3067</v>
      </c>
      <c r="E4411" s="221" t="s">
        <v>5231</v>
      </c>
      <c r="F4411" s="133" t="s">
        <v>3061</v>
      </c>
      <c r="G4411" s="396" t="s">
        <v>4625</v>
      </c>
      <c r="H4411" s="131">
        <v>44.4</v>
      </c>
      <c r="I4411" s="61">
        <v>2</v>
      </c>
      <c r="J4411" s="131">
        <f t="shared" si="391"/>
        <v>88.8</v>
      </c>
      <c r="K4411" s="322">
        <v>23.6</v>
      </c>
      <c r="L4411" s="39">
        <f t="shared" si="392"/>
        <v>2095.6799999999998</v>
      </c>
      <c r="M4411" s="117" t="s">
        <v>323</v>
      </c>
      <c r="N4411" s="33">
        <v>45803</v>
      </c>
      <c r="O4411" s="32">
        <v>7143</v>
      </c>
      <c r="P4411" s="391">
        <f t="shared" si="393"/>
        <v>20.650000000000002</v>
      </c>
      <c r="Q4411" s="254">
        <v>20.65</v>
      </c>
      <c r="R4411" s="323">
        <f t="shared" si="394"/>
        <v>1833.72</v>
      </c>
      <c r="S4411" s="273">
        <v>2180</v>
      </c>
      <c r="T4411" s="287">
        <f t="shared" si="395"/>
        <v>193584</v>
      </c>
      <c r="U4411" s="264"/>
      <c r="V4411" s="260">
        <v>120</v>
      </c>
      <c r="W4411" s="1136">
        <f t="shared" ref="W4411:W4418" si="396">(((K4411*V4411)-S4411)/(K4411*V4411))</f>
        <v>0.23022598870056496</v>
      </c>
    </row>
    <row r="4412" spans="2:23" ht="15.75">
      <c r="B4412" s="12" t="s">
        <v>302</v>
      </c>
      <c r="C4412" s="6" t="s">
        <v>5373</v>
      </c>
      <c r="D4412" s="14" t="s">
        <v>3067</v>
      </c>
      <c r="E4412" s="221" t="s">
        <v>5231</v>
      </c>
      <c r="F4412" s="133" t="s">
        <v>3061</v>
      </c>
      <c r="G4412" s="396" t="s">
        <v>4625</v>
      </c>
      <c r="H4412" s="131">
        <v>44.3</v>
      </c>
      <c r="I4412" s="61">
        <v>1</v>
      </c>
      <c r="J4412" s="131">
        <f t="shared" si="391"/>
        <v>44.3</v>
      </c>
      <c r="K4412" s="322">
        <v>23.6</v>
      </c>
      <c r="L4412" s="39">
        <f t="shared" si="392"/>
        <v>1045.48</v>
      </c>
      <c r="M4412" s="117" t="s">
        <v>323</v>
      </c>
      <c r="N4412" s="33">
        <v>45803</v>
      </c>
      <c r="O4412" s="32">
        <v>7143</v>
      </c>
      <c r="P4412" s="391">
        <f t="shared" si="393"/>
        <v>20.650000000000002</v>
      </c>
      <c r="Q4412" s="254">
        <v>20.65</v>
      </c>
      <c r="R4412" s="323">
        <f t="shared" si="394"/>
        <v>914.8</v>
      </c>
      <c r="S4412" s="273">
        <v>2180</v>
      </c>
      <c r="T4412" s="287">
        <f t="shared" si="395"/>
        <v>96574</v>
      </c>
      <c r="U4412" s="264"/>
      <c r="V4412" s="260">
        <v>120</v>
      </c>
      <c r="W4412" s="1136">
        <f t="shared" si="396"/>
        <v>0.23022598870056496</v>
      </c>
    </row>
    <row r="4413" spans="2:23" ht="15.75">
      <c r="B4413" s="12" t="s">
        <v>302</v>
      </c>
      <c r="C4413" s="6" t="s">
        <v>5373</v>
      </c>
      <c r="D4413" s="14" t="s">
        <v>3067</v>
      </c>
      <c r="E4413" s="221" t="s">
        <v>5231</v>
      </c>
      <c r="F4413" s="133" t="s">
        <v>3061</v>
      </c>
      <c r="G4413" s="396" t="s">
        <v>4625</v>
      </c>
      <c r="H4413" s="131">
        <v>44.1</v>
      </c>
      <c r="I4413" s="61">
        <v>1</v>
      </c>
      <c r="J4413" s="131">
        <f t="shared" si="391"/>
        <v>44.1</v>
      </c>
      <c r="K4413" s="322">
        <v>23.6</v>
      </c>
      <c r="L4413" s="39">
        <f t="shared" si="392"/>
        <v>1040.76</v>
      </c>
      <c r="M4413" s="117" t="s">
        <v>323</v>
      </c>
      <c r="N4413" s="33">
        <v>45803</v>
      </c>
      <c r="O4413" s="32">
        <v>7143</v>
      </c>
      <c r="P4413" s="391">
        <f t="shared" si="393"/>
        <v>20.650000000000002</v>
      </c>
      <c r="Q4413" s="254">
        <v>20.65</v>
      </c>
      <c r="R4413" s="323">
        <f t="shared" si="394"/>
        <v>910.67</v>
      </c>
      <c r="S4413" s="273">
        <v>2180</v>
      </c>
      <c r="T4413" s="287">
        <f t="shared" si="395"/>
        <v>96138</v>
      </c>
      <c r="U4413" s="264"/>
      <c r="V4413" s="260">
        <v>120</v>
      </c>
      <c r="W4413" s="1136">
        <f t="shared" si="396"/>
        <v>0.23022598870056496</v>
      </c>
    </row>
    <row r="4414" spans="2:23" ht="15.75">
      <c r="B4414" s="12" t="s">
        <v>302</v>
      </c>
      <c r="C4414" s="6" t="s">
        <v>5373</v>
      </c>
      <c r="D4414" s="14" t="s">
        <v>3067</v>
      </c>
      <c r="E4414" s="221" t="s">
        <v>5231</v>
      </c>
      <c r="F4414" s="133" t="s">
        <v>3061</v>
      </c>
      <c r="G4414" s="396" t="s">
        <v>4625</v>
      </c>
      <c r="H4414" s="131">
        <v>43.3</v>
      </c>
      <c r="I4414" s="61">
        <v>1</v>
      </c>
      <c r="J4414" s="131">
        <f>H4414*I4414</f>
        <v>43.3</v>
      </c>
      <c r="K4414" s="322">
        <v>23.6</v>
      </c>
      <c r="L4414" s="39">
        <f t="shared" si="392"/>
        <v>1021.88</v>
      </c>
      <c r="M4414" s="117" t="s">
        <v>323</v>
      </c>
      <c r="N4414" s="33">
        <v>45803</v>
      </c>
      <c r="O4414" s="32">
        <v>7143</v>
      </c>
      <c r="P4414" s="391">
        <f>ROUNDUP(S4414/V4414/VLOOKUP(B4414,$C$2:$F$6,3,FALSE),2)</f>
        <v>20.650000000000002</v>
      </c>
      <c r="Q4414" s="254">
        <v>20.65</v>
      </c>
      <c r="R4414" s="323">
        <f t="shared" si="394"/>
        <v>894.15</v>
      </c>
      <c r="S4414" s="273">
        <v>2180</v>
      </c>
      <c r="T4414" s="287">
        <f>S4414*J4414</f>
        <v>94394</v>
      </c>
      <c r="U4414" s="264"/>
      <c r="V4414" s="260">
        <v>120</v>
      </c>
      <c r="W4414" s="1136">
        <f>(((K4414*V4414)-S4414)/(K4414*V4414))</f>
        <v>0.23022598870056496</v>
      </c>
    </row>
    <row r="4415" spans="2:23" ht="15.75">
      <c r="B4415" s="12" t="s">
        <v>302</v>
      </c>
      <c r="C4415" s="6" t="s">
        <v>5373</v>
      </c>
      <c r="D4415" s="14" t="s">
        <v>3067</v>
      </c>
      <c r="E4415" s="221" t="s">
        <v>5231</v>
      </c>
      <c r="F4415" s="133" t="s">
        <v>3061</v>
      </c>
      <c r="G4415" s="396" t="s">
        <v>4625</v>
      </c>
      <c r="H4415" s="131">
        <v>44</v>
      </c>
      <c r="I4415" s="61">
        <v>1</v>
      </c>
      <c r="J4415" s="131">
        <f t="shared" si="391"/>
        <v>44</v>
      </c>
      <c r="K4415" s="322">
        <v>23.6</v>
      </c>
      <c r="L4415" s="39">
        <f t="shared" si="392"/>
        <v>1038.4000000000001</v>
      </c>
      <c r="M4415" s="117" t="s">
        <v>323</v>
      </c>
      <c r="N4415" s="33">
        <v>45803</v>
      </c>
      <c r="O4415" s="32">
        <v>7143</v>
      </c>
      <c r="P4415" s="391">
        <f t="shared" si="393"/>
        <v>20.650000000000002</v>
      </c>
      <c r="Q4415" s="254">
        <v>20.65</v>
      </c>
      <c r="R4415" s="323">
        <f t="shared" si="394"/>
        <v>908.6</v>
      </c>
      <c r="S4415" s="273">
        <v>2180</v>
      </c>
      <c r="T4415" s="287">
        <f t="shared" si="395"/>
        <v>95920</v>
      </c>
      <c r="U4415" s="264"/>
      <c r="V4415" s="260">
        <v>120</v>
      </c>
      <c r="W4415" s="1136">
        <f t="shared" si="396"/>
        <v>0.23022598870056496</v>
      </c>
    </row>
    <row r="4416" spans="2:23" ht="15.75">
      <c r="B4416" s="12" t="s">
        <v>302</v>
      </c>
      <c r="C4416" s="6" t="s">
        <v>5373</v>
      </c>
      <c r="D4416" s="14" t="s">
        <v>3067</v>
      </c>
      <c r="E4416" s="221" t="s">
        <v>5231</v>
      </c>
      <c r="F4416" s="133" t="s">
        <v>3061</v>
      </c>
      <c r="G4416" s="396" t="s">
        <v>4625</v>
      </c>
      <c r="H4416" s="131">
        <v>44.9</v>
      </c>
      <c r="I4416" s="61">
        <v>1</v>
      </c>
      <c r="J4416" s="131">
        <f t="shared" si="391"/>
        <v>44.9</v>
      </c>
      <c r="K4416" s="322">
        <v>23.6</v>
      </c>
      <c r="L4416" s="39">
        <f t="shared" si="392"/>
        <v>1059.6400000000001</v>
      </c>
      <c r="M4416" s="117" t="s">
        <v>323</v>
      </c>
      <c r="N4416" s="33">
        <v>45803</v>
      </c>
      <c r="O4416" s="32">
        <v>7143</v>
      </c>
      <c r="P4416" s="391">
        <f t="shared" si="393"/>
        <v>20.650000000000002</v>
      </c>
      <c r="Q4416" s="254">
        <v>20.65</v>
      </c>
      <c r="R4416" s="323">
        <f t="shared" si="394"/>
        <v>927.19</v>
      </c>
      <c r="S4416" s="273">
        <v>2180</v>
      </c>
      <c r="T4416" s="287">
        <f t="shared" si="395"/>
        <v>97882</v>
      </c>
      <c r="U4416" s="264"/>
      <c r="V4416" s="260">
        <v>120</v>
      </c>
      <c r="W4416" s="1136">
        <f t="shared" si="396"/>
        <v>0.23022598870056496</v>
      </c>
    </row>
    <row r="4417" spans="2:23" ht="15.75">
      <c r="B4417" s="12" t="s">
        <v>302</v>
      </c>
      <c r="C4417" s="6" t="s">
        <v>5373</v>
      </c>
      <c r="D4417" s="14" t="s">
        <v>3067</v>
      </c>
      <c r="E4417" s="221" t="s">
        <v>5231</v>
      </c>
      <c r="F4417" s="133" t="s">
        <v>3061</v>
      </c>
      <c r="G4417" s="396" t="s">
        <v>4625</v>
      </c>
      <c r="H4417" s="131">
        <v>43.7</v>
      </c>
      <c r="I4417" s="61">
        <v>1</v>
      </c>
      <c r="J4417" s="131">
        <f t="shared" si="391"/>
        <v>43.7</v>
      </c>
      <c r="K4417" s="322">
        <v>23.6</v>
      </c>
      <c r="L4417" s="39">
        <f t="shared" si="392"/>
        <v>1031.32</v>
      </c>
      <c r="M4417" s="117" t="s">
        <v>323</v>
      </c>
      <c r="N4417" s="33">
        <v>45803</v>
      </c>
      <c r="O4417" s="32">
        <v>7143</v>
      </c>
      <c r="P4417" s="391">
        <f t="shared" si="393"/>
        <v>20.650000000000002</v>
      </c>
      <c r="Q4417" s="254">
        <v>20.65</v>
      </c>
      <c r="R4417" s="323">
        <f t="shared" si="394"/>
        <v>902.41</v>
      </c>
      <c r="S4417" s="273">
        <v>2180</v>
      </c>
      <c r="T4417" s="287">
        <f t="shared" si="395"/>
        <v>95266</v>
      </c>
      <c r="U4417" s="264"/>
      <c r="V4417" s="260">
        <v>120</v>
      </c>
      <c r="W4417" s="1136">
        <f t="shared" si="396"/>
        <v>0.23022598870056496</v>
      </c>
    </row>
    <row r="4418" spans="2:23" ht="15.75">
      <c r="B4418" s="12" t="s">
        <v>302</v>
      </c>
      <c r="C4418" s="6" t="s">
        <v>5373</v>
      </c>
      <c r="D4418" s="14" t="s">
        <v>3067</v>
      </c>
      <c r="E4418" s="221" t="s">
        <v>5231</v>
      </c>
      <c r="F4418" s="133" t="s">
        <v>3061</v>
      </c>
      <c r="G4418" s="396" t="s">
        <v>4625</v>
      </c>
      <c r="H4418" s="131">
        <v>43.4</v>
      </c>
      <c r="I4418" s="61">
        <v>1</v>
      </c>
      <c r="J4418" s="131">
        <f t="shared" si="391"/>
        <v>43.4</v>
      </c>
      <c r="K4418" s="322">
        <v>23.6</v>
      </c>
      <c r="L4418" s="39">
        <f t="shared" si="392"/>
        <v>1024.24</v>
      </c>
      <c r="M4418" s="117" t="s">
        <v>323</v>
      </c>
      <c r="N4418" s="33">
        <v>45803</v>
      </c>
      <c r="O4418" s="32">
        <v>7143</v>
      </c>
      <c r="P4418" s="391">
        <f t="shared" si="393"/>
        <v>20.650000000000002</v>
      </c>
      <c r="Q4418" s="254">
        <v>20.65</v>
      </c>
      <c r="R4418" s="323">
        <f t="shared" si="394"/>
        <v>896.21</v>
      </c>
      <c r="S4418" s="273">
        <v>2180</v>
      </c>
      <c r="T4418" s="287">
        <f t="shared" si="395"/>
        <v>94612</v>
      </c>
      <c r="U4418" s="264"/>
      <c r="V4418" s="260">
        <v>120</v>
      </c>
      <c r="W4418" s="1136">
        <f t="shared" si="396"/>
        <v>0.23022598870056496</v>
      </c>
    </row>
    <row r="4419" spans="2:23" ht="15.75">
      <c r="B4419" s="12" t="s">
        <v>302</v>
      </c>
      <c r="C4419" s="6" t="s">
        <v>5373</v>
      </c>
      <c r="D4419" s="14" t="s">
        <v>3067</v>
      </c>
      <c r="E4419" s="221" t="s">
        <v>5231</v>
      </c>
      <c r="F4419" s="133" t="s">
        <v>3061</v>
      </c>
      <c r="G4419" s="396" t="s">
        <v>4625</v>
      </c>
      <c r="H4419" s="18">
        <v>44</v>
      </c>
      <c r="I4419" s="61">
        <v>1</v>
      </c>
      <c r="J4419" s="131">
        <f t="shared" si="391"/>
        <v>44</v>
      </c>
      <c r="K4419" s="322">
        <v>23.6</v>
      </c>
      <c r="L4419" s="39">
        <f t="shared" si="392"/>
        <v>1038.4000000000001</v>
      </c>
      <c r="M4419" s="117" t="s">
        <v>323</v>
      </c>
      <c r="N4419" s="1499">
        <v>45834</v>
      </c>
      <c r="O4419" s="32">
        <v>7233</v>
      </c>
      <c r="P4419" s="391">
        <f t="shared" si="393"/>
        <v>20.650000000000002</v>
      </c>
      <c r="Q4419" s="254">
        <v>20.65</v>
      </c>
      <c r="R4419" s="323">
        <f t="shared" si="394"/>
        <v>908.6</v>
      </c>
      <c r="S4419" s="273">
        <v>2180</v>
      </c>
      <c r="T4419" s="287">
        <f t="shared" si="395"/>
        <v>95920</v>
      </c>
      <c r="U4419" s="264"/>
      <c r="V4419" s="260">
        <v>120</v>
      </c>
      <c r="W4419" s="1136">
        <f>(((K4419*V4419)-S4419)/(K4419*V4419))</f>
        <v>0.23022598870056496</v>
      </c>
    </row>
    <row r="4420" spans="2:23" ht="15.75">
      <c r="B4420" s="12" t="s">
        <v>302</v>
      </c>
      <c r="C4420" s="6" t="s">
        <v>5373</v>
      </c>
      <c r="D4420" s="14" t="s">
        <v>3067</v>
      </c>
      <c r="E4420" s="221" t="s">
        <v>5231</v>
      </c>
      <c r="F4420" s="133" t="s">
        <v>3061</v>
      </c>
      <c r="G4420" s="396" t="s">
        <v>4625</v>
      </c>
      <c r="H4420" s="18">
        <v>44.4</v>
      </c>
      <c r="I4420" s="61">
        <v>3</v>
      </c>
      <c r="J4420" s="131">
        <f t="shared" si="391"/>
        <v>133.19999999999999</v>
      </c>
      <c r="K4420" s="322">
        <v>23.6</v>
      </c>
      <c r="L4420" s="39">
        <f>K4420*J4420</f>
        <v>3143.52</v>
      </c>
      <c r="M4420" s="117" t="s">
        <v>323</v>
      </c>
      <c r="N4420" s="1499">
        <v>45834</v>
      </c>
      <c r="O4420" s="32">
        <v>7233</v>
      </c>
      <c r="P4420" s="391">
        <f t="shared" si="393"/>
        <v>20.650000000000002</v>
      </c>
      <c r="Q4420" s="254">
        <v>20.65</v>
      </c>
      <c r="R4420" s="323">
        <f t="shared" si="394"/>
        <v>2750.58</v>
      </c>
      <c r="S4420" s="273">
        <v>2180</v>
      </c>
      <c r="T4420" s="287">
        <f t="shared" si="395"/>
        <v>290376</v>
      </c>
      <c r="U4420" s="264"/>
      <c r="V4420" s="260">
        <v>120</v>
      </c>
      <c r="W4420" s="1136">
        <f>(((K4420*V4420)-S4420)/(K4420*V4420))</f>
        <v>0.23022598870056496</v>
      </c>
    </row>
    <row r="4421" spans="2:23" ht="15.75">
      <c r="B4421" s="12" t="s">
        <v>302</v>
      </c>
      <c r="C4421" s="6" t="s">
        <v>5373</v>
      </c>
      <c r="D4421" s="14" t="s">
        <v>3067</v>
      </c>
      <c r="E4421" s="221" t="s">
        <v>5231</v>
      </c>
      <c r="F4421" s="133" t="s">
        <v>3061</v>
      </c>
      <c r="G4421" s="396" t="s">
        <v>4625</v>
      </c>
      <c r="H4421" s="18">
        <v>42.2</v>
      </c>
      <c r="I4421" s="61">
        <v>1</v>
      </c>
      <c r="J4421" s="131">
        <f t="shared" ref="J4421:J4427" si="397">H4421*I4421</f>
        <v>42.2</v>
      </c>
      <c r="K4421" s="322">
        <v>23.6</v>
      </c>
      <c r="L4421" s="39">
        <f t="shared" ref="L4421:L4427" si="398">K4421*J4421</f>
        <v>995.92000000000007</v>
      </c>
      <c r="M4421" s="117" t="s">
        <v>323</v>
      </c>
      <c r="N4421" s="1499">
        <v>45834</v>
      </c>
      <c r="O4421" s="32">
        <v>7233</v>
      </c>
      <c r="P4421" s="391">
        <f t="shared" ref="P4421:P4427" si="399">ROUNDUP(S4421/V4421/VLOOKUP(B4421,$C$2:$F$6,3,FALSE),2)</f>
        <v>20.650000000000002</v>
      </c>
      <c r="Q4421" s="254">
        <v>20.65</v>
      </c>
      <c r="R4421" s="323">
        <f t="shared" ref="R4421:R4427" si="400">ROUND(Q4421*J4421,2)</f>
        <v>871.43</v>
      </c>
      <c r="S4421" s="273">
        <v>2180</v>
      </c>
      <c r="T4421" s="287">
        <f t="shared" ref="T4421:T4427" si="401">S4421*J4421</f>
        <v>91996</v>
      </c>
      <c r="U4421" s="264"/>
      <c r="V4421" s="260">
        <v>120</v>
      </c>
      <c r="W4421" s="1136">
        <f t="shared" ref="W4421:W4427" si="402">(((K4421*V4421)-S4421)/(K4421*V4421))</f>
        <v>0.23022598870056496</v>
      </c>
    </row>
    <row r="4422" spans="2:23" ht="15.75">
      <c r="B4422" s="12" t="s">
        <v>302</v>
      </c>
      <c r="C4422" s="6" t="s">
        <v>5373</v>
      </c>
      <c r="D4422" s="14" t="s">
        <v>3067</v>
      </c>
      <c r="E4422" s="221" t="s">
        <v>5231</v>
      </c>
      <c r="F4422" s="133" t="s">
        <v>3061</v>
      </c>
      <c r="G4422" s="396" t="s">
        <v>4625</v>
      </c>
      <c r="H4422" s="18">
        <v>42.9</v>
      </c>
      <c r="I4422" s="61">
        <v>1</v>
      </c>
      <c r="J4422" s="131">
        <f t="shared" si="397"/>
        <v>42.9</v>
      </c>
      <c r="K4422" s="322">
        <v>23.6</v>
      </c>
      <c r="L4422" s="39">
        <f t="shared" si="398"/>
        <v>1012.44</v>
      </c>
      <c r="M4422" s="117" t="s">
        <v>323</v>
      </c>
      <c r="N4422" s="1499">
        <v>45834</v>
      </c>
      <c r="O4422" s="32">
        <v>7233</v>
      </c>
      <c r="P4422" s="391">
        <f t="shared" si="399"/>
        <v>20.650000000000002</v>
      </c>
      <c r="Q4422" s="254">
        <v>20.65</v>
      </c>
      <c r="R4422" s="323">
        <f t="shared" si="400"/>
        <v>885.89</v>
      </c>
      <c r="S4422" s="273">
        <v>2180</v>
      </c>
      <c r="T4422" s="287">
        <f t="shared" si="401"/>
        <v>93522</v>
      </c>
      <c r="U4422" s="264"/>
      <c r="V4422" s="260">
        <v>120</v>
      </c>
      <c r="W4422" s="1136">
        <f t="shared" si="402"/>
        <v>0.23022598870056496</v>
      </c>
    </row>
    <row r="4423" spans="2:23" ht="15.75">
      <c r="B4423" s="12" t="s">
        <v>302</v>
      </c>
      <c r="C4423" s="6" t="s">
        <v>5373</v>
      </c>
      <c r="D4423" s="14" t="s">
        <v>3067</v>
      </c>
      <c r="E4423" s="221" t="s">
        <v>5231</v>
      </c>
      <c r="F4423" s="133" t="s">
        <v>3061</v>
      </c>
      <c r="G4423" s="396" t="s">
        <v>4625</v>
      </c>
      <c r="H4423" s="18">
        <v>44.3</v>
      </c>
      <c r="I4423" s="61">
        <v>1</v>
      </c>
      <c r="J4423" s="131">
        <f t="shared" si="397"/>
        <v>44.3</v>
      </c>
      <c r="K4423" s="322">
        <v>23.6</v>
      </c>
      <c r="L4423" s="39">
        <f t="shared" si="398"/>
        <v>1045.48</v>
      </c>
      <c r="M4423" s="117" t="s">
        <v>323</v>
      </c>
      <c r="N4423" s="1499">
        <v>45834</v>
      </c>
      <c r="O4423" s="32">
        <v>7233</v>
      </c>
      <c r="P4423" s="391">
        <f t="shared" si="399"/>
        <v>20.650000000000002</v>
      </c>
      <c r="Q4423" s="254">
        <v>20.65</v>
      </c>
      <c r="R4423" s="323">
        <f t="shared" si="400"/>
        <v>914.8</v>
      </c>
      <c r="S4423" s="273">
        <v>2180</v>
      </c>
      <c r="T4423" s="287">
        <f t="shared" si="401"/>
        <v>96574</v>
      </c>
      <c r="U4423" s="264"/>
      <c r="V4423" s="260">
        <v>120</v>
      </c>
      <c r="W4423" s="1136">
        <f t="shared" si="402"/>
        <v>0.23022598870056496</v>
      </c>
    </row>
    <row r="4424" spans="2:23" ht="15.75">
      <c r="B4424" s="12" t="s">
        <v>302</v>
      </c>
      <c r="C4424" s="6" t="s">
        <v>5373</v>
      </c>
      <c r="D4424" s="14" t="s">
        <v>3067</v>
      </c>
      <c r="E4424" s="221" t="s">
        <v>5231</v>
      </c>
      <c r="F4424" s="133" t="s">
        <v>3061</v>
      </c>
      <c r="G4424" s="396" t="s">
        <v>4625</v>
      </c>
      <c r="H4424" s="18">
        <v>42.6</v>
      </c>
      <c r="I4424" s="61">
        <v>1</v>
      </c>
      <c r="J4424" s="131">
        <f t="shared" si="397"/>
        <v>42.6</v>
      </c>
      <c r="K4424" s="322">
        <v>23.6</v>
      </c>
      <c r="L4424" s="39">
        <f t="shared" si="398"/>
        <v>1005.3600000000001</v>
      </c>
      <c r="M4424" s="117" t="s">
        <v>323</v>
      </c>
      <c r="N4424" s="1499">
        <v>45834</v>
      </c>
      <c r="O4424" s="32">
        <v>7233</v>
      </c>
      <c r="P4424" s="391">
        <f t="shared" si="399"/>
        <v>20.650000000000002</v>
      </c>
      <c r="Q4424" s="254">
        <v>20.65</v>
      </c>
      <c r="R4424" s="323">
        <f t="shared" si="400"/>
        <v>879.69</v>
      </c>
      <c r="S4424" s="273">
        <v>2180</v>
      </c>
      <c r="T4424" s="287">
        <f t="shared" si="401"/>
        <v>92868</v>
      </c>
      <c r="U4424" s="264"/>
      <c r="V4424" s="260">
        <v>120</v>
      </c>
      <c r="W4424" s="1136">
        <f t="shared" si="402"/>
        <v>0.23022598870056496</v>
      </c>
    </row>
    <row r="4425" spans="2:23" ht="15.75">
      <c r="B4425" s="12" t="s">
        <v>302</v>
      </c>
      <c r="C4425" s="6" t="s">
        <v>5373</v>
      </c>
      <c r="D4425" s="14" t="s">
        <v>3067</v>
      </c>
      <c r="E4425" s="221" t="s">
        <v>5231</v>
      </c>
      <c r="F4425" s="133" t="s">
        <v>3061</v>
      </c>
      <c r="G4425" s="396" t="s">
        <v>4625</v>
      </c>
      <c r="H4425" s="18">
        <v>44.2</v>
      </c>
      <c r="I4425" s="61">
        <v>1</v>
      </c>
      <c r="J4425" s="131">
        <f t="shared" si="397"/>
        <v>44.2</v>
      </c>
      <c r="K4425" s="322">
        <v>23.6</v>
      </c>
      <c r="L4425" s="39">
        <f t="shared" si="398"/>
        <v>1043.1200000000001</v>
      </c>
      <c r="M4425" s="117" t="s">
        <v>323</v>
      </c>
      <c r="N4425" s="1499">
        <v>45834</v>
      </c>
      <c r="O4425" s="32">
        <v>7233</v>
      </c>
      <c r="P4425" s="391">
        <f t="shared" si="399"/>
        <v>20.650000000000002</v>
      </c>
      <c r="Q4425" s="254">
        <v>20.65</v>
      </c>
      <c r="R4425" s="323">
        <f t="shared" si="400"/>
        <v>912.73</v>
      </c>
      <c r="S4425" s="273">
        <v>2180</v>
      </c>
      <c r="T4425" s="287">
        <f t="shared" si="401"/>
        <v>96356</v>
      </c>
      <c r="U4425" s="264"/>
      <c r="V4425" s="260">
        <v>120</v>
      </c>
      <c r="W4425" s="1136">
        <f t="shared" si="402"/>
        <v>0.23022598870056496</v>
      </c>
    </row>
    <row r="4426" spans="2:23" ht="15.75">
      <c r="B4426" s="12" t="s">
        <v>302</v>
      </c>
      <c r="C4426" s="6" t="s">
        <v>5373</v>
      </c>
      <c r="D4426" s="14" t="s">
        <v>3067</v>
      </c>
      <c r="E4426" s="221" t="s">
        <v>5231</v>
      </c>
      <c r="F4426" s="133" t="s">
        <v>3061</v>
      </c>
      <c r="G4426" s="396" t="s">
        <v>4625</v>
      </c>
      <c r="H4426" s="18">
        <v>44.5</v>
      </c>
      <c r="I4426" s="61">
        <v>1</v>
      </c>
      <c r="J4426" s="131">
        <f t="shared" si="397"/>
        <v>44.5</v>
      </c>
      <c r="K4426" s="322">
        <v>23.6</v>
      </c>
      <c r="L4426" s="39">
        <f t="shared" si="398"/>
        <v>1050.2</v>
      </c>
      <c r="M4426" s="117" t="s">
        <v>323</v>
      </c>
      <c r="N4426" s="1499">
        <v>45834</v>
      </c>
      <c r="O4426" s="32">
        <v>7233</v>
      </c>
      <c r="P4426" s="391">
        <f t="shared" si="399"/>
        <v>20.650000000000002</v>
      </c>
      <c r="Q4426" s="254">
        <v>20.65</v>
      </c>
      <c r="R4426" s="323">
        <f t="shared" si="400"/>
        <v>918.93</v>
      </c>
      <c r="S4426" s="273">
        <v>2180</v>
      </c>
      <c r="T4426" s="287">
        <f t="shared" si="401"/>
        <v>97010</v>
      </c>
      <c r="U4426" s="264"/>
      <c r="V4426" s="260">
        <v>120</v>
      </c>
      <c r="W4426" s="1136">
        <f t="shared" si="402"/>
        <v>0.23022598870056496</v>
      </c>
    </row>
    <row r="4427" spans="2:23" ht="15.75">
      <c r="B4427" s="12" t="s">
        <v>302</v>
      </c>
      <c r="C4427" s="6" t="s">
        <v>5373</v>
      </c>
      <c r="D4427" s="14" t="s">
        <v>3067</v>
      </c>
      <c r="E4427" s="221" t="s">
        <v>5231</v>
      </c>
      <c r="F4427" s="133" t="s">
        <v>3061</v>
      </c>
      <c r="G4427" s="396" t="s">
        <v>4625</v>
      </c>
      <c r="H4427" s="18">
        <v>43.5</v>
      </c>
      <c r="I4427" s="61">
        <v>1</v>
      </c>
      <c r="J4427" s="131">
        <f t="shared" si="397"/>
        <v>43.5</v>
      </c>
      <c r="K4427" s="322">
        <v>23.6</v>
      </c>
      <c r="L4427" s="39">
        <f t="shared" si="398"/>
        <v>1026.6000000000001</v>
      </c>
      <c r="M4427" s="117" t="s">
        <v>323</v>
      </c>
      <c r="N4427" s="1499">
        <v>45834</v>
      </c>
      <c r="O4427" s="32">
        <v>7233</v>
      </c>
      <c r="P4427" s="391">
        <f t="shared" si="399"/>
        <v>20.650000000000002</v>
      </c>
      <c r="Q4427" s="254">
        <v>20.65</v>
      </c>
      <c r="R4427" s="323">
        <f t="shared" si="400"/>
        <v>898.28</v>
      </c>
      <c r="S4427" s="273">
        <v>2180</v>
      </c>
      <c r="T4427" s="287">
        <f t="shared" si="401"/>
        <v>94830</v>
      </c>
      <c r="U4427" s="264"/>
      <c r="V4427" s="260">
        <v>120</v>
      </c>
      <c r="W4427" s="1136">
        <f t="shared" si="402"/>
        <v>0.23022598870056496</v>
      </c>
    </row>
    <row r="4428" spans="2:23" ht="15.75">
      <c r="B4428" s="12" t="s">
        <v>302</v>
      </c>
      <c r="C4428" s="6" t="s">
        <v>5373</v>
      </c>
      <c r="D4428" s="14" t="s">
        <v>3067</v>
      </c>
      <c r="E4428" s="221" t="s">
        <v>5231</v>
      </c>
      <c r="F4428" s="133" t="s">
        <v>3061</v>
      </c>
      <c r="G4428" s="396" t="s">
        <v>4625</v>
      </c>
      <c r="H4428" s="18">
        <v>43.8</v>
      </c>
      <c r="I4428" s="61">
        <v>1</v>
      </c>
      <c r="J4428" s="131">
        <f>H4428*I4428</f>
        <v>43.8</v>
      </c>
      <c r="K4428" s="322">
        <v>23.6</v>
      </c>
      <c r="L4428" s="39">
        <f>K4428*J4428</f>
        <v>1033.68</v>
      </c>
      <c r="M4428" s="117" t="s">
        <v>323</v>
      </c>
      <c r="N4428" s="1499">
        <v>45834</v>
      </c>
      <c r="O4428" s="32">
        <v>7233</v>
      </c>
      <c r="P4428" s="391">
        <f>ROUNDUP(S4428/V4428/VLOOKUP(B4428,$C$2:$F$6,3,FALSE),2)</f>
        <v>20.650000000000002</v>
      </c>
      <c r="Q4428" s="254">
        <v>20.65</v>
      </c>
      <c r="R4428" s="323">
        <f>ROUND(Q4428*J4428,2)</f>
        <v>904.47</v>
      </c>
      <c r="S4428" s="273">
        <v>2180</v>
      </c>
      <c r="T4428" s="287">
        <f>S4428*J4428</f>
        <v>95484</v>
      </c>
      <c r="U4428" s="264"/>
      <c r="V4428" s="260">
        <v>120</v>
      </c>
      <c r="W4428" s="1136">
        <f>(((K4428*V4428)-S4428)/(K4428*V4428))</f>
        <v>0.23022598870056496</v>
      </c>
    </row>
    <row r="4429" spans="2:23" s="191" customFormat="1" ht="18" customHeight="1">
      <c r="B4429" s="190"/>
      <c r="C4429" s="179" t="s">
        <v>5373</v>
      </c>
      <c r="D4429" s="180" t="s">
        <v>3067</v>
      </c>
      <c r="E4429" s="217"/>
      <c r="F4429" s="182"/>
      <c r="G4429" s="182" t="s">
        <v>250</v>
      </c>
      <c r="H4429" s="184" t="s">
        <v>251</v>
      </c>
      <c r="I4429" s="185"/>
      <c r="J4429" s="183"/>
      <c r="K4429" s="192">
        <v>0</v>
      </c>
      <c r="L4429" s="187"/>
      <c r="M4429" s="187"/>
      <c r="N4429" s="187">
        <v>45834</v>
      </c>
      <c r="O4429" s="186">
        <v>7233</v>
      </c>
      <c r="P4429" s="179"/>
      <c r="Q4429" s="255">
        <v>0</v>
      </c>
      <c r="R4429" s="322">
        <v>0</v>
      </c>
      <c r="S4429" s="275">
        <v>0</v>
      </c>
      <c r="T4429" s="198">
        <v>0</v>
      </c>
      <c r="U4429" s="271"/>
      <c r="V4429" s="260">
        <v>120</v>
      </c>
      <c r="W4429" s="1136" t="e">
        <f>(((K4429*V4429)-S4429)/(K4429*V4429))</f>
        <v>#DIV/0!</v>
      </c>
    </row>
    <row r="4430" spans="2:23" s="7" customFormat="1" ht="18" customHeight="1">
      <c r="B4430" s="12"/>
      <c r="C4430" s="6" t="s">
        <v>5382</v>
      </c>
      <c r="D4430" s="14" t="s">
        <v>2004</v>
      </c>
      <c r="E4430" s="19" t="s">
        <v>59</v>
      </c>
      <c r="F4430" s="107"/>
      <c r="G4430" s="22"/>
      <c r="H4430" s="108"/>
      <c r="I4430" s="109"/>
      <c r="J4430" s="108"/>
      <c r="K4430" s="29" t="s">
        <v>5</v>
      </c>
      <c r="L4430" s="39"/>
      <c r="M4430" s="91"/>
      <c r="N4430" s="33">
        <v>45729</v>
      </c>
      <c r="O4430" s="32">
        <v>6935</v>
      </c>
      <c r="P4430" s="14"/>
      <c r="Q4430" s="322"/>
      <c r="U4430" s="14"/>
      <c r="V4430" s="260">
        <v>120</v>
      </c>
      <c r="W4430" s="1136" t="e">
        <f t="shared" ref="W4430:W4444" si="403">(((K4430*V4430)-S4430)/(K4430*V4430))</f>
        <v>#VALUE!</v>
      </c>
    </row>
    <row r="4431" spans="2:23" s="7" customFormat="1" ht="18" customHeight="1">
      <c r="B4431" s="12" t="s">
        <v>302</v>
      </c>
      <c r="C4431" s="6" t="s">
        <v>5383</v>
      </c>
      <c r="D4431" s="14" t="s">
        <v>2004</v>
      </c>
      <c r="E4431" s="22" t="s">
        <v>314</v>
      </c>
      <c r="F4431" s="107">
        <v>145</v>
      </c>
      <c r="G4431" s="22" t="s">
        <v>5380</v>
      </c>
      <c r="H4431" s="108">
        <v>53</v>
      </c>
      <c r="I4431" s="109">
        <v>1</v>
      </c>
      <c r="J4431" s="8">
        <f>H4431*I4431</f>
        <v>53</v>
      </c>
      <c r="K4431" s="39">
        <v>7.92</v>
      </c>
      <c r="L4431" s="39">
        <f t="shared" ref="L4431:L4436" si="404">K4431*J4431</f>
        <v>419.76</v>
      </c>
      <c r="M4431" s="117" t="s">
        <v>349</v>
      </c>
      <c r="N4431" s="33">
        <v>45729</v>
      </c>
      <c r="O4431" s="32">
        <v>6935</v>
      </c>
      <c r="P4431" s="391">
        <f>ROUNDUP(S4431/V4431/VLOOKUP(B4431,$C$2:$F$6,3,FALSE),2)</f>
        <v>6.92</v>
      </c>
      <c r="Q4431" s="322">
        <v>6.92</v>
      </c>
      <c r="R4431" s="322">
        <f>Q4431*J4431</f>
        <v>366.76</v>
      </c>
      <c r="S4431" s="7">
        <v>730</v>
      </c>
      <c r="T4431" s="7">
        <f>S4431*J4431</f>
        <v>38690</v>
      </c>
      <c r="U4431" s="21"/>
      <c r="V4431" s="260">
        <v>120</v>
      </c>
      <c r="W4431" s="1136">
        <f t="shared" si="403"/>
        <v>0.23190235690235689</v>
      </c>
    </row>
    <row r="4432" spans="2:23" s="7" customFormat="1" ht="18" customHeight="1">
      <c r="B4432" s="12" t="s">
        <v>302</v>
      </c>
      <c r="C4432" s="6" t="s">
        <v>5383</v>
      </c>
      <c r="D4432" s="14" t="s">
        <v>2004</v>
      </c>
      <c r="E4432" s="22" t="s">
        <v>314</v>
      </c>
      <c r="F4432" s="107">
        <v>145</v>
      </c>
      <c r="G4432" s="22" t="s">
        <v>5381</v>
      </c>
      <c r="H4432" s="108">
        <v>58</v>
      </c>
      <c r="I4432" s="109">
        <v>1</v>
      </c>
      <c r="J4432" s="8">
        <f>H4432*I4432</f>
        <v>58</v>
      </c>
      <c r="K4432" s="39">
        <v>7.92</v>
      </c>
      <c r="L4432" s="39">
        <f t="shared" si="404"/>
        <v>459.36</v>
      </c>
      <c r="M4432" s="117" t="s">
        <v>349</v>
      </c>
      <c r="N4432" s="33">
        <v>45729</v>
      </c>
      <c r="O4432" s="32">
        <v>6935</v>
      </c>
      <c r="P4432" s="391">
        <f>ROUNDUP(S4432/V4432/VLOOKUP(B4432,$C$2:$F$6,3,FALSE),2)</f>
        <v>6.92</v>
      </c>
      <c r="Q4432" s="322">
        <v>6.92</v>
      </c>
      <c r="R4432" s="322">
        <f>Q4432*J4432</f>
        <v>401.36</v>
      </c>
      <c r="S4432" s="7">
        <v>730</v>
      </c>
      <c r="T4432" s="7">
        <f>S4432*J4432</f>
        <v>42340</v>
      </c>
      <c r="U4432" s="21"/>
      <c r="V4432" s="260">
        <v>120</v>
      </c>
      <c r="W4432" s="1136">
        <f t="shared" si="403"/>
        <v>0.23190235690235689</v>
      </c>
    </row>
    <row r="4433" spans="2:23" s="7" customFormat="1" ht="18" customHeight="1">
      <c r="B4433" s="12"/>
      <c r="C4433" s="6" t="s">
        <v>5382</v>
      </c>
      <c r="D4433" s="14" t="s">
        <v>2004</v>
      </c>
      <c r="E4433" s="22"/>
      <c r="F4433" s="37"/>
      <c r="G4433" s="22" t="s">
        <v>316</v>
      </c>
      <c r="H4433" s="8"/>
      <c r="I4433" s="109" ph="1"/>
      <c r="J4433" s="38">
        <v>1</v>
      </c>
      <c r="K4433" s="39">
        <v>25</v>
      </c>
      <c r="L4433" s="39">
        <f t="shared" si="404"/>
        <v>25</v>
      </c>
      <c r="M4433" s="91"/>
      <c r="N4433" s="33">
        <v>45729</v>
      </c>
      <c r="O4433" s="32">
        <v>6935</v>
      </c>
      <c r="P4433" s="6"/>
      <c r="Q4433" s="322">
        <v>20</v>
      </c>
      <c r="R4433" s="322">
        <f>Q4433*J4433</f>
        <v>20</v>
      </c>
      <c r="S4433" s="7">
        <v>2500</v>
      </c>
      <c r="T4433" s="7">
        <f>S4433*J4433</f>
        <v>2500</v>
      </c>
      <c r="U4433" s="21"/>
      <c r="V4433" s="260">
        <v>120</v>
      </c>
      <c r="W4433" s="1136">
        <f t="shared" si="403"/>
        <v>0.16666666666666666</v>
      </c>
    </row>
    <row r="4434" spans="2:23" s="7" customFormat="1" ht="18" customHeight="1">
      <c r="B4434" s="12" t="s">
        <v>302</v>
      </c>
      <c r="C4434" s="6" t="s">
        <v>5384</v>
      </c>
      <c r="D4434" s="14" t="s">
        <v>2004</v>
      </c>
      <c r="E4434" s="22" t="s">
        <v>314</v>
      </c>
      <c r="F4434" s="107">
        <v>145</v>
      </c>
      <c r="G4434" s="22" t="s">
        <v>5380</v>
      </c>
      <c r="H4434" s="108"/>
      <c r="I4434" s="109"/>
      <c r="J4434" s="8">
        <v>5</v>
      </c>
      <c r="K4434" s="39">
        <v>7.92</v>
      </c>
      <c r="L4434" s="39">
        <f t="shared" si="404"/>
        <v>39.6</v>
      </c>
      <c r="M4434" s="117" t="s">
        <v>349</v>
      </c>
      <c r="N4434" s="33">
        <v>45729</v>
      </c>
      <c r="O4434" s="32">
        <v>6936</v>
      </c>
      <c r="P4434" s="391">
        <f>ROUNDUP(S4434/V4434/VLOOKUP(B4434,$C$2:$F$6,3,FALSE),2)</f>
        <v>6.92</v>
      </c>
      <c r="Q4434" s="322">
        <v>6.92</v>
      </c>
      <c r="R4434" s="322">
        <f>Q4434*J4434</f>
        <v>34.6</v>
      </c>
      <c r="S4434" s="7">
        <v>730</v>
      </c>
      <c r="T4434" s="7">
        <f>S4434*J4434</f>
        <v>3650</v>
      </c>
      <c r="U4434" s="21"/>
      <c r="V4434" s="260">
        <v>120</v>
      </c>
      <c r="W4434" s="1136">
        <f t="shared" si="403"/>
        <v>0.23190235690235689</v>
      </c>
    </row>
    <row r="4435" spans="2:23" s="7" customFormat="1" ht="18" customHeight="1">
      <c r="B4435" s="12"/>
      <c r="C4435" s="6" t="s">
        <v>5382</v>
      </c>
      <c r="D4435" s="14" t="s">
        <v>2004</v>
      </c>
      <c r="E4435" s="49"/>
      <c r="F4435" s="37"/>
      <c r="G4435" s="22" t="s">
        <v>236</v>
      </c>
      <c r="H4435" s="8"/>
      <c r="I4435" s="109" ph="1"/>
      <c r="J4435" s="38">
        <v>1</v>
      </c>
      <c r="K4435" s="39">
        <v>12</v>
      </c>
      <c r="L4435" s="39">
        <f t="shared" si="404"/>
        <v>12</v>
      </c>
      <c r="M4435" s="91"/>
      <c r="N4435" s="33">
        <v>45729</v>
      </c>
      <c r="O4435" s="32">
        <v>6936</v>
      </c>
      <c r="P4435" s="6"/>
      <c r="Q4435" s="322">
        <v>12</v>
      </c>
      <c r="R4435" s="322">
        <v>12</v>
      </c>
      <c r="S4435" s="7">
        <v>1000</v>
      </c>
      <c r="T4435" s="7">
        <f>S4435*J4435</f>
        <v>1000</v>
      </c>
      <c r="U4435" s="21"/>
      <c r="V4435" s="260">
        <v>120</v>
      </c>
      <c r="W4435" s="1136">
        <f t="shared" si="403"/>
        <v>0.30555555555555558</v>
      </c>
    </row>
    <row r="4436" spans="2:23" s="7" customFormat="1" ht="18" customHeight="1">
      <c r="B4436" s="12"/>
      <c r="C4436" s="6" t="s">
        <v>5382</v>
      </c>
      <c r="D4436" s="14" t="s">
        <v>2004</v>
      </c>
      <c r="E4436" s="49"/>
      <c r="F4436" s="37"/>
      <c r="G4436" s="22" t="s">
        <v>316</v>
      </c>
      <c r="H4436" s="8"/>
      <c r="I4436" s="109" ph="1"/>
      <c r="J4436" s="38"/>
      <c r="K4436" s="39">
        <v>0</v>
      </c>
      <c r="L4436" s="39">
        <f t="shared" si="404"/>
        <v>0</v>
      </c>
      <c r="M4436" s="91"/>
      <c r="N4436" s="33">
        <v>45729</v>
      </c>
      <c r="O4436" s="32">
        <v>6936</v>
      </c>
      <c r="P4436" s="6"/>
      <c r="Q4436" s="322">
        <v>0</v>
      </c>
      <c r="R4436" s="322">
        <f>Q4436*J4436</f>
        <v>0</v>
      </c>
      <c r="S4436" s="7">
        <v>1600</v>
      </c>
      <c r="T4436" s="7">
        <v>1600</v>
      </c>
      <c r="U4436" s="21"/>
      <c r="V4436" s="260">
        <v>120</v>
      </c>
      <c r="W4436" s="1136" t="e">
        <f>(((K4436*V4436)-S4436)/(K4436*V4436))</f>
        <v>#DIV/0!</v>
      </c>
    </row>
    <row r="4437" spans="2:23" s="191" customFormat="1" ht="15">
      <c r="B4437" s="190"/>
      <c r="C4437" s="179" t="s">
        <v>5382</v>
      </c>
      <c r="D4437" s="180" t="s">
        <v>2004</v>
      </c>
      <c r="E4437" s="181"/>
      <c r="F4437" s="622"/>
      <c r="G4437" s="182" t="s">
        <v>250</v>
      </c>
      <c r="H4437" s="184" t="s">
        <v>251</v>
      </c>
      <c r="I4437" s="185"/>
      <c r="J4437" s="183"/>
      <c r="K4437" s="192">
        <v>0</v>
      </c>
      <c r="L4437" s="187"/>
      <c r="M4437" s="187"/>
      <c r="N4437" s="187">
        <v>45729</v>
      </c>
      <c r="O4437" s="186">
        <v>6936</v>
      </c>
      <c r="P4437" s="179"/>
      <c r="Q4437" s="203"/>
      <c r="R4437" s="203"/>
      <c r="S4437" s="203"/>
      <c r="T4437" s="203"/>
      <c r="U4437" s="271"/>
      <c r="V4437" s="260">
        <v>120</v>
      </c>
      <c r="W4437" s="1136" t="e">
        <f t="shared" si="403"/>
        <v>#DIV/0!</v>
      </c>
    </row>
    <row r="4438" spans="2:23" s="7" customFormat="1" ht="18" customHeight="1">
      <c r="B4438" s="12"/>
      <c r="C4438" s="6" t="s">
        <v>5388</v>
      </c>
      <c r="D4438" s="14" t="s">
        <v>4963</v>
      </c>
      <c r="E4438" s="17" t="s">
        <v>5132</v>
      </c>
      <c r="F4438" s="319"/>
      <c r="G4438" s="299"/>
      <c r="H4438" s="300" t="s">
        <v>355</v>
      </c>
      <c r="I4438" s="320"/>
      <c r="J4438" s="321"/>
      <c r="K4438" s="110" t="s">
        <v>101</v>
      </c>
      <c r="L4438" s="139"/>
      <c r="M4438" s="33"/>
      <c r="N4438" s="33">
        <v>45734</v>
      </c>
      <c r="O4438" s="32">
        <v>6934</v>
      </c>
      <c r="P4438" s="6"/>
      <c r="Q4438" s="322"/>
      <c r="U4438" s="39"/>
      <c r="V4438" s="260">
        <v>120</v>
      </c>
      <c r="W4438" s="1136" t="e">
        <f t="shared" si="403"/>
        <v>#VALUE!</v>
      </c>
    </row>
    <row r="4439" spans="2:23" s="7" customFormat="1" ht="18" customHeight="1">
      <c r="B4439" s="12" t="s">
        <v>300</v>
      </c>
      <c r="C4439" s="6" t="s">
        <v>5388</v>
      </c>
      <c r="D4439" s="14" t="s">
        <v>4963</v>
      </c>
      <c r="E4439" s="374">
        <v>11707</v>
      </c>
      <c r="F4439" s="24">
        <v>12</v>
      </c>
      <c r="G4439" s="22" t="s">
        <v>5389</v>
      </c>
      <c r="H4439" s="108">
        <v>10</v>
      </c>
      <c r="I4439" s="109">
        <v>8</v>
      </c>
      <c r="J4439" s="8">
        <f>H4439*I4439</f>
        <v>80</v>
      </c>
      <c r="K4439" s="39">
        <v>1.66</v>
      </c>
      <c r="L4439" s="39">
        <f>K4439*J4439</f>
        <v>132.79999999999998</v>
      </c>
      <c r="M4439" s="117" t="s">
        <v>323</v>
      </c>
      <c r="N4439" s="1398">
        <v>45734</v>
      </c>
      <c r="O4439" s="32">
        <v>6934</v>
      </c>
      <c r="P4439" s="391">
        <f>ROUNDUP(S4439/V4439/VLOOKUP(B4439,$C$2:$F$6,3,FALSE),2)</f>
        <v>1.19</v>
      </c>
      <c r="Q4439" s="358">
        <v>1.19</v>
      </c>
      <c r="R4439" s="322">
        <f>Q4439*J4439</f>
        <v>95.199999999999989</v>
      </c>
      <c r="S4439" s="7">
        <v>99.2</v>
      </c>
      <c r="T4439" s="7">
        <f>S4439*J4439</f>
        <v>7936</v>
      </c>
      <c r="U4439" s="267"/>
      <c r="V4439" s="260">
        <v>120</v>
      </c>
      <c r="W4439" s="1136">
        <f t="shared" si="403"/>
        <v>0.50200803212851397</v>
      </c>
    </row>
    <row r="4440" spans="2:23" s="7" customFormat="1" ht="18" customHeight="1">
      <c r="B4440" s="12" t="s">
        <v>300</v>
      </c>
      <c r="C4440" s="6" t="s">
        <v>5388</v>
      </c>
      <c r="D4440" s="14" t="s">
        <v>4963</v>
      </c>
      <c r="E4440" s="374">
        <v>11707</v>
      </c>
      <c r="F4440" s="24">
        <v>12</v>
      </c>
      <c r="G4440" s="22" t="s">
        <v>5391</v>
      </c>
      <c r="H4440" s="108">
        <v>10</v>
      </c>
      <c r="I4440" s="109">
        <v>4</v>
      </c>
      <c r="J4440" s="8">
        <f>H4440*I4440</f>
        <v>40</v>
      </c>
      <c r="K4440" s="39">
        <v>1.66</v>
      </c>
      <c r="L4440" s="39">
        <f>K4440*J4440</f>
        <v>66.399999999999991</v>
      </c>
      <c r="M4440" s="117" t="s">
        <v>323</v>
      </c>
      <c r="N4440" s="1398">
        <v>45734</v>
      </c>
      <c r="O4440" s="32">
        <v>6934</v>
      </c>
      <c r="P4440" s="391">
        <f>ROUNDUP(S4440/V4440/VLOOKUP(B4440,$C$2:$F$6,3,FALSE),2)</f>
        <v>1.19</v>
      </c>
      <c r="Q4440" s="358">
        <v>1.19</v>
      </c>
      <c r="R4440" s="322">
        <f>Q4440*J4440</f>
        <v>47.599999999999994</v>
      </c>
      <c r="S4440" s="7">
        <v>99.2</v>
      </c>
      <c r="T4440" s="7">
        <f>S4440*J4440</f>
        <v>3968</v>
      </c>
      <c r="U4440" s="267"/>
      <c r="V4440" s="260">
        <v>120</v>
      </c>
      <c r="W4440" s="1136">
        <f>(((K4440*V4440)-S4440)/(K4440*V4440))</f>
        <v>0.50200803212851397</v>
      </c>
    </row>
    <row r="4441" spans="2:23" s="7" customFormat="1" ht="18" customHeight="1">
      <c r="B4441" s="12" t="s">
        <v>300</v>
      </c>
      <c r="C4441" s="6" t="s">
        <v>5388</v>
      </c>
      <c r="D4441" s="14" t="s">
        <v>4963</v>
      </c>
      <c r="E4441" s="374">
        <v>11707</v>
      </c>
      <c r="F4441" s="24">
        <v>50</v>
      </c>
      <c r="G4441" s="22" t="s">
        <v>5391</v>
      </c>
      <c r="H4441" s="108">
        <v>10</v>
      </c>
      <c r="I4441" s="109">
        <v>1</v>
      </c>
      <c r="J4441" s="8">
        <f>H4441*I4441</f>
        <v>10</v>
      </c>
      <c r="K4441" s="39">
        <v>6.5</v>
      </c>
      <c r="L4441" s="39">
        <f>K4441*J4441</f>
        <v>65</v>
      </c>
      <c r="M4441" s="117" t="s">
        <v>323</v>
      </c>
      <c r="N4441" s="1398">
        <v>45734</v>
      </c>
      <c r="O4441" s="32">
        <v>6934</v>
      </c>
      <c r="P4441" s="391">
        <f>ROUNDUP(S4441/V4441/VLOOKUP(B4441,$C$2:$F$6,3,FALSE),2)</f>
        <v>4.6499999999999995</v>
      </c>
      <c r="Q4441" s="358">
        <v>4.6500000000000004</v>
      </c>
      <c r="R4441" s="322">
        <f>Q4441*J4441</f>
        <v>46.5</v>
      </c>
      <c r="S4441" s="7">
        <v>390</v>
      </c>
      <c r="T4441" s="7">
        <f>S4441*J4441</f>
        <v>3900</v>
      </c>
      <c r="U4441" s="267"/>
      <c r="V4441" s="260">
        <v>120</v>
      </c>
      <c r="W4441" s="1136">
        <f t="shared" si="403"/>
        <v>0.5</v>
      </c>
    </row>
    <row r="4442" spans="2:23" s="7" customFormat="1" ht="18" customHeight="1">
      <c r="B4442" s="12"/>
      <c r="C4442" s="6" t="s">
        <v>5388</v>
      </c>
      <c r="D4442" s="14" t="s">
        <v>4963</v>
      </c>
      <c r="E4442" s="49"/>
      <c r="F4442" s="102"/>
      <c r="G4442" s="22" t="s">
        <v>316</v>
      </c>
      <c r="H4442" s="8"/>
      <c r="I4442" s="35"/>
      <c r="J4442" s="38">
        <v>1</v>
      </c>
      <c r="K4442" s="39">
        <v>12</v>
      </c>
      <c r="L4442" s="39">
        <f>K4442*J4442</f>
        <v>12</v>
      </c>
      <c r="M4442" s="117" t="s">
        <v>349</v>
      </c>
      <c r="N4442" s="1398">
        <v>45734</v>
      </c>
      <c r="O4442" s="32">
        <v>6934</v>
      </c>
      <c r="P4442" s="6" t="s">
        <v>3</v>
      </c>
      <c r="Q4442" s="39">
        <v>12</v>
      </c>
      <c r="R4442" s="322">
        <f>Q4442*J4442</f>
        <v>12</v>
      </c>
      <c r="S4442" s="7">
        <v>0</v>
      </c>
      <c r="T4442" s="7">
        <f>S4442*J4442</f>
        <v>0</v>
      </c>
      <c r="U4442" s="21"/>
      <c r="V4442" s="260">
        <v>120</v>
      </c>
      <c r="W4442" s="1136">
        <f t="shared" si="403"/>
        <v>1</v>
      </c>
    </row>
    <row r="4443" spans="2:23" s="7" customFormat="1" ht="18" customHeight="1">
      <c r="B4443" s="12"/>
      <c r="C4443" s="6" t="s">
        <v>5390</v>
      </c>
      <c r="D4443" s="14" t="s">
        <v>4963</v>
      </c>
      <c r="E4443" s="17" t="s">
        <v>160</v>
      </c>
      <c r="F4443" s="319"/>
      <c r="G4443" s="299"/>
      <c r="H4443" s="300" t="s">
        <v>355</v>
      </c>
      <c r="I4443" s="320"/>
      <c r="J4443" s="321"/>
      <c r="K4443" s="110" t="s">
        <v>101</v>
      </c>
      <c r="L4443" s="139"/>
      <c r="M4443" s="33"/>
      <c r="N4443" s="1398">
        <v>45734</v>
      </c>
      <c r="O4443" s="32">
        <v>6934</v>
      </c>
      <c r="P4443" s="6"/>
      <c r="Q4443" s="322"/>
      <c r="U4443" s="39"/>
      <c r="V4443" s="260">
        <v>120</v>
      </c>
      <c r="W4443" s="1136" t="e">
        <f t="shared" si="403"/>
        <v>#VALUE!</v>
      </c>
    </row>
    <row r="4444" spans="2:23" s="7" customFormat="1" ht="18" customHeight="1">
      <c r="B4444" s="12" t="s">
        <v>300</v>
      </c>
      <c r="C4444" s="6" t="s">
        <v>5390</v>
      </c>
      <c r="D4444" s="14" t="s">
        <v>4963</v>
      </c>
      <c r="E4444" s="374">
        <v>14552</v>
      </c>
      <c r="F4444" s="24">
        <v>12</v>
      </c>
      <c r="G4444" s="22" t="s">
        <v>3832</v>
      </c>
      <c r="H4444" s="108">
        <v>30</v>
      </c>
      <c r="I4444" s="109">
        <v>3</v>
      </c>
      <c r="J4444" s="8">
        <f>H4444*I4444</f>
        <v>90</v>
      </c>
      <c r="K4444" s="39">
        <v>0.77</v>
      </c>
      <c r="L4444" s="39">
        <f>K4444*J4444</f>
        <v>69.3</v>
      </c>
      <c r="M4444" s="117" t="s">
        <v>323</v>
      </c>
      <c r="N4444" s="1398">
        <v>45734</v>
      </c>
      <c r="O4444" s="32">
        <v>6934</v>
      </c>
      <c r="P4444" s="391">
        <f>ROUNDUP(S4444/V4444/VLOOKUP(B4444,$C$2:$F$6,3,FALSE),2)</f>
        <v>0.55000000000000004</v>
      </c>
      <c r="Q4444" s="358">
        <v>0.55000000000000004</v>
      </c>
      <c r="R4444" s="322">
        <f>Q4444*J4444</f>
        <v>49.500000000000007</v>
      </c>
      <c r="S4444" s="7">
        <v>46</v>
      </c>
      <c r="T4444" s="7">
        <f>S4444*J4444</f>
        <v>4140</v>
      </c>
      <c r="U4444" s="267"/>
      <c r="V4444" s="260">
        <v>120</v>
      </c>
      <c r="W4444" s="1136">
        <f t="shared" si="403"/>
        <v>0.50216450216450215</v>
      </c>
    </row>
    <row r="4445" spans="2:23" s="7" customFormat="1" ht="18" customHeight="1">
      <c r="B4445" s="12" t="s">
        <v>300</v>
      </c>
      <c r="C4445" s="6" t="s">
        <v>5390</v>
      </c>
      <c r="D4445" s="14" t="s">
        <v>4963</v>
      </c>
      <c r="E4445" s="374">
        <v>14552</v>
      </c>
      <c r="F4445" s="24">
        <v>12</v>
      </c>
      <c r="G4445" s="22" t="s">
        <v>4795</v>
      </c>
      <c r="H4445" s="108">
        <v>30</v>
      </c>
      <c r="I4445" s="109">
        <v>2</v>
      </c>
      <c r="J4445" s="8">
        <f>H4445*I4445</f>
        <v>60</v>
      </c>
      <c r="K4445" s="39">
        <v>0.77</v>
      </c>
      <c r="L4445" s="39">
        <f>K4445*J4445</f>
        <v>46.2</v>
      </c>
      <c r="M4445" s="117" t="s">
        <v>323</v>
      </c>
      <c r="N4445" s="1398">
        <v>45734</v>
      </c>
      <c r="O4445" s="32">
        <v>6934</v>
      </c>
      <c r="P4445" s="391">
        <f>ROUNDUP(S4445/V4445/VLOOKUP(B4445,$C$2:$F$6,3,FALSE),2)</f>
        <v>0.55000000000000004</v>
      </c>
      <c r="Q4445" s="358">
        <v>0.55000000000000004</v>
      </c>
      <c r="R4445" s="322">
        <f>Q4445*J4445</f>
        <v>33</v>
      </c>
      <c r="S4445" s="7">
        <v>46</v>
      </c>
      <c r="T4445" s="7">
        <f>S4445*J4445</f>
        <v>2760</v>
      </c>
      <c r="U4445" s="267"/>
      <c r="V4445" s="260">
        <v>120</v>
      </c>
      <c r="W4445" s="1136">
        <f t="shared" ref="W4445:W4455" si="405">(((K4445*V4445)-S4445)/(K4445*V4445))</f>
        <v>0.50216450216450215</v>
      </c>
    </row>
    <row r="4446" spans="2:23" s="7" customFormat="1" ht="18" customHeight="1">
      <c r="B4446" s="12"/>
      <c r="C4446" s="6" t="s">
        <v>5390</v>
      </c>
      <c r="D4446" s="14" t="s">
        <v>4963</v>
      </c>
      <c r="E4446" s="49"/>
      <c r="F4446" s="102"/>
      <c r="G4446" s="22" t="s">
        <v>316</v>
      </c>
      <c r="H4446" s="8"/>
      <c r="I4446" s="35"/>
      <c r="J4446" s="38">
        <v>1</v>
      </c>
      <c r="K4446" s="39">
        <v>12</v>
      </c>
      <c r="L4446" s="39">
        <f>K4446*J4446</f>
        <v>12</v>
      </c>
      <c r="M4446" s="117" t="s">
        <v>349</v>
      </c>
      <c r="N4446" s="1398">
        <v>45734</v>
      </c>
      <c r="O4446" s="32">
        <v>6934</v>
      </c>
      <c r="P4446" s="6" t="s">
        <v>3</v>
      </c>
      <c r="Q4446" s="39">
        <v>12</v>
      </c>
      <c r="R4446" s="322">
        <f>Q4446*J4446</f>
        <v>12</v>
      </c>
      <c r="S4446" s="7">
        <v>0</v>
      </c>
      <c r="T4446" s="7">
        <f>S4446*J4446</f>
        <v>0</v>
      </c>
      <c r="U4446" s="21"/>
      <c r="V4446" s="260">
        <v>120</v>
      </c>
      <c r="W4446" s="1136">
        <f t="shared" si="405"/>
        <v>1</v>
      </c>
    </row>
    <row r="4447" spans="2:23" s="191" customFormat="1" ht="18" customHeight="1">
      <c r="B4447" s="190"/>
      <c r="C4447" s="179" t="s">
        <v>5390</v>
      </c>
      <c r="D4447" s="180" t="s">
        <v>4963</v>
      </c>
      <c r="E4447" s="217"/>
      <c r="F4447" s="182"/>
      <c r="G4447" s="182" t="s">
        <v>250</v>
      </c>
      <c r="H4447" s="184" t="s">
        <v>374</v>
      </c>
      <c r="I4447" s="185"/>
      <c r="J4447" s="183"/>
      <c r="K4447" s="192">
        <v>85</v>
      </c>
      <c r="L4447" s="192">
        <v>85</v>
      </c>
      <c r="M4447" s="1310"/>
      <c r="N4447" s="187">
        <v>45734</v>
      </c>
      <c r="O4447" s="186">
        <v>6934</v>
      </c>
      <c r="P4447" s="179"/>
      <c r="Q4447" s="192">
        <v>85</v>
      </c>
      <c r="R4447" s="192">
        <v>85</v>
      </c>
      <c r="S4447" s="7">
        <v>8458</v>
      </c>
      <c r="T4447" s="7">
        <v>8458</v>
      </c>
      <c r="U4447" s="271"/>
      <c r="V4447" s="260">
        <v>120</v>
      </c>
      <c r="W4447" s="1136">
        <f t="shared" si="405"/>
        <v>0.17078431372549019</v>
      </c>
    </row>
    <row r="4448" spans="2:23" s="7" customFormat="1" ht="18" customHeight="1">
      <c r="B4448" s="12"/>
      <c r="C4448" s="6" t="s">
        <v>5392</v>
      </c>
      <c r="D4448" s="14" t="s">
        <v>4193</v>
      </c>
      <c r="E4448" s="17" t="s">
        <v>160</v>
      </c>
      <c r="F4448" s="319"/>
      <c r="G4448" s="299"/>
      <c r="H4448" s="300" t="s">
        <v>355</v>
      </c>
      <c r="I4448" s="320"/>
      <c r="J4448" s="321"/>
      <c r="K4448" s="110" t="s">
        <v>101</v>
      </c>
      <c r="L4448" s="139"/>
      <c r="M4448" s="33"/>
      <c r="N4448" s="33">
        <v>45748</v>
      </c>
      <c r="O4448" s="32">
        <v>6938</v>
      </c>
      <c r="P4448" s="6"/>
      <c r="Q4448" s="322"/>
      <c r="U4448" s="39"/>
      <c r="V4448" s="260">
        <v>120</v>
      </c>
      <c r="W4448" s="1136" t="e">
        <f t="shared" si="405"/>
        <v>#VALUE!</v>
      </c>
    </row>
    <row r="4449" spans="1:23" s="7" customFormat="1" ht="18" customHeight="1">
      <c r="B4449" s="12" t="s">
        <v>300</v>
      </c>
      <c r="C4449" s="6" t="s">
        <v>5392</v>
      </c>
      <c r="D4449" s="14" t="s">
        <v>4193</v>
      </c>
      <c r="E4449" s="22">
        <v>14552</v>
      </c>
      <c r="F4449" s="24">
        <v>10</v>
      </c>
      <c r="G4449" s="22" t="s">
        <v>5393</v>
      </c>
      <c r="H4449" s="108">
        <v>30</v>
      </c>
      <c r="I4449" s="109">
        <v>17</v>
      </c>
      <c r="J4449" s="8">
        <f>H4449*I4449</f>
        <v>510</v>
      </c>
      <c r="K4449" s="39">
        <v>0.77</v>
      </c>
      <c r="L4449" s="39">
        <f>K4449*J4449</f>
        <v>392.7</v>
      </c>
      <c r="M4449" s="117" t="s">
        <v>323</v>
      </c>
      <c r="N4449" s="33">
        <v>45748</v>
      </c>
      <c r="O4449" s="32">
        <v>6938</v>
      </c>
      <c r="P4449" s="391">
        <f>ROUNDUP(S4449/V4449/VLOOKUP(B4449,$C$2:$F$6,3,FALSE),2)</f>
        <v>0.49</v>
      </c>
      <c r="Q4449" s="358">
        <v>0.49</v>
      </c>
      <c r="R4449" s="322">
        <f>Q4449*J4449</f>
        <v>249.9</v>
      </c>
      <c r="S4449" s="7">
        <v>41</v>
      </c>
      <c r="T4449" s="7">
        <f>S4449*J4449</f>
        <v>20910</v>
      </c>
      <c r="U4449" s="267"/>
      <c r="V4449" s="260">
        <v>120</v>
      </c>
      <c r="W4449" s="1136">
        <f t="shared" si="405"/>
        <v>0.55627705627705626</v>
      </c>
    </row>
    <row r="4450" spans="1:23" s="7" customFormat="1" ht="18" customHeight="1">
      <c r="B4450" s="12"/>
      <c r="C4450" s="6" t="s">
        <v>5392</v>
      </c>
      <c r="D4450" s="14" t="s">
        <v>4193</v>
      </c>
      <c r="E4450" s="49"/>
      <c r="F4450" s="102"/>
      <c r="G4450" s="22" t="s">
        <v>316</v>
      </c>
      <c r="H4450" s="8"/>
      <c r="I4450" s="35"/>
      <c r="J4450" s="38">
        <v>1</v>
      </c>
      <c r="K4450" s="39">
        <v>12</v>
      </c>
      <c r="L4450" s="39">
        <f>K4450*J4450</f>
        <v>12</v>
      </c>
      <c r="M4450" s="117" t="s">
        <v>349</v>
      </c>
      <c r="N4450" s="33">
        <v>45748</v>
      </c>
      <c r="O4450" s="32">
        <v>6938</v>
      </c>
      <c r="P4450" s="6" t="s">
        <v>3</v>
      </c>
      <c r="Q4450" s="39">
        <v>12</v>
      </c>
      <c r="R4450" s="322">
        <f>Q4450*J4450</f>
        <v>12</v>
      </c>
      <c r="S4450" s="7">
        <v>1100</v>
      </c>
      <c r="T4450" s="7">
        <f>S4450*J4450</f>
        <v>1100</v>
      </c>
      <c r="U4450" s="21"/>
      <c r="V4450" s="260">
        <v>120</v>
      </c>
      <c r="W4450" s="1136">
        <f t="shared" si="405"/>
        <v>0.2361111111111111</v>
      </c>
    </row>
    <row r="4451" spans="1:23" s="191" customFormat="1" ht="18" customHeight="1">
      <c r="B4451" s="190"/>
      <c r="C4451" s="179" t="s">
        <v>5392</v>
      </c>
      <c r="D4451" s="180" t="s">
        <v>4193</v>
      </c>
      <c r="E4451" s="217"/>
      <c r="F4451" s="182"/>
      <c r="G4451" s="182" t="s">
        <v>250</v>
      </c>
      <c r="H4451" s="184" t="s">
        <v>251</v>
      </c>
      <c r="I4451" s="185"/>
      <c r="J4451" s="183"/>
      <c r="K4451" s="192">
        <v>0</v>
      </c>
      <c r="L4451" s="187"/>
      <c r="M4451" s="1310"/>
      <c r="N4451" s="187">
        <v>45748</v>
      </c>
      <c r="O4451" s="186">
        <v>6938</v>
      </c>
      <c r="P4451" s="179"/>
      <c r="Q4451" s="255">
        <v>0</v>
      </c>
      <c r="R4451" s="322">
        <v>0</v>
      </c>
      <c r="S4451" s="275">
        <v>0</v>
      </c>
      <c r="T4451" s="198">
        <v>0</v>
      </c>
      <c r="U4451" s="271"/>
      <c r="V4451" s="260">
        <v>120</v>
      </c>
      <c r="W4451" s="1136" t="e">
        <f t="shared" si="405"/>
        <v>#DIV/0!</v>
      </c>
    </row>
    <row r="4452" spans="1:23" s="7" customFormat="1" ht="15">
      <c r="B4452" s="12"/>
      <c r="C4452" s="965" t="s">
        <v>5394</v>
      </c>
      <c r="D4452" s="14" t="s">
        <v>3150</v>
      </c>
      <c r="E4452" s="19" t="s">
        <v>2244</v>
      </c>
      <c r="F4452" s="24"/>
      <c r="G4452" s="22"/>
      <c r="H4452" s="60"/>
      <c r="I4452" s="61"/>
      <c r="J4452" s="8"/>
      <c r="K4452" s="110" t="s">
        <v>5</v>
      </c>
      <c r="L4452" s="139"/>
      <c r="M4452" s="33"/>
      <c r="N4452" s="33">
        <v>45740</v>
      </c>
      <c r="O4452" s="32">
        <v>6967</v>
      </c>
      <c r="P4452" s="6" t="s">
        <v>8</v>
      </c>
      <c r="Q4452" s="358"/>
      <c r="U4452" s="120"/>
      <c r="V4452" s="260">
        <v>120</v>
      </c>
      <c r="W4452" s="1136" t="e">
        <f t="shared" si="405"/>
        <v>#VALUE!</v>
      </c>
    </row>
    <row r="4453" spans="1:23" s="7" customFormat="1" ht="18" customHeight="1">
      <c r="B4453" s="12" t="s">
        <v>300</v>
      </c>
      <c r="C4453" s="965" t="s">
        <v>5394</v>
      </c>
      <c r="D4453" s="14" t="s">
        <v>3150</v>
      </c>
      <c r="E4453" s="22">
        <v>11700</v>
      </c>
      <c r="F4453" s="37">
        <v>36</v>
      </c>
      <c r="G4453" s="22" t="s">
        <v>118</v>
      </c>
      <c r="H4453" s="8">
        <v>10</v>
      </c>
      <c r="I4453" s="35">
        <v>2</v>
      </c>
      <c r="J4453" s="108">
        <f>H4453*I4453</f>
        <v>20</v>
      </c>
      <c r="K4453" s="958">
        <v>4.72</v>
      </c>
      <c r="L4453" s="39">
        <f>K4453*J4453</f>
        <v>94.399999999999991</v>
      </c>
      <c r="M4453" s="117" t="s">
        <v>349</v>
      </c>
      <c r="N4453" s="33">
        <v>45740</v>
      </c>
      <c r="O4453" s="32">
        <v>6967</v>
      </c>
      <c r="P4453" s="391">
        <f>ROUNDUP(S4453/V4453/VLOOKUP(B4453,$C$2:$F$6,3,FALSE),2)</f>
        <v>3.0399999999999996</v>
      </c>
      <c r="Q4453" s="322">
        <v>3.04</v>
      </c>
      <c r="R4453" s="322">
        <f>Q4453*J4453</f>
        <v>60.8</v>
      </c>
      <c r="S4453" s="7">
        <v>255.1</v>
      </c>
      <c r="T4453" s="7">
        <f>S4453*J4453</f>
        <v>5102</v>
      </c>
      <c r="U4453" s="39"/>
      <c r="V4453" s="260">
        <v>120</v>
      </c>
      <c r="W4453" s="1136">
        <f t="shared" si="405"/>
        <v>0.54961158192090387</v>
      </c>
    </row>
    <row r="4454" spans="1:23" customFormat="1" ht="15.95" customHeight="1">
      <c r="A4454" s="1"/>
      <c r="B4454" s="12" t="s">
        <v>306</v>
      </c>
      <c r="C4454" s="965" t="s">
        <v>5394</v>
      </c>
      <c r="D4454" s="14" t="s">
        <v>3150</v>
      </c>
      <c r="E4454" s="22"/>
      <c r="F4454" s="102"/>
      <c r="G4454" s="37" t="s">
        <v>316</v>
      </c>
      <c r="H4454" s="8"/>
      <c r="I4454" s="35"/>
      <c r="J4454" s="38">
        <v>1</v>
      </c>
      <c r="K4454" s="39">
        <v>12</v>
      </c>
      <c r="L4454" s="39">
        <f>K4454*J4454</f>
        <v>12</v>
      </c>
      <c r="M4454" s="91"/>
      <c r="N4454" s="33">
        <v>45740</v>
      </c>
      <c r="O4454" s="32">
        <v>6967</v>
      </c>
      <c r="P4454" s="39"/>
      <c r="Q4454" s="358">
        <v>12</v>
      </c>
      <c r="R4454" s="323">
        <v>12</v>
      </c>
      <c r="S4454" s="7">
        <v>0</v>
      </c>
      <c r="T4454" s="7">
        <v>0</v>
      </c>
      <c r="U4454" s="270"/>
      <c r="V4454" s="260">
        <v>120</v>
      </c>
      <c r="W4454" s="1136">
        <f t="shared" si="405"/>
        <v>1</v>
      </c>
    </row>
    <row r="4455" spans="1:23" s="191" customFormat="1" ht="15">
      <c r="B4455" s="190"/>
      <c r="C4455" s="966" t="s">
        <v>5394</v>
      </c>
      <c r="D4455" s="180" t="s">
        <v>3150</v>
      </c>
      <c r="E4455" s="181"/>
      <c r="F4455" s="182"/>
      <c r="G4455" s="182" t="s">
        <v>250</v>
      </c>
      <c r="H4455" s="184" t="s">
        <v>251</v>
      </c>
      <c r="I4455" s="185"/>
      <c r="J4455" s="183"/>
      <c r="K4455" s="192">
        <v>0</v>
      </c>
      <c r="L4455" s="187"/>
      <c r="M4455" s="187"/>
      <c r="N4455" s="187">
        <v>45740</v>
      </c>
      <c r="O4455" s="186">
        <v>6967</v>
      </c>
      <c r="P4455" s="179"/>
      <c r="Q4455" s="255">
        <v>0</v>
      </c>
      <c r="S4455" s="275">
        <v>0</v>
      </c>
      <c r="T4455" s="198">
        <v>0</v>
      </c>
      <c r="U4455" s="271"/>
      <c r="V4455" s="260">
        <v>120</v>
      </c>
      <c r="W4455" s="1136" t="e">
        <f t="shared" si="405"/>
        <v>#DIV/0!</v>
      </c>
    </row>
    <row r="4456" spans="1:23" customFormat="1" ht="18" customHeight="1">
      <c r="A4456" s="1"/>
      <c r="B4456" s="26"/>
      <c r="C4456" s="6" t="s">
        <v>5398</v>
      </c>
      <c r="D4456" s="14" t="s">
        <v>2004</v>
      </c>
      <c r="E4456" s="19" t="s">
        <v>4847</v>
      </c>
      <c r="F4456" s="107"/>
      <c r="G4456" s="22"/>
      <c r="H4456" s="108"/>
      <c r="I4456" s="109"/>
      <c r="J4456" s="108"/>
      <c r="K4456" s="110" t="s">
        <v>5</v>
      </c>
      <c r="L4456" s="33"/>
      <c r="M4456" s="33"/>
      <c r="N4456" s="1149">
        <v>45777</v>
      </c>
      <c r="O4456" s="32">
        <v>7050</v>
      </c>
      <c r="P4456" s="14"/>
      <c r="Q4456" s="254"/>
      <c r="R4456" s="1"/>
      <c r="S4456" s="1300" t="s">
        <v>5401</v>
      </c>
      <c r="T4456" s="92"/>
      <c r="U4456" s="264"/>
      <c r="V4456" s="260">
        <v>120</v>
      </c>
    </row>
    <row r="4457" spans="1:23" customFormat="1" ht="18" customHeight="1">
      <c r="B4457" s="12" t="s">
        <v>302</v>
      </c>
      <c r="C4457" s="6" t="s">
        <v>5520</v>
      </c>
      <c r="D4457" s="14" t="s">
        <v>2004</v>
      </c>
      <c r="E4457" s="19" t="s">
        <v>5152</v>
      </c>
      <c r="F4457" s="107" t="s">
        <v>3340</v>
      </c>
      <c r="G4457" s="22" t="s">
        <v>5153</v>
      </c>
      <c r="H4457" s="18">
        <v>41.4</v>
      </c>
      <c r="I4457" s="61">
        <v>1</v>
      </c>
      <c r="J4457" s="18">
        <f t="shared" ref="J4457:J4493" si="406">H4457*I4457</f>
        <v>41.4</v>
      </c>
      <c r="K4457" s="39">
        <v>12.12</v>
      </c>
      <c r="L4457" s="39">
        <f t="shared" ref="L4457:L4493" si="407">K4457*J4457</f>
        <v>501.76799999999997</v>
      </c>
      <c r="M4457" s="117" t="s">
        <v>323</v>
      </c>
      <c r="N4457" s="1149">
        <v>45777</v>
      </c>
      <c r="O4457" s="32">
        <v>7050</v>
      </c>
      <c r="P4457" s="391">
        <f t="shared" ref="P4457:P4493" si="408">ROUNDUP(S4457/V4457/VLOOKUP(B4457,$C$2:$F$6,3,FALSE),2)</f>
        <v>11.02</v>
      </c>
      <c r="Q4457" s="254">
        <v>11.02</v>
      </c>
      <c r="R4457" s="323">
        <f t="shared" ref="R4457:R4493" si="409">Q4457*J4457</f>
        <v>456.22799999999995</v>
      </c>
      <c r="S4457" s="273">
        <f t="shared" ref="S4457:S4493" si="410">1230+30</f>
        <v>1260</v>
      </c>
      <c r="T4457" s="287">
        <f t="shared" ref="T4457:T4493" si="411">S4457*J4457</f>
        <v>52164</v>
      </c>
      <c r="U4457" s="264"/>
      <c r="V4457" s="260">
        <v>130</v>
      </c>
      <c r="W4457" s="1136">
        <f t="shared" ref="W4457:W4494" si="412">(((K4457*V4457)-S4457)/(K4457*V4457))</f>
        <v>0.20030464584920027</v>
      </c>
    </row>
    <row r="4458" spans="1:23" customFormat="1" ht="18" customHeight="1">
      <c r="B4458" s="12" t="s">
        <v>302</v>
      </c>
      <c r="C4458" s="6" t="s">
        <v>5520</v>
      </c>
      <c r="D4458" s="14" t="s">
        <v>2004</v>
      </c>
      <c r="E4458" s="19" t="s">
        <v>5152</v>
      </c>
      <c r="F4458" s="107" t="s">
        <v>3340</v>
      </c>
      <c r="G4458" s="22" t="s">
        <v>5153</v>
      </c>
      <c r="H4458" s="18">
        <v>69.7</v>
      </c>
      <c r="I4458" s="61">
        <v>1</v>
      </c>
      <c r="J4458" s="18">
        <f t="shared" si="406"/>
        <v>69.7</v>
      </c>
      <c r="K4458" s="39">
        <v>12.12</v>
      </c>
      <c r="L4458" s="39">
        <f t="shared" si="407"/>
        <v>844.76400000000001</v>
      </c>
      <c r="M4458" s="117" t="s">
        <v>323</v>
      </c>
      <c r="N4458" s="1149">
        <v>45777</v>
      </c>
      <c r="O4458" s="32">
        <v>7050</v>
      </c>
      <c r="P4458" s="391">
        <f t="shared" si="408"/>
        <v>11.02</v>
      </c>
      <c r="Q4458" s="254">
        <v>11.02</v>
      </c>
      <c r="R4458" s="323">
        <f t="shared" si="409"/>
        <v>768.09400000000005</v>
      </c>
      <c r="S4458" s="273">
        <f t="shared" si="410"/>
        <v>1260</v>
      </c>
      <c r="T4458" s="287">
        <f t="shared" si="411"/>
        <v>87822</v>
      </c>
      <c r="U4458" s="264"/>
      <c r="V4458" s="260">
        <v>130</v>
      </c>
      <c r="W4458" s="1136">
        <f t="shared" si="412"/>
        <v>0.20030464584920027</v>
      </c>
    </row>
    <row r="4459" spans="1:23" customFormat="1" ht="18" customHeight="1">
      <c r="B4459" s="12" t="s">
        <v>302</v>
      </c>
      <c r="C4459" s="6" t="s">
        <v>5520</v>
      </c>
      <c r="D4459" s="14" t="s">
        <v>2004</v>
      </c>
      <c r="E4459" s="19" t="s">
        <v>5152</v>
      </c>
      <c r="F4459" s="107" t="s">
        <v>3340</v>
      </c>
      <c r="G4459" s="22" t="s">
        <v>5153</v>
      </c>
      <c r="H4459" s="18">
        <v>69.3</v>
      </c>
      <c r="I4459" s="61">
        <v>1</v>
      </c>
      <c r="J4459" s="18">
        <f t="shared" si="406"/>
        <v>69.3</v>
      </c>
      <c r="K4459" s="39">
        <v>12.12</v>
      </c>
      <c r="L4459" s="39">
        <f t="shared" si="407"/>
        <v>839.91599999999994</v>
      </c>
      <c r="M4459" s="117" t="s">
        <v>323</v>
      </c>
      <c r="N4459" s="1149">
        <v>45777</v>
      </c>
      <c r="O4459" s="32">
        <v>7050</v>
      </c>
      <c r="P4459" s="391">
        <f t="shared" si="408"/>
        <v>11.02</v>
      </c>
      <c r="Q4459" s="254">
        <v>11.02</v>
      </c>
      <c r="R4459" s="323">
        <f t="shared" si="409"/>
        <v>763.68599999999992</v>
      </c>
      <c r="S4459" s="273">
        <f t="shared" si="410"/>
        <v>1260</v>
      </c>
      <c r="T4459" s="287">
        <f t="shared" si="411"/>
        <v>87318</v>
      </c>
      <c r="U4459" s="264"/>
      <c r="V4459" s="260">
        <v>130</v>
      </c>
      <c r="W4459" s="1136">
        <f t="shared" si="412"/>
        <v>0.20030464584920027</v>
      </c>
    </row>
    <row r="4460" spans="1:23" customFormat="1" ht="18" customHeight="1">
      <c r="B4460" s="12" t="s">
        <v>302</v>
      </c>
      <c r="C4460" s="6" t="s">
        <v>5520</v>
      </c>
      <c r="D4460" s="14" t="s">
        <v>2004</v>
      </c>
      <c r="E4460" s="19" t="s">
        <v>5152</v>
      </c>
      <c r="F4460" s="107" t="s">
        <v>3340</v>
      </c>
      <c r="G4460" s="22" t="s">
        <v>5153</v>
      </c>
      <c r="H4460" s="18">
        <v>52.5</v>
      </c>
      <c r="I4460" s="61">
        <v>1</v>
      </c>
      <c r="J4460" s="18">
        <f t="shared" si="406"/>
        <v>52.5</v>
      </c>
      <c r="K4460" s="39">
        <v>12.12</v>
      </c>
      <c r="L4460" s="39">
        <f t="shared" si="407"/>
        <v>636.29999999999995</v>
      </c>
      <c r="M4460" s="117" t="s">
        <v>323</v>
      </c>
      <c r="N4460" s="1149">
        <v>45777</v>
      </c>
      <c r="O4460" s="32">
        <v>7050</v>
      </c>
      <c r="P4460" s="391">
        <f t="shared" si="408"/>
        <v>11.02</v>
      </c>
      <c r="Q4460" s="254">
        <v>11.02</v>
      </c>
      <c r="R4460" s="323">
        <f t="shared" si="409"/>
        <v>578.54999999999995</v>
      </c>
      <c r="S4460" s="273">
        <f t="shared" si="410"/>
        <v>1260</v>
      </c>
      <c r="T4460" s="287">
        <f t="shared" si="411"/>
        <v>66150</v>
      </c>
      <c r="U4460" s="264"/>
      <c r="V4460" s="260">
        <v>130</v>
      </c>
      <c r="W4460" s="1136">
        <f t="shared" si="412"/>
        <v>0.20030464584920027</v>
      </c>
    </row>
    <row r="4461" spans="1:23" customFormat="1" ht="18" customHeight="1">
      <c r="B4461" s="12" t="s">
        <v>302</v>
      </c>
      <c r="C4461" s="6" t="s">
        <v>5520</v>
      </c>
      <c r="D4461" s="14" t="s">
        <v>2004</v>
      </c>
      <c r="E4461" s="19" t="s">
        <v>5152</v>
      </c>
      <c r="F4461" s="107" t="s">
        <v>3340</v>
      </c>
      <c r="G4461" s="22" t="s">
        <v>5153</v>
      </c>
      <c r="H4461" s="18">
        <v>56.6</v>
      </c>
      <c r="I4461" s="61">
        <v>1</v>
      </c>
      <c r="J4461" s="18">
        <f t="shared" si="406"/>
        <v>56.6</v>
      </c>
      <c r="K4461" s="39">
        <v>12.12</v>
      </c>
      <c r="L4461" s="39">
        <f t="shared" si="407"/>
        <v>685.99199999999996</v>
      </c>
      <c r="M4461" s="117" t="s">
        <v>323</v>
      </c>
      <c r="N4461" s="1149">
        <v>45777</v>
      </c>
      <c r="O4461" s="32">
        <v>7050</v>
      </c>
      <c r="P4461" s="391">
        <f t="shared" si="408"/>
        <v>11.02</v>
      </c>
      <c r="Q4461" s="254">
        <v>11.02</v>
      </c>
      <c r="R4461" s="323">
        <f t="shared" si="409"/>
        <v>623.73199999999997</v>
      </c>
      <c r="S4461" s="273">
        <f t="shared" si="410"/>
        <v>1260</v>
      </c>
      <c r="T4461" s="287">
        <f t="shared" si="411"/>
        <v>71316</v>
      </c>
      <c r="U4461" s="264"/>
      <c r="V4461" s="260">
        <v>130</v>
      </c>
      <c r="W4461" s="1136">
        <f t="shared" si="412"/>
        <v>0.20030464584920027</v>
      </c>
    </row>
    <row r="4462" spans="1:23" customFormat="1" ht="18" customHeight="1">
      <c r="B4462" s="12" t="s">
        <v>302</v>
      </c>
      <c r="C4462" s="6" t="s">
        <v>5521</v>
      </c>
      <c r="D4462" s="14" t="s">
        <v>2004</v>
      </c>
      <c r="E4462" s="19" t="s">
        <v>5152</v>
      </c>
      <c r="F4462" s="107" t="s">
        <v>3340</v>
      </c>
      <c r="G4462" s="22" t="s">
        <v>5153</v>
      </c>
      <c r="H4462" s="18">
        <v>68.8</v>
      </c>
      <c r="I4462" s="61">
        <v>1</v>
      </c>
      <c r="J4462" s="18">
        <f t="shared" si="406"/>
        <v>68.8</v>
      </c>
      <c r="K4462" s="39">
        <v>12.12</v>
      </c>
      <c r="L4462" s="39">
        <f t="shared" si="407"/>
        <v>833.85599999999988</v>
      </c>
      <c r="M4462" s="117" t="s">
        <v>323</v>
      </c>
      <c r="N4462" s="1149">
        <v>45777</v>
      </c>
      <c r="O4462" s="32">
        <v>7050</v>
      </c>
      <c r="P4462" s="391">
        <f t="shared" si="408"/>
        <v>11.02</v>
      </c>
      <c r="Q4462" s="254">
        <v>11.02</v>
      </c>
      <c r="R4462" s="323">
        <f t="shared" si="409"/>
        <v>758.17599999999993</v>
      </c>
      <c r="S4462" s="273">
        <f t="shared" si="410"/>
        <v>1260</v>
      </c>
      <c r="T4462" s="287">
        <f t="shared" si="411"/>
        <v>86688</v>
      </c>
      <c r="U4462" s="264"/>
      <c r="V4462" s="260">
        <v>130</v>
      </c>
      <c r="W4462" s="1136">
        <f t="shared" si="412"/>
        <v>0.20030464584920027</v>
      </c>
    </row>
    <row r="4463" spans="1:23" customFormat="1" ht="18" customHeight="1">
      <c r="B4463" s="12" t="s">
        <v>302</v>
      </c>
      <c r="C4463" s="6" t="s">
        <v>5521</v>
      </c>
      <c r="D4463" s="14" t="s">
        <v>2004</v>
      </c>
      <c r="E4463" s="19" t="s">
        <v>5152</v>
      </c>
      <c r="F4463" s="107" t="s">
        <v>3340</v>
      </c>
      <c r="G4463" s="22" t="s">
        <v>5153</v>
      </c>
      <c r="H4463" s="18">
        <v>68.599999999999994</v>
      </c>
      <c r="I4463" s="61">
        <v>1</v>
      </c>
      <c r="J4463" s="18">
        <f t="shared" si="406"/>
        <v>68.599999999999994</v>
      </c>
      <c r="K4463" s="39">
        <v>12.12</v>
      </c>
      <c r="L4463" s="39">
        <f t="shared" si="407"/>
        <v>831.4319999999999</v>
      </c>
      <c r="M4463" s="117" t="s">
        <v>323</v>
      </c>
      <c r="N4463" s="1149">
        <v>45777</v>
      </c>
      <c r="O4463" s="32">
        <v>7050</v>
      </c>
      <c r="P4463" s="391">
        <f t="shared" si="408"/>
        <v>11.02</v>
      </c>
      <c r="Q4463" s="254">
        <v>11.02</v>
      </c>
      <c r="R4463" s="323">
        <f t="shared" si="409"/>
        <v>755.97199999999987</v>
      </c>
      <c r="S4463" s="273">
        <f t="shared" si="410"/>
        <v>1260</v>
      </c>
      <c r="T4463" s="287">
        <f t="shared" si="411"/>
        <v>86436</v>
      </c>
      <c r="U4463" s="264"/>
      <c r="V4463" s="260">
        <v>130</v>
      </c>
      <c r="W4463" s="1136">
        <f t="shared" si="412"/>
        <v>0.20030464584920027</v>
      </c>
    </row>
    <row r="4464" spans="1:23" customFormat="1" ht="18" customHeight="1">
      <c r="B4464" s="12" t="s">
        <v>302</v>
      </c>
      <c r="C4464" s="6" t="s">
        <v>5521</v>
      </c>
      <c r="D4464" s="14" t="s">
        <v>2004</v>
      </c>
      <c r="E4464" s="19" t="s">
        <v>5152</v>
      </c>
      <c r="F4464" s="107" t="s">
        <v>3340</v>
      </c>
      <c r="G4464" s="22" t="s">
        <v>5153</v>
      </c>
      <c r="H4464" s="18">
        <v>57</v>
      </c>
      <c r="I4464" s="61">
        <v>1</v>
      </c>
      <c r="J4464" s="18">
        <f t="shared" si="406"/>
        <v>57</v>
      </c>
      <c r="K4464" s="39">
        <v>12.12</v>
      </c>
      <c r="L4464" s="39">
        <f t="shared" si="407"/>
        <v>690.83999999999992</v>
      </c>
      <c r="M4464" s="117" t="s">
        <v>323</v>
      </c>
      <c r="N4464" s="1149">
        <v>45777</v>
      </c>
      <c r="O4464" s="32">
        <v>7050</v>
      </c>
      <c r="P4464" s="391">
        <f t="shared" si="408"/>
        <v>11.02</v>
      </c>
      <c r="Q4464" s="254">
        <v>11.02</v>
      </c>
      <c r="R4464" s="323">
        <f t="shared" si="409"/>
        <v>628.14</v>
      </c>
      <c r="S4464" s="273">
        <f t="shared" si="410"/>
        <v>1260</v>
      </c>
      <c r="T4464" s="287">
        <f t="shared" si="411"/>
        <v>71820</v>
      </c>
      <c r="U4464" s="264"/>
      <c r="V4464" s="260">
        <v>130</v>
      </c>
      <c r="W4464" s="1136">
        <f t="shared" si="412"/>
        <v>0.20030464584920027</v>
      </c>
    </row>
    <row r="4465" spans="2:23" customFormat="1" ht="18" customHeight="1">
      <c r="B4465" s="12" t="s">
        <v>302</v>
      </c>
      <c r="C4465" s="6" t="s">
        <v>5521</v>
      </c>
      <c r="D4465" s="14" t="s">
        <v>2004</v>
      </c>
      <c r="E4465" s="19" t="s">
        <v>5152</v>
      </c>
      <c r="F4465" s="107" t="s">
        <v>3340</v>
      </c>
      <c r="G4465" s="22" t="s">
        <v>5153</v>
      </c>
      <c r="H4465" s="18">
        <v>57.5</v>
      </c>
      <c r="I4465" s="61">
        <v>1</v>
      </c>
      <c r="J4465" s="18">
        <f t="shared" si="406"/>
        <v>57.5</v>
      </c>
      <c r="K4465" s="39">
        <v>12.12</v>
      </c>
      <c r="L4465" s="39">
        <f t="shared" si="407"/>
        <v>696.9</v>
      </c>
      <c r="M4465" s="117" t="s">
        <v>323</v>
      </c>
      <c r="N4465" s="1149">
        <v>45777</v>
      </c>
      <c r="O4465" s="32">
        <v>7050</v>
      </c>
      <c r="P4465" s="391">
        <f t="shared" si="408"/>
        <v>11.02</v>
      </c>
      <c r="Q4465" s="254">
        <v>11.02</v>
      </c>
      <c r="R4465" s="323">
        <f t="shared" si="409"/>
        <v>633.65</v>
      </c>
      <c r="S4465" s="273">
        <f t="shared" si="410"/>
        <v>1260</v>
      </c>
      <c r="T4465" s="287">
        <f t="shared" si="411"/>
        <v>72450</v>
      </c>
      <c r="U4465" s="264"/>
      <c r="V4465" s="260">
        <v>130</v>
      </c>
      <c r="W4465" s="1136">
        <f t="shared" si="412"/>
        <v>0.20030464584920027</v>
      </c>
    </row>
    <row r="4466" spans="2:23" customFormat="1" ht="18" customHeight="1">
      <c r="B4466" s="12" t="s">
        <v>302</v>
      </c>
      <c r="C4466" s="6" t="s">
        <v>5521</v>
      </c>
      <c r="D4466" s="14" t="s">
        <v>2004</v>
      </c>
      <c r="E4466" s="19" t="s">
        <v>5152</v>
      </c>
      <c r="F4466" s="107" t="s">
        <v>3340</v>
      </c>
      <c r="G4466" s="22" t="s">
        <v>5153</v>
      </c>
      <c r="H4466" s="18">
        <v>68.3</v>
      </c>
      <c r="I4466" s="61">
        <v>1</v>
      </c>
      <c r="J4466" s="18">
        <f t="shared" si="406"/>
        <v>68.3</v>
      </c>
      <c r="K4466" s="39">
        <v>12.12</v>
      </c>
      <c r="L4466" s="39">
        <f t="shared" si="407"/>
        <v>827.79599999999994</v>
      </c>
      <c r="M4466" s="117" t="s">
        <v>323</v>
      </c>
      <c r="N4466" s="1149">
        <v>45777</v>
      </c>
      <c r="O4466" s="32">
        <v>7050</v>
      </c>
      <c r="P4466" s="391">
        <f t="shared" si="408"/>
        <v>11.02</v>
      </c>
      <c r="Q4466" s="254">
        <v>11.02</v>
      </c>
      <c r="R4466" s="323">
        <f t="shared" si="409"/>
        <v>752.66599999999994</v>
      </c>
      <c r="S4466" s="273">
        <f t="shared" si="410"/>
        <v>1260</v>
      </c>
      <c r="T4466" s="287">
        <f t="shared" si="411"/>
        <v>86058</v>
      </c>
      <c r="U4466" s="264"/>
      <c r="V4466" s="260">
        <v>130</v>
      </c>
      <c r="W4466" s="1136">
        <f t="shared" si="412"/>
        <v>0.20030464584920027</v>
      </c>
    </row>
    <row r="4467" spans="2:23" customFormat="1" ht="18" customHeight="1">
      <c r="B4467" s="12" t="s">
        <v>302</v>
      </c>
      <c r="C4467" s="6" t="s">
        <v>5521</v>
      </c>
      <c r="D4467" s="14" t="s">
        <v>2004</v>
      </c>
      <c r="E4467" s="19" t="s">
        <v>5152</v>
      </c>
      <c r="F4467" s="107" t="s">
        <v>3340</v>
      </c>
      <c r="G4467" s="22" t="s">
        <v>5153</v>
      </c>
      <c r="H4467" s="18">
        <v>66.900000000000006</v>
      </c>
      <c r="I4467" s="61">
        <v>1</v>
      </c>
      <c r="J4467" s="18">
        <f t="shared" si="406"/>
        <v>66.900000000000006</v>
      </c>
      <c r="K4467" s="39">
        <v>12.12</v>
      </c>
      <c r="L4467" s="39">
        <f t="shared" si="407"/>
        <v>810.82799999999997</v>
      </c>
      <c r="M4467" s="117" t="s">
        <v>323</v>
      </c>
      <c r="N4467" s="1149">
        <v>45777</v>
      </c>
      <c r="O4467" s="32">
        <v>7050</v>
      </c>
      <c r="P4467" s="391">
        <f t="shared" si="408"/>
        <v>11.02</v>
      </c>
      <c r="Q4467" s="254">
        <v>11.02</v>
      </c>
      <c r="R4467" s="323">
        <f t="shared" si="409"/>
        <v>737.23800000000006</v>
      </c>
      <c r="S4467" s="273">
        <f t="shared" si="410"/>
        <v>1260</v>
      </c>
      <c r="T4467" s="287">
        <f t="shared" si="411"/>
        <v>84294</v>
      </c>
      <c r="U4467" s="264"/>
      <c r="V4467" s="260">
        <v>130</v>
      </c>
      <c r="W4467" s="1136">
        <f t="shared" si="412"/>
        <v>0.20030464584920027</v>
      </c>
    </row>
    <row r="4468" spans="2:23" customFormat="1" ht="18" customHeight="1">
      <c r="B4468" s="12" t="s">
        <v>302</v>
      </c>
      <c r="C4468" s="6" t="s">
        <v>5522</v>
      </c>
      <c r="D4468" s="14" t="s">
        <v>2004</v>
      </c>
      <c r="E4468" s="19" t="s">
        <v>5152</v>
      </c>
      <c r="F4468" s="107" t="s">
        <v>3340</v>
      </c>
      <c r="G4468" s="22" t="s">
        <v>5153</v>
      </c>
      <c r="H4468" s="18">
        <v>58</v>
      </c>
      <c r="I4468" s="61">
        <v>1</v>
      </c>
      <c r="J4468" s="18">
        <f t="shared" si="406"/>
        <v>58</v>
      </c>
      <c r="K4468" s="39">
        <v>12.12</v>
      </c>
      <c r="L4468" s="39">
        <f t="shared" si="407"/>
        <v>702.95999999999992</v>
      </c>
      <c r="M4468" s="117" t="s">
        <v>323</v>
      </c>
      <c r="N4468" s="1149">
        <v>45777</v>
      </c>
      <c r="O4468" s="32">
        <v>7050</v>
      </c>
      <c r="P4468" s="391">
        <f t="shared" si="408"/>
        <v>11.02</v>
      </c>
      <c r="Q4468" s="254">
        <v>11.02</v>
      </c>
      <c r="R4468" s="323">
        <f t="shared" si="409"/>
        <v>639.16</v>
      </c>
      <c r="S4468" s="273">
        <f t="shared" si="410"/>
        <v>1260</v>
      </c>
      <c r="T4468" s="287">
        <f t="shared" si="411"/>
        <v>73080</v>
      </c>
      <c r="U4468" s="264"/>
      <c r="V4468" s="260">
        <v>130</v>
      </c>
      <c r="W4468" s="1136">
        <f t="shared" si="412"/>
        <v>0.20030464584920027</v>
      </c>
    </row>
    <row r="4469" spans="2:23" customFormat="1" ht="18" customHeight="1">
      <c r="B4469" s="12" t="s">
        <v>302</v>
      </c>
      <c r="C4469" s="6" t="s">
        <v>5522</v>
      </c>
      <c r="D4469" s="14" t="s">
        <v>2004</v>
      </c>
      <c r="E4469" s="19" t="s">
        <v>5152</v>
      </c>
      <c r="F4469" s="107" t="s">
        <v>3340</v>
      </c>
      <c r="G4469" s="22" t="s">
        <v>5153</v>
      </c>
      <c r="H4469" s="18">
        <v>58.3</v>
      </c>
      <c r="I4469" s="61">
        <v>1</v>
      </c>
      <c r="J4469" s="18">
        <f t="shared" si="406"/>
        <v>58.3</v>
      </c>
      <c r="K4469" s="39">
        <v>12.12</v>
      </c>
      <c r="L4469" s="39">
        <f t="shared" si="407"/>
        <v>706.59599999999989</v>
      </c>
      <c r="M4469" s="117" t="s">
        <v>323</v>
      </c>
      <c r="N4469" s="1149">
        <v>45777</v>
      </c>
      <c r="O4469" s="32">
        <v>7050</v>
      </c>
      <c r="P4469" s="391">
        <f t="shared" si="408"/>
        <v>11.02</v>
      </c>
      <c r="Q4469" s="254">
        <v>11.02</v>
      </c>
      <c r="R4469" s="323">
        <f t="shared" si="409"/>
        <v>642.46599999999989</v>
      </c>
      <c r="S4469" s="273">
        <f t="shared" si="410"/>
        <v>1260</v>
      </c>
      <c r="T4469" s="287">
        <f t="shared" si="411"/>
        <v>73458</v>
      </c>
      <c r="U4469" s="264"/>
      <c r="V4469" s="260">
        <v>130</v>
      </c>
      <c r="W4469" s="1136">
        <f t="shared" si="412"/>
        <v>0.20030464584920027</v>
      </c>
    </row>
    <row r="4470" spans="2:23" customFormat="1" ht="18" customHeight="1">
      <c r="B4470" s="12" t="s">
        <v>302</v>
      </c>
      <c r="C4470" s="6" t="s">
        <v>5522</v>
      </c>
      <c r="D4470" s="14" t="s">
        <v>2004</v>
      </c>
      <c r="E4470" s="19" t="s">
        <v>5152</v>
      </c>
      <c r="F4470" s="107" t="s">
        <v>3340</v>
      </c>
      <c r="G4470" s="22" t="s">
        <v>5153</v>
      </c>
      <c r="H4470" s="18">
        <v>62.8</v>
      </c>
      <c r="I4470" s="61">
        <v>1</v>
      </c>
      <c r="J4470" s="18">
        <f t="shared" si="406"/>
        <v>62.8</v>
      </c>
      <c r="K4470" s="39">
        <v>12.12</v>
      </c>
      <c r="L4470" s="39">
        <f t="shared" si="407"/>
        <v>761.13599999999997</v>
      </c>
      <c r="M4470" s="117" t="s">
        <v>323</v>
      </c>
      <c r="N4470" s="1149">
        <v>45777</v>
      </c>
      <c r="O4470" s="32">
        <v>7050</v>
      </c>
      <c r="P4470" s="391">
        <f t="shared" si="408"/>
        <v>11.02</v>
      </c>
      <c r="Q4470" s="254">
        <v>11.02</v>
      </c>
      <c r="R4470" s="323">
        <f t="shared" si="409"/>
        <v>692.05599999999993</v>
      </c>
      <c r="S4470" s="273">
        <f t="shared" si="410"/>
        <v>1260</v>
      </c>
      <c r="T4470" s="287">
        <f t="shared" si="411"/>
        <v>79128</v>
      </c>
      <c r="U4470" s="264"/>
      <c r="V4470" s="260">
        <v>130</v>
      </c>
      <c r="W4470" s="1136">
        <f t="shared" si="412"/>
        <v>0.20030464584920027</v>
      </c>
    </row>
    <row r="4471" spans="2:23" customFormat="1" ht="18" customHeight="1">
      <c r="B4471" s="12" t="s">
        <v>302</v>
      </c>
      <c r="C4471" s="6" t="s">
        <v>5522</v>
      </c>
      <c r="D4471" s="14" t="s">
        <v>2004</v>
      </c>
      <c r="E4471" s="19" t="s">
        <v>5152</v>
      </c>
      <c r="F4471" s="107" t="s">
        <v>3340</v>
      </c>
      <c r="G4471" s="22" t="s">
        <v>5153</v>
      </c>
      <c r="H4471" s="18">
        <v>61</v>
      </c>
      <c r="I4471" s="61">
        <v>1</v>
      </c>
      <c r="J4471" s="18">
        <f t="shared" si="406"/>
        <v>61</v>
      </c>
      <c r="K4471" s="39">
        <v>12.12</v>
      </c>
      <c r="L4471" s="39">
        <f t="shared" si="407"/>
        <v>739.31999999999994</v>
      </c>
      <c r="M4471" s="117" t="s">
        <v>323</v>
      </c>
      <c r="N4471" s="1149">
        <v>45777</v>
      </c>
      <c r="O4471" s="32">
        <v>7050</v>
      </c>
      <c r="P4471" s="391">
        <f t="shared" si="408"/>
        <v>11.02</v>
      </c>
      <c r="Q4471" s="254">
        <v>11.02</v>
      </c>
      <c r="R4471" s="323">
        <f t="shared" si="409"/>
        <v>672.22</v>
      </c>
      <c r="S4471" s="273">
        <f t="shared" si="410"/>
        <v>1260</v>
      </c>
      <c r="T4471" s="287">
        <f t="shared" si="411"/>
        <v>76860</v>
      </c>
      <c r="U4471" s="264"/>
      <c r="V4471" s="260">
        <v>130</v>
      </c>
      <c r="W4471" s="1136">
        <f t="shared" si="412"/>
        <v>0.20030464584920027</v>
      </c>
    </row>
    <row r="4472" spans="2:23" customFormat="1" ht="18" customHeight="1">
      <c r="B4472" s="12" t="s">
        <v>302</v>
      </c>
      <c r="C4472" s="6" t="s">
        <v>5522</v>
      </c>
      <c r="D4472" s="14" t="s">
        <v>2004</v>
      </c>
      <c r="E4472" s="19" t="s">
        <v>5152</v>
      </c>
      <c r="F4472" s="107" t="s">
        <v>3340</v>
      </c>
      <c r="G4472" s="22" t="s">
        <v>5153</v>
      </c>
      <c r="H4472" s="18">
        <v>58.8</v>
      </c>
      <c r="I4472" s="61">
        <v>1</v>
      </c>
      <c r="J4472" s="18">
        <f t="shared" si="406"/>
        <v>58.8</v>
      </c>
      <c r="K4472" s="39">
        <v>12.12</v>
      </c>
      <c r="L4472" s="39">
        <f t="shared" si="407"/>
        <v>712.65599999999995</v>
      </c>
      <c r="M4472" s="117" t="s">
        <v>323</v>
      </c>
      <c r="N4472" s="1149">
        <v>45777</v>
      </c>
      <c r="O4472" s="32">
        <v>7050</v>
      </c>
      <c r="P4472" s="391">
        <f t="shared" si="408"/>
        <v>11.02</v>
      </c>
      <c r="Q4472" s="254">
        <v>11.02</v>
      </c>
      <c r="R4472" s="323">
        <f t="shared" si="409"/>
        <v>647.976</v>
      </c>
      <c r="S4472" s="273">
        <f t="shared" si="410"/>
        <v>1260</v>
      </c>
      <c r="T4472" s="287">
        <f t="shared" si="411"/>
        <v>74088</v>
      </c>
      <c r="U4472" s="264"/>
      <c r="V4472" s="260">
        <v>130</v>
      </c>
      <c r="W4472" s="1136">
        <f t="shared" si="412"/>
        <v>0.20030464584920027</v>
      </c>
    </row>
    <row r="4473" spans="2:23" customFormat="1" ht="18" customHeight="1">
      <c r="B4473" s="12" t="s">
        <v>302</v>
      </c>
      <c r="C4473" s="6" t="s">
        <v>5522</v>
      </c>
      <c r="D4473" s="14" t="s">
        <v>2004</v>
      </c>
      <c r="E4473" s="19" t="s">
        <v>5152</v>
      </c>
      <c r="F4473" s="107" t="s">
        <v>3340</v>
      </c>
      <c r="G4473" s="22" t="s">
        <v>5153</v>
      </c>
      <c r="H4473" s="18">
        <v>58.9</v>
      </c>
      <c r="I4473" s="61">
        <v>1</v>
      </c>
      <c r="J4473" s="18">
        <f t="shared" si="406"/>
        <v>58.9</v>
      </c>
      <c r="K4473" s="39">
        <v>12.12</v>
      </c>
      <c r="L4473" s="39">
        <f t="shared" si="407"/>
        <v>713.86799999999994</v>
      </c>
      <c r="M4473" s="117" t="s">
        <v>323</v>
      </c>
      <c r="N4473" s="1149">
        <v>45777</v>
      </c>
      <c r="O4473" s="32">
        <v>7050</v>
      </c>
      <c r="P4473" s="391">
        <f t="shared" si="408"/>
        <v>11.02</v>
      </c>
      <c r="Q4473" s="254">
        <v>11.02</v>
      </c>
      <c r="R4473" s="323">
        <f t="shared" si="409"/>
        <v>649.07799999999997</v>
      </c>
      <c r="S4473" s="273">
        <f t="shared" si="410"/>
        <v>1260</v>
      </c>
      <c r="T4473" s="287">
        <f t="shared" si="411"/>
        <v>74214</v>
      </c>
      <c r="U4473" s="264"/>
      <c r="V4473" s="260">
        <v>130</v>
      </c>
      <c r="W4473" s="1136">
        <f t="shared" si="412"/>
        <v>0.20030464584920027</v>
      </c>
    </row>
    <row r="4474" spans="2:23" customFormat="1" ht="18" customHeight="1">
      <c r="B4474" s="12" t="s">
        <v>302</v>
      </c>
      <c r="C4474" s="6" t="s">
        <v>5523</v>
      </c>
      <c r="D4474" s="14" t="s">
        <v>2004</v>
      </c>
      <c r="E4474" s="19" t="s">
        <v>5152</v>
      </c>
      <c r="F4474" s="107" t="s">
        <v>3340</v>
      </c>
      <c r="G4474" s="22" t="s">
        <v>5153</v>
      </c>
      <c r="H4474" s="18">
        <v>58.9</v>
      </c>
      <c r="I4474" s="61">
        <v>2</v>
      </c>
      <c r="J4474" s="18">
        <f t="shared" si="406"/>
        <v>117.8</v>
      </c>
      <c r="K4474" s="39">
        <v>12.12</v>
      </c>
      <c r="L4474" s="39">
        <f t="shared" si="407"/>
        <v>1427.7359999999999</v>
      </c>
      <c r="M4474" s="117" t="s">
        <v>323</v>
      </c>
      <c r="N4474" s="1149">
        <v>45777</v>
      </c>
      <c r="O4474" s="32">
        <v>7050</v>
      </c>
      <c r="P4474" s="391">
        <f t="shared" si="408"/>
        <v>11.02</v>
      </c>
      <c r="Q4474" s="254">
        <v>11.02</v>
      </c>
      <c r="R4474" s="323">
        <f t="shared" si="409"/>
        <v>1298.1559999999999</v>
      </c>
      <c r="S4474" s="273">
        <f t="shared" si="410"/>
        <v>1260</v>
      </c>
      <c r="T4474" s="287">
        <f t="shared" si="411"/>
        <v>148428</v>
      </c>
      <c r="U4474" s="264"/>
      <c r="V4474" s="260">
        <v>130</v>
      </c>
      <c r="W4474" s="1136">
        <f t="shared" si="412"/>
        <v>0.20030464584920027</v>
      </c>
    </row>
    <row r="4475" spans="2:23" customFormat="1" ht="18" customHeight="1">
      <c r="B4475" s="12" t="s">
        <v>302</v>
      </c>
      <c r="C4475" s="6" t="s">
        <v>5523</v>
      </c>
      <c r="D4475" s="14" t="s">
        <v>2004</v>
      </c>
      <c r="E4475" s="19" t="s">
        <v>5152</v>
      </c>
      <c r="F4475" s="107" t="s">
        <v>3340</v>
      </c>
      <c r="G4475" s="22" t="s">
        <v>5153</v>
      </c>
      <c r="H4475" s="18">
        <v>60.8</v>
      </c>
      <c r="I4475" s="61">
        <v>1</v>
      </c>
      <c r="J4475" s="18">
        <f t="shared" si="406"/>
        <v>60.8</v>
      </c>
      <c r="K4475" s="39">
        <v>12.12</v>
      </c>
      <c r="L4475" s="39">
        <f t="shared" si="407"/>
        <v>736.89599999999996</v>
      </c>
      <c r="M4475" s="117" t="s">
        <v>323</v>
      </c>
      <c r="N4475" s="1149">
        <v>45777</v>
      </c>
      <c r="O4475" s="32">
        <v>7050</v>
      </c>
      <c r="P4475" s="391">
        <f t="shared" si="408"/>
        <v>11.02</v>
      </c>
      <c r="Q4475" s="254">
        <v>11.02</v>
      </c>
      <c r="R4475" s="323">
        <f t="shared" si="409"/>
        <v>670.01599999999996</v>
      </c>
      <c r="S4475" s="273">
        <f t="shared" si="410"/>
        <v>1260</v>
      </c>
      <c r="T4475" s="287">
        <f t="shared" si="411"/>
        <v>76608</v>
      </c>
      <c r="U4475" s="264"/>
      <c r="V4475" s="260">
        <v>130</v>
      </c>
      <c r="W4475" s="1136">
        <f t="shared" si="412"/>
        <v>0.20030464584920027</v>
      </c>
    </row>
    <row r="4476" spans="2:23" customFormat="1" ht="18" customHeight="1">
      <c r="B4476" s="12" t="s">
        <v>302</v>
      </c>
      <c r="C4476" s="6" t="s">
        <v>5523</v>
      </c>
      <c r="D4476" s="14" t="s">
        <v>2004</v>
      </c>
      <c r="E4476" s="19" t="s">
        <v>5152</v>
      </c>
      <c r="F4476" s="107" t="s">
        <v>3340</v>
      </c>
      <c r="G4476" s="22" t="s">
        <v>5153</v>
      </c>
      <c r="H4476" s="18">
        <v>60.6</v>
      </c>
      <c r="I4476" s="61">
        <v>1</v>
      </c>
      <c r="J4476" s="18">
        <f t="shared" si="406"/>
        <v>60.6</v>
      </c>
      <c r="K4476" s="39">
        <v>12.12</v>
      </c>
      <c r="L4476" s="39">
        <f t="shared" si="407"/>
        <v>734.47199999999998</v>
      </c>
      <c r="M4476" s="117" t="s">
        <v>323</v>
      </c>
      <c r="N4476" s="1149">
        <v>45777</v>
      </c>
      <c r="O4476" s="32">
        <v>7050</v>
      </c>
      <c r="P4476" s="391">
        <f t="shared" si="408"/>
        <v>11.02</v>
      </c>
      <c r="Q4476" s="254">
        <v>11.02</v>
      </c>
      <c r="R4476" s="323">
        <f t="shared" si="409"/>
        <v>667.81200000000001</v>
      </c>
      <c r="S4476" s="273">
        <f t="shared" si="410"/>
        <v>1260</v>
      </c>
      <c r="T4476" s="287">
        <f t="shared" si="411"/>
        <v>76356</v>
      </c>
      <c r="U4476" s="264"/>
      <c r="V4476" s="260">
        <v>130</v>
      </c>
      <c r="W4476" s="1136">
        <f t="shared" si="412"/>
        <v>0.20030464584920027</v>
      </c>
    </row>
    <row r="4477" spans="2:23" customFormat="1" ht="18" customHeight="1">
      <c r="B4477" s="12" t="s">
        <v>302</v>
      </c>
      <c r="C4477" s="6" t="s">
        <v>5523</v>
      </c>
      <c r="D4477" s="14" t="s">
        <v>2004</v>
      </c>
      <c r="E4477" s="19" t="s">
        <v>5152</v>
      </c>
      <c r="F4477" s="107" t="s">
        <v>3340</v>
      </c>
      <c r="G4477" s="22" t="s">
        <v>5153</v>
      </c>
      <c r="H4477" s="18">
        <v>60.4</v>
      </c>
      <c r="I4477" s="61">
        <v>1</v>
      </c>
      <c r="J4477" s="18">
        <f t="shared" si="406"/>
        <v>60.4</v>
      </c>
      <c r="K4477" s="39">
        <v>12.12</v>
      </c>
      <c r="L4477" s="39">
        <f t="shared" si="407"/>
        <v>732.04799999999989</v>
      </c>
      <c r="M4477" s="117" t="s">
        <v>323</v>
      </c>
      <c r="N4477" s="1149">
        <v>45777</v>
      </c>
      <c r="O4477" s="32">
        <v>7050</v>
      </c>
      <c r="P4477" s="391">
        <f t="shared" si="408"/>
        <v>11.02</v>
      </c>
      <c r="Q4477" s="254">
        <v>11.02</v>
      </c>
      <c r="R4477" s="323">
        <f t="shared" si="409"/>
        <v>665.60799999999995</v>
      </c>
      <c r="S4477" s="273">
        <f t="shared" si="410"/>
        <v>1260</v>
      </c>
      <c r="T4477" s="287">
        <f t="shared" si="411"/>
        <v>76104</v>
      </c>
      <c r="U4477" s="264"/>
      <c r="V4477" s="260">
        <v>130</v>
      </c>
      <c r="W4477" s="1136">
        <f t="shared" si="412"/>
        <v>0.20030464584920027</v>
      </c>
    </row>
    <row r="4478" spans="2:23" customFormat="1" ht="18" customHeight="1">
      <c r="B4478" s="12" t="s">
        <v>302</v>
      </c>
      <c r="C4478" s="6" t="s">
        <v>5523</v>
      </c>
      <c r="D4478" s="14" t="s">
        <v>2004</v>
      </c>
      <c r="E4478" s="19" t="s">
        <v>5152</v>
      </c>
      <c r="F4478" s="107" t="s">
        <v>3340</v>
      </c>
      <c r="G4478" s="22" t="s">
        <v>5153</v>
      </c>
      <c r="H4478" s="18">
        <v>59.1</v>
      </c>
      <c r="I4478" s="61">
        <v>1</v>
      </c>
      <c r="J4478" s="18">
        <f t="shared" si="406"/>
        <v>59.1</v>
      </c>
      <c r="K4478" s="39">
        <v>12.12</v>
      </c>
      <c r="L4478" s="39">
        <f t="shared" si="407"/>
        <v>716.29199999999992</v>
      </c>
      <c r="M4478" s="117" t="s">
        <v>323</v>
      </c>
      <c r="N4478" s="1149">
        <v>45777</v>
      </c>
      <c r="O4478" s="32">
        <v>7050</v>
      </c>
      <c r="P4478" s="391">
        <f t="shared" si="408"/>
        <v>11.02</v>
      </c>
      <c r="Q4478" s="254">
        <v>11.02</v>
      </c>
      <c r="R4478" s="323">
        <f t="shared" si="409"/>
        <v>651.28200000000004</v>
      </c>
      <c r="S4478" s="273">
        <f t="shared" si="410"/>
        <v>1260</v>
      </c>
      <c r="T4478" s="287">
        <f t="shared" si="411"/>
        <v>74466</v>
      </c>
      <c r="U4478" s="264"/>
      <c r="V4478" s="260">
        <v>130</v>
      </c>
      <c r="W4478" s="1136">
        <f t="shared" si="412"/>
        <v>0.20030464584920027</v>
      </c>
    </row>
    <row r="4479" spans="2:23" customFormat="1" ht="18" customHeight="1">
      <c r="B4479" s="12" t="s">
        <v>302</v>
      </c>
      <c r="C4479" s="6" t="s">
        <v>5524</v>
      </c>
      <c r="D4479" s="14" t="s">
        <v>2004</v>
      </c>
      <c r="E4479" s="19" t="s">
        <v>5152</v>
      </c>
      <c r="F4479" s="107" t="s">
        <v>3340</v>
      </c>
      <c r="G4479" s="22" t="s">
        <v>5153</v>
      </c>
      <c r="H4479" s="18">
        <v>59.1</v>
      </c>
      <c r="I4479" s="61">
        <v>2</v>
      </c>
      <c r="J4479" s="18">
        <f t="shared" si="406"/>
        <v>118.2</v>
      </c>
      <c r="K4479" s="39">
        <v>12.12</v>
      </c>
      <c r="L4479" s="39">
        <f t="shared" si="407"/>
        <v>1432.5839999999998</v>
      </c>
      <c r="M4479" s="117" t="s">
        <v>323</v>
      </c>
      <c r="N4479" s="1149">
        <v>45777</v>
      </c>
      <c r="O4479" s="32">
        <v>7050</v>
      </c>
      <c r="P4479" s="391">
        <f t="shared" si="408"/>
        <v>11.02</v>
      </c>
      <c r="Q4479" s="254">
        <v>11.02</v>
      </c>
      <c r="R4479" s="323">
        <f t="shared" si="409"/>
        <v>1302.5640000000001</v>
      </c>
      <c r="S4479" s="273">
        <f t="shared" si="410"/>
        <v>1260</v>
      </c>
      <c r="T4479" s="287">
        <f t="shared" si="411"/>
        <v>148932</v>
      </c>
      <c r="U4479" s="264"/>
      <c r="V4479" s="260">
        <v>130</v>
      </c>
      <c r="W4479" s="1136">
        <f t="shared" si="412"/>
        <v>0.20030464584920027</v>
      </c>
    </row>
    <row r="4480" spans="2:23" customFormat="1" ht="18" customHeight="1">
      <c r="B4480" s="12" t="s">
        <v>302</v>
      </c>
      <c r="C4480" s="6" t="s">
        <v>5524</v>
      </c>
      <c r="D4480" s="14" t="s">
        <v>2004</v>
      </c>
      <c r="E4480" s="19" t="s">
        <v>5152</v>
      </c>
      <c r="F4480" s="107" t="s">
        <v>3340</v>
      </c>
      <c r="G4480" s="22" t="s">
        <v>5153</v>
      </c>
      <c r="H4480" s="18">
        <v>60.3</v>
      </c>
      <c r="I4480" s="61">
        <v>4</v>
      </c>
      <c r="J4480" s="18">
        <f t="shared" si="406"/>
        <v>241.2</v>
      </c>
      <c r="K4480" s="39">
        <v>12.12</v>
      </c>
      <c r="L4480" s="39">
        <f t="shared" si="407"/>
        <v>2923.3439999999996</v>
      </c>
      <c r="M4480" s="117" t="s">
        <v>323</v>
      </c>
      <c r="N4480" s="1149">
        <v>45777</v>
      </c>
      <c r="O4480" s="32">
        <v>7050</v>
      </c>
      <c r="P4480" s="391">
        <f t="shared" si="408"/>
        <v>11.02</v>
      </c>
      <c r="Q4480" s="254">
        <v>11.02</v>
      </c>
      <c r="R4480" s="323">
        <f t="shared" si="409"/>
        <v>2658.0239999999999</v>
      </c>
      <c r="S4480" s="273">
        <f t="shared" si="410"/>
        <v>1260</v>
      </c>
      <c r="T4480" s="287">
        <f t="shared" si="411"/>
        <v>303912</v>
      </c>
      <c r="U4480" s="264"/>
      <c r="V4480" s="260">
        <v>130</v>
      </c>
      <c r="W4480" s="1136">
        <f t="shared" si="412"/>
        <v>0.20030464584920027</v>
      </c>
    </row>
    <row r="4481" spans="1:23" customFormat="1" ht="18" customHeight="1">
      <c r="B4481" s="12" t="s">
        <v>302</v>
      </c>
      <c r="C4481" s="6" t="s">
        <v>5525</v>
      </c>
      <c r="D4481" s="14" t="s">
        <v>2004</v>
      </c>
      <c r="E4481" s="19" t="s">
        <v>5152</v>
      </c>
      <c r="F4481" s="107" t="s">
        <v>3340</v>
      </c>
      <c r="G4481" s="22" t="s">
        <v>5153</v>
      </c>
      <c r="H4481" s="18">
        <v>59.3</v>
      </c>
      <c r="I4481" s="61">
        <v>1</v>
      </c>
      <c r="J4481" s="18">
        <f t="shared" si="406"/>
        <v>59.3</v>
      </c>
      <c r="K4481" s="39">
        <v>12.12</v>
      </c>
      <c r="L4481" s="39">
        <f t="shared" si="407"/>
        <v>718.71599999999989</v>
      </c>
      <c r="M4481" s="117" t="s">
        <v>323</v>
      </c>
      <c r="N4481" s="1149">
        <v>45777</v>
      </c>
      <c r="O4481" s="32">
        <v>7050</v>
      </c>
      <c r="P4481" s="391">
        <f t="shared" si="408"/>
        <v>11.02</v>
      </c>
      <c r="Q4481" s="254">
        <v>11.02</v>
      </c>
      <c r="R4481" s="323">
        <f t="shared" si="409"/>
        <v>653.48599999999999</v>
      </c>
      <c r="S4481" s="273">
        <f t="shared" si="410"/>
        <v>1260</v>
      </c>
      <c r="T4481" s="287">
        <f t="shared" si="411"/>
        <v>74718</v>
      </c>
      <c r="U4481" s="264"/>
      <c r="V4481" s="260">
        <v>130</v>
      </c>
      <c r="W4481" s="1136">
        <f t="shared" si="412"/>
        <v>0.20030464584920027</v>
      </c>
    </row>
    <row r="4482" spans="1:23" customFormat="1" ht="18" customHeight="1">
      <c r="B4482" s="12" t="s">
        <v>302</v>
      </c>
      <c r="C4482" s="6" t="s">
        <v>5525</v>
      </c>
      <c r="D4482" s="14" t="s">
        <v>2004</v>
      </c>
      <c r="E4482" s="19" t="s">
        <v>5152</v>
      </c>
      <c r="F4482" s="107" t="s">
        <v>3340</v>
      </c>
      <c r="G4482" s="22" t="s">
        <v>5153</v>
      </c>
      <c r="H4482" s="18">
        <v>59.4</v>
      </c>
      <c r="I4482" s="61">
        <v>1</v>
      </c>
      <c r="J4482" s="18">
        <f t="shared" si="406"/>
        <v>59.4</v>
      </c>
      <c r="K4482" s="39">
        <v>12.12</v>
      </c>
      <c r="L4482" s="39">
        <f t="shared" si="407"/>
        <v>719.92799999999988</v>
      </c>
      <c r="M4482" s="117" t="s">
        <v>323</v>
      </c>
      <c r="N4482" s="1149">
        <v>45777</v>
      </c>
      <c r="O4482" s="32">
        <v>7050</v>
      </c>
      <c r="P4482" s="391">
        <f t="shared" si="408"/>
        <v>11.02</v>
      </c>
      <c r="Q4482" s="254">
        <v>11.02</v>
      </c>
      <c r="R4482" s="323">
        <f t="shared" si="409"/>
        <v>654.58799999999997</v>
      </c>
      <c r="S4482" s="273">
        <f t="shared" si="410"/>
        <v>1260</v>
      </c>
      <c r="T4482" s="287">
        <f t="shared" si="411"/>
        <v>74844</v>
      </c>
      <c r="U4482" s="264"/>
      <c r="V4482" s="260">
        <v>130</v>
      </c>
      <c r="W4482" s="1136">
        <f t="shared" si="412"/>
        <v>0.20030464584920027</v>
      </c>
    </row>
    <row r="4483" spans="1:23" customFormat="1" ht="18" customHeight="1">
      <c r="B4483" s="12" t="s">
        <v>302</v>
      </c>
      <c r="C4483" s="6" t="s">
        <v>5525</v>
      </c>
      <c r="D4483" s="14" t="s">
        <v>2004</v>
      </c>
      <c r="E4483" s="19" t="s">
        <v>5152</v>
      </c>
      <c r="F4483" s="107" t="s">
        <v>3340</v>
      </c>
      <c r="G4483" s="22" t="s">
        <v>5153</v>
      </c>
      <c r="H4483" s="18">
        <v>60.2</v>
      </c>
      <c r="I4483" s="61">
        <v>2</v>
      </c>
      <c r="J4483" s="18">
        <f t="shared" si="406"/>
        <v>120.4</v>
      </c>
      <c r="K4483" s="39">
        <v>12.12</v>
      </c>
      <c r="L4483" s="39">
        <f t="shared" si="407"/>
        <v>1459.248</v>
      </c>
      <c r="M4483" s="117" t="s">
        <v>323</v>
      </c>
      <c r="N4483" s="1149">
        <v>45777</v>
      </c>
      <c r="O4483" s="32">
        <v>7050</v>
      </c>
      <c r="P4483" s="391">
        <f t="shared" si="408"/>
        <v>11.02</v>
      </c>
      <c r="Q4483" s="254">
        <v>11.02</v>
      </c>
      <c r="R4483" s="323">
        <f t="shared" si="409"/>
        <v>1326.808</v>
      </c>
      <c r="S4483" s="273">
        <f t="shared" si="410"/>
        <v>1260</v>
      </c>
      <c r="T4483" s="287">
        <f t="shared" si="411"/>
        <v>151704</v>
      </c>
      <c r="U4483" s="264"/>
      <c r="V4483" s="260">
        <v>130</v>
      </c>
      <c r="W4483" s="1136">
        <f t="shared" si="412"/>
        <v>0.20030464584920027</v>
      </c>
    </row>
    <row r="4484" spans="1:23" customFormat="1" ht="18" customHeight="1">
      <c r="B4484" s="12" t="s">
        <v>302</v>
      </c>
      <c r="C4484" s="6" t="s">
        <v>5525</v>
      </c>
      <c r="D4484" s="14" t="s">
        <v>2004</v>
      </c>
      <c r="E4484" s="19" t="s">
        <v>5152</v>
      </c>
      <c r="F4484" s="107" t="s">
        <v>3340</v>
      </c>
      <c r="G4484" s="22" t="s">
        <v>5153</v>
      </c>
      <c r="H4484" s="18">
        <v>59.5</v>
      </c>
      <c r="I4484" s="61">
        <v>2</v>
      </c>
      <c r="J4484" s="18">
        <f t="shared" si="406"/>
        <v>119</v>
      </c>
      <c r="K4484" s="39">
        <v>12.12</v>
      </c>
      <c r="L4484" s="39">
        <f t="shared" si="407"/>
        <v>1442.28</v>
      </c>
      <c r="M4484" s="117" t="s">
        <v>323</v>
      </c>
      <c r="N4484" s="1149">
        <v>45777</v>
      </c>
      <c r="O4484" s="32">
        <v>7050</v>
      </c>
      <c r="P4484" s="391">
        <f t="shared" si="408"/>
        <v>11.02</v>
      </c>
      <c r="Q4484" s="254">
        <v>11.02</v>
      </c>
      <c r="R4484" s="323">
        <f t="shared" si="409"/>
        <v>1311.3799999999999</v>
      </c>
      <c r="S4484" s="273">
        <f t="shared" si="410"/>
        <v>1260</v>
      </c>
      <c r="T4484" s="287">
        <f t="shared" si="411"/>
        <v>149940</v>
      </c>
      <c r="U4484" s="264"/>
      <c r="V4484" s="260">
        <v>130</v>
      </c>
      <c r="W4484" s="1136">
        <f t="shared" si="412"/>
        <v>0.20030464584920027</v>
      </c>
    </row>
    <row r="4485" spans="1:23" customFormat="1" ht="18" customHeight="1">
      <c r="B4485" s="12" t="s">
        <v>302</v>
      </c>
      <c r="C4485" s="6" t="s">
        <v>5526</v>
      </c>
      <c r="D4485" s="14" t="s">
        <v>2004</v>
      </c>
      <c r="E4485" s="19" t="s">
        <v>5152</v>
      </c>
      <c r="F4485" s="107" t="s">
        <v>3340</v>
      </c>
      <c r="G4485" s="22" t="s">
        <v>5153</v>
      </c>
      <c r="H4485" s="18">
        <v>60</v>
      </c>
      <c r="I4485" s="61">
        <v>3</v>
      </c>
      <c r="J4485" s="18">
        <f t="shared" si="406"/>
        <v>180</v>
      </c>
      <c r="K4485" s="39">
        <v>12.12</v>
      </c>
      <c r="L4485" s="39">
        <f t="shared" si="407"/>
        <v>2181.6</v>
      </c>
      <c r="M4485" s="117" t="s">
        <v>323</v>
      </c>
      <c r="N4485" s="1149">
        <v>45777</v>
      </c>
      <c r="O4485" s="32">
        <v>7050</v>
      </c>
      <c r="P4485" s="391">
        <f t="shared" si="408"/>
        <v>11.02</v>
      </c>
      <c r="Q4485" s="254">
        <v>11.02</v>
      </c>
      <c r="R4485" s="323">
        <f t="shared" si="409"/>
        <v>1983.6</v>
      </c>
      <c r="S4485" s="273">
        <f t="shared" si="410"/>
        <v>1260</v>
      </c>
      <c r="T4485" s="287">
        <f t="shared" si="411"/>
        <v>226800</v>
      </c>
      <c r="U4485" s="264"/>
      <c r="V4485" s="260">
        <v>130</v>
      </c>
      <c r="W4485" s="1136">
        <f t="shared" si="412"/>
        <v>0.20030464584920027</v>
      </c>
    </row>
    <row r="4486" spans="1:23" customFormat="1" ht="18" customHeight="1">
      <c r="B4486" s="12" t="s">
        <v>302</v>
      </c>
      <c r="C4486" s="6" t="s">
        <v>5526</v>
      </c>
      <c r="D4486" s="14" t="s">
        <v>2004</v>
      </c>
      <c r="E4486" s="19" t="s">
        <v>5152</v>
      </c>
      <c r="F4486" s="107" t="s">
        <v>3340</v>
      </c>
      <c r="G4486" s="22" t="s">
        <v>5153</v>
      </c>
      <c r="H4486" s="18">
        <v>59.9</v>
      </c>
      <c r="I4486" s="61">
        <v>2</v>
      </c>
      <c r="J4486" s="18">
        <f t="shared" si="406"/>
        <v>119.8</v>
      </c>
      <c r="K4486" s="39">
        <v>12.12</v>
      </c>
      <c r="L4486" s="39">
        <f t="shared" si="407"/>
        <v>1451.9759999999999</v>
      </c>
      <c r="M4486" s="117" t="s">
        <v>323</v>
      </c>
      <c r="N4486" s="1149">
        <v>45777</v>
      </c>
      <c r="O4486" s="32">
        <v>7050</v>
      </c>
      <c r="P4486" s="391">
        <f t="shared" si="408"/>
        <v>11.02</v>
      </c>
      <c r="Q4486" s="254">
        <v>11.02</v>
      </c>
      <c r="R4486" s="323">
        <f t="shared" si="409"/>
        <v>1320.1959999999999</v>
      </c>
      <c r="S4486" s="273">
        <f t="shared" si="410"/>
        <v>1260</v>
      </c>
      <c r="T4486" s="287">
        <f t="shared" si="411"/>
        <v>150948</v>
      </c>
      <c r="U4486" s="264"/>
      <c r="V4486" s="260">
        <v>130</v>
      </c>
      <c r="W4486" s="1136">
        <f t="shared" si="412"/>
        <v>0.20030464584920027</v>
      </c>
    </row>
    <row r="4487" spans="1:23" customFormat="1" ht="18" customHeight="1">
      <c r="B4487" s="12" t="s">
        <v>302</v>
      </c>
      <c r="C4487" s="6" t="s">
        <v>5519</v>
      </c>
      <c r="D4487" s="14" t="s">
        <v>2004</v>
      </c>
      <c r="E4487" s="19" t="s">
        <v>5152</v>
      </c>
      <c r="F4487" s="107" t="s">
        <v>3340</v>
      </c>
      <c r="G4487" s="22" t="s">
        <v>5154</v>
      </c>
      <c r="H4487" s="18">
        <v>68.900000000000006</v>
      </c>
      <c r="I4487" s="61">
        <v>1</v>
      </c>
      <c r="J4487" s="18">
        <f t="shared" si="406"/>
        <v>68.900000000000006</v>
      </c>
      <c r="K4487" s="39">
        <v>12.12</v>
      </c>
      <c r="L4487" s="39">
        <f t="shared" si="407"/>
        <v>835.06799999999998</v>
      </c>
      <c r="M4487" s="117" t="s">
        <v>323</v>
      </c>
      <c r="N4487" s="1149">
        <v>45777</v>
      </c>
      <c r="O4487" s="32">
        <v>7050</v>
      </c>
      <c r="P4487" s="391">
        <f t="shared" si="408"/>
        <v>11.02</v>
      </c>
      <c r="Q4487" s="254">
        <v>11.02</v>
      </c>
      <c r="R4487" s="323">
        <f t="shared" si="409"/>
        <v>759.27800000000002</v>
      </c>
      <c r="S4487" s="273">
        <f t="shared" si="410"/>
        <v>1260</v>
      </c>
      <c r="T4487" s="287">
        <f t="shared" si="411"/>
        <v>86814</v>
      </c>
      <c r="U4487" s="264"/>
      <c r="V4487" s="260">
        <v>130</v>
      </c>
      <c r="W4487" s="1136">
        <f t="shared" si="412"/>
        <v>0.20030464584920027</v>
      </c>
    </row>
    <row r="4488" spans="1:23" customFormat="1" ht="18" customHeight="1">
      <c r="B4488" s="12" t="s">
        <v>302</v>
      </c>
      <c r="C4488" s="6" t="s">
        <v>5519</v>
      </c>
      <c r="D4488" s="14" t="s">
        <v>2004</v>
      </c>
      <c r="E4488" s="19" t="s">
        <v>5152</v>
      </c>
      <c r="F4488" s="107" t="s">
        <v>3340</v>
      </c>
      <c r="G4488" s="22" t="s">
        <v>5154</v>
      </c>
      <c r="H4488" s="18">
        <v>67.7</v>
      </c>
      <c r="I4488" s="61">
        <v>1</v>
      </c>
      <c r="J4488" s="18">
        <f t="shared" si="406"/>
        <v>67.7</v>
      </c>
      <c r="K4488" s="39">
        <v>12.12</v>
      </c>
      <c r="L4488" s="39">
        <f t="shared" si="407"/>
        <v>820.524</v>
      </c>
      <c r="M4488" s="117" t="s">
        <v>323</v>
      </c>
      <c r="N4488" s="1149">
        <v>45777</v>
      </c>
      <c r="O4488" s="32">
        <v>7050</v>
      </c>
      <c r="P4488" s="391">
        <f t="shared" si="408"/>
        <v>11.02</v>
      </c>
      <c r="Q4488" s="254">
        <v>11.02</v>
      </c>
      <c r="R4488" s="323">
        <f t="shared" si="409"/>
        <v>746.05399999999997</v>
      </c>
      <c r="S4488" s="273">
        <f t="shared" si="410"/>
        <v>1260</v>
      </c>
      <c r="T4488" s="287">
        <f t="shared" si="411"/>
        <v>85302</v>
      </c>
      <c r="U4488" s="264"/>
      <c r="V4488" s="260">
        <v>130</v>
      </c>
      <c r="W4488" s="1136">
        <f t="shared" si="412"/>
        <v>0.20030464584920027</v>
      </c>
    </row>
    <row r="4489" spans="1:23" customFormat="1" ht="18" customHeight="1">
      <c r="B4489" s="12" t="s">
        <v>302</v>
      </c>
      <c r="C4489" s="6" t="s">
        <v>5519</v>
      </c>
      <c r="D4489" s="14" t="s">
        <v>2004</v>
      </c>
      <c r="E4489" s="19" t="s">
        <v>5152</v>
      </c>
      <c r="F4489" s="107" t="s">
        <v>3340</v>
      </c>
      <c r="G4489" s="22" t="s">
        <v>5154</v>
      </c>
      <c r="H4489" s="18">
        <v>59</v>
      </c>
      <c r="I4489" s="61">
        <v>1</v>
      </c>
      <c r="J4489" s="18">
        <f t="shared" si="406"/>
        <v>59</v>
      </c>
      <c r="K4489" s="39">
        <v>12.12</v>
      </c>
      <c r="L4489" s="39">
        <f t="shared" si="407"/>
        <v>715.07999999999993</v>
      </c>
      <c r="M4489" s="117" t="s">
        <v>323</v>
      </c>
      <c r="N4489" s="1149">
        <v>45777</v>
      </c>
      <c r="O4489" s="32">
        <v>7050</v>
      </c>
      <c r="P4489" s="391">
        <f t="shared" si="408"/>
        <v>11.02</v>
      </c>
      <c r="Q4489" s="254">
        <v>11.02</v>
      </c>
      <c r="R4489" s="323">
        <f t="shared" si="409"/>
        <v>650.17999999999995</v>
      </c>
      <c r="S4489" s="273">
        <f t="shared" si="410"/>
        <v>1260</v>
      </c>
      <c r="T4489" s="287">
        <f t="shared" si="411"/>
        <v>74340</v>
      </c>
      <c r="U4489" s="264"/>
      <c r="V4489" s="260">
        <v>130</v>
      </c>
      <c r="W4489" s="1136">
        <f t="shared" si="412"/>
        <v>0.20030464584920027</v>
      </c>
    </row>
    <row r="4490" spans="1:23" customFormat="1" ht="18" customHeight="1">
      <c r="B4490" s="12" t="s">
        <v>302</v>
      </c>
      <c r="C4490" s="6" t="s">
        <v>5519</v>
      </c>
      <c r="D4490" s="14" t="s">
        <v>2004</v>
      </c>
      <c r="E4490" s="19" t="s">
        <v>5152</v>
      </c>
      <c r="F4490" s="107" t="s">
        <v>3340</v>
      </c>
      <c r="G4490" s="22" t="s">
        <v>5154</v>
      </c>
      <c r="H4490" s="18">
        <v>61.1</v>
      </c>
      <c r="I4490" s="61">
        <v>1</v>
      </c>
      <c r="J4490" s="18">
        <f t="shared" si="406"/>
        <v>61.1</v>
      </c>
      <c r="K4490" s="39">
        <v>12.12</v>
      </c>
      <c r="L4490" s="39">
        <f t="shared" si="407"/>
        <v>740.53199999999993</v>
      </c>
      <c r="M4490" s="117" t="s">
        <v>323</v>
      </c>
      <c r="N4490" s="1149">
        <v>45777</v>
      </c>
      <c r="O4490" s="32">
        <v>7050</v>
      </c>
      <c r="P4490" s="391">
        <f t="shared" si="408"/>
        <v>11.02</v>
      </c>
      <c r="Q4490" s="254">
        <v>11.02</v>
      </c>
      <c r="R4490" s="323">
        <f t="shared" si="409"/>
        <v>673.322</v>
      </c>
      <c r="S4490" s="273">
        <f t="shared" si="410"/>
        <v>1260</v>
      </c>
      <c r="T4490" s="287">
        <f t="shared" si="411"/>
        <v>76986</v>
      </c>
      <c r="U4490" s="264"/>
      <c r="V4490" s="260">
        <v>130</v>
      </c>
      <c r="W4490" s="1136">
        <f t="shared" si="412"/>
        <v>0.20030464584920027</v>
      </c>
    </row>
    <row r="4491" spans="1:23" customFormat="1" ht="18" customHeight="1">
      <c r="B4491" s="12" t="s">
        <v>302</v>
      </c>
      <c r="C4491" s="6" t="s">
        <v>5519</v>
      </c>
      <c r="D4491" s="14" t="s">
        <v>2004</v>
      </c>
      <c r="E4491" s="19" t="s">
        <v>5152</v>
      </c>
      <c r="F4491" s="107" t="s">
        <v>3340</v>
      </c>
      <c r="G4491" s="22" t="s">
        <v>5154</v>
      </c>
      <c r="H4491" s="18">
        <v>60.2</v>
      </c>
      <c r="I4491" s="61">
        <v>1</v>
      </c>
      <c r="J4491" s="18">
        <f t="shared" si="406"/>
        <v>60.2</v>
      </c>
      <c r="K4491" s="39">
        <v>12.12</v>
      </c>
      <c r="L4491" s="39">
        <f t="shared" si="407"/>
        <v>729.62400000000002</v>
      </c>
      <c r="M4491" s="117" t="s">
        <v>323</v>
      </c>
      <c r="N4491" s="1149">
        <v>45777</v>
      </c>
      <c r="O4491" s="32">
        <v>7050</v>
      </c>
      <c r="P4491" s="391">
        <f t="shared" si="408"/>
        <v>11.02</v>
      </c>
      <c r="Q4491" s="254">
        <v>11.02</v>
      </c>
      <c r="R4491" s="323">
        <f t="shared" si="409"/>
        <v>663.404</v>
      </c>
      <c r="S4491" s="273">
        <f t="shared" si="410"/>
        <v>1260</v>
      </c>
      <c r="T4491" s="287">
        <f t="shared" si="411"/>
        <v>75852</v>
      </c>
      <c r="U4491" s="264"/>
      <c r="V4491" s="260">
        <v>130</v>
      </c>
      <c r="W4491" s="1136">
        <f t="shared" si="412"/>
        <v>0.20030464584920027</v>
      </c>
    </row>
    <row r="4492" spans="1:23" customFormat="1" ht="18" customHeight="1">
      <c r="B4492" s="12" t="s">
        <v>302</v>
      </c>
      <c r="C4492" s="6" t="s">
        <v>5519</v>
      </c>
      <c r="D4492" s="14" t="s">
        <v>2004</v>
      </c>
      <c r="E4492" s="19" t="s">
        <v>5152</v>
      </c>
      <c r="F4492" s="107" t="s">
        <v>3340</v>
      </c>
      <c r="G4492" s="22" t="s">
        <v>5154</v>
      </c>
      <c r="H4492" s="18">
        <v>68.7</v>
      </c>
      <c r="I4492" s="61">
        <v>1</v>
      </c>
      <c r="J4492" s="18">
        <f t="shared" si="406"/>
        <v>68.7</v>
      </c>
      <c r="K4492" s="39">
        <v>12.12</v>
      </c>
      <c r="L4492" s="39">
        <f t="shared" si="407"/>
        <v>832.64400000000001</v>
      </c>
      <c r="M4492" s="117" t="s">
        <v>323</v>
      </c>
      <c r="N4492" s="1149">
        <v>45777</v>
      </c>
      <c r="O4492" s="32">
        <v>7050</v>
      </c>
      <c r="P4492" s="391">
        <f t="shared" si="408"/>
        <v>11.02</v>
      </c>
      <c r="Q4492" s="254">
        <v>11.02</v>
      </c>
      <c r="R4492" s="323">
        <f t="shared" si="409"/>
        <v>757.07399999999996</v>
      </c>
      <c r="S4492" s="273">
        <f t="shared" si="410"/>
        <v>1260</v>
      </c>
      <c r="T4492" s="287">
        <f t="shared" si="411"/>
        <v>86562</v>
      </c>
      <c r="U4492" s="264"/>
      <c r="V4492" s="260">
        <v>130</v>
      </c>
      <c r="W4492" s="1136">
        <f t="shared" si="412"/>
        <v>0.20030464584920027</v>
      </c>
    </row>
    <row r="4493" spans="1:23" customFormat="1" ht="18" customHeight="1">
      <c r="B4493" s="12" t="s">
        <v>302</v>
      </c>
      <c r="C4493" s="6" t="s">
        <v>5520</v>
      </c>
      <c r="D4493" s="14" t="s">
        <v>2004</v>
      </c>
      <c r="E4493" s="19" t="s">
        <v>5152</v>
      </c>
      <c r="F4493" s="107" t="s">
        <v>3340</v>
      </c>
      <c r="G4493" s="22" t="s">
        <v>5154</v>
      </c>
      <c r="H4493" s="18">
        <v>65.2</v>
      </c>
      <c r="I4493" s="61">
        <v>1</v>
      </c>
      <c r="J4493" s="18">
        <f t="shared" si="406"/>
        <v>65.2</v>
      </c>
      <c r="K4493" s="39">
        <v>12.12</v>
      </c>
      <c r="L4493" s="39">
        <f t="shared" si="407"/>
        <v>790.22399999999993</v>
      </c>
      <c r="M4493" s="117" t="s">
        <v>323</v>
      </c>
      <c r="N4493" s="1149">
        <v>45777</v>
      </c>
      <c r="O4493" s="32">
        <v>7050</v>
      </c>
      <c r="P4493" s="391">
        <f t="shared" si="408"/>
        <v>11.02</v>
      </c>
      <c r="Q4493" s="254">
        <v>11.02</v>
      </c>
      <c r="R4493" s="323">
        <f t="shared" si="409"/>
        <v>718.50400000000002</v>
      </c>
      <c r="S4493" s="273">
        <f t="shared" si="410"/>
        <v>1260</v>
      </c>
      <c r="T4493" s="287">
        <f t="shared" si="411"/>
        <v>82152</v>
      </c>
      <c r="U4493" s="264"/>
      <c r="V4493" s="260">
        <v>130</v>
      </c>
      <c r="W4493" s="1136">
        <f t="shared" si="412"/>
        <v>0.20030464584920027</v>
      </c>
    </row>
    <row r="4494" spans="1:23" s="191" customFormat="1" ht="15.75">
      <c r="B4494" s="190"/>
      <c r="C4494" s="179" t="s">
        <v>5398</v>
      </c>
      <c r="D4494" s="180" t="s">
        <v>2004</v>
      </c>
      <c r="E4494" s="181"/>
      <c r="F4494" s="182"/>
      <c r="G4494" s="309" t="s">
        <v>324</v>
      </c>
      <c r="H4494" s="184" t="s">
        <v>251</v>
      </c>
      <c r="I4494" s="185"/>
      <c r="J4494" s="183"/>
      <c r="K4494" s="192">
        <v>0</v>
      </c>
      <c r="L4494" s="187"/>
      <c r="M4494" s="187"/>
      <c r="N4494" s="187">
        <v>45777</v>
      </c>
      <c r="O4494" s="186">
        <v>7050</v>
      </c>
      <c r="P4494" s="179"/>
      <c r="Q4494" s="203"/>
      <c r="R4494" s="203"/>
      <c r="S4494" s="203"/>
      <c r="T4494" s="203"/>
      <c r="U4494" s="271"/>
      <c r="V4494" s="260">
        <v>120</v>
      </c>
      <c r="W4494" s="1136" t="e">
        <f t="shared" si="412"/>
        <v>#DIV/0!</v>
      </c>
    </row>
    <row r="4495" spans="1:23" customFormat="1" ht="18" customHeight="1">
      <c r="A4495" s="1"/>
      <c r="B4495" s="26"/>
      <c r="C4495" s="6" t="s">
        <v>5419</v>
      </c>
      <c r="D4495" s="14" t="s">
        <v>2059</v>
      </c>
      <c r="E4495" s="19" t="s">
        <v>5420</v>
      </c>
      <c r="F4495" s="107"/>
      <c r="G4495" s="22"/>
      <c r="H4495" s="108"/>
      <c r="I4495" s="109"/>
      <c r="J4495" s="108"/>
      <c r="K4495" s="110" t="s">
        <v>5</v>
      </c>
      <c r="L4495" s="33"/>
      <c r="M4495" s="33"/>
      <c r="N4495" s="33">
        <v>45741</v>
      </c>
      <c r="O4495" s="32">
        <v>6972</v>
      </c>
      <c r="P4495" s="14"/>
      <c r="Q4495" s="254"/>
      <c r="R4495" s="1"/>
      <c r="S4495" s="1300" t="s">
        <v>5424</v>
      </c>
      <c r="T4495" s="92"/>
      <c r="U4495" s="264"/>
      <c r="V4495" s="260">
        <v>120</v>
      </c>
    </row>
    <row r="4496" spans="1:23" customFormat="1" ht="18" customHeight="1">
      <c r="B4496" s="12" t="s">
        <v>302</v>
      </c>
      <c r="C4496" s="6" t="s">
        <v>5419</v>
      </c>
      <c r="D4496" s="14" t="s">
        <v>2059</v>
      </c>
      <c r="E4496" s="1458" t="s">
        <v>5421</v>
      </c>
      <c r="F4496" s="107" t="s">
        <v>5422</v>
      </c>
      <c r="G4496" s="22" t="s">
        <v>5423</v>
      </c>
      <c r="H4496" s="18"/>
      <c r="I4496" s="61"/>
      <c r="J4496" s="60">
        <v>15</v>
      </c>
      <c r="K4496" s="39">
        <v>12.61</v>
      </c>
      <c r="L4496" s="39">
        <f>K4496*J4496</f>
        <v>189.14999999999998</v>
      </c>
      <c r="M4496" s="117" t="s">
        <v>323</v>
      </c>
      <c r="N4496" s="33">
        <v>45741</v>
      </c>
      <c r="O4496" s="32">
        <v>6972</v>
      </c>
      <c r="P4496" s="391">
        <f>ROUNDUP(S4496/V4496/VLOOKUP(B4496,$C$2:$F$6,3,FALSE),2)</f>
        <v>11.08</v>
      </c>
      <c r="Q4496" s="254">
        <v>11.46</v>
      </c>
      <c r="R4496" s="323">
        <f>Q4496*J4496</f>
        <v>171.9</v>
      </c>
      <c r="S4496" s="273">
        <f>770+400</f>
        <v>1170</v>
      </c>
      <c r="T4496" s="287">
        <f>S4496*J4496</f>
        <v>17550</v>
      </c>
      <c r="U4496" s="264"/>
      <c r="V4496" s="260">
        <v>120</v>
      </c>
      <c r="W4496" s="1136">
        <f>(((K4496*V4496)-S4496)/(K4496*V4496))</f>
        <v>0.22680412371134012</v>
      </c>
    </row>
    <row r="4497" spans="1:24" customFormat="1" ht="18" customHeight="1">
      <c r="A4497" s="1"/>
      <c r="B4497" s="26"/>
      <c r="C4497" s="6" t="s">
        <v>5419</v>
      </c>
      <c r="D4497" s="14" t="s">
        <v>2059</v>
      </c>
      <c r="E4497" s="19" t="s">
        <v>5425</v>
      </c>
      <c r="F4497" s="107"/>
      <c r="G4497" s="22"/>
      <c r="H4497" s="108"/>
      <c r="I4497" s="109"/>
      <c r="J4497" s="108"/>
      <c r="K4497" s="110" t="s">
        <v>5</v>
      </c>
      <c r="L4497" s="33"/>
      <c r="M4497" s="33"/>
      <c r="N4497" s="33">
        <v>45741</v>
      </c>
      <c r="O4497" s="32">
        <v>6972</v>
      </c>
      <c r="P4497" s="14"/>
      <c r="Q4497" s="254"/>
      <c r="R4497" s="1"/>
      <c r="S4497" s="1300" t="s">
        <v>5428</v>
      </c>
      <c r="T4497" s="92"/>
      <c r="U4497" s="264"/>
      <c r="V4497" s="260">
        <v>120</v>
      </c>
    </row>
    <row r="4498" spans="1:24" customFormat="1" ht="18" customHeight="1">
      <c r="B4498" s="12" t="s">
        <v>302</v>
      </c>
      <c r="C4498" s="6" t="s">
        <v>5419</v>
      </c>
      <c r="D4498" s="14" t="s">
        <v>2059</v>
      </c>
      <c r="E4498" s="19" t="s">
        <v>5426</v>
      </c>
      <c r="F4498" s="107" t="s">
        <v>5427</v>
      </c>
      <c r="G4498" s="22" t="s">
        <v>39</v>
      </c>
      <c r="H4498" s="18"/>
      <c r="I4498" s="61"/>
      <c r="J4498" s="60">
        <v>15</v>
      </c>
      <c r="K4498" s="39">
        <v>8.1300000000000008</v>
      </c>
      <c r="L4498" s="39">
        <f>K4498*J4498</f>
        <v>121.95000000000002</v>
      </c>
      <c r="M4498" s="117" t="s">
        <v>323</v>
      </c>
      <c r="N4498" s="33">
        <v>45741</v>
      </c>
      <c r="O4498" s="32">
        <v>6972</v>
      </c>
      <c r="P4498" s="391">
        <f>ROUNDUP(S4498/V4498/VLOOKUP(B4498,$C$2:$F$6,3,FALSE),2)</f>
        <v>6.4399999999999995</v>
      </c>
      <c r="Q4498" s="254">
        <v>7.39</v>
      </c>
      <c r="R4498" s="323">
        <f>Q4498*J4498</f>
        <v>110.85</v>
      </c>
      <c r="S4498" s="273">
        <f>580+100</f>
        <v>680</v>
      </c>
      <c r="T4498" s="287">
        <f>S4498*J4498</f>
        <v>10200</v>
      </c>
      <c r="U4498" s="264"/>
      <c r="V4498" s="260">
        <v>120</v>
      </c>
      <c r="W4498" s="1136">
        <f>(((K4498*V4498)-S4498)/(K4498*V4498))</f>
        <v>0.30299302993029942</v>
      </c>
    </row>
    <row r="4499" spans="1:24" customFormat="1" ht="15.95" customHeight="1">
      <c r="A4499" s="1"/>
      <c r="B4499" s="12" t="s">
        <v>306</v>
      </c>
      <c r="C4499" s="6" t="s">
        <v>5419</v>
      </c>
      <c r="D4499" s="14" t="s">
        <v>2059</v>
      </c>
      <c r="E4499" s="22"/>
      <c r="F4499" s="102"/>
      <c r="G4499" s="37" t="s">
        <v>316</v>
      </c>
      <c r="H4499" s="8"/>
      <c r="I4499" s="35"/>
      <c r="J4499" s="38">
        <v>1</v>
      </c>
      <c r="K4499" s="39">
        <v>12</v>
      </c>
      <c r="L4499" s="39">
        <f>K4499*J4499</f>
        <v>12</v>
      </c>
      <c r="M4499" s="91"/>
      <c r="N4499" s="33">
        <v>45741</v>
      </c>
      <c r="O4499" s="32">
        <v>6972</v>
      </c>
      <c r="P4499" s="39"/>
      <c r="Q4499" s="358">
        <v>12</v>
      </c>
      <c r="R4499" s="323">
        <v>12</v>
      </c>
      <c r="S4499" s="7">
        <v>1000</v>
      </c>
      <c r="T4499" s="287">
        <f>S4499*J4499</f>
        <v>1000</v>
      </c>
      <c r="U4499" s="270"/>
      <c r="V4499" s="260">
        <v>120</v>
      </c>
      <c r="W4499" s="1136">
        <f>(((K4499*V4499)-S4499)/(K4499*V4499))</f>
        <v>0.30555555555555558</v>
      </c>
    </row>
    <row r="4500" spans="1:24" s="191" customFormat="1" ht="15.75">
      <c r="B4500" s="190"/>
      <c r="C4500" s="179" t="s">
        <v>5419</v>
      </c>
      <c r="D4500" s="180" t="s">
        <v>2059</v>
      </c>
      <c r="E4500" s="181"/>
      <c r="F4500" s="182"/>
      <c r="G4500" s="309" t="s">
        <v>324</v>
      </c>
      <c r="H4500" s="184" t="s">
        <v>251</v>
      </c>
      <c r="I4500" s="185"/>
      <c r="J4500" s="183"/>
      <c r="K4500" s="192">
        <v>0</v>
      </c>
      <c r="L4500" s="187"/>
      <c r="M4500" s="187"/>
      <c r="N4500" s="187">
        <v>45741</v>
      </c>
      <c r="O4500" s="186">
        <v>6972</v>
      </c>
      <c r="P4500" s="179"/>
      <c r="Q4500" s="203"/>
      <c r="R4500" s="203"/>
      <c r="S4500" s="203"/>
      <c r="T4500" s="203"/>
      <c r="U4500" s="271"/>
      <c r="V4500" s="260">
        <v>120</v>
      </c>
      <c r="W4500" s="1136" t="e">
        <f>(((K4500*V4500)-S4500)/(K4500*V4500))</f>
        <v>#DIV/0!</v>
      </c>
    </row>
    <row r="4501" spans="1:24" s="7" customFormat="1" ht="18" customHeight="1">
      <c r="B4501" s="12"/>
      <c r="C4501" s="1432" t="s">
        <v>5429</v>
      </c>
      <c r="D4501" s="14" t="s">
        <v>2004</v>
      </c>
      <c r="E4501" s="19" t="s">
        <v>2358</v>
      </c>
      <c r="F4501" s="24"/>
      <c r="G4501" s="22"/>
      <c r="H4501" s="60"/>
      <c r="I4501" s="61"/>
      <c r="J4501" s="60"/>
      <c r="K4501" s="16" t="s">
        <v>5</v>
      </c>
      <c r="L4501" s="139"/>
      <c r="M4501" s="33"/>
      <c r="N4501" s="33">
        <v>45750</v>
      </c>
      <c r="O4501" s="32">
        <v>6998</v>
      </c>
      <c r="P4501" s="6" t="s">
        <v>3</v>
      </c>
      <c r="Q4501" s="358"/>
      <c r="S4501" s="1434" t="s">
        <v>5433</v>
      </c>
      <c r="U4501" s="120"/>
      <c r="V4501" s="260">
        <v>120</v>
      </c>
    </row>
    <row r="4502" spans="1:24" s="7" customFormat="1" ht="18" customHeight="1">
      <c r="B4502" s="12" t="s">
        <v>300</v>
      </c>
      <c r="C4502" s="1432" t="s">
        <v>5429</v>
      </c>
      <c r="D4502" s="14" t="s">
        <v>2004</v>
      </c>
      <c r="E4502" s="374" t="s">
        <v>5324</v>
      </c>
      <c r="F4502" s="24"/>
      <c r="G4502" s="22" t="s">
        <v>5430</v>
      </c>
      <c r="H4502" s="108"/>
      <c r="I4502" s="109"/>
      <c r="J4502" s="8">
        <v>100</v>
      </c>
      <c r="K4502" s="39">
        <v>1.88</v>
      </c>
      <c r="L4502" s="39">
        <f>K4502*J4502</f>
        <v>188</v>
      </c>
      <c r="M4502" s="117" t="s">
        <v>323</v>
      </c>
      <c r="N4502" s="1398">
        <v>45750</v>
      </c>
      <c r="O4502" s="32">
        <v>6998</v>
      </c>
      <c r="P4502" s="391">
        <f>ROUNDUP(S4502/V4502/VLOOKUP(B4502,$C$2:$F$6,3,FALSE),2)</f>
        <v>1.61</v>
      </c>
      <c r="Q4502" s="322">
        <v>1.61</v>
      </c>
      <c r="R4502" s="322">
        <f>Q4502*J4502</f>
        <v>161</v>
      </c>
      <c r="S4502" s="7">
        <f>55+80</f>
        <v>135</v>
      </c>
      <c r="T4502" s="7">
        <f>S4502*J4502</f>
        <v>13500</v>
      </c>
      <c r="U4502" s="386"/>
      <c r="V4502" s="260">
        <v>120</v>
      </c>
      <c r="W4502" s="1136">
        <f t="shared" ref="W4502:W4507" si="413">(((K4502*V4502)-S4502)/(K4502*V4502))</f>
        <v>0.40159574468085107</v>
      </c>
    </row>
    <row r="4503" spans="1:24" s="7" customFormat="1" ht="18" customHeight="1">
      <c r="B4503" s="12" t="s">
        <v>300</v>
      </c>
      <c r="C4503" s="1432" t="s">
        <v>5429</v>
      </c>
      <c r="D4503" s="14" t="s">
        <v>2004</v>
      </c>
      <c r="E4503" s="374" t="s">
        <v>5324</v>
      </c>
      <c r="F4503" s="24"/>
      <c r="G4503" s="22" t="s">
        <v>5431</v>
      </c>
      <c r="H4503" s="108"/>
      <c r="I4503" s="109"/>
      <c r="J4503" s="8">
        <v>100</v>
      </c>
      <c r="K4503" s="39">
        <v>1.88</v>
      </c>
      <c r="L4503" s="39">
        <f>K4503*J4503</f>
        <v>188</v>
      </c>
      <c r="M4503" s="117" t="s">
        <v>323</v>
      </c>
      <c r="N4503" s="1398">
        <v>45750</v>
      </c>
      <c r="O4503" s="32">
        <v>6998</v>
      </c>
      <c r="P4503" s="391">
        <f>ROUNDUP(S4503/V4503/VLOOKUP(B4503,$C$2:$F$6,3,FALSE),2)</f>
        <v>1.61</v>
      </c>
      <c r="Q4503" s="322">
        <v>1.61</v>
      </c>
      <c r="R4503" s="322">
        <f>Q4503*J4503</f>
        <v>161</v>
      </c>
      <c r="S4503" s="7">
        <f>55+80</f>
        <v>135</v>
      </c>
      <c r="T4503" s="7">
        <f>S4503*J4503</f>
        <v>13500</v>
      </c>
      <c r="U4503" s="386"/>
      <c r="V4503" s="260">
        <v>120</v>
      </c>
      <c r="W4503" s="1136">
        <f>(((K4503*V4503)-S4503)/(K4503*V4503))</f>
        <v>0.40159574468085107</v>
      </c>
    </row>
    <row r="4504" spans="1:24" s="7" customFormat="1" ht="18" customHeight="1">
      <c r="B4504" s="12" t="s">
        <v>300</v>
      </c>
      <c r="C4504" s="1432" t="s">
        <v>5429</v>
      </c>
      <c r="D4504" s="14" t="s">
        <v>2004</v>
      </c>
      <c r="E4504" s="374" t="s">
        <v>5324</v>
      </c>
      <c r="F4504" s="24"/>
      <c r="G4504" s="22" t="s">
        <v>5432</v>
      </c>
      <c r="H4504" s="108"/>
      <c r="I4504" s="109"/>
      <c r="J4504" s="8">
        <v>100</v>
      </c>
      <c r="K4504" s="39">
        <v>1.88</v>
      </c>
      <c r="L4504" s="39">
        <f>K4504*J4504</f>
        <v>188</v>
      </c>
      <c r="M4504" s="117" t="s">
        <v>323</v>
      </c>
      <c r="N4504" s="1398">
        <v>45750</v>
      </c>
      <c r="O4504" s="32">
        <v>6998</v>
      </c>
      <c r="P4504" s="391">
        <f>ROUNDUP(S4504/V4504/VLOOKUP(B4504,$C$2:$F$6,3,FALSE),2)</f>
        <v>1.61</v>
      </c>
      <c r="Q4504" s="322">
        <v>1.61</v>
      </c>
      <c r="R4504" s="322">
        <f>Q4504*J4504</f>
        <v>161</v>
      </c>
      <c r="S4504" s="7">
        <f>55+80</f>
        <v>135</v>
      </c>
      <c r="T4504" s="7">
        <f>S4504*J4504</f>
        <v>13500</v>
      </c>
      <c r="U4504" s="386"/>
      <c r="V4504" s="260">
        <v>120</v>
      </c>
      <c r="W4504" s="1136">
        <f>(((K4504*V4504)-S4504)/(K4504*V4504))</f>
        <v>0.40159574468085107</v>
      </c>
    </row>
    <row r="4505" spans="1:24" s="7" customFormat="1" ht="18" customHeight="1">
      <c r="B4505" s="12"/>
      <c r="C4505" s="1432" t="s">
        <v>5429</v>
      </c>
      <c r="D4505" s="14" t="s">
        <v>2004</v>
      </c>
      <c r="E4505" s="82"/>
      <c r="F4505" s="102"/>
      <c r="G4505" s="22" t="s">
        <v>316</v>
      </c>
      <c r="H4505" s="8"/>
      <c r="I4505" s="35"/>
      <c r="J4505" s="38">
        <v>1</v>
      </c>
      <c r="K4505" s="39">
        <v>12</v>
      </c>
      <c r="L4505" s="39">
        <f>K4505*J4505</f>
        <v>12</v>
      </c>
      <c r="M4505" s="91"/>
      <c r="N4505" s="33">
        <v>45750</v>
      </c>
      <c r="O4505" s="32">
        <v>6998</v>
      </c>
      <c r="P4505" s="6"/>
      <c r="Q4505" s="322">
        <v>12</v>
      </c>
      <c r="R4505" s="322">
        <f>Q4505*J4505</f>
        <v>12</v>
      </c>
      <c r="S4505" s="1388">
        <v>0</v>
      </c>
      <c r="T4505" s="1388">
        <v>0</v>
      </c>
      <c r="U4505" s="21"/>
      <c r="V4505" s="260">
        <v>120</v>
      </c>
      <c r="W4505" s="1136">
        <f t="shared" si="413"/>
        <v>1</v>
      </c>
    </row>
    <row r="4506" spans="1:24" s="191" customFormat="1" ht="18" customHeight="1">
      <c r="B4506" s="190"/>
      <c r="C4506" s="1433" t="s">
        <v>5429</v>
      </c>
      <c r="D4506" s="180" t="s">
        <v>2004</v>
      </c>
      <c r="E4506" s="181"/>
      <c r="F4506" s="182"/>
      <c r="G4506" s="182" t="s">
        <v>250</v>
      </c>
      <c r="H4506" s="184" t="s">
        <v>251</v>
      </c>
      <c r="I4506" s="185"/>
      <c r="J4506" s="183"/>
      <c r="K4506" s="192">
        <v>0</v>
      </c>
      <c r="L4506" s="946"/>
      <c r="M4506" s="947"/>
      <c r="N4506" s="187">
        <v>45750</v>
      </c>
      <c r="O4506" s="186">
        <v>6998</v>
      </c>
      <c r="P4506" s="179"/>
      <c r="Q4506" s="322">
        <v>0</v>
      </c>
      <c r="R4506" s="218"/>
      <c r="S4506" s="197">
        <v>0</v>
      </c>
      <c r="T4506" s="197">
        <v>0</v>
      </c>
      <c r="U4506" s="335"/>
      <c r="V4506" s="260">
        <v>120</v>
      </c>
      <c r="W4506" s="1136" t="e">
        <f t="shared" si="413"/>
        <v>#DIV/0!</v>
      </c>
      <c r="X4506" s="218"/>
    </row>
    <row r="4507" spans="1:24" s="7" customFormat="1" ht="15" customHeight="1">
      <c r="B4507" s="12"/>
      <c r="C4507" s="6" t="s">
        <v>5446</v>
      </c>
      <c r="D4507" s="14" t="s">
        <v>5447</v>
      </c>
      <c r="E4507" s="19" t="s">
        <v>200</v>
      </c>
      <c r="F4507" s="24"/>
      <c r="G4507" s="22"/>
      <c r="H4507" s="60"/>
      <c r="I4507" s="1443"/>
      <c r="J4507" s="60"/>
      <c r="K4507" s="16" t="s">
        <v>101</v>
      </c>
      <c r="L4507" s="33"/>
      <c r="M4507" s="33"/>
      <c r="N4507" s="33">
        <v>45744</v>
      </c>
      <c r="O4507" s="32">
        <v>6980</v>
      </c>
      <c r="P4507" s="123" t="s">
        <v>8</v>
      </c>
      <c r="Q4507" s="230" t="s">
        <v>226</v>
      </c>
      <c r="R4507" s="323"/>
      <c r="S4507" s="1445" t="s">
        <v>5451</v>
      </c>
      <c r="T4507" s="92"/>
      <c r="U4507" s="269"/>
      <c r="V4507" s="260">
        <v>120</v>
      </c>
      <c r="W4507" s="1136" t="e">
        <f t="shared" si="413"/>
        <v>#VALUE!</v>
      </c>
    </row>
    <row r="4508" spans="1:24" s="7" customFormat="1" ht="18" customHeight="1">
      <c r="B4508" s="12" t="s">
        <v>300</v>
      </c>
      <c r="C4508" s="6" t="s">
        <v>5446</v>
      </c>
      <c r="D4508" s="14" t="s">
        <v>5447</v>
      </c>
      <c r="E4508" s="374">
        <v>5291</v>
      </c>
      <c r="F4508" s="24">
        <v>6</v>
      </c>
      <c r="G4508" s="22" t="s">
        <v>5450</v>
      </c>
      <c r="H4508" s="60">
        <v>50</v>
      </c>
      <c r="I4508" s="61">
        <v>1</v>
      </c>
      <c r="J4508" s="60">
        <f>H4508*I4508</f>
        <v>50</v>
      </c>
      <c r="K4508" s="39">
        <v>0.27</v>
      </c>
      <c r="L4508" s="39">
        <f>K4508*J4508</f>
        <v>13.5</v>
      </c>
      <c r="M4508" s="117" t="s">
        <v>323</v>
      </c>
      <c r="N4508" s="33">
        <v>45744</v>
      </c>
      <c r="O4508" s="32">
        <v>6980</v>
      </c>
      <c r="P4508" s="391">
        <f>ROUNDUP(S4508/V4508/VLOOKUP(B4508,$C$2:$F$6,3,FALSE),2)</f>
        <v>0.16</v>
      </c>
      <c r="Q4508" s="124">
        <v>0.18</v>
      </c>
      <c r="R4508" s="323">
        <f>Q4508*J4508</f>
        <v>9</v>
      </c>
      <c r="S4508" s="257">
        <v>13</v>
      </c>
      <c r="T4508" s="92">
        <f>S4508*J4508</f>
        <v>650</v>
      </c>
      <c r="U4508" s="341"/>
      <c r="V4508" s="260">
        <v>120</v>
      </c>
      <c r="W4508" s="1136">
        <f>(((K4508*V4508)-S4508)/(K4508*V4508))</f>
        <v>0.59876543209876554</v>
      </c>
    </row>
    <row r="4509" spans="1:24" s="7" customFormat="1" ht="18" customHeight="1">
      <c r="B4509" s="12"/>
      <c r="C4509" s="6" t="s">
        <v>5446</v>
      </c>
      <c r="D4509" s="14" t="s">
        <v>5447</v>
      </c>
      <c r="E4509" s="82"/>
      <c r="F4509" s="102"/>
      <c r="G4509" s="22" t="s">
        <v>316</v>
      </c>
      <c r="H4509" s="8"/>
      <c r="I4509" s="35"/>
      <c r="J4509" s="38">
        <v>1</v>
      </c>
      <c r="K4509" s="39">
        <v>12</v>
      </c>
      <c r="L4509" s="39">
        <f>K4509*J4509</f>
        <v>12</v>
      </c>
      <c r="M4509" s="91"/>
      <c r="N4509" s="33">
        <v>45744</v>
      </c>
      <c r="O4509" s="32">
        <v>6980</v>
      </c>
      <c r="P4509" s="6"/>
      <c r="Q4509" s="322">
        <v>12</v>
      </c>
      <c r="R4509" s="322">
        <f>Q4509*J4509</f>
        <v>12</v>
      </c>
      <c r="S4509" s="1388">
        <v>850</v>
      </c>
      <c r="T4509" s="1388">
        <v>850</v>
      </c>
      <c r="U4509" s="21"/>
      <c r="V4509" s="260">
        <v>120</v>
      </c>
      <c r="W4509" s="1136">
        <f t="shared" ref="W4509:W4514" si="414">(((K4509*V4509)-S4509)/(K4509*V4509))</f>
        <v>0.40972222222222221</v>
      </c>
    </row>
    <row r="4510" spans="1:24" s="191" customFormat="1" ht="18" customHeight="1">
      <c r="B4510" s="190"/>
      <c r="C4510" s="179" t="s">
        <v>5446</v>
      </c>
      <c r="D4510" s="180" t="s">
        <v>5447</v>
      </c>
      <c r="E4510" s="181"/>
      <c r="F4510" s="182"/>
      <c r="G4510" s="182" t="s">
        <v>250</v>
      </c>
      <c r="H4510" s="184" t="s">
        <v>251</v>
      </c>
      <c r="I4510" s="185"/>
      <c r="J4510" s="183"/>
      <c r="K4510" s="192">
        <v>0</v>
      </c>
      <c r="L4510" s="946"/>
      <c r="M4510" s="947"/>
      <c r="N4510" s="187">
        <v>45744</v>
      </c>
      <c r="O4510" s="186">
        <v>6980</v>
      </c>
      <c r="P4510" s="179"/>
      <c r="Q4510" s="322">
        <v>0</v>
      </c>
      <c r="R4510" s="218"/>
      <c r="S4510" s="197">
        <v>0</v>
      </c>
      <c r="T4510" s="197">
        <v>0</v>
      </c>
      <c r="U4510" s="335"/>
      <c r="V4510" s="260">
        <v>120</v>
      </c>
      <c r="W4510" s="1136" t="e">
        <f t="shared" si="414"/>
        <v>#DIV/0!</v>
      </c>
      <c r="X4510" s="218"/>
    </row>
    <row r="4511" spans="1:24" s="7" customFormat="1" ht="15">
      <c r="B4511" s="12"/>
      <c r="C4511" s="965" t="s">
        <v>5448</v>
      </c>
      <c r="D4511" s="14" t="s">
        <v>3150</v>
      </c>
      <c r="E4511" s="19" t="s">
        <v>2244</v>
      </c>
      <c r="F4511" s="24"/>
      <c r="G4511" s="22"/>
      <c r="H4511" s="60"/>
      <c r="I4511" s="61"/>
      <c r="J4511" s="8"/>
      <c r="K4511" s="110" t="s">
        <v>5</v>
      </c>
      <c r="L4511" s="139"/>
      <c r="M4511" s="33"/>
      <c r="N4511" s="33">
        <v>45748</v>
      </c>
      <c r="O4511" s="32">
        <v>6987</v>
      </c>
      <c r="P4511" s="6" t="s">
        <v>8</v>
      </c>
      <c r="Q4511" s="358"/>
      <c r="U4511" s="120"/>
      <c r="V4511" s="260">
        <v>120</v>
      </c>
      <c r="W4511" s="1136" t="e">
        <f t="shared" si="414"/>
        <v>#VALUE!</v>
      </c>
    </row>
    <row r="4512" spans="1:24" s="7" customFormat="1" ht="18" customHeight="1">
      <c r="B4512" s="12" t="s">
        <v>300</v>
      </c>
      <c r="C4512" s="965" t="s">
        <v>5448</v>
      </c>
      <c r="D4512" s="14" t="s">
        <v>3150</v>
      </c>
      <c r="E4512" s="22">
        <v>11700</v>
      </c>
      <c r="F4512" s="37">
        <v>24</v>
      </c>
      <c r="G4512" s="22" t="s">
        <v>5449</v>
      </c>
      <c r="H4512" s="8">
        <v>10</v>
      </c>
      <c r="I4512" s="35">
        <v>2</v>
      </c>
      <c r="J4512" s="108">
        <f>H4512*I4512</f>
        <v>20</v>
      </c>
      <c r="K4512" s="958">
        <v>2.84</v>
      </c>
      <c r="L4512" s="39">
        <f>K4512*J4512</f>
        <v>56.8</v>
      </c>
      <c r="M4512" s="117" t="s">
        <v>349</v>
      </c>
      <c r="N4512" s="33">
        <v>45748</v>
      </c>
      <c r="O4512" s="32">
        <v>6987</v>
      </c>
      <c r="P4512" s="391">
        <f>ROUNDUP(S4512/V4512/VLOOKUP(B4512,$C$2:$F$6,3,FALSE),2)</f>
        <v>1.83</v>
      </c>
      <c r="Q4512" s="322">
        <v>1.83</v>
      </c>
      <c r="R4512" s="322">
        <f>Q4512*J4512</f>
        <v>36.6</v>
      </c>
      <c r="S4512" s="7">
        <v>153.30000000000001</v>
      </c>
      <c r="T4512" s="7">
        <f>S4512*J4512</f>
        <v>3066</v>
      </c>
      <c r="U4512" s="39"/>
      <c r="V4512" s="260">
        <v>120</v>
      </c>
      <c r="W4512" s="1136">
        <f t="shared" si="414"/>
        <v>0.55017605633802813</v>
      </c>
    </row>
    <row r="4513" spans="1:23" customFormat="1" ht="15.95" customHeight="1">
      <c r="A4513" s="1"/>
      <c r="B4513" s="12" t="s">
        <v>306</v>
      </c>
      <c r="C4513" s="965" t="s">
        <v>5448</v>
      </c>
      <c r="D4513" s="14" t="s">
        <v>3150</v>
      </c>
      <c r="E4513" s="22"/>
      <c r="F4513" s="102"/>
      <c r="G4513" s="37" t="s">
        <v>316</v>
      </c>
      <c r="H4513" s="8"/>
      <c r="I4513" s="35"/>
      <c r="J4513" s="38">
        <v>1</v>
      </c>
      <c r="K4513" s="39">
        <v>12</v>
      </c>
      <c r="L4513" s="39">
        <f>K4513*J4513</f>
        <v>12</v>
      </c>
      <c r="M4513" s="91"/>
      <c r="N4513" s="33">
        <v>45748</v>
      </c>
      <c r="O4513" s="32">
        <v>6987</v>
      </c>
      <c r="P4513" s="39"/>
      <c r="Q4513" s="358">
        <v>12</v>
      </c>
      <c r="R4513" s="323">
        <v>12</v>
      </c>
      <c r="S4513" s="7">
        <v>0</v>
      </c>
      <c r="T4513" s="7">
        <v>0</v>
      </c>
      <c r="U4513" s="270"/>
      <c r="V4513" s="260">
        <v>120</v>
      </c>
      <c r="W4513" s="1136">
        <f t="shared" si="414"/>
        <v>1</v>
      </c>
    </row>
    <row r="4514" spans="1:23" s="191" customFormat="1" ht="15">
      <c r="B4514" s="190"/>
      <c r="C4514" s="966" t="s">
        <v>5448</v>
      </c>
      <c r="D4514" s="180" t="s">
        <v>3150</v>
      </c>
      <c r="E4514" s="181"/>
      <c r="F4514" s="182"/>
      <c r="G4514" s="182" t="s">
        <v>250</v>
      </c>
      <c r="H4514" s="184" t="s">
        <v>251</v>
      </c>
      <c r="I4514" s="185"/>
      <c r="J4514" s="183"/>
      <c r="K4514" s="192">
        <v>0</v>
      </c>
      <c r="L4514" s="187"/>
      <c r="M4514" s="187"/>
      <c r="N4514" s="187">
        <v>45748</v>
      </c>
      <c r="O4514" s="186">
        <v>6987</v>
      </c>
      <c r="P4514" s="179"/>
      <c r="Q4514" s="255">
        <v>0</v>
      </c>
      <c r="S4514" s="275">
        <v>0</v>
      </c>
      <c r="T4514" s="198">
        <v>0</v>
      </c>
      <c r="U4514" s="271"/>
      <c r="V4514" s="260">
        <v>120</v>
      </c>
      <c r="W4514" s="1136" t="e">
        <f t="shared" si="414"/>
        <v>#DIV/0!</v>
      </c>
    </row>
    <row r="4515" spans="1:23" customFormat="1" ht="18" customHeight="1">
      <c r="A4515" s="1"/>
      <c r="B4515" s="26"/>
      <c r="C4515" s="6" t="s">
        <v>5452</v>
      </c>
      <c r="D4515" s="14" t="s">
        <v>2004</v>
      </c>
      <c r="E4515" s="19" t="s">
        <v>4847</v>
      </c>
      <c r="F4515" s="107"/>
      <c r="G4515" s="22"/>
      <c r="H4515" s="108"/>
      <c r="I4515" s="109"/>
      <c r="J4515" s="108"/>
      <c r="K4515" s="110" t="s">
        <v>5</v>
      </c>
      <c r="L4515" s="33"/>
      <c r="M4515" s="33"/>
      <c r="N4515" s="33">
        <v>45749</v>
      </c>
      <c r="O4515" s="32">
        <v>6992</v>
      </c>
      <c r="P4515" s="14"/>
      <c r="Q4515" s="254"/>
      <c r="R4515" s="1"/>
      <c r="S4515" s="1300"/>
      <c r="T4515" s="92"/>
      <c r="U4515" s="264"/>
      <c r="V4515" s="260">
        <v>120</v>
      </c>
    </row>
    <row r="4516" spans="1:23" customFormat="1" ht="18" customHeight="1">
      <c r="B4516" s="12" t="s">
        <v>302</v>
      </c>
      <c r="C4516" s="6" t="s">
        <v>5452</v>
      </c>
      <c r="D4516" s="14" t="s">
        <v>2004</v>
      </c>
      <c r="E4516" s="19" t="s">
        <v>5152</v>
      </c>
      <c r="F4516" s="107" t="s">
        <v>3340</v>
      </c>
      <c r="G4516" s="22" t="s">
        <v>5153</v>
      </c>
      <c r="H4516" s="18"/>
      <c r="I4516" s="61"/>
      <c r="J4516" s="18">
        <v>11</v>
      </c>
      <c r="K4516" s="39">
        <v>17.739999999999998</v>
      </c>
      <c r="L4516" s="39">
        <f>K4516*J4516</f>
        <v>195.14</v>
      </c>
      <c r="M4516" s="117" t="s">
        <v>323</v>
      </c>
      <c r="N4516" s="1149">
        <v>45749</v>
      </c>
      <c r="O4516" s="32">
        <v>6992</v>
      </c>
      <c r="P4516" s="391">
        <f>ROUNDUP(S4516/V4516/VLOOKUP(B4516,$C$2:$F$6,3,FALSE),2)</f>
        <v>15.91</v>
      </c>
      <c r="Q4516" s="254">
        <v>15.91</v>
      </c>
      <c r="R4516" s="323">
        <f>Q4516*J4516</f>
        <v>175.01</v>
      </c>
      <c r="S4516" s="273">
        <f>1420+400</f>
        <v>1820</v>
      </c>
      <c r="T4516" s="287">
        <f>S4516*J4516</f>
        <v>20020</v>
      </c>
      <c r="U4516" s="264"/>
      <c r="V4516" s="260">
        <v>130</v>
      </c>
      <c r="W4516" s="1136">
        <f t="shared" ref="W4516:W4532" si="415">(((K4516*V4516)-S4516)/(K4516*V4516))</f>
        <v>0.21082299887260422</v>
      </c>
    </row>
    <row r="4517" spans="1:23" s="191" customFormat="1" ht="15.75">
      <c r="B4517" s="190"/>
      <c r="C4517" s="179" t="s">
        <v>5452</v>
      </c>
      <c r="D4517" s="180" t="s">
        <v>2004</v>
      </c>
      <c r="E4517" s="181"/>
      <c r="F4517" s="182"/>
      <c r="G4517" s="309" t="s">
        <v>324</v>
      </c>
      <c r="H4517" s="184" t="s">
        <v>251</v>
      </c>
      <c r="I4517" s="185"/>
      <c r="J4517" s="183"/>
      <c r="K4517" s="192">
        <v>0</v>
      </c>
      <c r="L4517" s="187"/>
      <c r="M4517" s="187"/>
      <c r="N4517" s="187">
        <v>45749</v>
      </c>
      <c r="O4517" s="186">
        <v>6992</v>
      </c>
      <c r="P4517" s="179"/>
      <c r="Q4517" s="203"/>
      <c r="R4517" s="203"/>
      <c r="S4517" s="203"/>
      <c r="T4517" s="203"/>
      <c r="U4517" s="271"/>
      <c r="V4517" s="260">
        <v>120</v>
      </c>
      <c r="W4517" s="1136" t="e">
        <f t="shared" si="415"/>
        <v>#DIV/0!</v>
      </c>
    </row>
    <row r="4518" spans="1:23" s="7" customFormat="1" ht="15">
      <c r="B4518" s="12"/>
      <c r="C4518" s="965" t="s">
        <v>5481</v>
      </c>
      <c r="D4518" s="14" t="s">
        <v>5480</v>
      </c>
      <c r="E4518" s="19" t="s">
        <v>5479</v>
      </c>
      <c r="F4518" s="24"/>
      <c r="G4518" s="22"/>
      <c r="H4518" s="60"/>
      <c r="I4518" s="61"/>
      <c r="J4518" s="8"/>
      <c r="K4518" s="110" t="s">
        <v>5</v>
      </c>
      <c r="L4518" s="139"/>
      <c r="M4518" s="33"/>
      <c r="N4518" s="33">
        <v>45754</v>
      </c>
      <c r="O4518" s="32">
        <v>7003</v>
      </c>
      <c r="P4518" s="6" t="s">
        <v>8</v>
      </c>
      <c r="Q4518" s="358"/>
      <c r="U4518" s="120"/>
      <c r="V4518" s="260">
        <v>120</v>
      </c>
      <c r="W4518" s="1136" t="e">
        <f t="shared" si="415"/>
        <v>#VALUE!</v>
      </c>
    </row>
    <row r="4519" spans="1:23" s="7" customFormat="1" ht="18" customHeight="1">
      <c r="B4519" s="12" t="s">
        <v>300</v>
      </c>
      <c r="C4519" s="965" t="s">
        <v>5481</v>
      </c>
      <c r="D4519" s="14" t="s">
        <v>5480</v>
      </c>
      <c r="E4519" s="22">
        <v>3534</v>
      </c>
      <c r="F4519" s="37">
        <v>50</v>
      </c>
      <c r="G4519" s="22" t="s">
        <v>4345</v>
      </c>
      <c r="H4519" s="8">
        <v>30</v>
      </c>
      <c r="I4519" s="35">
        <v>2</v>
      </c>
      <c r="J4519" s="108">
        <f>H4519*I4519</f>
        <v>60</v>
      </c>
      <c r="K4519" s="958">
        <v>1.77</v>
      </c>
      <c r="L4519" s="39">
        <f>K4519*J4519</f>
        <v>106.2</v>
      </c>
      <c r="M4519" s="117" t="s">
        <v>349</v>
      </c>
      <c r="N4519" s="33">
        <v>45754</v>
      </c>
      <c r="O4519" s="32">
        <v>7003</v>
      </c>
      <c r="P4519" s="391">
        <f>ROUNDUP(S4519/V4519/VLOOKUP(B4519,$C$2:$F$6,3,FALSE),2)</f>
        <v>1.1399999999999999</v>
      </c>
      <c r="Q4519" s="322">
        <v>1.1399999999999999</v>
      </c>
      <c r="R4519" s="322">
        <f>Q4519*J4519</f>
        <v>68.399999999999991</v>
      </c>
      <c r="S4519" s="7">
        <f>2860/H4519</f>
        <v>95.333333333333329</v>
      </c>
      <c r="T4519" s="7">
        <f>S4519*J4519</f>
        <v>5720</v>
      </c>
      <c r="U4519" s="39"/>
      <c r="V4519" s="260">
        <v>120</v>
      </c>
      <c r="W4519" s="1136">
        <f t="shared" si="415"/>
        <v>0.55116133082234775</v>
      </c>
    </row>
    <row r="4520" spans="1:23" s="7" customFormat="1" ht="18" customHeight="1">
      <c r="B4520" s="12" t="s">
        <v>300</v>
      </c>
      <c r="C4520" s="965" t="s">
        <v>5481</v>
      </c>
      <c r="D4520" s="14" t="s">
        <v>5480</v>
      </c>
      <c r="E4520" s="22">
        <v>3534</v>
      </c>
      <c r="F4520" s="37">
        <v>50</v>
      </c>
      <c r="G4520" s="22" t="s">
        <v>4436</v>
      </c>
      <c r="H4520" s="8">
        <v>30</v>
      </c>
      <c r="I4520" s="35">
        <v>2</v>
      </c>
      <c r="J4520" s="108">
        <f>H4520*I4520</f>
        <v>60</v>
      </c>
      <c r="K4520" s="958">
        <v>1.77</v>
      </c>
      <c r="L4520" s="39">
        <f>K4520*J4520</f>
        <v>106.2</v>
      </c>
      <c r="M4520" s="117" t="s">
        <v>349</v>
      </c>
      <c r="N4520" s="33">
        <v>45754</v>
      </c>
      <c r="O4520" s="32">
        <v>7003</v>
      </c>
      <c r="P4520" s="391">
        <f>ROUNDUP(S4520/V4520/VLOOKUP(B4520,$C$2:$F$6,3,FALSE),2)</f>
        <v>0.93</v>
      </c>
      <c r="Q4520" s="322">
        <v>0.93</v>
      </c>
      <c r="R4520" s="322">
        <f>Q4520*J4520</f>
        <v>55.800000000000004</v>
      </c>
      <c r="S4520" s="7">
        <f>2340/H4520</f>
        <v>78</v>
      </c>
      <c r="T4520" s="7">
        <f>S4520*J4520</f>
        <v>4680</v>
      </c>
      <c r="U4520" s="39"/>
      <c r="V4520" s="260">
        <v>120</v>
      </c>
      <c r="W4520" s="1136">
        <f t="shared" si="415"/>
        <v>0.63276836158192096</v>
      </c>
    </row>
    <row r="4521" spans="1:23" s="7" customFormat="1" ht="18" customHeight="1">
      <c r="B4521" s="12" t="s">
        <v>300</v>
      </c>
      <c r="C4521" s="965" t="s">
        <v>5481</v>
      </c>
      <c r="D4521" s="14" t="s">
        <v>5480</v>
      </c>
      <c r="E4521" s="22">
        <v>3534</v>
      </c>
      <c r="F4521" s="37">
        <v>25</v>
      </c>
      <c r="G4521" s="22" t="s">
        <v>4345</v>
      </c>
      <c r="H4521" s="8">
        <v>30</v>
      </c>
      <c r="I4521" s="35">
        <v>2</v>
      </c>
      <c r="J4521" s="108">
        <f>H4521*I4521</f>
        <v>60</v>
      </c>
      <c r="K4521" s="958">
        <v>0.91</v>
      </c>
      <c r="L4521" s="39">
        <f>K4521*J4521</f>
        <v>54.6</v>
      </c>
      <c r="M4521" s="117" t="s">
        <v>349</v>
      </c>
      <c r="N4521" s="33">
        <v>45754</v>
      </c>
      <c r="O4521" s="32">
        <v>7003</v>
      </c>
      <c r="P4521" s="391">
        <f>ROUNDUP(S4521/V4521/VLOOKUP(B4521,$C$2:$F$6,3,FALSE),2)</f>
        <v>0.59</v>
      </c>
      <c r="Q4521" s="322">
        <v>0.59</v>
      </c>
      <c r="R4521" s="322">
        <f>Q4521*J4521</f>
        <v>35.4</v>
      </c>
      <c r="S4521" s="7">
        <f>1480/H4521</f>
        <v>49.333333333333336</v>
      </c>
      <c r="T4521" s="7">
        <f>S4521*J4521</f>
        <v>2960</v>
      </c>
      <c r="U4521" s="39"/>
      <c r="V4521" s="260">
        <v>120</v>
      </c>
      <c r="W4521" s="1136">
        <f t="shared" si="415"/>
        <v>0.54822954822954817</v>
      </c>
    </row>
    <row r="4522" spans="1:23" s="7" customFormat="1" ht="18" customHeight="1">
      <c r="B4522" s="12" t="s">
        <v>300</v>
      </c>
      <c r="C4522" s="965" t="s">
        <v>5481</v>
      </c>
      <c r="D4522" s="14" t="s">
        <v>5480</v>
      </c>
      <c r="E4522" s="22">
        <v>3534</v>
      </c>
      <c r="F4522" s="37">
        <v>25</v>
      </c>
      <c r="G4522" s="22" t="s">
        <v>4436</v>
      </c>
      <c r="H4522" s="8">
        <v>30</v>
      </c>
      <c r="I4522" s="35">
        <v>2</v>
      </c>
      <c r="J4522" s="108">
        <f>H4522*I4522</f>
        <v>60</v>
      </c>
      <c r="K4522" s="958">
        <v>0.91</v>
      </c>
      <c r="L4522" s="39">
        <f>K4522*J4522</f>
        <v>54.6</v>
      </c>
      <c r="M4522" s="117" t="s">
        <v>349</v>
      </c>
      <c r="N4522" s="33">
        <v>45754</v>
      </c>
      <c r="O4522" s="32">
        <v>7003</v>
      </c>
      <c r="P4522" s="391">
        <f>ROUNDUP(S4522/V4522/VLOOKUP(B4522,$C$2:$F$6,3,FALSE),2)</f>
        <v>0.49</v>
      </c>
      <c r="Q4522" s="322">
        <v>0.49</v>
      </c>
      <c r="R4522" s="322">
        <f>Q4522*J4522</f>
        <v>29.4</v>
      </c>
      <c r="S4522" s="7">
        <f>1230/H4522</f>
        <v>41</v>
      </c>
      <c r="T4522" s="7">
        <f>S4522*J4522</f>
        <v>2460</v>
      </c>
      <c r="U4522" s="39"/>
      <c r="V4522" s="260">
        <v>120</v>
      </c>
      <c r="W4522" s="1136">
        <f t="shared" si="415"/>
        <v>0.62454212454212454</v>
      </c>
    </row>
    <row r="4523" spans="1:23" customFormat="1" ht="15.95" customHeight="1">
      <c r="A4523" s="1"/>
      <c r="B4523" s="12" t="s">
        <v>306</v>
      </c>
      <c r="C4523" s="965" t="s">
        <v>5481</v>
      </c>
      <c r="D4523" s="14" t="s">
        <v>5480</v>
      </c>
      <c r="E4523" s="22"/>
      <c r="F4523" s="102"/>
      <c r="G4523" s="37" t="s">
        <v>316</v>
      </c>
      <c r="H4523" s="8"/>
      <c r="I4523" s="35"/>
      <c r="J4523" s="38">
        <v>1</v>
      </c>
      <c r="K4523" s="39">
        <v>12</v>
      </c>
      <c r="L4523" s="39">
        <f>K4523*J4523</f>
        <v>12</v>
      </c>
      <c r="M4523" s="91"/>
      <c r="N4523" s="33">
        <v>45754</v>
      </c>
      <c r="O4523" s="32">
        <v>7003</v>
      </c>
      <c r="P4523" s="39"/>
      <c r="Q4523" s="322">
        <v>12</v>
      </c>
      <c r="R4523" s="323">
        <v>12</v>
      </c>
      <c r="S4523" s="7">
        <v>0</v>
      </c>
      <c r="T4523" s="7">
        <f>S4523*J4523</f>
        <v>0</v>
      </c>
      <c r="U4523" s="270"/>
      <c r="V4523" s="260">
        <v>120</v>
      </c>
      <c r="W4523" s="1136">
        <f t="shared" si="415"/>
        <v>1</v>
      </c>
    </row>
    <row r="4524" spans="1:23" s="191" customFormat="1" ht="15.75">
      <c r="B4524" s="190"/>
      <c r="C4524" s="966" t="s">
        <v>5481</v>
      </c>
      <c r="D4524" s="180" t="s">
        <v>5480</v>
      </c>
      <c r="E4524" s="181"/>
      <c r="F4524" s="182"/>
      <c r="G4524" s="309" t="s">
        <v>324</v>
      </c>
      <c r="H4524" s="184" t="s">
        <v>374</v>
      </c>
      <c r="I4524" s="185"/>
      <c r="J4524" s="183"/>
      <c r="K4524" s="203">
        <v>120</v>
      </c>
      <c r="L4524" s="203">
        <v>120</v>
      </c>
      <c r="M4524" s="187"/>
      <c r="N4524" s="187">
        <v>45754</v>
      </c>
      <c r="O4524" s="186">
        <v>7003</v>
      </c>
      <c r="P4524" s="179"/>
      <c r="Q4524" s="203">
        <v>120</v>
      </c>
      <c r="R4524" s="203">
        <v>120</v>
      </c>
      <c r="S4524" s="1485">
        <v>11646</v>
      </c>
      <c r="T4524" s="1485">
        <v>11646</v>
      </c>
      <c r="U4524" s="271"/>
      <c r="V4524" s="260">
        <v>120</v>
      </c>
      <c r="W4524" s="1136">
        <f t="shared" si="415"/>
        <v>0.19125</v>
      </c>
    </row>
    <row r="4525" spans="1:23" s="7" customFormat="1" ht="18" customHeight="1">
      <c r="B4525" s="12"/>
      <c r="C4525" s="6" t="s">
        <v>5493</v>
      </c>
      <c r="D4525" s="14" t="s">
        <v>5482</v>
      </c>
      <c r="E4525" s="19" t="s">
        <v>5488</v>
      </c>
      <c r="F4525" s="107"/>
      <c r="G4525" s="22"/>
      <c r="H4525" s="108"/>
      <c r="I4525" s="109"/>
      <c r="J4525" s="108"/>
      <c r="K4525" s="29" t="s">
        <v>5</v>
      </c>
      <c r="L4525" s="39"/>
      <c r="M4525" s="91"/>
      <c r="N4525" s="33">
        <v>45756</v>
      </c>
      <c r="O4525" s="32">
        <v>7013</v>
      </c>
      <c r="P4525" s="14"/>
      <c r="Q4525" s="1461" t="s">
        <v>5495</v>
      </c>
      <c r="U4525" s="14"/>
      <c r="V4525" s="260">
        <v>120</v>
      </c>
      <c r="W4525" s="1136" t="e">
        <f t="shared" si="415"/>
        <v>#VALUE!</v>
      </c>
    </row>
    <row r="4526" spans="1:23" s="7" customFormat="1" ht="18" customHeight="1">
      <c r="B4526" s="12" t="s">
        <v>302</v>
      </c>
      <c r="C4526" s="6" t="s">
        <v>5493</v>
      </c>
      <c r="D4526" s="14" t="s">
        <v>5482</v>
      </c>
      <c r="E4526" s="374" t="s">
        <v>5483</v>
      </c>
      <c r="F4526" s="107">
        <v>132</v>
      </c>
      <c r="G4526" s="22" t="s">
        <v>5485</v>
      </c>
      <c r="H4526" s="108"/>
      <c r="I4526" s="109"/>
      <c r="J4526" s="8">
        <v>10</v>
      </c>
      <c r="K4526" s="39">
        <v>4.6900000000000004</v>
      </c>
      <c r="L4526" s="39">
        <f>K4526*J4526</f>
        <v>46.900000000000006</v>
      </c>
      <c r="M4526" s="117" t="s">
        <v>349</v>
      </c>
      <c r="N4526" s="33">
        <v>45756</v>
      </c>
      <c r="O4526" s="32">
        <v>7013</v>
      </c>
      <c r="P4526" s="391">
        <f>ROUNDUP(S4526/V4526/VLOOKUP(B4526,$C$2:$F$6,3,FALSE),2)</f>
        <v>3.98</v>
      </c>
      <c r="Q4526" s="322">
        <v>4.2699999999999996</v>
      </c>
      <c r="R4526" s="322">
        <f>Q4526*J4526</f>
        <v>42.699999999999996</v>
      </c>
      <c r="S4526" s="7">
        <v>420</v>
      </c>
      <c r="T4526" s="1388">
        <f>S4526*J4526</f>
        <v>4200</v>
      </c>
      <c r="U4526" s="21"/>
      <c r="V4526" s="260">
        <v>120</v>
      </c>
      <c r="W4526" s="1136">
        <f t="shared" si="415"/>
        <v>0.25373134328358216</v>
      </c>
    </row>
    <row r="4527" spans="1:23" s="7" customFormat="1" ht="18" customHeight="1">
      <c r="B4527" s="12" t="s">
        <v>302</v>
      </c>
      <c r="C4527" s="6" t="s">
        <v>5493</v>
      </c>
      <c r="D4527" s="14" t="s">
        <v>5482</v>
      </c>
      <c r="E4527" s="374" t="s">
        <v>5487</v>
      </c>
      <c r="F4527" s="107">
        <v>148</v>
      </c>
      <c r="G4527" s="22" t="s">
        <v>5486</v>
      </c>
      <c r="H4527" s="108"/>
      <c r="I4527" s="109"/>
      <c r="J4527" s="8">
        <v>10</v>
      </c>
      <c r="K4527" s="39">
        <v>9.48</v>
      </c>
      <c r="L4527" s="39">
        <f>K4527*J4527</f>
        <v>94.800000000000011</v>
      </c>
      <c r="M4527" s="117" t="s">
        <v>349</v>
      </c>
      <c r="N4527" s="33">
        <v>45756</v>
      </c>
      <c r="O4527" s="32">
        <v>7013</v>
      </c>
      <c r="P4527" s="391">
        <f>ROUNDUP(S4527/V4527/VLOOKUP(B4527,$C$2:$F$6,3,FALSE),2)</f>
        <v>8.34</v>
      </c>
      <c r="Q4527" s="322">
        <v>8.6199999999999992</v>
      </c>
      <c r="R4527" s="322">
        <f>Q4527*J4527</f>
        <v>86.199999999999989</v>
      </c>
      <c r="S4527" s="7">
        <v>880</v>
      </c>
      <c r="T4527" s="1388">
        <f>S4527*J4527</f>
        <v>8800</v>
      </c>
      <c r="U4527" s="21"/>
      <c r="V4527" s="260">
        <v>120</v>
      </c>
      <c r="W4527" s="1136">
        <f t="shared" si="415"/>
        <v>0.22644163150492275</v>
      </c>
    </row>
    <row r="4528" spans="1:23" s="7" customFormat="1" ht="18" customHeight="1">
      <c r="B4528" s="12"/>
      <c r="C4528" s="6" t="s">
        <v>5492</v>
      </c>
      <c r="D4528" s="14" t="s">
        <v>5482</v>
      </c>
      <c r="E4528" s="1463" t="s">
        <v>5494</v>
      </c>
      <c r="F4528" s="107"/>
      <c r="G4528" s="22"/>
      <c r="H4528" s="108"/>
      <c r="I4528" s="109"/>
      <c r="J4528" s="108"/>
      <c r="K4528" s="29" t="s">
        <v>5</v>
      </c>
      <c r="L4528" s="39"/>
      <c r="M4528" s="91"/>
      <c r="N4528" s="33">
        <v>45756</v>
      </c>
      <c r="O4528" s="32">
        <v>7013</v>
      </c>
      <c r="P4528" s="14"/>
      <c r="Q4528" s="322"/>
      <c r="T4528" s="1388"/>
      <c r="U4528" s="14"/>
      <c r="V4528" s="260">
        <v>120</v>
      </c>
      <c r="W4528" s="1136" t="e">
        <f t="shared" si="415"/>
        <v>#VALUE!</v>
      </c>
    </row>
    <row r="4529" spans="1:24" s="7" customFormat="1" ht="18" customHeight="1">
      <c r="B4529" s="12" t="s">
        <v>302</v>
      </c>
      <c r="C4529" s="6" t="s">
        <v>5496</v>
      </c>
      <c r="D4529" s="14" t="s">
        <v>5482</v>
      </c>
      <c r="E4529" s="374" t="s">
        <v>5484</v>
      </c>
      <c r="F4529" s="107">
        <v>148</v>
      </c>
      <c r="G4529" s="22" t="s">
        <v>5485</v>
      </c>
      <c r="H4529" s="108"/>
      <c r="I4529" s="109"/>
      <c r="J4529" s="8">
        <v>10</v>
      </c>
      <c r="K4529" s="39">
        <v>20.63</v>
      </c>
      <c r="L4529" s="39">
        <f>K4529*J4529</f>
        <v>206.29999999999998</v>
      </c>
      <c r="M4529" s="117" t="s">
        <v>349</v>
      </c>
      <c r="N4529" s="33">
        <v>45756</v>
      </c>
      <c r="O4529" s="32">
        <v>7013</v>
      </c>
      <c r="P4529" s="391">
        <f>ROUNDUP(S4529/V4529/VLOOKUP(B4529,$C$2:$F$6,3,FALSE),2)</f>
        <v>18.470000000000002</v>
      </c>
      <c r="Q4529" s="322">
        <v>18.75</v>
      </c>
      <c r="R4529" s="322">
        <f>Q4529*J4529</f>
        <v>187.5</v>
      </c>
      <c r="S4529" s="7">
        <v>1950</v>
      </c>
      <c r="T4529" s="1388">
        <f>S4529*J4529</f>
        <v>19500</v>
      </c>
      <c r="U4529" s="21"/>
      <c r="V4529" s="260">
        <v>120</v>
      </c>
      <c r="W4529" s="1136">
        <f t="shared" si="415"/>
        <v>0.21231216674745512</v>
      </c>
    </row>
    <row r="4530" spans="1:24" customFormat="1" ht="15.95" customHeight="1">
      <c r="A4530" s="1"/>
      <c r="B4530" s="12" t="s">
        <v>306</v>
      </c>
      <c r="C4530" s="6" t="s">
        <v>5492</v>
      </c>
      <c r="D4530" s="14" t="s">
        <v>5482</v>
      </c>
      <c r="E4530" s="22"/>
      <c r="F4530" s="102"/>
      <c r="G4530" s="37" t="s">
        <v>4329</v>
      </c>
      <c r="H4530" s="8"/>
      <c r="I4530" s="35"/>
      <c r="J4530" s="38">
        <v>3</v>
      </c>
      <c r="K4530" s="39">
        <v>12</v>
      </c>
      <c r="L4530" s="39">
        <f>K4530*J4530</f>
        <v>36</v>
      </c>
      <c r="M4530" s="91"/>
      <c r="N4530" s="33">
        <v>45756</v>
      </c>
      <c r="O4530" s="32">
        <v>7013</v>
      </c>
      <c r="P4530" s="39"/>
      <c r="Q4530" s="358">
        <v>12</v>
      </c>
      <c r="R4530" s="322">
        <f>Q4530*J4530</f>
        <v>36</v>
      </c>
      <c r="S4530" s="1388">
        <v>1000</v>
      </c>
      <c r="T4530" s="1388">
        <f>S4530*J4530</f>
        <v>3000</v>
      </c>
      <c r="U4530" s="270"/>
      <c r="V4530" s="260">
        <v>120</v>
      </c>
      <c r="W4530" s="1136">
        <f t="shared" si="415"/>
        <v>0.30555555555555558</v>
      </c>
    </row>
    <row r="4531" spans="1:24" customFormat="1" ht="15.95" customHeight="1">
      <c r="A4531" s="1"/>
      <c r="B4531" s="12" t="s">
        <v>306</v>
      </c>
      <c r="C4531" s="6" t="s">
        <v>5492</v>
      </c>
      <c r="D4531" s="14" t="s">
        <v>5482</v>
      </c>
      <c r="E4531" s="22"/>
      <c r="F4531" s="102"/>
      <c r="G4531" s="37" t="s">
        <v>316</v>
      </c>
      <c r="H4531" s="8"/>
      <c r="I4531" s="35"/>
      <c r="J4531" s="38">
        <v>1</v>
      </c>
      <c r="K4531" s="39">
        <v>25</v>
      </c>
      <c r="L4531" s="39">
        <f>K4531*J4531</f>
        <v>25</v>
      </c>
      <c r="M4531" s="91"/>
      <c r="N4531" s="33">
        <v>45756</v>
      </c>
      <c r="O4531" s="32">
        <v>7013</v>
      </c>
      <c r="P4531" s="39"/>
      <c r="Q4531" s="358">
        <v>25</v>
      </c>
      <c r="R4531" s="322">
        <f>Q4531*J4531</f>
        <v>25</v>
      </c>
      <c r="S4531" s="1388">
        <v>1600</v>
      </c>
      <c r="T4531" s="1388">
        <f>S4531*J4531</f>
        <v>1600</v>
      </c>
      <c r="U4531" s="270"/>
      <c r="V4531" s="260">
        <v>120</v>
      </c>
      <c r="W4531" s="1136">
        <f t="shared" si="415"/>
        <v>0.46666666666666667</v>
      </c>
    </row>
    <row r="4532" spans="1:24" s="191" customFormat="1" ht="15.75">
      <c r="B4532" s="190"/>
      <c r="C4532" s="179" t="s">
        <v>5492</v>
      </c>
      <c r="D4532" s="180" t="s">
        <v>5482</v>
      </c>
      <c r="E4532" s="181"/>
      <c r="F4532" s="182"/>
      <c r="G4532" s="309" t="s">
        <v>324</v>
      </c>
      <c r="H4532" s="184" t="s">
        <v>374</v>
      </c>
      <c r="I4532" s="185"/>
      <c r="J4532" s="183"/>
      <c r="K4532" s="203">
        <v>130</v>
      </c>
      <c r="L4532" s="203">
        <v>130</v>
      </c>
      <c r="M4532" s="187"/>
      <c r="N4532" s="187">
        <v>45756</v>
      </c>
      <c r="O4532" s="186">
        <v>7013</v>
      </c>
      <c r="P4532" s="179"/>
      <c r="Q4532" s="203">
        <v>130</v>
      </c>
      <c r="R4532" s="203">
        <v>130</v>
      </c>
      <c r="S4532" s="1076">
        <f>1820+8618</f>
        <v>10438</v>
      </c>
      <c r="T4532" s="1076">
        <f>1820+8618</f>
        <v>10438</v>
      </c>
      <c r="U4532" s="271"/>
      <c r="V4532" s="260">
        <v>120</v>
      </c>
      <c r="W4532" s="1136">
        <f t="shared" si="415"/>
        <v>0.33089743589743592</v>
      </c>
    </row>
    <row r="4533" spans="1:24" s="7" customFormat="1" ht="18" customHeight="1">
      <c r="B4533" s="12"/>
      <c r="C4533" s="1432" t="s">
        <v>5502</v>
      </c>
      <c r="D4533" s="14" t="s">
        <v>5503</v>
      </c>
      <c r="E4533" s="19" t="s">
        <v>2358</v>
      </c>
      <c r="F4533" s="24"/>
      <c r="G4533" s="22"/>
      <c r="H4533" s="60"/>
      <c r="I4533" s="61"/>
      <c r="J4533" s="60"/>
      <c r="K4533" s="16" t="s">
        <v>5</v>
      </c>
      <c r="L4533" s="139"/>
      <c r="M4533" s="33"/>
      <c r="N4533" s="33">
        <v>45763</v>
      </c>
      <c r="O4533" s="32">
        <v>7032</v>
      </c>
      <c r="P4533" s="6" t="s">
        <v>3</v>
      </c>
      <c r="Q4533" s="358"/>
      <c r="S4533" s="1434"/>
      <c r="U4533" s="120"/>
      <c r="V4533" s="260">
        <v>120</v>
      </c>
    </row>
    <row r="4534" spans="1:24" s="7" customFormat="1" ht="18" customHeight="1">
      <c r="B4534" s="12" t="s">
        <v>300</v>
      </c>
      <c r="C4534" s="1432" t="s">
        <v>5502</v>
      </c>
      <c r="D4534" s="14" t="s">
        <v>5503</v>
      </c>
      <c r="E4534" s="374" t="s">
        <v>5498</v>
      </c>
      <c r="F4534" s="24"/>
      <c r="G4534" s="22" t="s">
        <v>5318</v>
      </c>
      <c r="H4534" s="108"/>
      <c r="I4534" s="109"/>
      <c r="J4534" s="8">
        <v>10</v>
      </c>
      <c r="K4534" s="39">
        <v>4.24</v>
      </c>
      <c r="L4534" s="39">
        <f>K4534*J4534</f>
        <v>42.400000000000006</v>
      </c>
      <c r="M4534" s="117" t="s">
        <v>323</v>
      </c>
      <c r="N4534" s="1398">
        <v>45763</v>
      </c>
      <c r="O4534" s="32">
        <v>7032</v>
      </c>
      <c r="P4534" s="391">
        <f>ROUNDUP(S4534/V4534/VLOOKUP(B4534,$C$2:$F$6,3,FALSE),2)</f>
        <v>3.6399999999999997</v>
      </c>
      <c r="Q4534" s="322">
        <v>3.64</v>
      </c>
      <c r="R4534" s="322">
        <f>Q4534*J4534</f>
        <v>36.4</v>
      </c>
      <c r="S4534" s="7">
        <v>305</v>
      </c>
      <c r="T4534" s="7">
        <f>S4534*J4534</f>
        <v>3050</v>
      </c>
      <c r="U4534" s="386"/>
      <c r="V4534" s="260">
        <v>120</v>
      </c>
      <c r="W4534" s="1136">
        <f>(((K4534*V4534)-S4534)/(K4534*V4534))</f>
        <v>0.40055031446540884</v>
      </c>
    </row>
    <row r="4535" spans="1:24" s="7" customFormat="1" ht="18" customHeight="1">
      <c r="B4535" s="12"/>
      <c r="C4535" s="1432" t="s">
        <v>5502</v>
      </c>
      <c r="D4535" s="14" t="s">
        <v>5503</v>
      </c>
      <c r="E4535" s="82"/>
      <c r="F4535" s="102"/>
      <c r="G4535" s="22" t="s">
        <v>316</v>
      </c>
      <c r="H4535" s="8"/>
      <c r="I4535" s="35"/>
      <c r="J4535" s="38">
        <v>1</v>
      </c>
      <c r="K4535" s="39">
        <v>12</v>
      </c>
      <c r="L4535" s="39">
        <f>K4535*J4535</f>
        <v>12</v>
      </c>
      <c r="M4535" s="91"/>
      <c r="N4535" s="33">
        <v>45763</v>
      </c>
      <c r="O4535" s="32">
        <v>7032</v>
      </c>
      <c r="P4535" s="6"/>
      <c r="Q4535" s="322">
        <v>12</v>
      </c>
      <c r="R4535" s="322">
        <f>Q4535*J4535</f>
        <v>12</v>
      </c>
      <c r="S4535" s="1388">
        <v>900</v>
      </c>
      <c r="T4535" s="1388">
        <f>S4535*J4535</f>
        <v>900</v>
      </c>
      <c r="U4535" s="21"/>
      <c r="V4535" s="260">
        <v>120</v>
      </c>
      <c r="W4535" s="1136">
        <f>(((K4535*V4535)-S4535)/(K4535*V4535))</f>
        <v>0.375</v>
      </c>
    </row>
    <row r="4536" spans="1:24" s="191" customFormat="1" ht="18" customHeight="1">
      <c r="B4536" s="190"/>
      <c r="C4536" s="1433" t="s">
        <v>5502</v>
      </c>
      <c r="D4536" s="180" t="s">
        <v>5503</v>
      </c>
      <c r="E4536" s="181"/>
      <c r="F4536" s="182"/>
      <c r="G4536" s="182" t="s">
        <v>250</v>
      </c>
      <c r="H4536" s="184" t="s">
        <v>251</v>
      </c>
      <c r="I4536" s="185"/>
      <c r="J4536" s="183"/>
      <c r="K4536" s="192">
        <v>0</v>
      </c>
      <c r="L4536" s="946"/>
      <c r="M4536" s="947"/>
      <c r="N4536" s="187">
        <v>45763</v>
      </c>
      <c r="O4536" s="186">
        <v>7032</v>
      </c>
      <c r="P4536" s="179"/>
      <c r="Q4536" s="322">
        <v>0</v>
      </c>
      <c r="R4536" s="218"/>
      <c r="S4536" s="197">
        <v>0</v>
      </c>
      <c r="T4536" s="197">
        <v>0</v>
      </c>
      <c r="U4536" s="335"/>
      <c r="V4536" s="260">
        <v>120</v>
      </c>
      <c r="W4536" s="1136" t="e">
        <f>(((K4536*V4536)-S4536)/(K4536*V4536))</f>
        <v>#DIV/0!</v>
      </c>
      <c r="X4536" s="218"/>
    </row>
    <row r="4537" spans="1:24" s="7" customFormat="1" ht="15">
      <c r="C4537" s="965" t="s">
        <v>5515</v>
      </c>
      <c r="D4537" s="14" t="s">
        <v>2034</v>
      </c>
      <c r="E4537" s="19" t="s">
        <v>352</v>
      </c>
      <c r="F4537" s="24"/>
      <c r="G4537" s="22"/>
      <c r="H4537" s="60"/>
      <c r="I4537" s="61"/>
      <c r="J4537" s="60"/>
      <c r="K4537" s="16" t="s">
        <v>5</v>
      </c>
      <c r="L4537" s="898"/>
      <c r="M4537" s="898"/>
      <c r="N4537" s="1475">
        <v>45770</v>
      </c>
      <c r="O4537" s="1476">
        <v>7051</v>
      </c>
      <c r="P4537" s="1464"/>
      <c r="Q4537" s="1464"/>
      <c r="R4537" s="1464"/>
      <c r="S4537" s="1466" t="s">
        <v>5511</v>
      </c>
      <c r="T4537" s="1465"/>
      <c r="U4537" s="120"/>
    </row>
    <row r="4538" spans="1:24" s="7" customFormat="1" ht="18" customHeight="1">
      <c r="B4538" s="7" t="s">
        <v>5512</v>
      </c>
      <c r="C4538" s="965" t="s">
        <v>5515</v>
      </c>
      <c r="D4538" s="14" t="s">
        <v>2034</v>
      </c>
      <c r="E4538" s="22" t="s">
        <v>5504</v>
      </c>
      <c r="F4538" s="107">
        <v>112</v>
      </c>
      <c r="G4538" s="22" t="s">
        <v>5510</v>
      </c>
      <c r="H4538" s="18"/>
      <c r="I4538" s="61"/>
      <c r="J4538" s="60">
        <v>20</v>
      </c>
      <c r="K4538" s="39">
        <v>11.98</v>
      </c>
      <c r="L4538" s="39">
        <f>K4538*J4538</f>
        <v>239.60000000000002</v>
      </c>
      <c r="M4538" s="117" t="s">
        <v>323</v>
      </c>
      <c r="N4538" s="1477">
        <v>45770</v>
      </c>
      <c r="O4538" s="1476">
        <v>7051</v>
      </c>
      <c r="P4538" s="391">
        <f>ROUNDUP(S4538/V4538/VLOOKUP(B4538,$C$2:$F$6,3,FALSE),2)</f>
        <v>10.9</v>
      </c>
      <c r="Q4538" s="322">
        <v>10.9</v>
      </c>
      <c r="R4538" s="322">
        <f>Q4538*J4538</f>
        <v>218</v>
      </c>
      <c r="S4538" s="7">
        <f>750+400</f>
        <v>1150</v>
      </c>
      <c r="T4538" s="7">
        <f>S4538*J4538</f>
        <v>23000</v>
      </c>
      <c r="U4538" s="386"/>
      <c r="V4538" s="260">
        <v>120</v>
      </c>
      <c r="W4538" s="1136">
        <f>(((K4538*V4538)-S4538)/(K4538*V4538))</f>
        <v>0.20005564830272685</v>
      </c>
    </row>
    <row r="4539" spans="1:24" s="7" customFormat="1" ht="18" customHeight="1">
      <c r="B4539" s="7" t="s">
        <v>5512</v>
      </c>
      <c r="C4539" s="965" t="s">
        <v>5515</v>
      </c>
      <c r="D4539" s="14" t="s">
        <v>2034</v>
      </c>
      <c r="E4539" s="22" t="s">
        <v>5513</v>
      </c>
      <c r="F4539" s="107" t="s">
        <v>5514</v>
      </c>
      <c r="G4539" s="22" t="s">
        <v>5510</v>
      </c>
      <c r="H4539" s="18"/>
      <c r="I4539" s="61"/>
      <c r="J4539" s="60">
        <v>20</v>
      </c>
      <c r="K4539" s="39">
        <v>12.61</v>
      </c>
      <c r="L4539" s="39">
        <f>K4539*J4539</f>
        <v>252.2</v>
      </c>
      <c r="M4539" s="117" t="s">
        <v>323</v>
      </c>
      <c r="N4539" s="1475">
        <v>45770</v>
      </c>
      <c r="O4539" s="1476">
        <v>7051</v>
      </c>
      <c r="P4539" s="391">
        <f>ROUNDUP(S4539/V4539/VLOOKUP(B4539,$C$2:$F$6,3,FALSE),2)</f>
        <v>11.459999999999999</v>
      </c>
      <c r="Q4539" s="322">
        <v>11.46</v>
      </c>
      <c r="R4539" s="322">
        <f>Q4539*J4539</f>
        <v>229.20000000000002</v>
      </c>
      <c r="S4539" s="7">
        <f>810+400</f>
        <v>1210</v>
      </c>
      <c r="T4539" s="7">
        <f>S4539*J4539</f>
        <v>24200</v>
      </c>
      <c r="U4539" s="386"/>
      <c r="V4539" s="260">
        <v>120</v>
      </c>
      <c r="W4539" s="1136">
        <f>(((K4539*V4539)-S4539)/(K4539*V4539))</f>
        <v>0.20037007665873635</v>
      </c>
    </row>
    <row r="4540" spans="1:24" s="191" customFormat="1" ht="18" customHeight="1">
      <c r="B4540" s="190"/>
      <c r="C4540" s="966" t="s">
        <v>5515</v>
      </c>
      <c r="D4540" s="180" t="s">
        <v>2034</v>
      </c>
      <c r="E4540" s="181"/>
      <c r="F4540" s="182"/>
      <c r="G4540" s="182" t="s">
        <v>250</v>
      </c>
      <c r="H4540" s="184" t="s">
        <v>374</v>
      </c>
      <c r="I4540" s="185"/>
      <c r="J4540" s="183"/>
      <c r="K4540" s="192">
        <v>235</v>
      </c>
      <c r="L4540" s="192">
        <v>235</v>
      </c>
      <c r="M4540" s="947"/>
      <c r="N4540" s="1478">
        <v>45770</v>
      </c>
      <c r="O4540" s="186">
        <v>7051</v>
      </c>
      <c r="P4540" s="179"/>
      <c r="Q4540" s="192">
        <v>235</v>
      </c>
      <c r="R4540" s="192">
        <v>235</v>
      </c>
      <c r="S4540" s="1512">
        <v>19821</v>
      </c>
      <c r="T4540" s="1403">
        <v>19821</v>
      </c>
      <c r="U4540" s="335"/>
      <c r="V4540" s="260">
        <v>120</v>
      </c>
      <c r="W4540" s="1136">
        <f>(((K4540*V4540)-S4540)/(K4540*V4540))</f>
        <v>0.29712765957446807</v>
      </c>
      <c r="X4540" s="218"/>
    </row>
    <row r="4541" spans="1:24" customFormat="1" ht="18" customHeight="1">
      <c r="A4541" s="1"/>
      <c r="B4541" s="26"/>
      <c r="C4541" s="6" t="s">
        <v>5517</v>
      </c>
      <c r="D4541" s="14" t="s">
        <v>5518</v>
      </c>
      <c r="E4541" s="19" t="s">
        <v>4847</v>
      </c>
      <c r="F4541" s="107"/>
      <c r="G4541" s="22"/>
      <c r="H4541" s="108"/>
      <c r="I4541" s="109"/>
      <c r="J4541" s="108"/>
      <c r="K4541" s="110" t="s">
        <v>5</v>
      </c>
      <c r="L4541" s="33"/>
      <c r="M4541" s="33"/>
      <c r="N4541" s="33">
        <v>45771</v>
      </c>
      <c r="O4541" s="32">
        <v>7058</v>
      </c>
      <c r="P4541" s="14"/>
      <c r="Q4541" s="254"/>
      <c r="R4541" s="1"/>
      <c r="S4541" s="1466" t="s">
        <v>5511</v>
      </c>
      <c r="T4541" s="92"/>
      <c r="U4541" s="264"/>
      <c r="V4541" s="260">
        <v>120</v>
      </c>
    </row>
    <row r="4542" spans="1:24" customFormat="1" ht="18" customHeight="1">
      <c r="B4542" s="12" t="s">
        <v>302</v>
      </c>
      <c r="C4542" s="6" t="s">
        <v>5517</v>
      </c>
      <c r="D4542" s="14" t="s">
        <v>5518</v>
      </c>
      <c r="E4542" s="19" t="s">
        <v>5516</v>
      </c>
      <c r="F4542" s="107" t="s">
        <v>3340</v>
      </c>
      <c r="G4542" s="22" t="s">
        <v>4842</v>
      </c>
      <c r="H4542" s="18"/>
      <c r="I4542" s="61"/>
      <c r="J4542" s="60">
        <v>20</v>
      </c>
      <c r="K4542" s="39">
        <v>18.96</v>
      </c>
      <c r="L4542" s="39">
        <f>K4542*J4542</f>
        <v>379.20000000000005</v>
      </c>
      <c r="M4542" s="117" t="s">
        <v>323</v>
      </c>
      <c r="N4542" s="1149">
        <v>45771</v>
      </c>
      <c r="O4542" s="32">
        <v>7058</v>
      </c>
      <c r="P4542" s="391">
        <f>ROUNDUP(S4542/V4542/VLOOKUP(B4542,$C$2:$F$6,3,FALSE),2)</f>
        <v>17.240000000000002</v>
      </c>
      <c r="Q4542" s="254">
        <v>17.239999999999998</v>
      </c>
      <c r="R4542" s="323">
        <f>Q4542*J4542</f>
        <v>344.79999999999995</v>
      </c>
      <c r="S4542" s="273">
        <f>1420+400</f>
        <v>1820</v>
      </c>
      <c r="T4542" s="287">
        <f>S4542*J4542</f>
        <v>36400</v>
      </c>
      <c r="U4542" s="264"/>
      <c r="V4542" s="260">
        <v>120</v>
      </c>
      <c r="W4542" s="1136">
        <f>(((K4542*V4542)-S4542)/(K4542*V4542))</f>
        <v>0.2000703234880451</v>
      </c>
    </row>
    <row r="4543" spans="1:24" s="191" customFormat="1" ht="15.75">
      <c r="B4543" s="190"/>
      <c r="C4543" s="179" t="s">
        <v>5517</v>
      </c>
      <c r="D4543" s="180" t="s">
        <v>5518</v>
      </c>
      <c r="E4543" s="181"/>
      <c r="F4543" s="182"/>
      <c r="G4543" s="309" t="s">
        <v>324</v>
      </c>
      <c r="H4543" s="184" t="s">
        <v>251</v>
      </c>
      <c r="I4543" s="185"/>
      <c r="J4543" s="183"/>
      <c r="K4543" s="192">
        <v>0</v>
      </c>
      <c r="L4543" s="187"/>
      <c r="M4543" s="187"/>
      <c r="N4543" s="187">
        <v>45771</v>
      </c>
      <c r="O4543" s="186">
        <v>7058</v>
      </c>
      <c r="P4543" s="179"/>
      <c r="Q4543" s="203"/>
      <c r="R4543" s="203"/>
      <c r="S4543" s="203"/>
      <c r="T4543" s="203"/>
      <c r="U4543" s="271"/>
      <c r="V4543" s="260">
        <v>120</v>
      </c>
      <c r="W4543" s="1136" t="e">
        <f>(((K4543*V4543)-S4543)/(K4543*V4543))</f>
        <v>#DIV/0!</v>
      </c>
    </row>
    <row r="4544" spans="1:24" customFormat="1" ht="18" customHeight="1">
      <c r="A4544" s="1"/>
      <c r="B4544" s="26"/>
      <c r="C4544" s="6" t="s">
        <v>5529</v>
      </c>
      <c r="D4544" s="14" t="s">
        <v>2171</v>
      </c>
      <c r="E4544" s="19" t="s">
        <v>5527</v>
      </c>
      <c r="F4544" s="107"/>
      <c r="G4544" s="22"/>
      <c r="H4544" s="108"/>
      <c r="I4544" s="109"/>
      <c r="J4544" s="108"/>
      <c r="K4544" s="110" t="s">
        <v>102</v>
      </c>
      <c r="L4544" s="33"/>
      <c r="M4544" s="33"/>
      <c r="N4544" s="33">
        <v>45777</v>
      </c>
      <c r="O4544" s="32">
        <v>7078</v>
      </c>
      <c r="P4544" s="14"/>
      <c r="Q4544" s="254"/>
      <c r="R4544" s="1"/>
      <c r="S4544" s="1466"/>
      <c r="T4544" s="92"/>
      <c r="U4544" s="264"/>
      <c r="V4544" s="260">
        <v>120</v>
      </c>
    </row>
    <row r="4545" spans="2:23" customFormat="1" ht="18" customHeight="1">
      <c r="B4545" s="12" t="s">
        <v>302</v>
      </c>
      <c r="C4545" s="6" t="s">
        <v>5529</v>
      </c>
      <c r="D4545" s="14" t="s">
        <v>2171</v>
      </c>
      <c r="E4545" s="19" t="s">
        <v>5528</v>
      </c>
      <c r="F4545" s="107"/>
      <c r="G4545" s="22"/>
      <c r="H4545" s="18"/>
      <c r="I4545" s="61"/>
      <c r="J4545" s="38">
        <v>1</v>
      </c>
      <c r="K4545" s="39">
        <v>848.2</v>
      </c>
      <c r="L4545" s="39">
        <f>K4545*J4545</f>
        <v>848.2</v>
      </c>
      <c r="M4545" s="117"/>
      <c r="N4545" s="33">
        <v>45777</v>
      </c>
      <c r="O4545" s="32">
        <v>7078</v>
      </c>
      <c r="P4545" s="391"/>
      <c r="Q4545" s="39">
        <v>848.2</v>
      </c>
      <c r="R4545" s="323">
        <f>Q4545*J4545</f>
        <v>848.2</v>
      </c>
      <c r="S4545" s="1467">
        <v>110266</v>
      </c>
      <c r="T4545" s="287">
        <f>S4545*J4545</f>
        <v>110266</v>
      </c>
      <c r="U4545" s="264"/>
      <c r="V4545" s="260">
        <v>120</v>
      </c>
      <c r="W4545" s="1136">
        <f t="shared" ref="W4545:W4550" si="416">(((K4545*V4545)-S4545)/(K4545*V4545))</f>
        <v>-8.3333333333333329E-2</v>
      </c>
    </row>
    <row r="4546" spans="2:23" s="191" customFormat="1" ht="15.75">
      <c r="B4546" s="190"/>
      <c r="C4546" s="179" t="s">
        <v>5529</v>
      </c>
      <c r="D4546" s="180" t="s">
        <v>2171</v>
      </c>
      <c r="E4546" s="181"/>
      <c r="F4546" s="182"/>
      <c r="G4546" s="309" t="s">
        <v>324</v>
      </c>
      <c r="H4546" s="184" t="s">
        <v>251</v>
      </c>
      <c r="I4546" s="185"/>
      <c r="J4546" s="183"/>
      <c r="K4546" s="192">
        <v>0</v>
      </c>
      <c r="L4546" s="187"/>
      <c r="M4546" s="187"/>
      <c r="N4546" s="187">
        <v>45777</v>
      </c>
      <c r="O4546" s="186">
        <v>7078</v>
      </c>
      <c r="P4546" s="179"/>
      <c r="Q4546" s="203"/>
      <c r="R4546" s="203"/>
      <c r="S4546" s="203"/>
      <c r="T4546" s="203"/>
      <c r="U4546" s="271"/>
      <c r="V4546" s="260">
        <v>120</v>
      </c>
      <c r="W4546" s="1136" t="e">
        <f t="shared" si="416"/>
        <v>#DIV/0!</v>
      </c>
    </row>
    <row r="4547" spans="2:23" s="7" customFormat="1" ht="18" customHeight="1">
      <c r="B4547" s="12"/>
      <c r="C4547" s="965" t="s">
        <v>5545</v>
      </c>
      <c r="D4547" s="14" t="s">
        <v>5365</v>
      </c>
      <c r="E4547" s="19" t="s">
        <v>200</v>
      </c>
      <c r="F4547" s="37"/>
      <c r="G4547" s="37"/>
      <c r="H4547" s="108"/>
      <c r="I4547" s="108"/>
      <c r="J4547" s="108"/>
      <c r="K4547" s="110" t="s">
        <v>5</v>
      </c>
      <c r="L4547" s="139"/>
      <c r="M4547" s="33"/>
      <c r="N4547" s="33">
        <v>45778</v>
      </c>
      <c r="O4547" s="32">
        <v>7071</v>
      </c>
      <c r="P4547" s="6"/>
      <c r="Q4547" s="339"/>
      <c r="U4547" s="21"/>
      <c r="V4547" s="260">
        <v>120</v>
      </c>
      <c r="W4547" s="1136" t="e">
        <f t="shared" si="416"/>
        <v>#VALUE!</v>
      </c>
    </row>
    <row r="4548" spans="2:23" s="7" customFormat="1" ht="18" customHeight="1">
      <c r="B4548" s="12" t="s">
        <v>300</v>
      </c>
      <c r="C4548" s="965" t="s">
        <v>5545</v>
      </c>
      <c r="D4548" s="14" t="s">
        <v>5365</v>
      </c>
      <c r="E4548" s="374">
        <v>5606</v>
      </c>
      <c r="F4548" s="37"/>
      <c r="G4548" s="22" t="s">
        <v>5546</v>
      </c>
      <c r="H4548" s="108">
        <v>50</v>
      </c>
      <c r="I4548" s="950">
        <v>2</v>
      </c>
      <c r="J4548" s="8">
        <f>I4548*H4548</f>
        <v>100</v>
      </c>
      <c r="K4548" s="39">
        <v>0.23</v>
      </c>
      <c r="L4548" s="39">
        <f>K4548*J4548</f>
        <v>23</v>
      </c>
      <c r="M4548" s="117" t="s">
        <v>349</v>
      </c>
      <c r="N4548" s="1398">
        <v>45778</v>
      </c>
      <c r="O4548" s="32">
        <v>7071</v>
      </c>
      <c r="P4548" s="391">
        <f>ROUNDUP(S4548/V4548/VLOOKUP(B4548,$C$2:$F$6,3,FALSE),2)</f>
        <v>0.15000000000000002</v>
      </c>
      <c r="Q4548" s="322">
        <v>0.15</v>
      </c>
      <c r="R4548" s="322">
        <f>Q4548*J4548</f>
        <v>15</v>
      </c>
      <c r="S4548" s="7">
        <v>12.3</v>
      </c>
      <c r="T4548" s="7">
        <f>S4548*J4548</f>
        <v>1230</v>
      </c>
      <c r="U4548" s="21"/>
      <c r="V4548" s="260">
        <v>120</v>
      </c>
      <c r="W4548" s="1136">
        <f t="shared" si="416"/>
        <v>0.55434782608695654</v>
      </c>
    </row>
    <row r="4549" spans="2:23" s="7" customFormat="1" ht="18" customHeight="1">
      <c r="B4549" s="12"/>
      <c r="C4549" s="965" t="s">
        <v>5545</v>
      </c>
      <c r="D4549" s="14" t="s">
        <v>5365</v>
      </c>
      <c r="E4549" s="22"/>
      <c r="F4549" s="102"/>
      <c r="G4549" s="22" t="s">
        <v>316</v>
      </c>
      <c r="H4549" s="8"/>
      <c r="I4549" s="35"/>
      <c r="J4549" s="38">
        <v>1</v>
      </c>
      <c r="K4549" s="39">
        <v>12</v>
      </c>
      <c r="L4549" s="39">
        <f>K4549*J4549</f>
        <v>12</v>
      </c>
      <c r="M4549" s="91"/>
      <c r="N4549" s="33">
        <v>45778</v>
      </c>
      <c r="O4549" s="32">
        <v>7071</v>
      </c>
      <c r="P4549" s="6" t="s">
        <v>3</v>
      </c>
      <c r="Q4549" s="39">
        <v>12</v>
      </c>
      <c r="R4549" s="322">
        <f>Q4549*J4549</f>
        <v>12</v>
      </c>
      <c r="S4549" s="1388">
        <v>1100</v>
      </c>
      <c r="T4549" s="1388">
        <v>1100</v>
      </c>
      <c r="U4549" s="21"/>
      <c r="V4549" s="260">
        <v>120</v>
      </c>
      <c r="W4549" s="1136">
        <f t="shared" si="416"/>
        <v>0.2361111111111111</v>
      </c>
    </row>
    <row r="4550" spans="2:23" s="191" customFormat="1" ht="18" customHeight="1">
      <c r="B4550" s="190"/>
      <c r="C4550" s="966" t="s">
        <v>5545</v>
      </c>
      <c r="D4550" s="180" t="s">
        <v>5365</v>
      </c>
      <c r="E4550" s="217"/>
      <c r="F4550" s="182"/>
      <c r="G4550" s="182" t="s">
        <v>250</v>
      </c>
      <c r="H4550" s="184" t="s">
        <v>251</v>
      </c>
      <c r="I4550" s="185"/>
      <c r="J4550" s="183"/>
      <c r="K4550" s="192">
        <v>0</v>
      </c>
      <c r="L4550" s="192">
        <v>0</v>
      </c>
      <c r="M4550" s="187"/>
      <c r="N4550" s="187">
        <v>45778</v>
      </c>
      <c r="O4550" s="186">
        <v>7071</v>
      </c>
      <c r="P4550" s="179"/>
      <c r="Q4550" s="192">
        <v>0</v>
      </c>
      <c r="R4550" s="192">
        <v>0</v>
      </c>
      <c r="S4550" s="197">
        <v>0</v>
      </c>
      <c r="T4550" s="197">
        <v>0</v>
      </c>
      <c r="U4550" s="335"/>
      <c r="V4550" s="260">
        <v>120</v>
      </c>
      <c r="W4550" s="1136" t="e">
        <f t="shared" si="416"/>
        <v>#DIV/0!</v>
      </c>
    </row>
    <row r="4551" spans="2:23" s="7" customFormat="1" ht="18" customHeight="1">
      <c r="B4551" s="12"/>
      <c r="C4551" s="6" t="s">
        <v>5554</v>
      </c>
      <c r="D4551" s="14" t="s">
        <v>5503</v>
      </c>
      <c r="E4551" s="19" t="s">
        <v>5547</v>
      </c>
      <c r="F4551" s="24"/>
      <c r="G4551" s="22"/>
      <c r="H4551" s="60"/>
      <c r="I4551" s="61"/>
      <c r="J4551" s="60"/>
      <c r="K4551" s="16" t="s">
        <v>101</v>
      </c>
      <c r="L4551" s="33"/>
      <c r="M4551" s="33"/>
      <c r="N4551" s="33">
        <v>45785</v>
      </c>
      <c r="O4551" s="32">
        <v>7101</v>
      </c>
      <c r="P4551" s="123" t="s">
        <v>8</v>
      </c>
      <c r="Q4551" s="229"/>
      <c r="S4551" s="257"/>
      <c r="T4551" s="92"/>
      <c r="U4551" s="269"/>
      <c r="V4551" s="260">
        <v>120</v>
      </c>
    </row>
    <row r="4552" spans="2:23" s="7" customFormat="1" ht="18" customHeight="1">
      <c r="B4552" s="12" t="s">
        <v>300</v>
      </c>
      <c r="C4552" s="6" t="s">
        <v>5554</v>
      </c>
      <c r="D4552" s="14" t="s">
        <v>5503</v>
      </c>
      <c r="E4552" s="374">
        <v>5356</v>
      </c>
      <c r="F4552" s="24">
        <v>3</v>
      </c>
      <c r="G4552" s="22" t="s">
        <v>79</v>
      </c>
      <c r="H4552" s="60">
        <v>30</v>
      </c>
      <c r="I4552" s="61">
        <v>1</v>
      </c>
      <c r="J4552" s="60">
        <f>H4552*I4552</f>
        <v>30</v>
      </c>
      <c r="K4552" s="39">
        <v>0.76</v>
      </c>
      <c r="L4552" s="39">
        <f>K4552*J4552</f>
        <v>22.8</v>
      </c>
      <c r="M4552" s="117" t="s">
        <v>323</v>
      </c>
      <c r="N4552" s="33">
        <v>45785</v>
      </c>
      <c r="O4552" s="32">
        <v>7101</v>
      </c>
      <c r="P4552" s="391">
        <f>ROUNDUP(S4552/V4552/VLOOKUP(B4552,$C$2:$F$6,3,FALSE),2)</f>
        <v>0.56000000000000005</v>
      </c>
      <c r="Q4552" s="124">
        <v>0.49</v>
      </c>
      <c r="R4552" s="323">
        <f>Q4552*J4552</f>
        <v>14.7</v>
      </c>
      <c r="S4552" s="257">
        <v>47</v>
      </c>
      <c r="T4552" s="92">
        <f>S4552*J4552</f>
        <v>1410</v>
      </c>
      <c r="U4552" s="257"/>
      <c r="V4552" s="260">
        <v>120</v>
      </c>
      <c r="W4552" s="1136">
        <f>(((K4552*V4552)-S4552)/(K4552*V4552))</f>
        <v>0.48464912280701755</v>
      </c>
    </row>
    <row r="4553" spans="2:23" s="7" customFormat="1" ht="18" customHeight="1">
      <c r="B4553" s="12" t="s">
        <v>300</v>
      </c>
      <c r="C4553" s="6" t="s">
        <v>5554</v>
      </c>
      <c r="D4553" s="14" t="s">
        <v>5503</v>
      </c>
      <c r="E4553" s="374">
        <v>5356</v>
      </c>
      <c r="F4553" s="24">
        <v>3</v>
      </c>
      <c r="G4553" s="22" t="s">
        <v>78</v>
      </c>
      <c r="H4553" s="60">
        <v>30</v>
      </c>
      <c r="I4553" s="61">
        <v>1</v>
      </c>
      <c r="J4553" s="60">
        <f>H4553*I4553</f>
        <v>30</v>
      </c>
      <c r="K4553" s="39">
        <v>0.76</v>
      </c>
      <c r="L4553" s="39">
        <f>K4553*J4553</f>
        <v>22.8</v>
      </c>
      <c r="M4553" s="117" t="s">
        <v>323</v>
      </c>
      <c r="N4553" s="33">
        <v>45785</v>
      </c>
      <c r="O4553" s="32">
        <v>7101</v>
      </c>
      <c r="P4553" s="391">
        <f>ROUNDUP(S4553/V4553/VLOOKUP(B4553,$C$2:$F$6,3,FALSE),2)</f>
        <v>0.56000000000000005</v>
      </c>
      <c r="Q4553" s="124">
        <v>0.49</v>
      </c>
      <c r="R4553" s="323">
        <f>Q4553*J4553</f>
        <v>14.7</v>
      </c>
      <c r="S4553" s="257">
        <v>47</v>
      </c>
      <c r="T4553" s="92">
        <f>S4553*J4553</f>
        <v>1410</v>
      </c>
      <c r="U4553" s="257"/>
      <c r="V4553" s="260">
        <v>120</v>
      </c>
      <c r="W4553" s="1136">
        <f>(((K4553*V4553)-S4553)/(K4553*V4553))</f>
        <v>0.48464912280701755</v>
      </c>
    </row>
    <row r="4554" spans="2:23" s="7" customFormat="1" ht="18" customHeight="1">
      <c r="B4554" s="12" t="s">
        <v>300</v>
      </c>
      <c r="C4554" s="6" t="s">
        <v>5554</v>
      </c>
      <c r="D4554" s="14" t="s">
        <v>5503</v>
      </c>
      <c r="E4554" s="374">
        <v>5356</v>
      </c>
      <c r="F4554" s="24">
        <v>3</v>
      </c>
      <c r="G4554" s="22" t="s">
        <v>5548</v>
      </c>
      <c r="H4554" s="60">
        <v>30</v>
      </c>
      <c r="I4554" s="61">
        <v>1</v>
      </c>
      <c r="J4554" s="60">
        <f>H4554*I4554</f>
        <v>30</v>
      </c>
      <c r="K4554" s="39">
        <v>0.76</v>
      </c>
      <c r="L4554" s="39">
        <f>K4554*J4554</f>
        <v>22.8</v>
      </c>
      <c r="M4554" s="117" t="s">
        <v>323</v>
      </c>
      <c r="N4554" s="33">
        <v>45785</v>
      </c>
      <c r="O4554" s="32">
        <v>7101</v>
      </c>
      <c r="P4554" s="391">
        <f>ROUNDUP(S4554/V4554/VLOOKUP(B4554,$C$2:$F$6,3,FALSE),2)</f>
        <v>0.56000000000000005</v>
      </c>
      <c r="Q4554" s="124">
        <v>0.49</v>
      </c>
      <c r="R4554" s="323">
        <f>Q4554*J4554</f>
        <v>14.7</v>
      </c>
      <c r="S4554" s="257">
        <v>47</v>
      </c>
      <c r="T4554" s="92">
        <f>S4554*J4554</f>
        <v>1410</v>
      </c>
      <c r="U4554" s="257"/>
      <c r="V4554" s="260">
        <v>120</v>
      </c>
      <c r="W4554" s="1136">
        <f>(((K4554*V4554)-S4554)/(K4554*V4554))</f>
        <v>0.48464912280701755</v>
      </c>
    </row>
    <row r="4555" spans="2:23" s="7" customFormat="1" ht="18" customHeight="1">
      <c r="B4555" s="12" t="s">
        <v>300</v>
      </c>
      <c r="C4555" s="6" t="s">
        <v>5554</v>
      </c>
      <c r="D4555" s="14" t="s">
        <v>5503</v>
      </c>
      <c r="E4555" s="374">
        <v>5356</v>
      </c>
      <c r="F4555" s="24">
        <v>3</v>
      </c>
      <c r="G4555" s="22" t="s">
        <v>5549</v>
      </c>
      <c r="H4555" s="60">
        <v>30</v>
      </c>
      <c r="I4555" s="61">
        <v>1</v>
      </c>
      <c r="J4555" s="60">
        <f>H4555*I4555</f>
        <v>30</v>
      </c>
      <c r="K4555" s="39">
        <v>0.76</v>
      </c>
      <c r="L4555" s="39">
        <f>K4555*J4555</f>
        <v>22.8</v>
      </c>
      <c r="M4555" s="117" t="s">
        <v>323</v>
      </c>
      <c r="N4555" s="33">
        <v>45785</v>
      </c>
      <c r="O4555" s="32">
        <v>7101</v>
      </c>
      <c r="P4555" s="391">
        <f>ROUNDUP(S4555/V4555/VLOOKUP(B4555,$C$2:$F$6,3,FALSE),2)</f>
        <v>0.56000000000000005</v>
      </c>
      <c r="Q4555" s="124">
        <v>0.49</v>
      </c>
      <c r="R4555" s="323">
        <f>Q4555*J4555</f>
        <v>14.7</v>
      </c>
      <c r="S4555" s="257">
        <v>47</v>
      </c>
      <c r="T4555" s="92">
        <f>S4555*J4555</f>
        <v>1410</v>
      </c>
      <c r="U4555" s="257"/>
      <c r="V4555" s="260">
        <v>120</v>
      </c>
      <c r="W4555" s="1136">
        <f>(((K4555*V4555)-S4555)/(K4555*V4555))</f>
        <v>0.48464912280701755</v>
      </c>
    </row>
    <row r="4556" spans="2:23" ht="18" customHeight="1">
      <c r="C4556" s="6" t="s">
        <v>5554</v>
      </c>
      <c r="D4556" s="14" t="s">
        <v>5503</v>
      </c>
      <c r="E4556" s="22"/>
      <c r="F4556" s="102"/>
      <c r="G4556" s="37" t="s">
        <v>316</v>
      </c>
      <c r="H4556" s="8"/>
      <c r="I4556" s="35"/>
      <c r="J4556" s="38">
        <v>1</v>
      </c>
      <c r="K4556" s="39">
        <v>12</v>
      </c>
      <c r="L4556" s="39">
        <f>K4556*J4556</f>
        <v>12</v>
      </c>
      <c r="M4556" s="91"/>
      <c r="N4556" s="33">
        <v>45785</v>
      </c>
      <c r="O4556" s="32">
        <v>7101</v>
      </c>
      <c r="P4556" s="123"/>
      <c r="Q4556" s="124">
        <v>12</v>
      </c>
      <c r="R4556" s="124">
        <v>12</v>
      </c>
      <c r="S4556" s="263">
        <v>900</v>
      </c>
      <c r="T4556" s="92">
        <f>S4556*J4556</f>
        <v>900</v>
      </c>
      <c r="U4556" s="270"/>
      <c r="V4556" s="260">
        <v>120</v>
      </c>
      <c r="W4556" s="1136">
        <f>(((K4556*V4556)-S4556)/(K4556*V4556))</f>
        <v>0.375</v>
      </c>
    </row>
    <row r="4557" spans="2:23" s="191" customFormat="1" ht="18" customHeight="1">
      <c r="B4557" s="190"/>
      <c r="C4557" s="179" t="s">
        <v>5554</v>
      </c>
      <c r="D4557" s="180" t="s">
        <v>5503</v>
      </c>
      <c r="E4557" s="181"/>
      <c r="F4557" s="182"/>
      <c r="G4557" s="182" t="s">
        <v>250</v>
      </c>
      <c r="H4557" s="184" t="s">
        <v>251</v>
      </c>
      <c r="I4557" s="185"/>
      <c r="J4557" s="183"/>
      <c r="K4557" s="192">
        <v>0</v>
      </c>
      <c r="L4557" s="187"/>
      <c r="M4557" s="187"/>
      <c r="N4557" s="187">
        <v>45785</v>
      </c>
      <c r="O4557" s="186">
        <v>7101</v>
      </c>
      <c r="P4557" s="179"/>
      <c r="Q4557" s="255">
        <v>0</v>
      </c>
      <c r="S4557" s="275">
        <v>0</v>
      </c>
      <c r="T4557" s="198">
        <v>0</v>
      </c>
      <c r="U4557" s="271"/>
      <c r="V4557" s="260">
        <v>120</v>
      </c>
    </row>
    <row r="4558" spans="2:23" ht="15">
      <c r="C4558" s="6" t="s">
        <v>5552</v>
      </c>
      <c r="D4558" s="14" t="s">
        <v>3067</v>
      </c>
      <c r="E4558" s="19" t="s">
        <v>4626</v>
      </c>
      <c r="F4558" s="107"/>
      <c r="G4558" s="22"/>
      <c r="H4558" s="108"/>
      <c r="I4558" s="109"/>
      <c r="J4558" s="108"/>
      <c r="K4558" s="110" t="s">
        <v>5</v>
      </c>
      <c r="L4558" s="33"/>
      <c r="M4558" s="33"/>
      <c r="N4558" s="33">
        <v>45779</v>
      </c>
      <c r="O4558" s="32">
        <v>7080</v>
      </c>
      <c r="P4558" s="14"/>
      <c r="Q4558" s="254"/>
      <c r="S4558" s="1196"/>
      <c r="T4558" s="92"/>
      <c r="U4558" s="264"/>
      <c r="V4558" s="260">
        <v>120</v>
      </c>
      <c r="W4558" s="1136" t="e">
        <f t="shared" ref="W4558:W4565" si="417">(((K4558*V4558)-S4558)/(K4558*V4558))</f>
        <v>#VALUE!</v>
      </c>
    </row>
    <row r="4559" spans="2:23" ht="15.75">
      <c r="B4559" s="12" t="s">
        <v>302</v>
      </c>
      <c r="C4559" s="6" t="s">
        <v>5552</v>
      </c>
      <c r="D4559" s="14" t="s">
        <v>3067</v>
      </c>
      <c r="E4559" s="1481" t="s">
        <v>5231</v>
      </c>
      <c r="F4559" s="133" t="s">
        <v>3061</v>
      </c>
      <c r="G4559" s="396" t="s">
        <v>4625</v>
      </c>
      <c r="H4559" s="18">
        <v>43.6</v>
      </c>
      <c r="I4559" s="61">
        <v>1</v>
      </c>
      <c r="J4559" s="131">
        <f>H4559*I4559</f>
        <v>43.6</v>
      </c>
      <c r="K4559" s="322">
        <v>23.6</v>
      </c>
      <c r="L4559" s="39">
        <f>K4559*J4559</f>
        <v>1028.96</v>
      </c>
      <c r="M4559" s="117" t="s">
        <v>323</v>
      </c>
      <c r="N4559" s="33">
        <v>45779</v>
      </c>
      <c r="O4559" s="32">
        <v>7080</v>
      </c>
      <c r="P4559" s="391">
        <f>ROUNDUP(S4559/V4559/VLOOKUP(B4559,$C$2:$F$6,3,FALSE),2)</f>
        <v>20.650000000000002</v>
      </c>
      <c r="Q4559" s="254">
        <v>20.65</v>
      </c>
      <c r="R4559" s="323">
        <f>Q4559*J4559</f>
        <v>900.33999999999992</v>
      </c>
      <c r="S4559" s="273">
        <v>2180</v>
      </c>
      <c r="T4559" s="287">
        <f>S4559*J4559</f>
        <v>95048</v>
      </c>
      <c r="U4559" s="264"/>
      <c r="V4559" s="260">
        <v>120</v>
      </c>
      <c r="W4559" s="1136">
        <f t="shared" si="417"/>
        <v>0.23022598870056496</v>
      </c>
    </row>
    <row r="4560" spans="2:23" ht="15.75">
      <c r="B4560" s="12" t="s">
        <v>302</v>
      </c>
      <c r="C4560" s="6" t="s">
        <v>5552</v>
      </c>
      <c r="D4560" s="14" t="s">
        <v>3067</v>
      </c>
      <c r="E4560" s="1481" t="s">
        <v>5231</v>
      </c>
      <c r="F4560" s="133" t="s">
        <v>3061</v>
      </c>
      <c r="G4560" s="396" t="s">
        <v>4625</v>
      </c>
      <c r="H4560" s="18">
        <v>44.3</v>
      </c>
      <c r="I4560" s="61">
        <v>1</v>
      </c>
      <c r="J4560" s="131">
        <f>H4560*I4560</f>
        <v>44.3</v>
      </c>
      <c r="K4560" s="322">
        <v>23.6</v>
      </c>
      <c r="L4560" s="39">
        <f>K4560*J4560</f>
        <v>1045.48</v>
      </c>
      <c r="M4560" s="117" t="s">
        <v>323</v>
      </c>
      <c r="N4560" s="33">
        <v>45779</v>
      </c>
      <c r="O4560" s="32">
        <v>7080</v>
      </c>
      <c r="P4560" s="391">
        <f>ROUNDUP(S4560/V4560/VLOOKUP(B4560,$C$2:$F$6,3,FALSE),2)</f>
        <v>20.650000000000002</v>
      </c>
      <c r="Q4560" s="254">
        <v>20.65</v>
      </c>
      <c r="R4560" s="323">
        <f>Q4560*J4560</f>
        <v>914.79499999999985</v>
      </c>
      <c r="S4560" s="273">
        <v>2180</v>
      </c>
      <c r="T4560" s="287">
        <f>S4560*J4560</f>
        <v>96574</v>
      </c>
      <c r="U4560" s="264"/>
      <c r="V4560" s="260">
        <v>120</v>
      </c>
      <c r="W4560" s="1136">
        <f>(((K4560*V4560)-S4560)/(K4560*V4560))</f>
        <v>0.23022598870056496</v>
      </c>
    </row>
    <row r="4561" spans="1:51" s="191" customFormat="1" ht="18" customHeight="1">
      <c r="B4561" s="190"/>
      <c r="C4561" s="179" t="s">
        <v>5552</v>
      </c>
      <c r="D4561" s="180" t="s">
        <v>3067</v>
      </c>
      <c r="E4561" s="217"/>
      <c r="F4561" s="182"/>
      <c r="G4561" s="182" t="s">
        <v>250</v>
      </c>
      <c r="H4561" s="184" t="s">
        <v>251</v>
      </c>
      <c r="I4561" s="185"/>
      <c r="J4561" s="183"/>
      <c r="K4561" s="192">
        <v>0</v>
      </c>
      <c r="L4561" s="187"/>
      <c r="M4561" s="187"/>
      <c r="N4561" s="187">
        <v>45779</v>
      </c>
      <c r="O4561" s="186">
        <v>7080</v>
      </c>
      <c r="P4561" s="179"/>
      <c r="Q4561" s="255">
        <v>0</v>
      </c>
      <c r="R4561" s="322">
        <v>0</v>
      </c>
      <c r="S4561" s="275">
        <v>0</v>
      </c>
      <c r="T4561" s="198">
        <v>0</v>
      </c>
      <c r="U4561" s="271"/>
      <c r="V4561" s="260">
        <v>120</v>
      </c>
      <c r="W4561" s="1136" t="e">
        <f t="shared" si="417"/>
        <v>#DIV/0!</v>
      </c>
    </row>
    <row r="4562" spans="1:51" customFormat="1" ht="18" customHeight="1">
      <c r="A4562" s="1"/>
      <c r="B4562" s="26"/>
      <c r="C4562" s="6" t="s">
        <v>5553</v>
      </c>
      <c r="D4562" s="14" t="s">
        <v>3067</v>
      </c>
      <c r="E4562" s="19" t="s">
        <v>59</v>
      </c>
      <c r="F4562" s="107"/>
      <c r="G4562" s="22"/>
      <c r="H4562" s="108"/>
      <c r="I4562" s="109"/>
      <c r="J4562" s="108"/>
      <c r="K4562" s="110" t="s">
        <v>5</v>
      </c>
      <c r="L4562" s="33"/>
      <c r="M4562" s="33"/>
      <c r="N4562" s="1398">
        <v>45785</v>
      </c>
      <c r="O4562" s="32">
        <v>7095</v>
      </c>
      <c r="P4562" s="14"/>
      <c r="Q4562" s="254"/>
      <c r="R4562" s="1"/>
      <c r="S4562" s="261"/>
      <c r="T4562" s="92"/>
      <c r="U4562" s="264"/>
      <c r="V4562" s="260">
        <v>120</v>
      </c>
      <c r="W4562" s="1136" t="e">
        <f t="shared" si="417"/>
        <v>#VALUE!</v>
      </c>
      <c r="X4562" s="1"/>
      <c r="Y4562" s="1"/>
      <c r="Z4562" s="1"/>
      <c r="AA4562" s="1"/>
      <c r="AB4562" s="1"/>
      <c r="AC4562" s="1"/>
      <c r="AD4562" s="1"/>
      <c r="AE4562" s="1"/>
      <c r="AF4562" s="1"/>
      <c r="AG4562" s="1"/>
      <c r="AH4562" s="1"/>
      <c r="AI4562" s="1"/>
      <c r="AJ4562" s="1"/>
      <c r="AK4562" s="1"/>
      <c r="AL4562" s="1"/>
      <c r="AM4562" s="1"/>
      <c r="AN4562" s="1"/>
      <c r="AO4562" s="1"/>
      <c r="AP4562" s="1"/>
      <c r="AQ4562" s="1"/>
      <c r="AR4562" s="1"/>
      <c r="AS4562" s="1"/>
      <c r="AT4562" s="1"/>
      <c r="AU4562" s="1"/>
      <c r="AV4562" s="1"/>
      <c r="AW4562" s="1"/>
      <c r="AX4562" s="1"/>
      <c r="AY4562" s="1"/>
    </row>
    <row r="4563" spans="1:51" customFormat="1" ht="18" customHeight="1">
      <c r="B4563" s="12" t="s">
        <v>302</v>
      </c>
      <c r="C4563" s="6" t="s">
        <v>5553</v>
      </c>
      <c r="D4563" s="14" t="s">
        <v>3067</v>
      </c>
      <c r="E4563" s="374">
        <v>2440</v>
      </c>
      <c r="F4563" s="107">
        <v>140</v>
      </c>
      <c r="G4563" s="22" t="s">
        <v>5128</v>
      </c>
      <c r="H4563" s="108">
        <v>58</v>
      </c>
      <c r="I4563" s="109">
        <v>4</v>
      </c>
      <c r="J4563" s="8">
        <f>H4563*I4563</f>
        <v>232</v>
      </c>
      <c r="K4563" s="39">
        <v>3.88</v>
      </c>
      <c r="L4563" s="39">
        <f>K4563*J4563</f>
        <v>900.16</v>
      </c>
      <c r="M4563" s="117" t="s">
        <v>323</v>
      </c>
      <c r="N4563" s="1398">
        <v>45785</v>
      </c>
      <c r="O4563" s="32">
        <v>7095</v>
      </c>
      <c r="P4563" s="391">
        <f>ROUNDUP(S4563/V4563/VLOOKUP(B4563,$C$2:$F$6,3,FALSE),2)</f>
        <v>2.94</v>
      </c>
      <c r="Q4563" s="254">
        <v>2.94</v>
      </c>
      <c r="R4563" s="323">
        <f>Q4563*J4563</f>
        <v>682.08</v>
      </c>
      <c r="S4563" s="257">
        <v>310</v>
      </c>
      <c r="T4563" s="287">
        <f>S4563*J4563</f>
        <v>71920</v>
      </c>
      <c r="U4563" s="264"/>
      <c r="V4563" s="260">
        <v>120</v>
      </c>
      <c r="W4563" s="1136">
        <f t="shared" si="417"/>
        <v>0.33419243986254293</v>
      </c>
      <c r="X4563" s="1"/>
      <c r="Y4563" s="1"/>
      <c r="Z4563" s="1"/>
      <c r="AA4563" s="1"/>
      <c r="AB4563" s="1"/>
      <c r="AC4563" s="1"/>
      <c r="AD4563" s="1"/>
      <c r="AE4563" s="1"/>
      <c r="AF4563" s="1"/>
      <c r="AG4563" s="1"/>
      <c r="AH4563" s="1"/>
      <c r="AI4563" s="1"/>
      <c r="AJ4563" s="1"/>
      <c r="AK4563" s="1"/>
      <c r="AL4563" s="1"/>
      <c r="AM4563" s="1"/>
      <c r="AN4563" s="1"/>
      <c r="AO4563" s="1"/>
      <c r="AP4563" s="1"/>
      <c r="AQ4563" s="1"/>
      <c r="AR4563" s="1"/>
      <c r="AS4563" s="1"/>
      <c r="AT4563" s="1"/>
      <c r="AU4563" s="1"/>
      <c r="AV4563" s="1"/>
      <c r="AW4563" s="1"/>
      <c r="AX4563" s="1"/>
      <c r="AY4563" s="1"/>
    </row>
    <row r="4564" spans="1:51" s="7" customFormat="1" ht="15">
      <c r="B4564" s="12"/>
      <c r="C4564" s="6" t="s">
        <v>5553</v>
      </c>
      <c r="D4564" s="14" t="s">
        <v>3067</v>
      </c>
      <c r="E4564" s="49"/>
      <c r="F4564" s="102"/>
      <c r="G4564" s="22" t="s">
        <v>316</v>
      </c>
      <c r="H4564" s="38"/>
      <c r="I4564" s="35"/>
      <c r="J4564" s="38">
        <v>1</v>
      </c>
      <c r="K4564" s="39">
        <v>20</v>
      </c>
      <c r="L4564" s="39">
        <f>K4564*J4564</f>
        <v>20</v>
      </c>
      <c r="M4564" s="91"/>
      <c r="N4564" s="1398">
        <v>45785</v>
      </c>
      <c r="O4564" s="32">
        <v>7095</v>
      </c>
      <c r="P4564" s="722"/>
      <c r="Q4564" s="322">
        <v>20</v>
      </c>
      <c r="R4564" s="322">
        <f>Q4564*J4564</f>
        <v>20</v>
      </c>
      <c r="S4564" s="7">
        <v>2500</v>
      </c>
      <c r="T4564" s="7">
        <f>S4564*J4564</f>
        <v>2500</v>
      </c>
      <c r="U4564" s="21"/>
      <c r="V4564" s="260">
        <v>120</v>
      </c>
      <c r="W4564" s="1136">
        <f t="shared" si="417"/>
        <v>-4.1666666666666664E-2</v>
      </c>
    </row>
    <row r="4565" spans="1:51" s="191" customFormat="1" ht="15">
      <c r="B4565" s="190"/>
      <c r="C4565" s="179" t="s">
        <v>5553</v>
      </c>
      <c r="D4565" s="180" t="s">
        <v>3067</v>
      </c>
      <c r="E4565" s="181"/>
      <c r="F4565" s="182"/>
      <c r="G4565" s="182" t="s">
        <v>2738</v>
      </c>
      <c r="H4565" s="184" t="s">
        <v>251</v>
      </c>
      <c r="I4565" s="185"/>
      <c r="J4565" s="183"/>
      <c r="K4565" s="192">
        <v>0</v>
      </c>
      <c r="L4565" s="187"/>
      <c r="M4565" s="187"/>
      <c r="N4565" s="1399">
        <v>45785</v>
      </c>
      <c r="O4565" s="186">
        <v>7095</v>
      </c>
      <c r="P4565" s="179"/>
      <c r="Q4565" s="203"/>
      <c r="R4565" s="203"/>
      <c r="S4565" s="203"/>
      <c r="T4565" s="203"/>
      <c r="U4565" s="271"/>
      <c r="V4565" s="260">
        <v>120</v>
      </c>
      <c r="W4565" s="1136" t="e">
        <f t="shared" si="417"/>
        <v>#DIV/0!</v>
      </c>
    </row>
    <row r="4566" spans="1:51" s="7" customFormat="1" ht="15.75" customHeight="1">
      <c r="A4566" s="1"/>
      <c r="B4566" s="12"/>
      <c r="C4566" s="6" t="s">
        <v>5556</v>
      </c>
      <c r="D4566" s="14" t="s">
        <v>5503</v>
      </c>
      <c r="E4566" s="19" t="s">
        <v>5623</v>
      </c>
      <c r="F4566" s="24"/>
      <c r="G4566" s="22"/>
      <c r="H4566" s="108"/>
      <c r="I4566" s="35"/>
      <c r="J4566" s="60"/>
      <c r="K4566" s="110" t="s">
        <v>102</v>
      </c>
      <c r="L4566" s="39"/>
      <c r="M4566" s="117"/>
      <c r="N4566" s="33">
        <v>45800</v>
      </c>
      <c r="O4566" s="32">
        <v>7149</v>
      </c>
      <c r="P4566" s="124"/>
      <c r="Q4566" s="254"/>
      <c r="R4566" s="323"/>
      <c r="S4566" s="257">
        <v>0</v>
      </c>
      <c r="T4566" s="92"/>
      <c r="U4566" s="1479"/>
      <c r="V4566" s="260"/>
      <c r="W4566" s="1136"/>
    </row>
    <row r="4567" spans="1:51" s="7" customFormat="1" ht="15.75" customHeight="1">
      <c r="A4567" s="1"/>
      <c r="B4567" s="12" t="s">
        <v>306</v>
      </c>
      <c r="C4567" s="6" t="s">
        <v>5556</v>
      </c>
      <c r="D4567" s="14" t="s">
        <v>5503</v>
      </c>
      <c r="E4567" s="22" t="s">
        <v>5619</v>
      </c>
      <c r="F4567" s="24"/>
      <c r="G4567" s="22" t="s">
        <v>5620</v>
      </c>
      <c r="H4567" s="108"/>
      <c r="I4567" s="35"/>
      <c r="J4567" s="38">
        <v>1</v>
      </c>
      <c r="K4567" s="23">
        <v>65</v>
      </c>
      <c r="L4567" s="39">
        <f>K4567*J4567</f>
        <v>65</v>
      </c>
      <c r="M4567" s="117" t="s">
        <v>323</v>
      </c>
      <c r="N4567" s="33">
        <v>45800</v>
      </c>
      <c r="O4567" s="32">
        <v>7149</v>
      </c>
      <c r="P4567" s="391">
        <f>ROUNDUP(S4567/V4567/VLOOKUP(B4567,$C$2:$F$6,3,FALSE),2)</f>
        <v>56.82</v>
      </c>
      <c r="Q4567" s="254">
        <v>56.82</v>
      </c>
      <c r="R4567" s="323">
        <f>Q4567*J4567</f>
        <v>56.82</v>
      </c>
      <c r="S4567" s="257">
        <v>6000</v>
      </c>
      <c r="T4567" s="92">
        <f>S4567*J4567</f>
        <v>6000</v>
      </c>
      <c r="U4567" s="1480"/>
      <c r="V4567" s="260">
        <v>120</v>
      </c>
      <c r="W4567" s="1136">
        <f>(((K4567*V4567)-S4567)/(K4567*V4567))</f>
        <v>0.23076923076923078</v>
      </c>
    </row>
    <row r="4568" spans="1:51" s="191" customFormat="1" ht="15">
      <c r="B4568" s="190"/>
      <c r="C4568" s="179" t="s">
        <v>5556</v>
      </c>
      <c r="D4568" s="180" t="s">
        <v>5503</v>
      </c>
      <c r="E4568" s="181"/>
      <c r="F4568" s="182"/>
      <c r="G4568" s="182" t="s">
        <v>2738</v>
      </c>
      <c r="H4568" s="184" t="s">
        <v>251</v>
      </c>
      <c r="I4568" s="185"/>
      <c r="J4568" s="183"/>
      <c r="K4568" s="192">
        <v>0</v>
      </c>
      <c r="L4568" s="187"/>
      <c r="M4568" s="187"/>
      <c r="N4568" s="1399">
        <v>45800</v>
      </c>
      <c r="O4568" s="186">
        <v>7149</v>
      </c>
      <c r="P4568" s="179"/>
      <c r="Q4568" s="203"/>
      <c r="R4568" s="203"/>
      <c r="S4568" s="203"/>
      <c r="T4568" s="203"/>
      <c r="U4568" s="271"/>
      <c r="V4568" s="260">
        <v>120</v>
      </c>
      <c r="W4568" s="1136" t="e">
        <f t="shared" ref="W4568:W4580" si="418">(((K4568*V4568)-S4568)/(K4568*V4568))</f>
        <v>#DIV/0!</v>
      </c>
    </row>
    <row r="4569" spans="1:51" customFormat="1" ht="18" customHeight="1">
      <c r="A4569" s="1"/>
      <c r="B4569" s="26"/>
      <c r="C4569" s="6" t="s">
        <v>5557</v>
      </c>
      <c r="D4569" s="14" t="s">
        <v>3150</v>
      </c>
      <c r="E4569" s="1482" t="s">
        <v>10</v>
      </c>
      <c r="F4569" s="107"/>
      <c r="G4569" s="22"/>
      <c r="H4569" s="108"/>
      <c r="I4569" s="109"/>
      <c r="J4569" s="108"/>
      <c r="K4569" s="110" t="s">
        <v>5</v>
      </c>
      <c r="L4569" s="33"/>
      <c r="M4569" s="33"/>
      <c r="N4569" s="1398">
        <v>45786</v>
      </c>
      <c r="O4569" s="32">
        <v>7107</v>
      </c>
      <c r="P4569" s="14"/>
      <c r="Q4569" s="254"/>
      <c r="R4569" s="1"/>
      <c r="S4569" s="261"/>
      <c r="T4569" s="92"/>
      <c r="U4569" s="264"/>
      <c r="V4569" s="260">
        <v>120</v>
      </c>
      <c r="W4569" s="1136" t="e">
        <f t="shared" si="418"/>
        <v>#VALUE!</v>
      </c>
      <c r="X4569" s="1"/>
      <c r="Y4569" s="1"/>
      <c r="Z4569" s="1"/>
      <c r="AA4569" s="1"/>
      <c r="AB4569" s="1"/>
      <c r="AC4569" s="1"/>
      <c r="AD4569" s="1"/>
      <c r="AE4569" s="1"/>
      <c r="AF4569" s="1"/>
      <c r="AG4569" s="1"/>
      <c r="AH4569" s="1"/>
      <c r="AI4569" s="1"/>
      <c r="AJ4569" s="1"/>
      <c r="AK4569" s="1"/>
      <c r="AL4569" s="1"/>
      <c r="AM4569" s="1"/>
      <c r="AN4569" s="1"/>
      <c r="AO4569" s="1"/>
      <c r="AP4569" s="1"/>
      <c r="AQ4569" s="1"/>
      <c r="AR4569" s="1"/>
      <c r="AS4569" s="1"/>
      <c r="AT4569" s="1"/>
      <c r="AU4569" s="1"/>
      <c r="AV4569" s="1"/>
      <c r="AW4569" s="1"/>
      <c r="AX4569" s="1"/>
      <c r="AY4569" s="1"/>
    </row>
    <row r="4570" spans="1:51" customFormat="1" ht="18" customHeight="1">
      <c r="B4570" s="12" t="s">
        <v>302</v>
      </c>
      <c r="C4570" s="6" t="s">
        <v>5557</v>
      </c>
      <c r="D4570" s="14" t="s">
        <v>3150</v>
      </c>
      <c r="E4570" s="22" t="s">
        <v>5558</v>
      </c>
      <c r="F4570" s="107">
        <v>160</v>
      </c>
      <c r="G4570" s="22" t="s">
        <v>5559</v>
      </c>
      <c r="H4570" s="108">
        <v>50</v>
      </c>
      <c r="I4570" s="109">
        <v>1</v>
      </c>
      <c r="J4570" s="8">
        <f>H4570*I4570</f>
        <v>50</v>
      </c>
      <c r="K4570" s="39">
        <v>5.48</v>
      </c>
      <c r="L4570" s="39">
        <f>K4570*J4570</f>
        <v>274</v>
      </c>
      <c r="M4570" s="117" t="s">
        <v>323</v>
      </c>
      <c r="N4570" s="1398">
        <v>45786</v>
      </c>
      <c r="O4570" s="32">
        <v>7107</v>
      </c>
      <c r="P4570" s="391">
        <f>ROUNDUP(S4570/V4570/VLOOKUP(B4570,$C$2:$F$6,3,FALSE),2)</f>
        <v>4.3599999999999994</v>
      </c>
      <c r="Q4570" s="254">
        <v>4.3600000000000003</v>
      </c>
      <c r="R4570" s="323">
        <f>Q4570*J4570</f>
        <v>218.00000000000003</v>
      </c>
      <c r="S4570" s="257">
        <v>460</v>
      </c>
      <c r="T4570" s="287">
        <f>S4570*J4570</f>
        <v>23000</v>
      </c>
      <c r="U4570" s="264"/>
      <c r="V4570" s="260">
        <v>120</v>
      </c>
      <c r="W4570" s="1136">
        <f t="shared" si="418"/>
        <v>0.3004866180048662</v>
      </c>
      <c r="X4570" s="1"/>
      <c r="Y4570" s="1"/>
      <c r="Z4570" s="1"/>
      <c r="AA4570" s="1"/>
      <c r="AB4570" s="1"/>
      <c r="AC4570" s="1"/>
      <c r="AD4570" s="1"/>
      <c r="AE4570" s="1"/>
      <c r="AF4570" s="1"/>
      <c r="AG4570" s="1"/>
      <c r="AH4570" s="1"/>
      <c r="AI4570" s="1"/>
      <c r="AJ4570" s="1"/>
      <c r="AK4570" s="1"/>
      <c r="AL4570" s="1"/>
      <c r="AM4570" s="1"/>
      <c r="AN4570" s="1"/>
      <c r="AO4570" s="1"/>
      <c r="AP4570" s="1"/>
      <c r="AQ4570" s="1"/>
      <c r="AR4570" s="1"/>
      <c r="AS4570" s="1"/>
      <c r="AT4570" s="1"/>
      <c r="AU4570" s="1"/>
      <c r="AV4570" s="1"/>
      <c r="AW4570" s="1"/>
      <c r="AX4570" s="1"/>
      <c r="AY4570" s="1"/>
    </row>
    <row r="4571" spans="1:51" customFormat="1" ht="18" customHeight="1">
      <c r="B4571" s="12" t="s">
        <v>302</v>
      </c>
      <c r="C4571" s="6" t="s">
        <v>5557</v>
      </c>
      <c r="D4571" s="14" t="s">
        <v>3150</v>
      </c>
      <c r="E4571" s="22" t="s">
        <v>5558</v>
      </c>
      <c r="F4571" s="107">
        <v>160</v>
      </c>
      <c r="G4571" s="22" t="s">
        <v>5560</v>
      </c>
      <c r="H4571" s="108">
        <v>50</v>
      </c>
      <c r="I4571" s="109">
        <v>1</v>
      </c>
      <c r="J4571" s="8">
        <f>H4571*I4571</f>
        <v>50</v>
      </c>
      <c r="K4571" s="39">
        <v>5.48</v>
      </c>
      <c r="L4571" s="39">
        <f>K4571*J4571</f>
        <v>274</v>
      </c>
      <c r="M4571" s="117" t="s">
        <v>323</v>
      </c>
      <c r="N4571" s="1398">
        <v>45786</v>
      </c>
      <c r="O4571" s="32">
        <v>7107</v>
      </c>
      <c r="P4571" s="391">
        <f>ROUNDUP(S4571/V4571/VLOOKUP(B4571,$C$2:$F$6,3,FALSE),2)</f>
        <v>4.3599999999999994</v>
      </c>
      <c r="Q4571" s="254">
        <v>4.3600000000000003</v>
      </c>
      <c r="R4571" s="323">
        <f>Q4571*J4571</f>
        <v>218.00000000000003</v>
      </c>
      <c r="S4571" s="257">
        <v>460</v>
      </c>
      <c r="T4571" s="287">
        <f>S4571*J4571</f>
        <v>23000</v>
      </c>
      <c r="U4571" s="264"/>
      <c r="V4571" s="260">
        <v>120</v>
      </c>
      <c r="W4571" s="1136">
        <f>(((K4571*V4571)-S4571)/(K4571*V4571))</f>
        <v>0.3004866180048662</v>
      </c>
      <c r="X4571" s="1"/>
      <c r="Y4571" s="1"/>
      <c r="Z4571" s="1"/>
      <c r="AA4571" s="1"/>
      <c r="AB4571" s="1"/>
      <c r="AC4571" s="1"/>
      <c r="AD4571" s="1"/>
      <c r="AE4571" s="1"/>
      <c r="AF4571" s="1"/>
      <c r="AG4571" s="1"/>
      <c r="AH4571" s="1"/>
      <c r="AI4571" s="1"/>
      <c r="AJ4571" s="1"/>
      <c r="AK4571" s="1"/>
      <c r="AL4571" s="1"/>
      <c r="AM4571" s="1"/>
      <c r="AN4571" s="1"/>
      <c r="AO4571" s="1"/>
      <c r="AP4571" s="1"/>
      <c r="AQ4571" s="1"/>
      <c r="AR4571" s="1"/>
      <c r="AS4571" s="1"/>
      <c r="AT4571" s="1"/>
      <c r="AU4571" s="1"/>
      <c r="AV4571" s="1"/>
      <c r="AW4571" s="1"/>
      <c r="AX4571" s="1"/>
      <c r="AY4571" s="1"/>
    </row>
    <row r="4572" spans="1:51" s="7" customFormat="1" ht="15">
      <c r="B4572" s="12"/>
      <c r="C4572" s="6" t="s">
        <v>5557</v>
      </c>
      <c r="D4572" s="14" t="s">
        <v>3150</v>
      </c>
      <c r="E4572" s="49"/>
      <c r="F4572" s="102"/>
      <c r="G4572" s="22" t="s">
        <v>316</v>
      </c>
      <c r="H4572" s="38"/>
      <c r="I4572" s="35"/>
      <c r="J4572" s="38">
        <v>1</v>
      </c>
      <c r="K4572" s="39">
        <v>25</v>
      </c>
      <c r="L4572" s="39">
        <f>K4572*J4572</f>
        <v>25</v>
      </c>
      <c r="M4572" s="91"/>
      <c r="N4572" s="1398">
        <v>45786</v>
      </c>
      <c r="O4572" s="32">
        <v>7107</v>
      </c>
      <c r="P4572" s="722"/>
      <c r="Q4572" s="322">
        <v>25</v>
      </c>
      <c r="R4572" s="322">
        <f>Q4572*J4572</f>
        <v>25</v>
      </c>
      <c r="S4572" s="7">
        <v>2500</v>
      </c>
      <c r="T4572" s="7">
        <f>S4572*J4572</f>
        <v>2500</v>
      </c>
      <c r="U4572" s="21"/>
      <c r="V4572" s="260">
        <v>120</v>
      </c>
      <c r="W4572" s="1136">
        <f t="shared" si="418"/>
        <v>0.16666666666666666</v>
      </c>
    </row>
    <row r="4573" spans="1:51" s="191" customFormat="1" ht="15">
      <c r="B4573" s="190"/>
      <c r="C4573" s="179" t="s">
        <v>5557</v>
      </c>
      <c r="D4573" s="180" t="s">
        <v>3150</v>
      </c>
      <c r="E4573" s="181"/>
      <c r="F4573" s="182"/>
      <c r="G4573" s="182" t="s">
        <v>2738</v>
      </c>
      <c r="H4573" s="184" t="s">
        <v>251</v>
      </c>
      <c r="I4573" s="185"/>
      <c r="J4573" s="183"/>
      <c r="K4573" s="192">
        <v>0</v>
      </c>
      <c r="L4573" s="187"/>
      <c r="M4573" s="187"/>
      <c r="N4573" s="1399">
        <v>45786</v>
      </c>
      <c r="O4573" s="186">
        <v>7107</v>
      </c>
      <c r="P4573" s="179"/>
      <c r="Q4573" s="203"/>
      <c r="R4573" s="203"/>
      <c r="S4573" s="203"/>
      <c r="T4573" s="203"/>
      <c r="U4573" s="271"/>
      <c r="V4573" s="260">
        <v>120</v>
      </c>
      <c r="W4573" s="1136" t="e">
        <f t="shared" si="418"/>
        <v>#DIV/0!</v>
      </c>
    </row>
    <row r="4574" spans="1:51" s="7" customFormat="1" ht="18" customHeight="1">
      <c r="B4574" s="12"/>
      <c r="C4574" s="965" t="s">
        <v>5562</v>
      </c>
      <c r="D4574" s="14" t="s">
        <v>5365</v>
      </c>
      <c r="E4574" s="19" t="s">
        <v>200</v>
      </c>
      <c r="F4574" s="37"/>
      <c r="G4574" s="37"/>
      <c r="H4574" s="108"/>
      <c r="I4574" s="108"/>
      <c r="J4574" s="108"/>
      <c r="K4574" s="29" t="s">
        <v>5</v>
      </c>
      <c r="L4574" s="139"/>
      <c r="M4574" s="33"/>
      <c r="N4574" s="33">
        <v>45803</v>
      </c>
      <c r="O4574" s="32">
        <v>7113</v>
      </c>
      <c r="P4574" s="6"/>
      <c r="Q4574" s="339"/>
      <c r="U4574" s="21"/>
      <c r="V4574" s="260">
        <v>120</v>
      </c>
      <c r="W4574" s="1136" t="e">
        <f t="shared" si="418"/>
        <v>#VALUE!</v>
      </c>
    </row>
    <row r="4575" spans="1:51" s="7" customFormat="1" ht="18" customHeight="1">
      <c r="B4575" s="12" t="s">
        <v>300</v>
      </c>
      <c r="C4575" s="965" t="s">
        <v>5562</v>
      </c>
      <c r="D4575" s="14" t="s">
        <v>5365</v>
      </c>
      <c r="E4575" s="22" t="s">
        <v>2950</v>
      </c>
      <c r="F4575" s="37"/>
      <c r="G4575" s="839" t="s">
        <v>5366</v>
      </c>
      <c r="H4575" s="108">
        <v>30</v>
      </c>
      <c r="I4575" s="109">
        <v>1</v>
      </c>
      <c r="J4575" s="8">
        <f>H4575*I4575</f>
        <v>30</v>
      </c>
      <c r="K4575" s="39">
        <v>1.04</v>
      </c>
      <c r="L4575" s="39">
        <f>K4575*J4575</f>
        <v>31.200000000000003</v>
      </c>
      <c r="M4575" s="117" t="s">
        <v>349</v>
      </c>
      <c r="N4575" s="33">
        <v>45803</v>
      </c>
      <c r="O4575" s="32">
        <v>7113</v>
      </c>
      <c r="P4575" s="391">
        <f>ROUNDUP(S4575/V4575/VLOOKUP(B4575,$C$2:$F$6,3,FALSE),2)</f>
        <v>0.67</v>
      </c>
      <c r="Q4575" s="322">
        <v>0.67</v>
      </c>
      <c r="R4575" s="322">
        <f>Q4575*J4575</f>
        <v>20.100000000000001</v>
      </c>
      <c r="S4575" s="7">
        <v>56</v>
      </c>
      <c r="T4575" s="7">
        <f>S4575*J4575</f>
        <v>1680</v>
      </c>
      <c r="U4575" s="778"/>
      <c r="V4575" s="260">
        <v>120</v>
      </c>
      <c r="W4575" s="1136">
        <f t="shared" si="418"/>
        <v>0.55128205128205132</v>
      </c>
    </row>
    <row r="4576" spans="1:51" s="7" customFormat="1" ht="18" customHeight="1">
      <c r="B4576" s="12"/>
      <c r="C4576" s="965" t="s">
        <v>5562</v>
      </c>
      <c r="D4576" s="14" t="s">
        <v>5365</v>
      </c>
      <c r="E4576" s="22"/>
      <c r="F4576" s="102"/>
      <c r="G4576" s="22" t="s">
        <v>316</v>
      </c>
      <c r="H4576" s="8"/>
      <c r="I4576" s="35"/>
      <c r="J4576" s="38">
        <v>1</v>
      </c>
      <c r="K4576" s="39">
        <v>12</v>
      </c>
      <c r="L4576" s="39">
        <f>K4576*J4576</f>
        <v>12</v>
      </c>
      <c r="M4576" s="91"/>
      <c r="N4576" s="33">
        <v>45803</v>
      </c>
      <c r="O4576" s="32">
        <v>7113</v>
      </c>
      <c r="P4576" s="6" t="s">
        <v>3</v>
      </c>
      <c r="Q4576" s="39">
        <v>12</v>
      </c>
      <c r="R4576" s="322">
        <f>Q4576*J4576</f>
        <v>12</v>
      </c>
      <c r="S4576" s="7">
        <v>900</v>
      </c>
      <c r="T4576" s="7">
        <f>S4576*J4576</f>
        <v>900</v>
      </c>
      <c r="U4576" s="21"/>
      <c r="V4576" s="260">
        <v>120</v>
      </c>
      <c r="W4576" s="1136">
        <f t="shared" si="418"/>
        <v>0.375</v>
      </c>
    </row>
    <row r="4577" spans="1:51" s="191" customFormat="1" ht="18" customHeight="1">
      <c r="B4577" s="190"/>
      <c r="C4577" s="966" t="s">
        <v>5562</v>
      </c>
      <c r="D4577" s="180" t="s">
        <v>5365</v>
      </c>
      <c r="E4577" s="217"/>
      <c r="F4577" s="182"/>
      <c r="G4577" s="182" t="s">
        <v>250</v>
      </c>
      <c r="H4577" s="184" t="s">
        <v>251</v>
      </c>
      <c r="I4577" s="185"/>
      <c r="J4577" s="183"/>
      <c r="K4577" s="192">
        <v>0</v>
      </c>
      <c r="L4577" s="192">
        <v>0</v>
      </c>
      <c r="M4577" s="187"/>
      <c r="N4577" s="187">
        <v>45803</v>
      </c>
      <c r="O4577" s="186">
        <v>7113</v>
      </c>
      <c r="P4577" s="179"/>
      <c r="Q4577" s="192">
        <v>0</v>
      </c>
      <c r="R4577" s="192">
        <v>0</v>
      </c>
      <c r="S4577" s="197">
        <v>0</v>
      </c>
      <c r="T4577" s="197">
        <v>0</v>
      </c>
      <c r="U4577" s="335"/>
      <c r="V4577" s="260">
        <v>120</v>
      </c>
      <c r="W4577" s="1136" t="e">
        <f t="shared" si="418"/>
        <v>#DIV/0!</v>
      </c>
    </row>
    <row r="4578" spans="1:51" s="7" customFormat="1" ht="15">
      <c r="B4578" s="12"/>
      <c r="C4578" s="965" t="s">
        <v>5563</v>
      </c>
      <c r="D4578" s="14" t="s">
        <v>5480</v>
      </c>
      <c r="E4578" s="19" t="s">
        <v>5479</v>
      </c>
      <c r="F4578" s="24"/>
      <c r="G4578" s="22"/>
      <c r="H4578" s="60"/>
      <c r="I4578" s="61"/>
      <c r="J4578" s="8"/>
      <c r="K4578" s="110" t="s">
        <v>5</v>
      </c>
      <c r="L4578" s="139"/>
      <c r="M4578" s="33"/>
      <c r="N4578" s="33">
        <v>45789</v>
      </c>
      <c r="O4578" s="32">
        <v>7112</v>
      </c>
      <c r="P4578" s="6" t="s">
        <v>8</v>
      </c>
      <c r="Q4578" s="358"/>
      <c r="U4578" s="120"/>
      <c r="V4578" s="260">
        <v>120</v>
      </c>
      <c r="W4578" s="1136" t="e">
        <f t="shared" si="418"/>
        <v>#VALUE!</v>
      </c>
    </row>
    <row r="4579" spans="1:51" s="7" customFormat="1" ht="18" customHeight="1">
      <c r="B4579" s="12" t="s">
        <v>300</v>
      </c>
      <c r="C4579" s="965" t="s">
        <v>5563</v>
      </c>
      <c r="D4579" s="14" t="s">
        <v>5480</v>
      </c>
      <c r="E4579" s="22">
        <v>3534</v>
      </c>
      <c r="F4579" s="37">
        <v>30</v>
      </c>
      <c r="G4579" s="22" t="s">
        <v>4436</v>
      </c>
      <c r="H4579" s="8">
        <v>30</v>
      </c>
      <c r="I4579" s="35">
        <v>2</v>
      </c>
      <c r="J4579" s="108">
        <f>H4579*I4579</f>
        <v>60</v>
      </c>
      <c r="K4579" s="958">
        <v>1.02</v>
      </c>
      <c r="L4579" s="39">
        <f>K4579*J4579</f>
        <v>61.2</v>
      </c>
      <c r="M4579" s="117" t="s">
        <v>349</v>
      </c>
      <c r="N4579" s="33">
        <v>45789</v>
      </c>
      <c r="O4579" s="32">
        <v>7112</v>
      </c>
      <c r="P4579" s="391">
        <f>ROUNDUP(S4579/V4579/VLOOKUP(B4579,$C$2:$F$6,3,FALSE),2)</f>
        <v>0.56000000000000005</v>
      </c>
      <c r="Q4579" s="322">
        <v>0.56000000000000005</v>
      </c>
      <c r="R4579" s="322">
        <f>Q4579*J4579</f>
        <v>33.6</v>
      </c>
      <c r="S4579" s="1388">
        <v>47</v>
      </c>
      <c r="T4579" s="7">
        <f>S4579*J4579</f>
        <v>2820</v>
      </c>
      <c r="U4579" s="39"/>
      <c r="V4579" s="260">
        <v>120</v>
      </c>
      <c r="W4579" s="1136">
        <f t="shared" si="418"/>
        <v>0.61601307189542487</v>
      </c>
    </row>
    <row r="4580" spans="1:51" customFormat="1" ht="15.95" customHeight="1">
      <c r="A4580" s="1"/>
      <c r="B4580" s="12" t="s">
        <v>306</v>
      </c>
      <c r="C4580" s="965" t="s">
        <v>5563</v>
      </c>
      <c r="D4580" s="14" t="s">
        <v>5480</v>
      </c>
      <c r="E4580" s="22"/>
      <c r="F4580" s="102"/>
      <c r="G4580" s="37" t="s">
        <v>316</v>
      </c>
      <c r="H4580" s="8"/>
      <c r="I4580" s="35"/>
      <c r="J4580" s="38">
        <v>1</v>
      </c>
      <c r="K4580" s="39">
        <v>12</v>
      </c>
      <c r="L4580" s="39">
        <f>K4580*J4580</f>
        <v>12</v>
      </c>
      <c r="M4580" s="91"/>
      <c r="N4580" s="33">
        <v>45789</v>
      </c>
      <c r="O4580" s="32">
        <v>7112</v>
      </c>
      <c r="P4580" s="39"/>
      <c r="Q4580" s="322">
        <v>12</v>
      </c>
      <c r="R4580" s="323">
        <v>12</v>
      </c>
      <c r="S4580" s="7">
        <v>1100</v>
      </c>
      <c r="T4580" s="7">
        <f>S4580*J4580</f>
        <v>1100</v>
      </c>
      <c r="U4580" s="270"/>
      <c r="V4580" s="260">
        <v>120</v>
      </c>
      <c r="W4580" s="1136">
        <f t="shared" si="418"/>
        <v>0.2361111111111111</v>
      </c>
    </row>
    <row r="4581" spans="1:51" s="191" customFormat="1" ht="15.75">
      <c r="B4581" s="190"/>
      <c r="C4581" s="966" t="s">
        <v>5563</v>
      </c>
      <c r="D4581" s="180" t="s">
        <v>5480</v>
      </c>
      <c r="E4581" s="181"/>
      <c r="F4581" s="182"/>
      <c r="G4581" s="309" t="s">
        <v>324</v>
      </c>
      <c r="H4581" s="184" t="s">
        <v>374</v>
      </c>
      <c r="I4581" s="185"/>
      <c r="J4581" s="183"/>
      <c r="K4581" s="203">
        <v>70</v>
      </c>
      <c r="L4581" s="203">
        <v>70</v>
      </c>
      <c r="M4581" s="187"/>
      <c r="N4581" s="187">
        <v>45789</v>
      </c>
      <c r="O4581" s="186">
        <v>7112</v>
      </c>
      <c r="P4581" s="179"/>
      <c r="Q4581" s="203">
        <v>70</v>
      </c>
      <c r="R4581" s="203">
        <v>70</v>
      </c>
      <c r="S4581" s="1511">
        <v>6793</v>
      </c>
      <c r="T4581" s="1511">
        <v>6793</v>
      </c>
      <c r="U4581" s="271"/>
      <c r="V4581" s="260">
        <v>120</v>
      </c>
      <c r="W4581" s="1136">
        <f>(((K4581*V4581)-S4581)/(K4581*V4581))</f>
        <v>0.19130952380952382</v>
      </c>
    </row>
    <row r="4582" spans="1:51" s="7" customFormat="1" ht="18" customHeight="1">
      <c r="B4582" s="12"/>
      <c r="C4582" s="1432" t="s">
        <v>5573</v>
      </c>
      <c r="D4582" s="14" t="s">
        <v>2004</v>
      </c>
      <c r="E4582" s="19" t="s">
        <v>2358</v>
      </c>
      <c r="F4582" s="24"/>
      <c r="G4582" s="22"/>
      <c r="H4582" s="60"/>
      <c r="I4582" s="61"/>
      <c r="J4582" s="60"/>
      <c r="K4582" s="16" t="s">
        <v>5</v>
      </c>
      <c r="L4582" s="139"/>
      <c r="M4582" s="33"/>
      <c r="N4582" s="33">
        <v>45790</v>
      </c>
      <c r="O4582" s="32">
        <v>7118</v>
      </c>
      <c r="P4582" s="6" t="s">
        <v>3</v>
      </c>
      <c r="Q4582" s="358"/>
      <c r="S4582" s="1434"/>
      <c r="U4582" s="120"/>
      <c r="V4582" s="260">
        <v>120</v>
      </c>
    </row>
    <row r="4583" spans="1:51" s="7" customFormat="1" ht="18" customHeight="1">
      <c r="B4583" s="12" t="s">
        <v>300</v>
      </c>
      <c r="C4583" s="1432" t="s">
        <v>5573</v>
      </c>
      <c r="D4583" s="14" t="s">
        <v>2004</v>
      </c>
      <c r="E4583" s="374" t="s">
        <v>5575</v>
      </c>
      <c r="F4583" s="24"/>
      <c r="G4583" s="22" t="s">
        <v>5318</v>
      </c>
      <c r="H4583" s="108"/>
      <c r="I4583" s="109"/>
      <c r="J4583" s="8">
        <v>30</v>
      </c>
      <c r="K4583" s="39">
        <v>2.4500000000000002</v>
      </c>
      <c r="L4583" s="39">
        <f>K4583*J4583</f>
        <v>73.5</v>
      </c>
      <c r="M4583" s="117" t="s">
        <v>323</v>
      </c>
      <c r="N4583" s="1398">
        <v>45790</v>
      </c>
      <c r="O4583" s="32">
        <v>7118</v>
      </c>
      <c r="P4583" s="391">
        <f>ROUNDUP(S4583/V4583/VLOOKUP(B4583,$C$2:$F$6,3,FALSE),2)</f>
        <v>2.0999999999999996</v>
      </c>
      <c r="Q4583" s="322">
        <v>2.1</v>
      </c>
      <c r="R4583" s="322">
        <f>Q4583*J4583</f>
        <v>63</v>
      </c>
      <c r="S4583" s="7">
        <v>176</v>
      </c>
      <c r="T4583" s="7">
        <f>S4583*J4583</f>
        <v>5280</v>
      </c>
      <c r="U4583" s="386"/>
      <c r="V4583" s="260">
        <v>120</v>
      </c>
      <c r="W4583" s="1136">
        <f t="shared" ref="W4583:W4589" si="419">(((K4583*V4583)-S4583)/(K4583*V4583))</f>
        <v>0.40136054421768708</v>
      </c>
    </row>
    <row r="4584" spans="1:51" s="7" customFormat="1" ht="18" customHeight="1">
      <c r="B4584" s="12" t="s">
        <v>300</v>
      </c>
      <c r="C4584" s="1432" t="s">
        <v>5574</v>
      </c>
      <c r="D4584" s="14" t="s">
        <v>2004</v>
      </c>
      <c r="E4584" s="374" t="s">
        <v>5575</v>
      </c>
      <c r="F4584" s="24"/>
      <c r="G4584" s="22" t="s">
        <v>5318</v>
      </c>
      <c r="H4584" s="108"/>
      <c r="I4584" s="109"/>
      <c r="J4584" s="8">
        <v>10</v>
      </c>
      <c r="K4584" s="39">
        <v>2.4500000000000002</v>
      </c>
      <c r="L4584" s="39">
        <f>K4584*J4584</f>
        <v>24.5</v>
      </c>
      <c r="M4584" s="117" t="s">
        <v>323</v>
      </c>
      <c r="N4584" s="1398">
        <v>45790</v>
      </c>
      <c r="O4584" s="32">
        <v>7119</v>
      </c>
      <c r="P4584" s="391">
        <f>ROUNDUP(S4584/V4584/VLOOKUP(B4584,$C$2:$F$6,3,FALSE),2)</f>
        <v>2.0999999999999996</v>
      </c>
      <c r="Q4584" s="322">
        <v>2.1</v>
      </c>
      <c r="R4584" s="322">
        <f>Q4584*J4584</f>
        <v>21</v>
      </c>
      <c r="S4584" s="7">
        <v>176</v>
      </c>
      <c r="T4584" s="7">
        <f>S4584*J4584</f>
        <v>1760</v>
      </c>
      <c r="U4584" s="386"/>
      <c r="V4584" s="260">
        <v>120</v>
      </c>
      <c r="W4584" s="1136">
        <f t="shared" si="419"/>
        <v>0.40136054421768708</v>
      </c>
    </row>
    <row r="4585" spans="1:51" s="7" customFormat="1" ht="18" customHeight="1">
      <c r="B4585" s="12"/>
      <c r="C4585" s="1432" t="s">
        <v>5574</v>
      </c>
      <c r="D4585" s="14" t="s">
        <v>2004</v>
      </c>
      <c r="E4585" s="82"/>
      <c r="F4585" s="102"/>
      <c r="G4585" s="22" t="s">
        <v>316</v>
      </c>
      <c r="H4585" s="8"/>
      <c r="I4585" s="35"/>
      <c r="J4585" s="38">
        <v>1</v>
      </c>
      <c r="K4585" s="39">
        <v>12</v>
      </c>
      <c r="L4585" s="39">
        <f>K4585*J4585</f>
        <v>12</v>
      </c>
      <c r="M4585" s="91"/>
      <c r="N4585" s="33">
        <v>45790</v>
      </c>
      <c r="O4585" s="32">
        <v>7119</v>
      </c>
      <c r="P4585" s="6"/>
      <c r="Q4585" s="322">
        <v>12</v>
      </c>
      <c r="R4585" s="322">
        <f>Q4585*J4585</f>
        <v>12</v>
      </c>
      <c r="S4585" s="1388">
        <v>900</v>
      </c>
      <c r="T4585" s="1388">
        <v>900</v>
      </c>
      <c r="U4585" s="21"/>
      <c r="V4585" s="260">
        <v>120</v>
      </c>
      <c r="W4585" s="1136">
        <f t="shared" si="419"/>
        <v>0.375</v>
      </c>
    </row>
    <row r="4586" spans="1:51" s="191" customFormat="1" ht="18" customHeight="1">
      <c r="B4586" s="190"/>
      <c r="C4586" s="1433" t="s">
        <v>5574</v>
      </c>
      <c r="D4586" s="180" t="s">
        <v>2004</v>
      </c>
      <c r="E4586" s="181"/>
      <c r="F4586" s="182"/>
      <c r="G4586" s="182" t="s">
        <v>250</v>
      </c>
      <c r="H4586" s="184" t="s">
        <v>251</v>
      </c>
      <c r="I4586" s="185"/>
      <c r="J4586" s="183"/>
      <c r="K4586" s="192">
        <v>0</v>
      </c>
      <c r="L4586" s="946"/>
      <c r="M4586" s="947"/>
      <c r="N4586" s="187">
        <v>45790</v>
      </c>
      <c r="O4586" s="186">
        <v>7119</v>
      </c>
      <c r="P4586" s="179"/>
      <c r="Q4586" s="322">
        <v>0</v>
      </c>
      <c r="R4586" s="218"/>
      <c r="S4586" s="197">
        <v>0</v>
      </c>
      <c r="T4586" s="197">
        <v>0</v>
      </c>
      <c r="U4586" s="335"/>
      <c r="V4586" s="260">
        <v>120</v>
      </c>
      <c r="W4586" s="1136" t="e">
        <f t="shared" si="419"/>
        <v>#DIV/0!</v>
      </c>
      <c r="X4586" s="218"/>
    </row>
    <row r="4587" spans="1:51" customFormat="1" ht="18" customHeight="1">
      <c r="A4587" s="1"/>
      <c r="B4587" s="26"/>
      <c r="C4587" s="6" t="s">
        <v>5579</v>
      </c>
      <c r="D4587" s="14" t="s">
        <v>4693</v>
      </c>
      <c r="E4587" s="19" t="s">
        <v>59</v>
      </c>
      <c r="F4587" s="107"/>
      <c r="G4587" s="22"/>
      <c r="H4587" s="108"/>
      <c r="I4587" s="109"/>
      <c r="J4587" s="108"/>
      <c r="K4587" s="110" t="s">
        <v>5</v>
      </c>
      <c r="L4587" s="33"/>
      <c r="M4587" s="33"/>
      <c r="N4587" s="33">
        <v>45793</v>
      </c>
      <c r="O4587" s="32">
        <v>7126</v>
      </c>
      <c r="P4587" s="14"/>
      <c r="Q4587" s="254"/>
      <c r="R4587" s="1"/>
      <c r="S4587" s="261"/>
      <c r="T4587" s="92"/>
      <c r="U4587" s="264"/>
      <c r="V4587" s="260">
        <v>120</v>
      </c>
      <c r="W4587" s="1136" t="e">
        <f t="shared" si="419"/>
        <v>#VALUE!</v>
      </c>
      <c r="X4587" s="1"/>
      <c r="Y4587" s="1"/>
      <c r="Z4587" s="1"/>
      <c r="AA4587" s="1"/>
      <c r="AB4587" s="1"/>
      <c r="AC4587" s="1"/>
      <c r="AD4587" s="1"/>
      <c r="AE4587" s="1"/>
      <c r="AF4587" s="1"/>
      <c r="AG4587" s="1"/>
      <c r="AH4587" s="1"/>
      <c r="AI4587" s="1"/>
      <c r="AJ4587" s="1"/>
      <c r="AK4587" s="1"/>
      <c r="AL4587" s="1"/>
      <c r="AM4587" s="1"/>
      <c r="AN4587" s="1"/>
      <c r="AO4587" s="1"/>
      <c r="AP4587" s="1"/>
      <c r="AQ4587" s="1"/>
      <c r="AR4587" s="1"/>
      <c r="AS4587" s="1"/>
      <c r="AT4587" s="1"/>
      <c r="AU4587" s="1"/>
      <c r="AV4587" s="1"/>
      <c r="AW4587" s="1"/>
      <c r="AX4587" s="1"/>
      <c r="AY4587" s="1"/>
    </row>
    <row r="4588" spans="1:51" customFormat="1" ht="18" customHeight="1">
      <c r="B4588" s="12" t="s">
        <v>302</v>
      </c>
      <c r="C4588" s="6" t="s">
        <v>5579</v>
      </c>
      <c r="D4588" s="14" t="s">
        <v>4693</v>
      </c>
      <c r="E4588" s="22">
        <v>2440</v>
      </c>
      <c r="F4588" s="107">
        <v>140</v>
      </c>
      <c r="G4588" s="22" t="s">
        <v>5240</v>
      </c>
      <c r="H4588" s="108">
        <v>68</v>
      </c>
      <c r="I4588" s="109">
        <v>1</v>
      </c>
      <c r="J4588" s="8">
        <f>H4588*I4588</f>
        <v>68</v>
      </c>
      <c r="K4588" s="39">
        <v>3.88</v>
      </c>
      <c r="L4588" s="39">
        <f>K4588*J4588</f>
        <v>263.83999999999997</v>
      </c>
      <c r="M4588" s="117" t="s">
        <v>323</v>
      </c>
      <c r="N4588" s="33">
        <v>45793</v>
      </c>
      <c r="O4588" s="32">
        <v>7126</v>
      </c>
      <c r="P4588" s="391">
        <f>ROUNDUP(S4588/V4588/VLOOKUP(B4588,$C$2:$F$6,3,FALSE),2)</f>
        <v>2.94</v>
      </c>
      <c r="Q4588" s="254">
        <v>2.94</v>
      </c>
      <c r="R4588" s="323">
        <f>Q4588*J4588</f>
        <v>199.92</v>
      </c>
      <c r="S4588" s="257">
        <v>310</v>
      </c>
      <c r="T4588" s="287">
        <f>S4588*J4588</f>
        <v>21080</v>
      </c>
      <c r="U4588" s="264"/>
      <c r="V4588" s="260">
        <v>120</v>
      </c>
      <c r="W4588" s="1136">
        <f t="shared" si="419"/>
        <v>0.33419243986254293</v>
      </c>
      <c r="X4588" s="1"/>
      <c r="Y4588" s="1"/>
      <c r="Z4588" s="1"/>
      <c r="AA4588" s="1"/>
      <c r="AB4588" s="1"/>
      <c r="AC4588" s="1"/>
      <c r="AD4588" s="1"/>
      <c r="AE4588" s="1"/>
      <c r="AF4588" s="1"/>
      <c r="AG4588" s="1"/>
      <c r="AH4588" s="1"/>
      <c r="AI4588" s="1"/>
      <c r="AJ4588" s="1"/>
      <c r="AK4588" s="1"/>
      <c r="AL4588" s="1"/>
      <c r="AM4588" s="1"/>
      <c r="AN4588" s="1"/>
      <c r="AO4588" s="1"/>
      <c r="AP4588" s="1"/>
      <c r="AQ4588" s="1"/>
      <c r="AR4588" s="1"/>
      <c r="AS4588" s="1"/>
      <c r="AT4588" s="1"/>
      <c r="AU4588" s="1"/>
      <c r="AV4588" s="1"/>
      <c r="AW4588" s="1"/>
      <c r="AX4588" s="1"/>
      <c r="AY4588" s="1"/>
    </row>
    <row r="4589" spans="1:51" s="7" customFormat="1" ht="15">
      <c r="B4589" s="12"/>
      <c r="C4589" s="6" t="s">
        <v>5579</v>
      </c>
      <c r="D4589" s="14" t="s">
        <v>4693</v>
      </c>
      <c r="E4589" s="49"/>
      <c r="F4589" s="102"/>
      <c r="G4589" s="22" t="s">
        <v>316</v>
      </c>
      <c r="H4589" s="38"/>
      <c r="I4589" s="35"/>
      <c r="J4589" s="38">
        <v>1</v>
      </c>
      <c r="K4589" s="39">
        <v>25</v>
      </c>
      <c r="L4589" s="39">
        <f>K4589*J4589</f>
        <v>25</v>
      </c>
      <c r="M4589" s="91"/>
      <c r="N4589" s="33">
        <v>45793</v>
      </c>
      <c r="O4589" s="32">
        <v>7126</v>
      </c>
      <c r="P4589" s="722"/>
      <c r="Q4589" s="322">
        <v>25</v>
      </c>
      <c r="R4589" s="322">
        <f>Q4589*J4589</f>
        <v>25</v>
      </c>
      <c r="S4589" s="1388">
        <v>2500</v>
      </c>
      <c r="T4589" s="1388">
        <f>S4589*J4589</f>
        <v>2500</v>
      </c>
      <c r="U4589" s="21"/>
      <c r="V4589" s="260">
        <v>120</v>
      </c>
      <c r="W4589" s="1136">
        <f t="shared" si="419"/>
        <v>0.16666666666666666</v>
      </c>
    </row>
    <row r="4590" spans="1:51" s="191" customFormat="1" ht="15">
      <c r="B4590" s="190"/>
      <c r="C4590" s="179" t="s">
        <v>5579</v>
      </c>
      <c r="D4590" s="180" t="s">
        <v>4693</v>
      </c>
      <c r="E4590" s="181"/>
      <c r="F4590" s="182"/>
      <c r="G4590" s="182" t="s">
        <v>2738</v>
      </c>
      <c r="H4590" s="184" t="s">
        <v>251</v>
      </c>
      <c r="I4590" s="185"/>
      <c r="J4590" s="183"/>
      <c r="K4590" s="192">
        <v>0</v>
      </c>
      <c r="L4590" s="187"/>
      <c r="M4590" s="187"/>
      <c r="N4590" s="187">
        <v>45793</v>
      </c>
      <c r="O4590" s="186">
        <v>7126</v>
      </c>
      <c r="P4590" s="179"/>
      <c r="Q4590" s="203"/>
      <c r="R4590" s="203"/>
      <c r="S4590" s="203"/>
      <c r="T4590" s="203"/>
      <c r="U4590" s="271"/>
      <c r="V4590" s="260">
        <v>120</v>
      </c>
      <c r="W4590" s="1136" t="e">
        <f t="shared" ref="W4590:W4595" si="420">(((K4590*V4590)-S4590)/(K4590*V4590))</f>
        <v>#DIV/0!</v>
      </c>
    </row>
    <row r="4591" spans="1:51" customFormat="1" ht="18" customHeight="1">
      <c r="A4591" s="1"/>
      <c r="B4591" s="26"/>
      <c r="C4591" s="6" t="s">
        <v>5580</v>
      </c>
      <c r="D4591" s="14" t="s">
        <v>4994</v>
      </c>
      <c r="E4591" s="19" t="s">
        <v>4995</v>
      </c>
      <c r="F4591" s="107"/>
      <c r="G4591" s="22"/>
      <c r="H4591" s="108"/>
      <c r="I4591" s="109"/>
      <c r="J4591" s="108"/>
      <c r="K4591" s="110" t="s">
        <v>5</v>
      </c>
      <c r="L4591" s="33"/>
      <c r="M4591" s="33"/>
      <c r="N4591" s="33">
        <v>45831</v>
      </c>
      <c r="O4591" s="32">
        <v>7145</v>
      </c>
      <c r="P4591" s="14"/>
      <c r="Q4591" s="254"/>
      <c r="R4591" s="1"/>
      <c r="S4591" s="261"/>
      <c r="T4591" s="92"/>
      <c r="U4591" s="264"/>
      <c r="V4591" s="260">
        <v>120</v>
      </c>
      <c r="W4591" s="1136" t="e">
        <f t="shared" si="420"/>
        <v>#VALUE!</v>
      </c>
      <c r="X4591" s="1"/>
      <c r="Y4591" s="1"/>
      <c r="Z4591" s="1"/>
      <c r="AA4591" s="1"/>
      <c r="AB4591" s="1"/>
      <c r="AC4591" s="1"/>
      <c r="AD4591" s="1"/>
      <c r="AE4591" s="1"/>
      <c r="AF4591" s="1"/>
      <c r="AG4591" s="1"/>
      <c r="AH4591" s="1"/>
      <c r="AI4591" s="1"/>
      <c r="AJ4591" s="1"/>
      <c r="AK4591" s="1"/>
      <c r="AL4591" s="1"/>
      <c r="AM4591" s="1"/>
      <c r="AN4591" s="1"/>
      <c r="AO4591" s="1"/>
      <c r="AP4591" s="1"/>
      <c r="AQ4591" s="1"/>
      <c r="AR4591" s="1"/>
      <c r="AS4591" s="1"/>
      <c r="AT4591" s="1"/>
      <c r="AU4591" s="1"/>
      <c r="AV4591" s="1"/>
      <c r="AW4591" s="1"/>
      <c r="AX4591" s="1"/>
      <c r="AY4591" s="1"/>
    </row>
    <row r="4592" spans="1:51" customFormat="1" ht="18" customHeight="1">
      <c r="B4592" s="12" t="s">
        <v>302</v>
      </c>
      <c r="C4592" s="6" t="s">
        <v>5580</v>
      </c>
      <c r="D4592" s="14" t="s">
        <v>4994</v>
      </c>
      <c r="E4592" s="22" t="s">
        <v>4996</v>
      </c>
      <c r="F4592" s="107">
        <v>100</v>
      </c>
      <c r="G4592" s="22" t="s">
        <v>58</v>
      </c>
      <c r="H4592" s="108">
        <v>13.5</v>
      </c>
      <c r="I4592" s="109">
        <v>1</v>
      </c>
      <c r="J4592" s="131">
        <f>H4592*I4592</f>
        <v>13.5</v>
      </c>
      <c r="K4592" s="39">
        <v>29.85</v>
      </c>
      <c r="L4592" s="39">
        <f>K4592*J4592</f>
        <v>402.97500000000002</v>
      </c>
      <c r="M4592" s="117" t="s">
        <v>323</v>
      </c>
      <c r="N4592" s="33">
        <v>45831</v>
      </c>
      <c r="O4592" s="32">
        <v>7145</v>
      </c>
      <c r="P4592" s="391">
        <f>ROUNDUP(S4592/V4592/VLOOKUP(B4592,$C$2:$F$6,3,FALSE),2)</f>
        <v>27.14</v>
      </c>
      <c r="Q4592" s="254">
        <v>27.14</v>
      </c>
      <c r="R4592" s="323">
        <f>Q4592*J4592</f>
        <v>366.39</v>
      </c>
      <c r="S4592" s="1179">
        <v>2865</v>
      </c>
      <c r="T4592" s="287">
        <f>S4592*J4592</f>
        <v>38677.5</v>
      </c>
      <c r="U4592" s="264"/>
      <c r="V4592" s="260">
        <v>120</v>
      </c>
      <c r="W4592" s="1136">
        <f t="shared" si="420"/>
        <v>0.20016750418760468</v>
      </c>
      <c r="X4592" s="1"/>
      <c r="Y4592" s="1"/>
      <c r="Z4592" s="1"/>
      <c r="AA4592" s="1"/>
      <c r="AB4592" s="1"/>
      <c r="AC4592" s="1"/>
      <c r="AD4592" s="1"/>
      <c r="AE4592" s="1"/>
      <c r="AF4592" s="1"/>
      <c r="AG4592" s="1"/>
      <c r="AH4592" s="1"/>
      <c r="AI4592" s="1"/>
      <c r="AJ4592" s="1"/>
      <c r="AK4592" s="1"/>
      <c r="AL4592" s="1"/>
      <c r="AM4592" s="1"/>
      <c r="AN4592" s="1"/>
      <c r="AO4592" s="1"/>
      <c r="AP4592" s="1"/>
      <c r="AQ4592" s="1"/>
      <c r="AR4592" s="1"/>
      <c r="AS4592" s="1"/>
      <c r="AT4592" s="1"/>
      <c r="AU4592" s="1"/>
      <c r="AV4592" s="1"/>
      <c r="AW4592" s="1"/>
      <c r="AX4592" s="1"/>
      <c r="AY4592" s="1"/>
    </row>
    <row r="4593" spans="2:51" customFormat="1" ht="18" customHeight="1">
      <c r="B4593" s="12" t="s">
        <v>302</v>
      </c>
      <c r="C4593" s="6" t="s">
        <v>5580</v>
      </c>
      <c r="D4593" s="14" t="s">
        <v>4994</v>
      </c>
      <c r="E4593" s="22" t="s">
        <v>4996</v>
      </c>
      <c r="F4593" s="107">
        <v>100</v>
      </c>
      <c r="G4593" s="22" t="s">
        <v>58</v>
      </c>
      <c r="H4593" s="108">
        <v>13.7</v>
      </c>
      <c r="I4593" s="109">
        <v>1</v>
      </c>
      <c r="J4593" s="131">
        <f>H4593*I4593</f>
        <v>13.7</v>
      </c>
      <c r="K4593" s="39">
        <v>29.85</v>
      </c>
      <c r="L4593" s="39">
        <f>K4593*J4593</f>
        <v>408.94499999999999</v>
      </c>
      <c r="M4593" s="117" t="s">
        <v>323</v>
      </c>
      <c r="N4593" s="33">
        <v>45831</v>
      </c>
      <c r="O4593" s="32">
        <v>7145</v>
      </c>
      <c r="P4593" s="391">
        <f>ROUNDUP(S4593/V4593/VLOOKUP(B4593,$C$2:$F$6,3,FALSE),2)</f>
        <v>27.14</v>
      </c>
      <c r="Q4593" s="254">
        <v>27.14</v>
      </c>
      <c r="R4593" s="323">
        <f>Q4593*J4593</f>
        <v>371.81799999999998</v>
      </c>
      <c r="S4593" s="1179">
        <v>2865</v>
      </c>
      <c r="T4593" s="287">
        <f>S4593*J4593</f>
        <v>39250.5</v>
      </c>
      <c r="U4593" s="264"/>
      <c r="V4593" s="260">
        <v>120</v>
      </c>
      <c r="W4593" s="1136">
        <f>(((K4593*V4593)-S4593)/(K4593*V4593))</f>
        <v>0.20016750418760468</v>
      </c>
      <c r="X4593" s="1"/>
      <c r="Y4593" s="1"/>
      <c r="Z4593" s="1"/>
      <c r="AA4593" s="1"/>
      <c r="AB4593" s="1"/>
      <c r="AC4593" s="1"/>
      <c r="AD4593" s="1"/>
      <c r="AE4593" s="1"/>
      <c r="AF4593" s="1"/>
      <c r="AG4593" s="1"/>
      <c r="AH4593" s="1"/>
      <c r="AI4593" s="1"/>
      <c r="AJ4593" s="1"/>
      <c r="AK4593" s="1"/>
      <c r="AL4593" s="1"/>
      <c r="AM4593" s="1"/>
      <c r="AN4593" s="1"/>
      <c r="AO4593" s="1"/>
      <c r="AP4593" s="1"/>
      <c r="AQ4593" s="1"/>
      <c r="AR4593" s="1"/>
      <c r="AS4593" s="1"/>
      <c r="AT4593" s="1"/>
      <c r="AU4593" s="1"/>
      <c r="AV4593" s="1"/>
      <c r="AW4593" s="1"/>
      <c r="AX4593" s="1"/>
      <c r="AY4593" s="1"/>
    </row>
    <row r="4594" spans="2:51" s="7" customFormat="1" ht="15">
      <c r="B4594" s="12"/>
      <c r="C4594" s="6" t="s">
        <v>5580</v>
      </c>
      <c r="D4594" s="14" t="s">
        <v>4994</v>
      </c>
      <c r="E4594" s="49"/>
      <c r="F4594" s="102"/>
      <c r="G4594" s="22" t="s">
        <v>316</v>
      </c>
      <c r="H4594" s="38"/>
      <c r="I4594" s="35"/>
      <c r="J4594" s="38">
        <v>1</v>
      </c>
      <c r="K4594" s="39">
        <v>20</v>
      </c>
      <c r="L4594" s="39">
        <f>K4594*J4594</f>
        <v>20</v>
      </c>
      <c r="M4594" s="91"/>
      <c r="N4594" s="33">
        <v>45831</v>
      </c>
      <c r="O4594" s="32">
        <v>7145</v>
      </c>
      <c r="P4594" s="722"/>
      <c r="Q4594" s="322">
        <v>20</v>
      </c>
      <c r="R4594" s="322">
        <f>Q4594*J4594</f>
        <v>20</v>
      </c>
      <c r="S4594" s="7">
        <v>0</v>
      </c>
      <c r="T4594" s="7">
        <f>S4594*J4594</f>
        <v>0</v>
      </c>
      <c r="U4594" s="21"/>
      <c r="V4594" s="260">
        <v>120</v>
      </c>
      <c r="W4594" s="1136">
        <f t="shared" si="420"/>
        <v>1</v>
      </c>
    </row>
    <row r="4595" spans="2:51" s="191" customFormat="1" ht="15">
      <c r="B4595" s="190"/>
      <c r="C4595" s="179" t="s">
        <v>5580</v>
      </c>
      <c r="D4595" s="180" t="s">
        <v>4994</v>
      </c>
      <c r="E4595" s="181"/>
      <c r="F4595" s="182"/>
      <c r="G4595" s="182" t="s">
        <v>2738</v>
      </c>
      <c r="H4595" s="184" t="s">
        <v>251</v>
      </c>
      <c r="I4595" s="185"/>
      <c r="J4595" s="183"/>
      <c r="K4595" s="192">
        <v>0</v>
      </c>
      <c r="L4595" s="187"/>
      <c r="M4595" s="187"/>
      <c r="N4595" s="187">
        <v>45831</v>
      </c>
      <c r="O4595" s="186">
        <v>7145</v>
      </c>
      <c r="P4595" s="179"/>
      <c r="Q4595" s="203"/>
      <c r="R4595" s="203"/>
      <c r="S4595" s="203"/>
      <c r="T4595" s="203"/>
      <c r="U4595" s="271"/>
      <c r="V4595" s="260">
        <v>120</v>
      </c>
      <c r="W4595" s="1136" t="e">
        <f t="shared" si="420"/>
        <v>#DIV/0!</v>
      </c>
    </row>
    <row r="4596" spans="2:51" s="7" customFormat="1" ht="15" customHeight="1">
      <c r="B4596" s="12"/>
      <c r="C4596" s="6" t="s">
        <v>5607</v>
      </c>
      <c r="D4596" s="14" t="s">
        <v>5608</v>
      </c>
      <c r="E4596" s="19" t="s">
        <v>4809</v>
      </c>
      <c r="F4596" s="107"/>
      <c r="G4596" s="22"/>
      <c r="H4596" s="108"/>
      <c r="I4596" s="109"/>
      <c r="J4596" s="108"/>
      <c r="K4596" s="29" t="s">
        <v>5</v>
      </c>
      <c r="L4596" s="39"/>
      <c r="M4596" s="91"/>
      <c r="N4596" s="33">
        <v>45800</v>
      </c>
      <c r="O4596" s="32">
        <v>7154</v>
      </c>
      <c r="P4596" s="14"/>
      <c r="Q4596" s="322"/>
      <c r="U4596" s="14"/>
      <c r="V4596" s="384">
        <v>120</v>
      </c>
    </row>
    <row r="4597" spans="2:51" s="7" customFormat="1" ht="18" customHeight="1">
      <c r="B4597" s="12" t="s">
        <v>302</v>
      </c>
      <c r="C4597" s="6" t="s">
        <v>5607</v>
      </c>
      <c r="D4597" s="14" t="s">
        <v>5608</v>
      </c>
      <c r="E4597" s="22" t="s">
        <v>4808</v>
      </c>
      <c r="F4597" s="107">
        <v>140</v>
      </c>
      <c r="G4597" s="396" t="s">
        <v>4483</v>
      </c>
      <c r="H4597" s="131">
        <v>29.2</v>
      </c>
      <c r="I4597" s="109">
        <v>1</v>
      </c>
      <c r="J4597" s="131">
        <f>H4597*I4597</f>
        <v>29.2</v>
      </c>
      <c r="K4597" s="39">
        <v>14.64</v>
      </c>
      <c r="L4597" s="39">
        <f>K4597*J4597</f>
        <v>427.488</v>
      </c>
      <c r="M4597" s="117" t="s">
        <v>323</v>
      </c>
      <c r="N4597" s="1499">
        <v>45800</v>
      </c>
      <c r="O4597" s="32">
        <v>7154</v>
      </c>
      <c r="P4597" s="391">
        <f>ROUNDUP(S4597/V4597/VLOOKUP(B4597,$C$2:$F$6,3,FALSE),2)</f>
        <v>11.94</v>
      </c>
      <c r="Q4597" s="322">
        <v>11.94</v>
      </c>
      <c r="R4597" s="322">
        <f>Q4597*J4597</f>
        <v>348.64799999999997</v>
      </c>
      <c r="S4597" s="92">
        <v>1260</v>
      </c>
      <c r="T4597" s="7">
        <f>S4597*J4597</f>
        <v>36792</v>
      </c>
      <c r="U4597" s="21"/>
      <c r="V4597" s="260">
        <v>120</v>
      </c>
      <c r="W4597" s="1136">
        <f>(((K4597*V4597)-S4597)/(K4597*V4597))</f>
        <v>0.28278688524590173</v>
      </c>
    </row>
    <row r="4598" spans="2:51" s="7" customFormat="1" ht="18" customHeight="1">
      <c r="B4598" s="12" t="s">
        <v>302</v>
      </c>
      <c r="C4598" s="6" t="s">
        <v>5607</v>
      </c>
      <c r="D4598" s="14" t="s">
        <v>5608</v>
      </c>
      <c r="E4598" s="22" t="s">
        <v>4808</v>
      </c>
      <c r="F4598" s="107">
        <v>140</v>
      </c>
      <c r="G4598" s="396" t="s">
        <v>4483</v>
      </c>
      <c r="H4598" s="131">
        <v>34.6</v>
      </c>
      <c r="I4598" s="109">
        <v>1</v>
      </c>
      <c r="J4598" s="131">
        <f>H4598*I4598</f>
        <v>34.6</v>
      </c>
      <c r="K4598" s="39">
        <v>14.64</v>
      </c>
      <c r="L4598" s="39">
        <f>K4598*J4598</f>
        <v>506.54400000000004</v>
      </c>
      <c r="M4598" s="117" t="s">
        <v>323</v>
      </c>
      <c r="N4598" s="1499">
        <v>45800</v>
      </c>
      <c r="O4598" s="32">
        <v>7154</v>
      </c>
      <c r="P4598" s="391">
        <f>ROUNDUP(S4598/V4598/VLOOKUP(B4598,$C$2:$F$6,3,FALSE),2)</f>
        <v>11.94</v>
      </c>
      <c r="Q4598" s="322">
        <v>11.94</v>
      </c>
      <c r="R4598" s="322">
        <f>Q4598*J4598</f>
        <v>413.12400000000002</v>
      </c>
      <c r="S4598" s="92">
        <v>1260</v>
      </c>
      <c r="T4598" s="7">
        <f>S4598*J4598</f>
        <v>43596</v>
      </c>
      <c r="U4598" s="21"/>
      <c r="V4598" s="260">
        <v>120</v>
      </c>
      <c r="W4598" s="1136">
        <f>(((K4598*V4598)-S4598)/(K4598*V4598))</f>
        <v>0.28278688524590173</v>
      </c>
    </row>
    <row r="4599" spans="2:51" s="7" customFormat="1" ht="18" customHeight="1">
      <c r="B4599" s="12" t="s">
        <v>302</v>
      </c>
      <c r="C4599" s="6" t="s">
        <v>5607</v>
      </c>
      <c r="D4599" s="14" t="s">
        <v>5608</v>
      </c>
      <c r="E4599" s="22" t="s">
        <v>4808</v>
      </c>
      <c r="F4599" s="107">
        <v>140</v>
      </c>
      <c r="G4599" s="396" t="s">
        <v>4483</v>
      </c>
      <c r="H4599" s="131">
        <v>46.1</v>
      </c>
      <c r="I4599" s="109">
        <v>1</v>
      </c>
      <c r="J4599" s="131">
        <f>H4599*I4599</f>
        <v>46.1</v>
      </c>
      <c r="K4599" s="39">
        <v>14.64</v>
      </c>
      <c r="L4599" s="39">
        <f>K4599*J4599</f>
        <v>674.904</v>
      </c>
      <c r="M4599" s="117" t="s">
        <v>323</v>
      </c>
      <c r="N4599" s="1499">
        <v>45800</v>
      </c>
      <c r="O4599" s="32">
        <v>7154</v>
      </c>
      <c r="P4599" s="391">
        <f>ROUNDUP(S4599/V4599/VLOOKUP(B4599,$C$2:$F$6,3,FALSE),2)</f>
        <v>11.94</v>
      </c>
      <c r="Q4599" s="322">
        <v>11.94</v>
      </c>
      <c r="R4599" s="322">
        <f>Q4599*J4599</f>
        <v>550.43399999999997</v>
      </c>
      <c r="S4599" s="92">
        <v>1260</v>
      </c>
      <c r="T4599" s="7">
        <f>S4599*J4599</f>
        <v>58086</v>
      </c>
      <c r="U4599" s="21"/>
      <c r="V4599" s="260">
        <v>120</v>
      </c>
      <c r="W4599" s="1136">
        <f>(((K4599*V4599)-S4599)/(K4599*V4599))</f>
        <v>0.28278688524590173</v>
      </c>
    </row>
    <row r="4600" spans="2:51" s="7" customFormat="1" ht="18" customHeight="1">
      <c r="B4600" s="12"/>
      <c r="C4600" s="6" t="s">
        <v>5607</v>
      </c>
      <c r="D4600" s="14" t="s">
        <v>5608</v>
      </c>
      <c r="E4600" s="49"/>
      <c r="F4600" s="102"/>
      <c r="G4600" s="22" t="s">
        <v>316</v>
      </c>
      <c r="H4600" s="8"/>
      <c r="I4600" s="35"/>
      <c r="J4600" s="38">
        <v>1</v>
      </c>
      <c r="K4600" s="39">
        <v>20</v>
      </c>
      <c r="L4600" s="39">
        <f>K4600*J4600</f>
        <v>20</v>
      </c>
      <c r="M4600" s="91"/>
      <c r="N4600" s="33">
        <v>45800</v>
      </c>
      <c r="O4600" s="32">
        <v>7154</v>
      </c>
      <c r="P4600" s="6" t="s">
        <v>3</v>
      </c>
      <c r="Q4600" s="39">
        <v>20</v>
      </c>
      <c r="R4600" s="322">
        <f>Q4600*J4600</f>
        <v>20</v>
      </c>
      <c r="S4600" s="7">
        <v>0</v>
      </c>
      <c r="T4600" s="7">
        <f>S4600*J4600</f>
        <v>0</v>
      </c>
      <c r="U4600" s="21"/>
      <c r="V4600" s="260">
        <v>120</v>
      </c>
      <c r="W4600" s="1136">
        <f>(((K4600*V4600)-S4600)/(K4600*V4600))</f>
        <v>1</v>
      </c>
    </row>
    <row r="4601" spans="2:51" s="191" customFormat="1" ht="18" customHeight="1">
      <c r="B4601" s="190"/>
      <c r="C4601" s="179" t="s">
        <v>5607</v>
      </c>
      <c r="D4601" s="180" t="s">
        <v>5608</v>
      </c>
      <c r="E4601" s="181"/>
      <c r="F4601" s="622"/>
      <c r="G4601" s="182" t="s">
        <v>250</v>
      </c>
      <c r="H4601" s="184" t="s">
        <v>251</v>
      </c>
      <c r="I4601" s="185"/>
      <c r="J4601" s="183"/>
      <c r="K4601" s="192">
        <v>0</v>
      </c>
      <c r="L4601" s="187"/>
      <c r="M4601" s="187"/>
      <c r="N4601" s="187">
        <v>45800</v>
      </c>
      <c r="O4601" s="186">
        <v>7154</v>
      </c>
      <c r="P4601" s="179"/>
      <c r="Q4601" s="255">
        <v>0</v>
      </c>
      <c r="R4601" s="322">
        <v>0</v>
      </c>
      <c r="S4601" s="275">
        <v>0</v>
      </c>
      <c r="T4601" s="198">
        <v>0</v>
      </c>
      <c r="U4601" s="271"/>
      <c r="V4601" s="260">
        <v>120</v>
      </c>
      <c r="W4601" s="1136" t="e">
        <f>(((K4601*V4601)-S4601)/(K4601*V4601))</f>
        <v>#DIV/0!</v>
      </c>
    </row>
    <row r="4602" spans="2:51" s="7" customFormat="1" ht="18" customHeight="1">
      <c r="B4602" s="12"/>
      <c r="C4602" s="6" t="s">
        <v>5604</v>
      </c>
      <c r="D4602" s="14" t="s">
        <v>5605</v>
      </c>
      <c r="E4602" s="19" t="s">
        <v>2358</v>
      </c>
      <c r="F4602" s="24"/>
      <c r="G4602" s="22"/>
      <c r="H4602" s="60"/>
      <c r="I4602" s="61"/>
      <c r="J4602" s="60"/>
      <c r="K4602" s="16" t="s">
        <v>5</v>
      </c>
      <c r="L4602" s="139"/>
      <c r="M4602" s="33"/>
      <c r="N4602" s="33">
        <v>45818</v>
      </c>
      <c r="O4602" s="32">
        <v>7192</v>
      </c>
      <c r="P4602" s="6" t="s">
        <v>3</v>
      </c>
      <c r="Q4602" s="358"/>
      <c r="S4602" s="1434"/>
      <c r="U4602" s="120"/>
      <c r="V4602" s="260">
        <v>120</v>
      </c>
    </row>
    <row r="4603" spans="2:51" s="7" customFormat="1" ht="18" customHeight="1">
      <c r="B4603" s="12" t="s">
        <v>300</v>
      </c>
      <c r="C4603" s="6" t="s">
        <v>5604</v>
      </c>
      <c r="D4603" s="14" t="s">
        <v>5605</v>
      </c>
      <c r="E4603" s="22" t="s">
        <v>5602</v>
      </c>
      <c r="F4603" s="24"/>
      <c r="G4603" s="22" t="s">
        <v>5603</v>
      </c>
      <c r="H4603" s="108"/>
      <c r="I4603" s="109"/>
      <c r="J4603" s="8">
        <v>50</v>
      </c>
      <c r="K4603" s="39">
        <v>2.87</v>
      </c>
      <c r="L4603" s="39">
        <f>K4603*J4603</f>
        <v>143.5</v>
      </c>
      <c r="M4603" s="117" t="s">
        <v>323</v>
      </c>
      <c r="N4603" s="33">
        <v>45818</v>
      </c>
      <c r="O4603" s="32">
        <v>7192</v>
      </c>
      <c r="P4603" s="391">
        <f>ROUNDUP(S4603/V4603/VLOOKUP(B4603,$C$2:$F$6,3,FALSE),2)</f>
        <v>2.46</v>
      </c>
      <c r="Q4603" s="322">
        <v>2.46</v>
      </c>
      <c r="R4603" s="322">
        <f>Q4603*J4603</f>
        <v>123</v>
      </c>
      <c r="S4603" s="1488">
        <f>126+80</f>
        <v>206</v>
      </c>
      <c r="T4603" s="7">
        <f>S4603*J4603</f>
        <v>10300</v>
      </c>
      <c r="U4603" s="386"/>
      <c r="V4603" s="260">
        <v>120</v>
      </c>
      <c r="W4603" s="1136">
        <f t="shared" ref="W4603:W4625" si="421">(((K4603*V4603)-S4603)/(K4603*V4603))</f>
        <v>0.40185830429732877</v>
      </c>
    </row>
    <row r="4604" spans="2:51" s="7" customFormat="1" ht="18" customHeight="1">
      <c r="B4604" s="12"/>
      <c r="C4604" s="6" t="s">
        <v>5604</v>
      </c>
      <c r="D4604" s="14" t="s">
        <v>5605</v>
      </c>
      <c r="E4604" s="82"/>
      <c r="F4604" s="102"/>
      <c r="G4604" s="22" t="s">
        <v>316</v>
      </c>
      <c r="H4604" s="8"/>
      <c r="I4604" s="35"/>
      <c r="J4604" s="38">
        <v>1</v>
      </c>
      <c r="K4604" s="39">
        <v>12</v>
      </c>
      <c r="L4604" s="39">
        <f>K4604*J4604</f>
        <v>12</v>
      </c>
      <c r="M4604" s="91"/>
      <c r="N4604" s="33">
        <v>45818</v>
      </c>
      <c r="O4604" s="32">
        <v>7192</v>
      </c>
      <c r="P4604" s="6"/>
      <c r="Q4604" s="322">
        <v>12</v>
      </c>
      <c r="R4604" s="322">
        <f>Q4604*J4604</f>
        <v>12</v>
      </c>
      <c r="S4604" s="7">
        <v>0</v>
      </c>
      <c r="T4604" s="7">
        <v>0</v>
      </c>
      <c r="U4604" s="21"/>
      <c r="V4604" s="260">
        <v>120</v>
      </c>
      <c r="W4604" s="1136">
        <f>(((K4604*V4604)-S4604)/(K4604*V4604))</f>
        <v>1</v>
      </c>
    </row>
    <row r="4605" spans="2:51" s="7" customFormat="1" ht="18" customHeight="1">
      <c r="B4605" s="12" t="s">
        <v>300</v>
      </c>
      <c r="C4605" s="6" t="s">
        <v>5647</v>
      </c>
      <c r="D4605" s="14" t="s">
        <v>5605</v>
      </c>
      <c r="E4605" s="22" t="s">
        <v>5602</v>
      </c>
      <c r="F4605" s="24"/>
      <c r="G4605" s="22" t="s">
        <v>5603</v>
      </c>
      <c r="H4605" s="108"/>
      <c r="I4605" s="109"/>
      <c r="J4605" s="8">
        <v>5</v>
      </c>
      <c r="K4605" s="39">
        <v>2.87</v>
      </c>
      <c r="L4605" s="39">
        <f>K4605*J4605</f>
        <v>14.350000000000001</v>
      </c>
      <c r="M4605" s="117" t="s">
        <v>323</v>
      </c>
      <c r="N4605" s="33">
        <v>45818</v>
      </c>
      <c r="O4605" s="32">
        <v>7152</v>
      </c>
      <c r="P4605" s="391">
        <f>ROUNDUP(S4605/V4605/VLOOKUP(B4605,$C$2:$F$6,3,FALSE),2)</f>
        <v>2.46</v>
      </c>
      <c r="Q4605" s="322">
        <v>2.46</v>
      </c>
      <c r="R4605" s="322">
        <f>Q4605*J4605</f>
        <v>12.3</v>
      </c>
      <c r="S4605" s="1488">
        <f>126+80</f>
        <v>206</v>
      </c>
      <c r="T4605" s="7">
        <f>S4605*J4605</f>
        <v>1030</v>
      </c>
      <c r="U4605" s="386"/>
      <c r="V4605" s="260">
        <v>120</v>
      </c>
      <c r="W4605" s="1136">
        <f>(((K4605*V4605)-S4605)/(K4605*V4605))</f>
        <v>0.40185830429732877</v>
      </c>
    </row>
    <row r="4606" spans="2:51" s="7" customFormat="1" ht="18" customHeight="1">
      <c r="B4606" s="12" t="s">
        <v>300</v>
      </c>
      <c r="C4606" s="6" t="s">
        <v>5647</v>
      </c>
      <c r="D4606" s="14" t="s">
        <v>5605</v>
      </c>
      <c r="E4606" s="22" t="s">
        <v>5602</v>
      </c>
      <c r="F4606" s="24"/>
      <c r="G4606" s="22" t="s">
        <v>5603</v>
      </c>
      <c r="H4606" s="108"/>
      <c r="I4606" s="109"/>
      <c r="J4606" s="8">
        <v>45</v>
      </c>
      <c r="K4606" s="39">
        <v>2.87</v>
      </c>
      <c r="L4606" s="39">
        <f>K4606*J4606</f>
        <v>129.15</v>
      </c>
      <c r="M4606" s="117" t="s">
        <v>323</v>
      </c>
      <c r="N4606" s="33">
        <v>45818</v>
      </c>
      <c r="O4606" s="32">
        <v>7152</v>
      </c>
      <c r="P4606" s="391">
        <f>ROUNDUP(S4606/V4606/VLOOKUP(B4606,$C$2:$F$6,3,FALSE),2)</f>
        <v>2.46</v>
      </c>
      <c r="Q4606" s="322">
        <v>2.46</v>
      </c>
      <c r="R4606" s="322">
        <f>Q4606*J4606</f>
        <v>110.7</v>
      </c>
      <c r="S4606" s="1488">
        <f>126+80</f>
        <v>206</v>
      </c>
      <c r="T4606" s="7">
        <f>S4606*J4606</f>
        <v>9270</v>
      </c>
      <c r="U4606" s="386"/>
      <c r="V4606" s="260">
        <v>120</v>
      </c>
      <c r="W4606" s="1136">
        <f>(((K4606*V4606)-S4606)/(K4606*V4606))</f>
        <v>0.40185830429732877</v>
      </c>
    </row>
    <row r="4607" spans="2:51" s="191" customFormat="1" ht="18" customHeight="1">
      <c r="B4607" s="190"/>
      <c r="C4607" s="179" t="s">
        <v>5604</v>
      </c>
      <c r="D4607" s="180" t="s">
        <v>5605</v>
      </c>
      <c r="E4607" s="181"/>
      <c r="F4607" s="182"/>
      <c r="G4607" s="182" t="s">
        <v>250</v>
      </c>
      <c r="H4607" s="184" t="s">
        <v>251</v>
      </c>
      <c r="I4607" s="185"/>
      <c r="J4607" s="183"/>
      <c r="K4607" s="192">
        <v>0</v>
      </c>
      <c r="L4607" s="946"/>
      <c r="M4607" s="947"/>
      <c r="N4607" s="187">
        <v>45818</v>
      </c>
      <c r="O4607" s="186">
        <v>7152</v>
      </c>
      <c r="P4607" s="179"/>
      <c r="Q4607" s="322">
        <v>0</v>
      </c>
      <c r="R4607" s="218"/>
      <c r="S4607" s="197">
        <v>0</v>
      </c>
      <c r="T4607" s="197">
        <v>0</v>
      </c>
      <c r="U4607" s="335"/>
      <c r="V4607" s="260">
        <v>120</v>
      </c>
      <c r="W4607" s="1136" t="e">
        <f t="shared" si="421"/>
        <v>#DIV/0!</v>
      </c>
      <c r="X4607" s="218"/>
    </row>
    <row r="4608" spans="2:51" s="7" customFormat="1" ht="18" customHeight="1">
      <c r="B4608" s="12"/>
      <c r="C4608" s="6" t="s">
        <v>5624</v>
      </c>
      <c r="D4608" s="14" t="s">
        <v>5605</v>
      </c>
      <c r="E4608" s="19" t="s">
        <v>2358</v>
      </c>
      <c r="F4608" s="24"/>
      <c r="G4608" s="22"/>
      <c r="H4608" s="60"/>
      <c r="I4608" s="61"/>
      <c r="J4608" s="60"/>
      <c r="K4608" s="16" t="s">
        <v>5</v>
      </c>
      <c r="L4608" s="139"/>
      <c r="M4608" s="33"/>
      <c r="N4608" s="33">
        <v>45818</v>
      </c>
      <c r="O4608" s="32">
        <v>7192</v>
      </c>
      <c r="P4608" s="6" t="s">
        <v>3</v>
      </c>
      <c r="Q4608" s="358"/>
      <c r="S4608" s="1434"/>
      <c r="U4608" s="120"/>
      <c r="V4608" s="260">
        <v>120</v>
      </c>
    </row>
    <row r="4609" spans="2:24" s="7" customFormat="1" ht="18" customHeight="1">
      <c r="B4609" s="12" t="s">
        <v>300</v>
      </c>
      <c r="C4609" s="6" t="s">
        <v>5624</v>
      </c>
      <c r="D4609" s="14" t="s">
        <v>5605</v>
      </c>
      <c r="E4609" s="22" t="s">
        <v>5602</v>
      </c>
      <c r="F4609" s="24"/>
      <c r="G4609" s="22" t="s">
        <v>5318</v>
      </c>
      <c r="H4609" s="108"/>
      <c r="I4609" s="109"/>
      <c r="J4609" s="8">
        <v>130</v>
      </c>
      <c r="K4609" s="39">
        <v>1.75</v>
      </c>
      <c r="L4609" s="39">
        <f>K4609*J4609</f>
        <v>227.5</v>
      </c>
      <c r="M4609" s="117" t="s">
        <v>323</v>
      </c>
      <c r="N4609" s="33">
        <v>45818</v>
      </c>
      <c r="O4609" s="32">
        <v>7192</v>
      </c>
      <c r="P4609" s="391">
        <f>ROUNDUP(S4609/V4609/VLOOKUP(B4609,$C$2:$F$6,3,FALSE),2)</f>
        <v>1.5</v>
      </c>
      <c r="Q4609" s="322">
        <v>1.5</v>
      </c>
      <c r="R4609" s="322">
        <f>Q4609*J4609</f>
        <v>195</v>
      </c>
      <c r="S4609" s="1488">
        <v>126</v>
      </c>
      <c r="T4609" s="7">
        <f>S4609*J4609</f>
        <v>16380</v>
      </c>
      <c r="U4609" s="386"/>
      <c r="V4609" s="260">
        <v>120</v>
      </c>
      <c r="W4609" s="1136">
        <f>(((K4609*V4609)-S4609)/(K4609*V4609))</f>
        <v>0.4</v>
      </c>
    </row>
    <row r="4610" spans="2:24" s="7" customFormat="1" ht="18" customHeight="1">
      <c r="B4610" s="12"/>
      <c r="C4610" s="6" t="s">
        <v>5624</v>
      </c>
      <c r="D4610" s="14" t="s">
        <v>5605</v>
      </c>
      <c r="E4610" s="82"/>
      <c r="F4610" s="102"/>
      <c r="G4610" s="22" t="s">
        <v>316</v>
      </c>
      <c r="H4610" s="8"/>
      <c r="I4610" s="35"/>
      <c r="J4610" s="38">
        <v>1</v>
      </c>
      <c r="K4610" s="39">
        <v>12</v>
      </c>
      <c r="L4610" s="39">
        <f>K4610*J4610</f>
        <v>12</v>
      </c>
      <c r="M4610" s="91"/>
      <c r="N4610" s="33">
        <v>45818</v>
      </c>
      <c r="O4610" s="32">
        <v>7192</v>
      </c>
      <c r="P4610" s="6"/>
      <c r="Q4610" s="322">
        <v>12</v>
      </c>
      <c r="R4610" s="322">
        <f>Q4610*J4610</f>
        <v>12</v>
      </c>
      <c r="S4610" s="7">
        <v>0</v>
      </c>
      <c r="T4610" s="7">
        <f>S4610*J4610</f>
        <v>0</v>
      </c>
      <c r="U4610" s="21"/>
      <c r="V4610" s="260">
        <v>120</v>
      </c>
      <c r="W4610" s="1136">
        <f>(((K4610*V4610)-S4610)/(K4610*V4610))</f>
        <v>1</v>
      </c>
    </row>
    <row r="4611" spans="2:24" s="191" customFormat="1" ht="18" customHeight="1">
      <c r="B4611" s="190"/>
      <c r="C4611" s="179" t="s">
        <v>5624</v>
      </c>
      <c r="D4611" s="180" t="s">
        <v>5605</v>
      </c>
      <c r="E4611" s="181"/>
      <c r="F4611" s="182"/>
      <c r="G4611" s="182" t="s">
        <v>250</v>
      </c>
      <c r="H4611" s="184" t="s">
        <v>251</v>
      </c>
      <c r="I4611" s="185"/>
      <c r="J4611" s="183"/>
      <c r="K4611" s="192">
        <v>0</v>
      </c>
      <c r="L4611" s="946"/>
      <c r="M4611" s="947"/>
      <c r="N4611" s="187">
        <v>45818</v>
      </c>
      <c r="O4611" s="186">
        <v>7192</v>
      </c>
      <c r="P4611" s="179"/>
      <c r="Q4611" s="322">
        <v>0</v>
      </c>
      <c r="R4611" s="218"/>
      <c r="S4611" s="197">
        <v>0</v>
      </c>
      <c r="T4611" s="197">
        <v>0</v>
      </c>
      <c r="U4611" s="335"/>
      <c r="V4611" s="260">
        <v>120</v>
      </c>
      <c r="W4611" s="1136" t="e">
        <f>(((K4611*V4611)-S4611)/(K4611*V4611))</f>
        <v>#DIV/0!</v>
      </c>
      <c r="X4611" s="218"/>
    </row>
    <row r="4612" spans="2:24" ht="15">
      <c r="C4612" s="6" t="s">
        <v>5606</v>
      </c>
      <c r="D4612" s="14" t="s">
        <v>3067</v>
      </c>
      <c r="E4612" s="19" t="s">
        <v>4626</v>
      </c>
      <c r="F4612" s="107"/>
      <c r="G4612" s="22"/>
      <c r="H4612" s="108"/>
      <c r="I4612" s="109"/>
      <c r="J4612" s="108"/>
      <c r="K4612" s="110" t="s">
        <v>5</v>
      </c>
      <c r="L4612" s="33"/>
      <c r="M4612" s="33"/>
      <c r="N4612" s="33">
        <v>45803</v>
      </c>
      <c r="O4612" s="32">
        <v>7143</v>
      </c>
      <c r="P4612" s="14"/>
      <c r="Q4612" s="254"/>
      <c r="S4612" s="1196"/>
      <c r="T4612" s="92"/>
      <c r="U4612" s="264"/>
      <c r="V4612" s="260">
        <v>120</v>
      </c>
      <c r="W4612" s="1136" t="e">
        <f t="shared" si="421"/>
        <v>#VALUE!</v>
      </c>
    </row>
    <row r="4613" spans="2:24" ht="15.75">
      <c r="B4613" s="12" t="s">
        <v>302</v>
      </c>
      <c r="C4613" s="6" t="s">
        <v>5606</v>
      </c>
      <c r="D4613" s="14" t="s">
        <v>3067</v>
      </c>
      <c r="E4613" s="221" t="s">
        <v>5231</v>
      </c>
      <c r="F4613" s="133" t="s">
        <v>3061</v>
      </c>
      <c r="G4613" s="396" t="s">
        <v>4625</v>
      </c>
      <c r="H4613" s="18">
        <v>44.3</v>
      </c>
      <c r="I4613" s="61">
        <v>1</v>
      </c>
      <c r="J4613" s="131">
        <f>H4613*I4613</f>
        <v>44.3</v>
      </c>
      <c r="K4613" s="322">
        <v>23.6</v>
      </c>
      <c r="L4613" s="39">
        <f>ROUND(K4613*J4613,3)</f>
        <v>1045.48</v>
      </c>
      <c r="M4613" s="117" t="s">
        <v>323</v>
      </c>
      <c r="N4613" s="33">
        <v>45803</v>
      </c>
      <c r="O4613" s="32">
        <v>7143</v>
      </c>
      <c r="P4613" s="391">
        <f>ROUNDUP(S4613/V4613/VLOOKUP(B4613,$C$2:$F$6,3,FALSE),2)</f>
        <v>20.650000000000002</v>
      </c>
      <c r="Q4613" s="254">
        <v>20.65</v>
      </c>
      <c r="R4613" s="323">
        <f>ROUND(Q4613*J4613,2)</f>
        <v>914.8</v>
      </c>
      <c r="S4613" s="273">
        <v>2180</v>
      </c>
      <c r="T4613" s="287">
        <f>S4613*J4613</f>
        <v>96574</v>
      </c>
      <c r="U4613" s="264"/>
      <c r="V4613" s="260">
        <v>120</v>
      </c>
      <c r="W4613" s="1136">
        <f t="shared" si="421"/>
        <v>0.23022598870056496</v>
      </c>
    </row>
    <row r="4614" spans="2:24" ht="15.75">
      <c r="B4614" s="12" t="s">
        <v>302</v>
      </c>
      <c r="C4614" s="6" t="s">
        <v>5606</v>
      </c>
      <c r="D4614" s="14" t="s">
        <v>3067</v>
      </c>
      <c r="E4614" s="221" t="s">
        <v>5231</v>
      </c>
      <c r="F4614" s="133" t="s">
        <v>3061</v>
      </c>
      <c r="G4614" s="396" t="s">
        <v>4625</v>
      </c>
      <c r="H4614" s="18">
        <v>44.4</v>
      </c>
      <c r="I4614" s="61">
        <v>1</v>
      </c>
      <c r="J4614" s="131">
        <f>H4614*I4614</f>
        <v>44.4</v>
      </c>
      <c r="K4614" s="322">
        <v>23.6</v>
      </c>
      <c r="L4614" s="39">
        <f>ROUND(K4614*J4614,3)</f>
        <v>1047.8399999999999</v>
      </c>
      <c r="M4614" s="117" t="s">
        <v>323</v>
      </c>
      <c r="N4614" s="33">
        <v>45803</v>
      </c>
      <c r="O4614" s="32">
        <v>7143</v>
      </c>
      <c r="P4614" s="391">
        <f>ROUNDUP(S4614/V4614/VLOOKUP(B4614,$C$2:$F$6,3,FALSE),2)</f>
        <v>20.650000000000002</v>
      </c>
      <c r="Q4614" s="254">
        <v>20.65</v>
      </c>
      <c r="R4614" s="323">
        <f>ROUND(Q4614*J4614,2)</f>
        <v>916.86</v>
      </c>
      <c r="S4614" s="273">
        <v>2180</v>
      </c>
      <c r="T4614" s="287">
        <f>S4614*J4614</f>
        <v>96792</v>
      </c>
      <c r="U4614" s="264"/>
      <c r="V4614" s="260">
        <v>120</v>
      </c>
      <c r="W4614" s="1136">
        <f>(((K4614*V4614)-S4614)/(K4614*V4614))</f>
        <v>0.23022598870056496</v>
      </c>
    </row>
    <row r="4615" spans="2:24" ht="15.75">
      <c r="B4615" s="12" t="s">
        <v>302</v>
      </c>
      <c r="C4615" s="6" t="s">
        <v>5606</v>
      </c>
      <c r="D4615" s="14" t="s">
        <v>3067</v>
      </c>
      <c r="E4615" s="221" t="s">
        <v>5231</v>
      </c>
      <c r="F4615" s="133" t="s">
        <v>3061</v>
      </c>
      <c r="G4615" s="396" t="s">
        <v>4625</v>
      </c>
      <c r="H4615" s="18">
        <v>41</v>
      </c>
      <c r="I4615" s="61">
        <v>1</v>
      </c>
      <c r="J4615" s="131">
        <f>H4615*I4615</f>
        <v>41</v>
      </c>
      <c r="K4615" s="322">
        <v>23.6</v>
      </c>
      <c r="L4615" s="39">
        <f>ROUND(K4615*J4615,3)</f>
        <v>967.6</v>
      </c>
      <c r="M4615" s="117" t="s">
        <v>323</v>
      </c>
      <c r="N4615" s="33">
        <v>45803</v>
      </c>
      <c r="O4615" s="32">
        <v>7143</v>
      </c>
      <c r="P4615" s="391">
        <f>ROUNDUP(S4615/V4615/VLOOKUP(B4615,$C$2:$F$6,3,FALSE),2)</f>
        <v>20.650000000000002</v>
      </c>
      <c r="Q4615" s="254">
        <v>20.65</v>
      </c>
      <c r="R4615" s="323">
        <f>ROUND(Q4615*J4615,2)</f>
        <v>846.65</v>
      </c>
      <c r="S4615" s="273">
        <v>2180</v>
      </c>
      <c r="T4615" s="287">
        <f>S4615*J4615</f>
        <v>89380</v>
      </c>
      <c r="U4615" s="264"/>
      <c r="V4615" s="260">
        <v>120</v>
      </c>
      <c r="W4615" s="1136">
        <f>(((K4615*V4615)-S4615)/(K4615*V4615))</f>
        <v>0.23022598870056496</v>
      </c>
    </row>
    <row r="4616" spans="2:24" s="191" customFormat="1" ht="18" customHeight="1">
      <c r="B4616" s="190"/>
      <c r="C4616" s="179" t="s">
        <v>5606</v>
      </c>
      <c r="D4616" s="180" t="s">
        <v>3067</v>
      </c>
      <c r="E4616" s="217"/>
      <c r="F4616" s="182"/>
      <c r="G4616" s="182" t="s">
        <v>250</v>
      </c>
      <c r="H4616" s="184" t="s">
        <v>251</v>
      </c>
      <c r="I4616" s="185"/>
      <c r="J4616" s="183"/>
      <c r="K4616" s="192">
        <v>0</v>
      </c>
      <c r="L4616" s="187"/>
      <c r="M4616" s="187"/>
      <c r="N4616" s="187">
        <v>45803</v>
      </c>
      <c r="O4616" s="186">
        <v>7143</v>
      </c>
      <c r="P4616" s="179"/>
      <c r="Q4616" s="255">
        <v>0</v>
      </c>
      <c r="R4616" s="322">
        <v>0</v>
      </c>
      <c r="S4616" s="275">
        <v>0</v>
      </c>
      <c r="T4616" s="198">
        <v>0</v>
      </c>
      <c r="U4616" s="271"/>
      <c r="V4616" s="260">
        <v>120</v>
      </c>
      <c r="W4616" s="1136" t="e">
        <f t="shared" si="421"/>
        <v>#DIV/0!</v>
      </c>
    </row>
    <row r="4617" spans="2:24" s="7" customFormat="1" ht="18" customHeight="1">
      <c r="B4617" s="12"/>
      <c r="C4617" s="6" t="s">
        <v>5609</v>
      </c>
      <c r="D4617" s="14" t="s">
        <v>5019</v>
      </c>
      <c r="E4617" s="7" t="s">
        <v>4812</v>
      </c>
      <c r="F4617" s="37"/>
      <c r="G4617" s="37"/>
      <c r="H4617" s="108"/>
      <c r="I4617" s="108"/>
      <c r="J4617" s="108"/>
      <c r="K4617" s="110" t="s">
        <v>5</v>
      </c>
      <c r="L4617" s="139"/>
      <c r="M4617" s="33"/>
      <c r="N4617" s="33">
        <v>45807</v>
      </c>
      <c r="O4617" s="32">
        <v>7153</v>
      </c>
      <c r="P4617" s="6"/>
      <c r="Q4617" s="339"/>
      <c r="U4617" s="21"/>
      <c r="V4617" s="260">
        <v>120</v>
      </c>
      <c r="W4617" s="1136" t="e">
        <f t="shared" si="421"/>
        <v>#VALUE!</v>
      </c>
    </row>
    <row r="4618" spans="2:24" s="7" customFormat="1" ht="18" customHeight="1">
      <c r="B4618" s="12" t="s">
        <v>300</v>
      </c>
      <c r="C4618" s="6" t="s">
        <v>5609</v>
      </c>
      <c r="D4618" s="14" t="s">
        <v>5019</v>
      </c>
      <c r="E4618" s="22">
        <v>5604</v>
      </c>
      <c r="F4618" s="24"/>
      <c r="G4618" s="22" t="s">
        <v>5610</v>
      </c>
      <c r="H4618" s="108">
        <v>50</v>
      </c>
      <c r="I4618" s="109">
        <v>21</v>
      </c>
      <c r="J4618" s="8">
        <f>H4618*I4618</f>
        <v>1050</v>
      </c>
      <c r="K4618" s="39">
        <v>0.47</v>
      </c>
      <c r="L4618" s="39">
        <f>K4618*J4618</f>
        <v>493.5</v>
      </c>
      <c r="M4618" s="117" t="s">
        <v>349</v>
      </c>
      <c r="N4618" s="33">
        <v>45807</v>
      </c>
      <c r="O4618" s="32">
        <v>7153</v>
      </c>
      <c r="P4618" s="391">
        <f>ROUNDUP(S4618/V4618/VLOOKUP(B4618,$C$2:$F$6,3,FALSE),2)</f>
        <v>0.3</v>
      </c>
      <c r="Q4618" s="322">
        <v>0.3</v>
      </c>
      <c r="R4618" s="322">
        <f>Q4618*J4618</f>
        <v>315</v>
      </c>
      <c r="S4618" s="92">
        <v>25.2</v>
      </c>
      <c r="T4618" s="7">
        <f>S4618*J4618</f>
        <v>26460</v>
      </c>
      <c r="U4618" s="959"/>
      <c r="V4618" s="260">
        <v>120</v>
      </c>
      <c r="W4618" s="1136">
        <f t="shared" si="421"/>
        <v>0.55319148936170215</v>
      </c>
    </row>
    <row r="4619" spans="2:24" s="7" customFormat="1" ht="18" customHeight="1">
      <c r="B4619" s="12"/>
      <c r="C4619" s="6" t="s">
        <v>5609</v>
      </c>
      <c r="D4619" s="14" t="s">
        <v>5019</v>
      </c>
      <c r="E4619" s="22"/>
      <c r="F4619" s="102"/>
      <c r="G4619" s="22" t="s">
        <v>316</v>
      </c>
      <c r="H4619" s="8"/>
      <c r="I4619" s="35"/>
      <c r="J4619" s="38">
        <v>1</v>
      </c>
      <c r="K4619" s="39">
        <v>12</v>
      </c>
      <c r="L4619" s="39">
        <f>K4619*J4619</f>
        <v>12</v>
      </c>
      <c r="M4619" s="91"/>
      <c r="N4619" s="33">
        <v>45807</v>
      </c>
      <c r="O4619" s="32">
        <v>7153</v>
      </c>
      <c r="P4619" s="6" t="s">
        <v>3</v>
      </c>
      <c r="Q4619" s="39">
        <v>12</v>
      </c>
      <c r="R4619" s="322">
        <f>Q4619*J4619</f>
        <v>12</v>
      </c>
      <c r="S4619" s="7">
        <v>1100</v>
      </c>
      <c r="T4619" s="7">
        <v>1100</v>
      </c>
      <c r="U4619" s="21"/>
      <c r="V4619" s="260">
        <v>120</v>
      </c>
      <c r="W4619" s="1136">
        <f t="shared" si="421"/>
        <v>0.2361111111111111</v>
      </c>
    </row>
    <row r="4620" spans="2:24" s="191" customFormat="1" ht="18" customHeight="1">
      <c r="B4620" s="190"/>
      <c r="C4620" s="179" t="s">
        <v>5609</v>
      </c>
      <c r="D4620" s="180" t="s">
        <v>5019</v>
      </c>
      <c r="E4620" s="217"/>
      <c r="F4620" s="182"/>
      <c r="G4620" s="182" t="s">
        <v>250</v>
      </c>
      <c r="H4620" s="184" t="s">
        <v>251</v>
      </c>
      <c r="I4620" s="185"/>
      <c r="J4620" s="183"/>
      <c r="K4620" s="192">
        <v>0</v>
      </c>
      <c r="L4620" s="192">
        <v>0</v>
      </c>
      <c r="M4620" s="187"/>
      <c r="N4620" s="187">
        <v>45807</v>
      </c>
      <c r="O4620" s="186">
        <v>7153</v>
      </c>
      <c r="P4620" s="179"/>
      <c r="Q4620" s="334">
        <v>0</v>
      </c>
      <c r="R4620" s="334">
        <v>0</v>
      </c>
      <c r="S4620" s="197">
        <v>0</v>
      </c>
      <c r="T4620" s="197">
        <v>0</v>
      </c>
      <c r="U4620" s="335"/>
      <c r="V4620" s="260">
        <v>120</v>
      </c>
      <c r="W4620" s="1136" t="e">
        <f t="shared" si="421"/>
        <v>#DIV/0!</v>
      </c>
    </row>
    <row r="4621" spans="2:24" s="7" customFormat="1" ht="18" customHeight="1">
      <c r="B4621" s="12"/>
      <c r="C4621" s="6" t="s">
        <v>5621</v>
      </c>
      <c r="D4621" s="14" t="s">
        <v>5618</v>
      </c>
      <c r="E4621" s="17" t="s">
        <v>160</v>
      </c>
      <c r="F4621" s="319"/>
      <c r="G4621" s="299"/>
      <c r="H4621" s="300" t="s">
        <v>355</v>
      </c>
      <c r="I4621" s="320"/>
      <c r="J4621" s="321"/>
      <c r="K4621" s="110" t="s">
        <v>101</v>
      </c>
      <c r="L4621" s="139"/>
      <c r="M4621" s="33"/>
      <c r="N4621" s="33">
        <v>45817</v>
      </c>
      <c r="O4621" s="32">
        <v>7168</v>
      </c>
      <c r="P4621" s="6"/>
      <c r="Q4621" s="322"/>
      <c r="U4621" s="39"/>
      <c r="V4621" s="260">
        <v>120</v>
      </c>
      <c r="W4621" s="1136" t="e">
        <f t="shared" si="421"/>
        <v>#VALUE!</v>
      </c>
    </row>
    <row r="4622" spans="2:24" s="7" customFormat="1" ht="18" customHeight="1">
      <c r="B4622" s="12" t="s">
        <v>300</v>
      </c>
      <c r="C4622" s="6" t="s">
        <v>5621</v>
      </c>
      <c r="D4622" s="14" t="s">
        <v>5618</v>
      </c>
      <c r="E4622" s="374">
        <v>14552</v>
      </c>
      <c r="F4622" s="24">
        <v>25</v>
      </c>
      <c r="G4622" s="22" t="s">
        <v>4795</v>
      </c>
      <c r="H4622" s="108">
        <v>30</v>
      </c>
      <c r="I4622" s="109">
        <v>18</v>
      </c>
      <c r="J4622" s="8">
        <f>H4622*I4622</f>
        <v>540</v>
      </c>
      <c r="K4622" s="39">
        <v>1.21</v>
      </c>
      <c r="L4622" s="39">
        <f>K4622*J4622</f>
        <v>653.4</v>
      </c>
      <c r="M4622" s="117" t="s">
        <v>323</v>
      </c>
      <c r="N4622" s="1398">
        <v>45817</v>
      </c>
      <c r="O4622" s="32">
        <v>7168</v>
      </c>
      <c r="P4622" s="391">
        <f>ROUNDUP(S4622/V4622/VLOOKUP(B4622,$C$2:$F$6,3,FALSE),2)</f>
        <v>0.96</v>
      </c>
      <c r="Q4622" s="358">
        <v>0.96</v>
      </c>
      <c r="R4622" s="322">
        <f>Q4622*J4622</f>
        <v>518.4</v>
      </c>
      <c r="S4622" s="7">
        <v>80</v>
      </c>
      <c r="T4622" s="7">
        <f>S4622*J4622</f>
        <v>43200</v>
      </c>
      <c r="U4622" s="267"/>
      <c r="V4622" s="260">
        <v>120</v>
      </c>
      <c r="W4622" s="1136">
        <f t="shared" si="421"/>
        <v>0.44903581267217624</v>
      </c>
    </row>
    <row r="4623" spans="2:24" s="7" customFormat="1" ht="18" customHeight="1">
      <c r="B4623" s="12" t="s">
        <v>300</v>
      </c>
      <c r="C4623" s="6" t="s">
        <v>5621</v>
      </c>
      <c r="D4623" s="14" t="s">
        <v>5618</v>
      </c>
      <c r="E4623" s="374">
        <v>14552</v>
      </c>
      <c r="F4623" s="24">
        <v>30</v>
      </c>
      <c r="G4623" s="22" t="s">
        <v>5622</v>
      </c>
      <c r="H4623" s="108">
        <v>30</v>
      </c>
      <c r="I4623" s="109">
        <v>17</v>
      </c>
      <c r="J4623" s="8">
        <f>H4623*I4623</f>
        <v>510</v>
      </c>
      <c r="K4623" s="39">
        <v>1.61</v>
      </c>
      <c r="L4623" s="39">
        <f>K4623*J4623</f>
        <v>821.1</v>
      </c>
      <c r="M4623" s="117" t="s">
        <v>323</v>
      </c>
      <c r="N4623" s="1398">
        <v>45817</v>
      </c>
      <c r="O4623" s="32">
        <v>7168</v>
      </c>
      <c r="P4623" s="391">
        <f>ROUNDUP(S4623/V4623/VLOOKUP(B4623,$C$2:$F$6,3,FALSE),2)</f>
        <v>1.27</v>
      </c>
      <c r="Q4623" s="358">
        <v>1.27</v>
      </c>
      <c r="R4623" s="322">
        <f>Q4623*J4623</f>
        <v>647.70000000000005</v>
      </c>
      <c r="S4623" s="7">
        <v>106</v>
      </c>
      <c r="T4623" s="7">
        <f>S4623*J4623</f>
        <v>54060</v>
      </c>
      <c r="U4623" s="267"/>
      <c r="V4623" s="260">
        <v>120</v>
      </c>
      <c r="W4623" s="1136">
        <f>(((K4623*V4623)-S4623)/(K4623*V4623))</f>
        <v>0.45134575569358182</v>
      </c>
    </row>
    <row r="4624" spans="2:24" s="7" customFormat="1" ht="18" customHeight="1">
      <c r="B4624" s="12"/>
      <c r="C4624" s="6" t="s">
        <v>5621</v>
      </c>
      <c r="D4624" s="14" t="s">
        <v>5618</v>
      </c>
      <c r="E4624" s="49"/>
      <c r="F4624" s="102"/>
      <c r="G4624" s="22" t="s">
        <v>316</v>
      </c>
      <c r="H4624" s="8"/>
      <c r="I4624" s="35"/>
      <c r="J4624" s="38">
        <v>1</v>
      </c>
      <c r="K4624" s="39">
        <v>12</v>
      </c>
      <c r="L4624" s="39">
        <f>K4624*J4624</f>
        <v>12</v>
      </c>
      <c r="M4624" s="117" t="s">
        <v>349</v>
      </c>
      <c r="N4624" s="33">
        <v>45817</v>
      </c>
      <c r="O4624" s="32">
        <v>7168</v>
      </c>
      <c r="P4624" s="6" t="s">
        <v>3</v>
      </c>
      <c r="Q4624" s="39">
        <v>12</v>
      </c>
      <c r="R4624" s="322">
        <f>Q4624*J4624</f>
        <v>12</v>
      </c>
      <c r="S4624" s="7">
        <v>0</v>
      </c>
      <c r="T4624" s="7">
        <f>S4624*J4624</f>
        <v>0</v>
      </c>
      <c r="U4624" s="21"/>
      <c r="V4624" s="260">
        <v>120</v>
      </c>
      <c r="W4624" s="1136">
        <f t="shared" si="421"/>
        <v>1</v>
      </c>
    </row>
    <row r="4625" spans="2:23" s="191" customFormat="1" ht="18" customHeight="1">
      <c r="B4625" s="190"/>
      <c r="C4625" s="179" t="s">
        <v>5621</v>
      </c>
      <c r="D4625" s="180" t="s">
        <v>5618</v>
      </c>
      <c r="E4625" s="217"/>
      <c r="F4625" s="182"/>
      <c r="G4625" s="182" t="s">
        <v>250</v>
      </c>
      <c r="H4625" s="184" t="s">
        <v>251</v>
      </c>
      <c r="I4625" s="185"/>
      <c r="J4625" s="183"/>
      <c r="K4625" s="192">
        <v>90</v>
      </c>
      <c r="L4625" s="192">
        <v>90</v>
      </c>
      <c r="M4625" s="1310"/>
      <c r="N4625" s="187">
        <v>45817</v>
      </c>
      <c r="O4625" s="186">
        <v>7168</v>
      </c>
      <c r="P4625" s="179"/>
      <c r="Q4625" s="192">
        <v>90</v>
      </c>
      <c r="R4625" s="192">
        <v>90</v>
      </c>
      <c r="S4625" s="1501">
        <v>8176</v>
      </c>
      <c r="T4625" s="1501">
        <v>8176</v>
      </c>
      <c r="U4625" s="271"/>
      <c r="V4625" s="260">
        <v>120</v>
      </c>
      <c r="W4625" s="1136">
        <f t="shared" si="421"/>
        <v>0.24296296296296296</v>
      </c>
    </row>
    <row r="4626" spans="2:23" s="7" customFormat="1" ht="18" customHeight="1">
      <c r="B4626" s="12"/>
      <c r="C4626" s="6" t="s">
        <v>5624</v>
      </c>
      <c r="D4626" s="14" t="s">
        <v>5605</v>
      </c>
      <c r="E4626" s="19" t="s">
        <v>2358</v>
      </c>
      <c r="F4626" s="24"/>
      <c r="G4626" s="22"/>
      <c r="H4626" s="60"/>
      <c r="I4626" s="61"/>
      <c r="J4626" s="60"/>
      <c r="K4626" s="16" t="s">
        <v>5</v>
      </c>
      <c r="L4626" s="139"/>
      <c r="M4626" s="33"/>
      <c r="N4626" s="33">
        <v>45806</v>
      </c>
      <c r="O4626" s="32">
        <v>7172</v>
      </c>
      <c r="P4626" s="6" t="s">
        <v>3</v>
      </c>
      <c r="Q4626" s="358"/>
      <c r="S4626" s="1434"/>
      <c r="U4626" s="120"/>
      <c r="V4626" s="260">
        <v>120</v>
      </c>
    </row>
    <row r="4627" spans="2:23" s="7" customFormat="1" ht="18" customHeight="1">
      <c r="B4627" s="12" t="s">
        <v>300</v>
      </c>
      <c r="C4627" s="6" t="s">
        <v>5624</v>
      </c>
      <c r="D4627" s="14" t="s">
        <v>5605</v>
      </c>
      <c r="E4627" s="22" t="s">
        <v>5498</v>
      </c>
      <c r="F4627" s="24"/>
      <c r="G4627" s="22" t="s">
        <v>5318</v>
      </c>
      <c r="H4627" s="108"/>
      <c r="I4627" s="109"/>
      <c r="J4627" s="8">
        <v>2</v>
      </c>
      <c r="K4627" s="39">
        <v>4.24</v>
      </c>
      <c r="L4627" s="39">
        <f t="shared" ref="L4627:L4638" si="422">K4627*J4627</f>
        <v>8.48</v>
      </c>
      <c r="M4627" s="117" t="s">
        <v>323</v>
      </c>
      <c r="N4627" s="33">
        <v>45806</v>
      </c>
      <c r="O4627" s="32">
        <v>7172</v>
      </c>
      <c r="P4627" s="391">
        <f t="shared" ref="P4627:P4637" si="423">ROUNDUP(S4627/V4627/VLOOKUP(B4627,$C$2:$F$6,3,FALSE),2)</f>
        <v>3.6399999999999997</v>
      </c>
      <c r="Q4627" s="322">
        <v>3.64</v>
      </c>
      <c r="R4627" s="322">
        <f t="shared" ref="R4627:R4638" si="424">Q4627*J4627</f>
        <v>7.28</v>
      </c>
      <c r="S4627" s="7">
        <v>305</v>
      </c>
      <c r="T4627" s="7">
        <f t="shared" ref="T4627:T4638" si="425">S4627*J4627</f>
        <v>610</v>
      </c>
      <c r="U4627" s="386"/>
      <c r="V4627" s="260">
        <v>120</v>
      </c>
      <c r="W4627" s="1136">
        <f>(((K4627*V4627)-S4627)/(K4627*V4627))</f>
        <v>0.40055031446540884</v>
      </c>
    </row>
    <row r="4628" spans="2:23" s="7" customFormat="1" ht="18" customHeight="1">
      <c r="B4628" s="12" t="s">
        <v>300</v>
      </c>
      <c r="C4628" s="6" t="s">
        <v>5624</v>
      </c>
      <c r="D4628" s="14" t="s">
        <v>5605</v>
      </c>
      <c r="E4628" s="221" t="s">
        <v>5591</v>
      </c>
      <c r="F4628" s="24"/>
      <c r="G4628" s="22" t="s">
        <v>5318</v>
      </c>
      <c r="H4628" s="108"/>
      <c r="I4628" s="109"/>
      <c r="J4628" s="8">
        <v>2</v>
      </c>
      <c r="K4628" s="39">
        <v>2.6199999999999997</v>
      </c>
      <c r="L4628" s="39">
        <f t="shared" si="422"/>
        <v>5.2399999999999993</v>
      </c>
      <c r="M4628" s="117" t="s">
        <v>323</v>
      </c>
      <c r="N4628" s="33">
        <v>45806</v>
      </c>
      <c r="O4628" s="32">
        <v>7172</v>
      </c>
      <c r="P4628" s="391">
        <f t="shared" si="423"/>
        <v>2.2399999999999998</v>
      </c>
      <c r="Q4628" s="322">
        <v>2.2400000000000002</v>
      </c>
      <c r="R4628" s="322">
        <f t="shared" si="424"/>
        <v>4.4800000000000004</v>
      </c>
      <c r="S4628" s="7">
        <v>188</v>
      </c>
      <c r="T4628" s="7">
        <f t="shared" si="425"/>
        <v>376</v>
      </c>
      <c r="U4628" s="386"/>
      <c r="V4628" s="260">
        <v>120</v>
      </c>
      <c r="W4628" s="1136">
        <f t="shared" ref="W4628:W4634" si="426">(((K4628*V4628)-S4628)/(K4628*V4628))</f>
        <v>0.40203562340966914</v>
      </c>
    </row>
    <row r="4629" spans="2:23" s="7" customFormat="1" ht="18" customHeight="1">
      <c r="B4629" s="12" t="s">
        <v>300</v>
      </c>
      <c r="C4629" s="6" t="s">
        <v>5624</v>
      </c>
      <c r="D4629" s="14" t="s">
        <v>5605</v>
      </c>
      <c r="E4629" s="221" t="s">
        <v>5592</v>
      </c>
      <c r="F4629" s="24"/>
      <c r="G4629" s="22" t="s">
        <v>5318</v>
      </c>
      <c r="H4629" s="108"/>
      <c r="I4629" s="109"/>
      <c r="J4629" s="8">
        <v>2</v>
      </c>
      <c r="K4629" s="39">
        <v>2.59</v>
      </c>
      <c r="L4629" s="39">
        <f t="shared" si="422"/>
        <v>5.18</v>
      </c>
      <c r="M4629" s="117" t="s">
        <v>323</v>
      </c>
      <c r="N4629" s="33">
        <v>45806</v>
      </c>
      <c r="O4629" s="32">
        <v>7172</v>
      </c>
      <c r="P4629" s="391">
        <f t="shared" si="423"/>
        <v>2.2199999999999998</v>
      </c>
      <c r="Q4629" s="322">
        <v>2.2200000000000002</v>
      </c>
      <c r="R4629" s="322">
        <f t="shared" si="424"/>
        <v>4.4400000000000004</v>
      </c>
      <c r="S4629" s="7">
        <v>186</v>
      </c>
      <c r="T4629" s="7">
        <f t="shared" si="425"/>
        <v>372</v>
      </c>
      <c r="U4629" s="386"/>
      <c r="V4629" s="260">
        <v>120</v>
      </c>
      <c r="W4629" s="1136">
        <f t="shared" si="426"/>
        <v>0.40154440154440146</v>
      </c>
    </row>
    <row r="4630" spans="2:23" s="7" customFormat="1" ht="18" customHeight="1">
      <c r="B4630" s="12" t="s">
        <v>300</v>
      </c>
      <c r="C4630" s="6" t="s">
        <v>5624</v>
      </c>
      <c r="D4630" s="14" t="s">
        <v>5605</v>
      </c>
      <c r="E4630" s="221" t="s">
        <v>5593</v>
      </c>
      <c r="F4630" s="24"/>
      <c r="G4630" s="22" t="s">
        <v>5318</v>
      </c>
      <c r="H4630" s="108"/>
      <c r="I4630" s="109"/>
      <c r="J4630" s="8">
        <v>2</v>
      </c>
      <c r="K4630" s="39">
        <v>1.91</v>
      </c>
      <c r="L4630" s="39">
        <f t="shared" si="422"/>
        <v>3.82</v>
      </c>
      <c r="M4630" s="117" t="s">
        <v>323</v>
      </c>
      <c r="N4630" s="33">
        <v>45806</v>
      </c>
      <c r="O4630" s="32">
        <v>7172</v>
      </c>
      <c r="P4630" s="391">
        <f t="shared" si="423"/>
        <v>1.64</v>
      </c>
      <c r="Q4630" s="322">
        <v>1.64</v>
      </c>
      <c r="R4630" s="322">
        <f t="shared" si="424"/>
        <v>3.28</v>
      </c>
      <c r="S4630" s="7">
        <v>137</v>
      </c>
      <c r="T4630" s="7">
        <f t="shared" si="425"/>
        <v>274</v>
      </c>
      <c r="U4630" s="386"/>
      <c r="V4630" s="260">
        <v>120</v>
      </c>
      <c r="W4630" s="1136">
        <f t="shared" si="426"/>
        <v>0.40226876090750435</v>
      </c>
    </row>
    <row r="4631" spans="2:23" s="7" customFormat="1" ht="18" customHeight="1">
      <c r="B4631" s="12" t="s">
        <v>300</v>
      </c>
      <c r="C4631" s="6" t="s">
        <v>5624</v>
      </c>
      <c r="D4631" s="14" t="s">
        <v>5605</v>
      </c>
      <c r="E4631" s="221" t="s">
        <v>5594</v>
      </c>
      <c r="F4631" s="24"/>
      <c r="G4631" s="22" t="s">
        <v>5318</v>
      </c>
      <c r="H4631" s="108"/>
      <c r="I4631" s="109"/>
      <c r="J4631" s="8">
        <v>2</v>
      </c>
      <c r="K4631" s="39">
        <v>2.1399999999999997</v>
      </c>
      <c r="L4631" s="39">
        <f t="shared" si="422"/>
        <v>4.2799999999999994</v>
      </c>
      <c r="M4631" s="117" t="s">
        <v>323</v>
      </c>
      <c r="N4631" s="33">
        <v>45806</v>
      </c>
      <c r="O4631" s="32">
        <v>7172</v>
      </c>
      <c r="P4631" s="391">
        <f t="shared" si="423"/>
        <v>1.84</v>
      </c>
      <c r="Q4631" s="322">
        <v>1.84</v>
      </c>
      <c r="R4631" s="322">
        <f t="shared" si="424"/>
        <v>3.68</v>
      </c>
      <c r="S4631" s="7">
        <v>154</v>
      </c>
      <c r="T4631" s="7">
        <f t="shared" si="425"/>
        <v>308</v>
      </c>
      <c r="U4631" s="386"/>
      <c r="V4631" s="260">
        <v>120</v>
      </c>
      <c r="W4631" s="1136">
        <f t="shared" si="426"/>
        <v>0.40031152647975066</v>
      </c>
    </row>
    <row r="4632" spans="2:23" s="7" customFormat="1" ht="18" customHeight="1">
      <c r="B4632" s="12" t="s">
        <v>300</v>
      </c>
      <c r="C4632" s="6" t="s">
        <v>5624</v>
      </c>
      <c r="D4632" s="14" t="s">
        <v>5605</v>
      </c>
      <c r="E4632" s="221" t="s">
        <v>5595</v>
      </c>
      <c r="F4632" s="24"/>
      <c r="G4632" s="22" t="s">
        <v>5318</v>
      </c>
      <c r="H4632" s="108"/>
      <c r="I4632" s="109"/>
      <c r="J4632" s="8">
        <v>2</v>
      </c>
      <c r="K4632" s="39">
        <v>1.89</v>
      </c>
      <c r="L4632" s="39">
        <f t="shared" si="422"/>
        <v>3.78</v>
      </c>
      <c r="M4632" s="117" t="s">
        <v>323</v>
      </c>
      <c r="N4632" s="33">
        <v>45806</v>
      </c>
      <c r="O4632" s="32">
        <v>7172</v>
      </c>
      <c r="P4632" s="391">
        <f t="shared" si="423"/>
        <v>1.62</v>
      </c>
      <c r="Q4632" s="322">
        <v>1.62</v>
      </c>
      <c r="R4632" s="322">
        <f t="shared" si="424"/>
        <v>3.24</v>
      </c>
      <c r="S4632" s="7">
        <v>136</v>
      </c>
      <c r="T4632" s="7">
        <f t="shared" si="425"/>
        <v>272</v>
      </c>
      <c r="U4632" s="386"/>
      <c r="V4632" s="260">
        <v>120</v>
      </c>
      <c r="W4632" s="1136">
        <f t="shared" si="426"/>
        <v>0.400352733686067</v>
      </c>
    </row>
    <row r="4633" spans="2:23" s="7" customFormat="1" ht="18" customHeight="1">
      <c r="B4633" s="12" t="s">
        <v>300</v>
      </c>
      <c r="C4633" s="6" t="s">
        <v>5624</v>
      </c>
      <c r="D4633" s="14" t="s">
        <v>5605</v>
      </c>
      <c r="E4633" s="221" t="s">
        <v>5596</v>
      </c>
      <c r="F4633" s="24"/>
      <c r="G4633" s="22" t="s">
        <v>5318</v>
      </c>
      <c r="H4633" s="108"/>
      <c r="I4633" s="109"/>
      <c r="J4633" s="8">
        <v>2</v>
      </c>
      <c r="K4633" s="39">
        <v>2.59</v>
      </c>
      <c r="L4633" s="39">
        <f t="shared" si="422"/>
        <v>5.18</v>
      </c>
      <c r="M4633" s="117" t="s">
        <v>323</v>
      </c>
      <c r="N4633" s="33">
        <v>45806</v>
      </c>
      <c r="O4633" s="32">
        <v>7172</v>
      </c>
      <c r="P4633" s="391">
        <f t="shared" si="423"/>
        <v>2.2199999999999998</v>
      </c>
      <c r="Q4633" s="322">
        <v>2.2200000000000002</v>
      </c>
      <c r="R4633" s="322">
        <f t="shared" si="424"/>
        <v>4.4400000000000004</v>
      </c>
      <c r="S4633" s="7">
        <v>186</v>
      </c>
      <c r="T4633" s="7">
        <f t="shared" si="425"/>
        <v>372</v>
      </c>
      <c r="U4633" s="386"/>
      <c r="V4633" s="260">
        <v>120</v>
      </c>
      <c r="W4633" s="1136">
        <f t="shared" si="426"/>
        <v>0.40154440154440146</v>
      </c>
    </row>
    <row r="4634" spans="2:23" s="7" customFormat="1" ht="18" customHeight="1">
      <c r="B4634" s="12" t="s">
        <v>300</v>
      </c>
      <c r="C4634" s="6" t="s">
        <v>5624</v>
      </c>
      <c r="D4634" s="14" t="s">
        <v>5605</v>
      </c>
      <c r="E4634" s="221" t="s">
        <v>5597</v>
      </c>
      <c r="F4634" s="24"/>
      <c r="G4634" s="22" t="s">
        <v>5318</v>
      </c>
      <c r="H4634" s="108"/>
      <c r="I4634" s="109"/>
      <c r="J4634" s="8">
        <v>2</v>
      </c>
      <c r="K4634" s="39">
        <v>2.71</v>
      </c>
      <c r="L4634" s="39">
        <f t="shared" si="422"/>
        <v>5.42</v>
      </c>
      <c r="M4634" s="117" t="s">
        <v>323</v>
      </c>
      <c r="N4634" s="33">
        <v>45806</v>
      </c>
      <c r="O4634" s="32">
        <v>7172</v>
      </c>
      <c r="P4634" s="391">
        <f t="shared" si="423"/>
        <v>2.3299999999999996</v>
      </c>
      <c r="Q4634" s="322">
        <v>2.33</v>
      </c>
      <c r="R4634" s="322">
        <f t="shared" si="424"/>
        <v>4.66</v>
      </c>
      <c r="S4634" s="7">
        <v>195</v>
      </c>
      <c r="T4634" s="7">
        <f t="shared" si="425"/>
        <v>390</v>
      </c>
      <c r="U4634" s="386"/>
      <c r="V4634" s="260">
        <v>120</v>
      </c>
      <c r="W4634" s="1136">
        <f t="shared" si="426"/>
        <v>0.40036900369003686</v>
      </c>
    </row>
    <row r="4635" spans="2:23" s="7" customFormat="1" ht="18" customHeight="1">
      <c r="B4635" s="12" t="s">
        <v>300</v>
      </c>
      <c r="C4635" s="6" t="s">
        <v>5624</v>
      </c>
      <c r="D4635" s="14" t="s">
        <v>5605</v>
      </c>
      <c r="E4635" s="221" t="s">
        <v>5598</v>
      </c>
      <c r="F4635" s="24"/>
      <c r="G4635" s="22" t="s">
        <v>5318</v>
      </c>
      <c r="H4635" s="108"/>
      <c r="I4635" s="109"/>
      <c r="J4635" s="8">
        <v>2</v>
      </c>
      <c r="K4635" s="39">
        <v>2.2999999999999998</v>
      </c>
      <c r="L4635" s="39">
        <f t="shared" si="422"/>
        <v>4.5999999999999996</v>
      </c>
      <c r="M4635" s="117" t="s">
        <v>323</v>
      </c>
      <c r="N4635" s="33">
        <v>45806</v>
      </c>
      <c r="O4635" s="32">
        <v>7172</v>
      </c>
      <c r="P4635" s="391">
        <f t="shared" si="423"/>
        <v>1.97</v>
      </c>
      <c r="Q4635" s="322">
        <v>1.97</v>
      </c>
      <c r="R4635" s="322">
        <f t="shared" si="424"/>
        <v>3.94</v>
      </c>
      <c r="S4635" s="7">
        <v>165</v>
      </c>
      <c r="T4635" s="7">
        <f t="shared" si="425"/>
        <v>330</v>
      </c>
      <c r="U4635" s="386"/>
      <c r="V4635" s="260">
        <v>120</v>
      </c>
      <c r="W4635" s="1136">
        <f t="shared" ref="W4635:W4646" si="427">(((K4635*V4635)-S4635)/(K4635*V4635))</f>
        <v>0.40217391304347827</v>
      </c>
    </row>
    <row r="4636" spans="2:23" s="7" customFormat="1" ht="18" customHeight="1">
      <c r="B4636" s="12" t="s">
        <v>300</v>
      </c>
      <c r="C4636" s="6" t="s">
        <v>5624</v>
      </c>
      <c r="D4636" s="14" t="s">
        <v>5605</v>
      </c>
      <c r="E4636" s="221" t="s">
        <v>5599</v>
      </c>
      <c r="F4636" s="24"/>
      <c r="G4636" s="22" t="s">
        <v>5318</v>
      </c>
      <c r="H4636" s="108"/>
      <c r="I4636" s="109"/>
      <c r="J4636" s="8">
        <v>2</v>
      </c>
      <c r="K4636" s="39">
        <v>2.6999999999999997</v>
      </c>
      <c r="L4636" s="39">
        <f t="shared" si="422"/>
        <v>5.3999999999999995</v>
      </c>
      <c r="M4636" s="117" t="s">
        <v>323</v>
      </c>
      <c r="N4636" s="33">
        <v>45806</v>
      </c>
      <c r="O4636" s="32">
        <v>7172</v>
      </c>
      <c r="P4636" s="391">
        <f t="shared" si="423"/>
        <v>2.3099999999999996</v>
      </c>
      <c r="Q4636" s="322">
        <v>2.31</v>
      </c>
      <c r="R4636" s="322">
        <f t="shared" si="424"/>
        <v>4.62</v>
      </c>
      <c r="S4636" s="7">
        <v>194</v>
      </c>
      <c r="T4636" s="7">
        <f t="shared" si="425"/>
        <v>388</v>
      </c>
      <c r="U4636" s="386"/>
      <c r="V4636" s="260">
        <v>120</v>
      </c>
      <c r="W4636" s="1136">
        <f t="shared" si="427"/>
        <v>0.40123456790123446</v>
      </c>
    </row>
    <row r="4637" spans="2:23" s="7" customFormat="1" ht="18" customHeight="1">
      <c r="B4637" s="12" t="s">
        <v>300</v>
      </c>
      <c r="C4637" s="6" t="s">
        <v>5624</v>
      </c>
      <c r="D4637" s="14" t="s">
        <v>5605</v>
      </c>
      <c r="E4637" s="221" t="s">
        <v>5600</v>
      </c>
      <c r="F4637" s="24"/>
      <c r="G4637" s="22" t="s">
        <v>5318</v>
      </c>
      <c r="H4637" s="108"/>
      <c r="I4637" s="109"/>
      <c r="J4637" s="8">
        <v>2</v>
      </c>
      <c r="K4637" s="39">
        <v>2.8899999999999997</v>
      </c>
      <c r="L4637" s="39">
        <f t="shared" si="422"/>
        <v>5.7799999999999994</v>
      </c>
      <c r="M4637" s="117" t="s">
        <v>323</v>
      </c>
      <c r="N4637" s="33">
        <v>45806</v>
      </c>
      <c r="O4637" s="32">
        <v>7172</v>
      </c>
      <c r="P4637" s="391">
        <f t="shared" si="423"/>
        <v>2.48</v>
      </c>
      <c r="Q4637" s="322">
        <v>2.48</v>
      </c>
      <c r="R4637" s="322">
        <f t="shared" si="424"/>
        <v>4.96</v>
      </c>
      <c r="S4637" s="7">
        <v>208</v>
      </c>
      <c r="T4637" s="7">
        <f t="shared" si="425"/>
        <v>416</v>
      </c>
      <c r="U4637" s="386"/>
      <c r="V4637" s="260">
        <v>120</v>
      </c>
      <c r="W4637" s="1136">
        <f t="shared" si="427"/>
        <v>0.40023068050749705</v>
      </c>
    </row>
    <row r="4638" spans="2:23" s="7" customFormat="1" ht="18" customHeight="1">
      <c r="B4638" s="12"/>
      <c r="C4638" s="6" t="s">
        <v>5624</v>
      </c>
      <c r="D4638" s="14" t="s">
        <v>5605</v>
      </c>
      <c r="E4638" s="49"/>
      <c r="F4638" s="102"/>
      <c r="G4638" s="22" t="s">
        <v>316</v>
      </c>
      <c r="H4638" s="8"/>
      <c r="I4638" s="35"/>
      <c r="J4638" s="38">
        <v>1</v>
      </c>
      <c r="K4638" s="39">
        <v>12</v>
      </c>
      <c r="L4638" s="39">
        <f t="shared" si="422"/>
        <v>12</v>
      </c>
      <c r="M4638" s="117" t="s">
        <v>349</v>
      </c>
      <c r="N4638" s="33">
        <v>45806</v>
      </c>
      <c r="O4638" s="32">
        <v>7172</v>
      </c>
      <c r="P4638" s="6" t="s">
        <v>3</v>
      </c>
      <c r="Q4638" s="39">
        <v>12</v>
      </c>
      <c r="R4638" s="322">
        <f t="shared" si="424"/>
        <v>12</v>
      </c>
      <c r="S4638" s="1388">
        <v>900</v>
      </c>
      <c r="T4638" s="1388">
        <f t="shared" si="425"/>
        <v>900</v>
      </c>
      <c r="U4638" s="21"/>
      <c r="V4638" s="260">
        <v>120</v>
      </c>
      <c r="W4638" s="1136">
        <f t="shared" si="427"/>
        <v>0.375</v>
      </c>
    </row>
    <row r="4639" spans="2:23" s="191" customFormat="1" ht="18" customHeight="1">
      <c r="B4639" s="190"/>
      <c r="C4639" s="179" t="s">
        <v>5624</v>
      </c>
      <c r="D4639" s="180" t="s">
        <v>5605</v>
      </c>
      <c r="E4639" s="217"/>
      <c r="F4639" s="182"/>
      <c r="G4639" s="182" t="s">
        <v>250</v>
      </c>
      <c r="H4639" s="184" t="s">
        <v>251</v>
      </c>
      <c r="I4639" s="185"/>
      <c r="J4639" s="183"/>
      <c r="K4639" s="192">
        <v>0</v>
      </c>
      <c r="L4639" s="187"/>
      <c r="M4639" s="1310"/>
      <c r="N4639" s="187">
        <v>45806</v>
      </c>
      <c r="O4639" s="186">
        <v>7118</v>
      </c>
      <c r="P4639" s="179"/>
      <c r="Q4639" s="255">
        <v>0</v>
      </c>
      <c r="R4639" s="322">
        <v>0</v>
      </c>
      <c r="S4639" s="275">
        <v>0</v>
      </c>
      <c r="T4639" s="198">
        <v>0</v>
      </c>
      <c r="U4639" s="271"/>
      <c r="V4639" s="260">
        <v>120</v>
      </c>
      <c r="W4639" s="1136" t="e">
        <f t="shared" si="427"/>
        <v>#DIV/0!</v>
      </c>
    </row>
    <row r="4640" spans="2:23" s="7" customFormat="1" ht="15">
      <c r="B4640" s="12"/>
      <c r="C4640" s="965" t="s">
        <v>5626</v>
      </c>
      <c r="D4640" s="14" t="s">
        <v>3150</v>
      </c>
      <c r="E4640" s="19" t="s">
        <v>2244</v>
      </c>
      <c r="F4640" s="24"/>
      <c r="G4640" s="22"/>
      <c r="H4640" s="60"/>
      <c r="I4640" s="61"/>
      <c r="J4640" s="8"/>
      <c r="K4640" s="110" t="s">
        <v>5</v>
      </c>
      <c r="L4640" s="139"/>
      <c r="M4640" s="33"/>
      <c r="N4640" s="33">
        <v>45807</v>
      </c>
      <c r="O4640" s="32">
        <v>7178</v>
      </c>
      <c r="P4640" s="6" t="s">
        <v>8</v>
      </c>
      <c r="Q4640" s="358"/>
      <c r="U4640" s="120"/>
      <c r="V4640" s="260">
        <v>120</v>
      </c>
      <c r="W4640" s="1136" t="e">
        <f t="shared" si="427"/>
        <v>#VALUE!</v>
      </c>
    </row>
    <row r="4641" spans="1:23" s="7" customFormat="1" ht="18" customHeight="1">
      <c r="B4641" s="12" t="s">
        <v>300</v>
      </c>
      <c r="C4641" s="965" t="s">
        <v>5626</v>
      </c>
      <c r="D4641" s="14" t="s">
        <v>3150</v>
      </c>
      <c r="E4641" s="22">
        <v>11700</v>
      </c>
      <c r="F4641" s="37">
        <v>36</v>
      </c>
      <c r="G4641" s="22" t="s">
        <v>5627</v>
      </c>
      <c r="H4641" s="8">
        <v>10</v>
      </c>
      <c r="I4641" s="35">
        <v>2</v>
      </c>
      <c r="J4641" s="108">
        <f>H4641*I4641</f>
        <v>20</v>
      </c>
      <c r="K4641" s="958">
        <v>4.7300000000000004</v>
      </c>
      <c r="L4641" s="39">
        <f>K4641*J4641</f>
        <v>94.600000000000009</v>
      </c>
      <c r="M4641" s="117" t="s">
        <v>349</v>
      </c>
      <c r="N4641" s="33">
        <v>45807</v>
      </c>
      <c r="O4641" s="32">
        <v>7178</v>
      </c>
      <c r="P4641" s="391">
        <f>ROUNDUP(S4641/V4641/VLOOKUP(B4641,$C$2:$F$6,3,FALSE),2)</f>
        <v>3.3499999999999996</v>
      </c>
      <c r="Q4641" s="322">
        <v>3.35</v>
      </c>
      <c r="R4641" s="322">
        <f>Q4641*J4641</f>
        <v>67</v>
      </c>
      <c r="S4641" s="7">
        <v>280.60000000000002</v>
      </c>
      <c r="T4641" s="7">
        <f>S4641*J4641</f>
        <v>5612</v>
      </c>
      <c r="U4641" s="39"/>
      <c r="V4641" s="260">
        <v>120</v>
      </c>
      <c r="W4641" s="1136">
        <f t="shared" si="427"/>
        <v>0.50563777307963353</v>
      </c>
    </row>
    <row r="4642" spans="1:23" customFormat="1" ht="15.95" customHeight="1">
      <c r="A4642" s="1"/>
      <c r="B4642" s="12" t="s">
        <v>306</v>
      </c>
      <c r="C4642" s="965" t="s">
        <v>5626</v>
      </c>
      <c r="D4642" s="14" t="s">
        <v>3150</v>
      </c>
      <c r="E4642" s="22"/>
      <c r="F4642" s="102"/>
      <c r="G4642" s="37" t="s">
        <v>316</v>
      </c>
      <c r="H4642" s="8"/>
      <c r="I4642" s="35"/>
      <c r="J4642" s="38">
        <v>1</v>
      </c>
      <c r="K4642" s="39">
        <v>12</v>
      </c>
      <c r="L4642" s="39">
        <f>K4642*J4642</f>
        <v>12</v>
      </c>
      <c r="M4642" s="91"/>
      <c r="N4642" s="33">
        <v>45807</v>
      </c>
      <c r="O4642" s="32">
        <v>7178</v>
      </c>
      <c r="P4642" s="39"/>
      <c r="Q4642" s="358">
        <v>12</v>
      </c>
      <c r="R4642" s="323">
        <v>12</v>
      </c>
      <c r="S4642" s="7">
        <v>0</v>
      </c>
      <c r="T4642" s="7">
        <v>0</v>
      </c>
      <c r="U4642" s="270"/>
      <c r="V4642" s="260">
        <v>120</v>
      </c>
      <c r="W4642" s="1136">
        <f t="shared" si="427"/>
        <v>1</v>
      </c>
    </row>
    <row r="4643" spans="1:23" s="191" customFormat="1" ht="15">
      <c r="B4643" s="190"/>
      <c r="C4643" s="966" t="s">
        <v>5626</v>
      </c>
      <c r="D4643" s="180" t="s">
        <v>3150</v>
      </c>
      <c r="E4643" s="181"/>
      <c r="F4643" s="182"/>
      <c r="G4643" s="182" t="s">
        <v>250</v>
      </c>
      <c r="H4643" s="184" t="s">
        <v>251</v>
      </c>
      <c r="I4643" s="185"/>
      <c r="J4643" s="183"/>
      <c r="K4643" s="192">
        <v>0</v>
      </c>
      <c r="L4643" s="187"/>
      <c r="M4643" s="187"/>
      <c r="N4643" s="187">
        <v>45807</v>
      </c>
      <c r="O4643" s="186">
        <v>7178</v>
      </c>
      <c r="P4643" s="179"/>
      <c r="Q4643" s="255">
        <v>0</v>
      </c>
      <c r="S4643" s="275">
        <v>0</v>
      </c>
      <c r="T4643" s="198">
        <v>0</v>
      </c>
      <c r="U4643" s="271"/>
      <c r="V4643" s="260">
        <v>120</v>
      </c>
      <c r="W4643" s="1136" t="e">
        <f t="shared" si="427"/>
        <v>#DIV/0!</v>
      </c>
    </row>
    <row r="4644" spans="1:23" s="7" customFormat="1" ht="18" customHeight="1">
      <c r="B4644" s="12"/>
      <c r="C4644" s="6" t="s">
        <v>5645</v>
      </c>
      <c r="D4644" s="14" t="s">
        <v>2171</v>
      </c>
      <c r="E4644" s="19" t="s">
        <v>10</v>
      </c>
      <c r="F4644" s="107"/>
      <c r="G4644" s="1256"/>
      <c r="H4644" s="108"/>
      <c r="I4644" s="109"/>
      <c r="J4644" s="108"/>
      <c r="K4644" s="29" t="s">
        <v>5</v>
      </c>
      <c r="L4644" s="139"/>
      <c r="M4644" s="33"/>
      <c r="N4644" s="33">
        <v>45848</v>
      </c>
      <c r="O4644" s="32">
        <v>7182</v>
      </c>
      <c r="P4644" s="14"/>
      <c r="Q4644" s="322"/>
      <c r="U4644" s="14"/>
      <c r="V4644" s="260">
        <v>120</v>
      </c>
      <c r="W4644" s="1136" t="e">
        <f t="shared" si="427"/>
        <v>#VALUE!</v>
      </c>
    </row>
    <row r="4645" spans="1:23" s="7" customFormat="1" ht="18" customHeight="1">
      <c r="B4645" s="12" t="s">
        <v>302</v>
      </c>
      <c r="C4645" s="6" t="s">
        <v>5645</v>
      </c>
      <c r="D4645" s="14" t="s">
        <v>2171</v>
      </c>
      <c r="E4645" s="22" t="s">
        <v>190</v>
      </c>
      <c r="F4645" s="107">
        <v>160</v>
      </c>
      <c r="G4645" s="22" t="s">
        <v>5634</v>
      </c>
      <c r="H4645" s="1255">
        <v>50</v>
      </c>
      <c r="I4645" s="109">
        <v>1</v>
      </c>
      <c r="J4645" s="8">
        <f t="shared" ref="J4645:J4650" si="428">I4645*H4645</f>
        <v>50</v>
      </c>
      <c r="K4645" s="39">
        <v>5.56</v>
      </c>
      <c r="L4645" s="39">
        <f>K4645*J4645</f>
        <v>278</v>
      </c>
      <c r="M4645" s="117" t="s">
        <v>322</v>
      </c>
      <c r="N4645" s="33">
        <v>45848</v>
      </c>
      <c r="O4645" s="32">
        <v>7182</v>
      </c>
      <c r="P4645" s="391">
        <f t="shared" ref="P4645:P4650" si="429">ROUNDUP(S4645/V4645/VLOOKUP(B4645,$C$2:$F$6,3,FALSE),2)</f>
        <v>3.98</v>
      </c>
      <c r="Q4645" s="322">
        <v>3.98</v>
      </c>
      <c r="R4645" s="322">
        <f>Q4645*J4645</f>
        <v>199</v>
      </c>
      <c r="S4645" s="7">
        <v>420</v>
      </c>
      <c r="T4645" s="7">
        <f t="shared" ref="T4645:T4650" si="430">S4645*J4645</f>
        <v>21000</v>
      </c>
      <c r="U4645" s="21"/>
      <c r="V4645" s="260">
        <v>120</v>
      </c>
      <c r="W4645" s="1136">
        <f>(((K4645*V4645)-S4645)/(K4645*V4645))</f>
        <v>0.37050359712230208</v>
      </c>
    </row>
    <row r="4646" spans="1:23" s="7" customFormat="1" ht="27" customHeight="1">
      <c r="B4646" s="12" t="s">
        <v>302</v>
      </c>
      <c r="C4646" s="6" t="s">
        <v>5645</v>
      </c>
      <c r="D4646" s="14" t="s">
        <v>2171</v>
      </c>
      <c r="E4646" s="22" t="s">
        <v>207</v>
      </c>
      <c r="F4646" s="107">
        <v>152</v>
      </c>
      <c r="G4646" s="22" t="s">
        <v>5634</v>
      </c>
      <c r="H4646" s="1255">
        <v>50</v>
      </c>
      <c r="I4646" s="109">
        <v>1</v>
      </c>
      <c r="J4646" s="8">
        <f t="shared" si="428"/>
        <v>50</v>
      </c>
      <c r="K4646" s="39">
        <v>4.7300000000000004</v>
      </c>
      <c r="L4646" s="39">
        <f t="shared" ref="L4646:L4651" si="431">K4646*J4646</f>
        <v>236.50000000000003</v>
      </c>
      <c r="M4646" s="403" t="s">
        <v>322</v>
      </c>
      <c r="N4646" s="33">
        <v>45848</v>
      </c>
      <c r="O4646" s="32">
        <v>7182</v>
      </c>
      <c r="P4646" s="391">
        <f t="shared" si="429"/>
        <v>3.4099999999999997</v>
      </c>
      <c r="Q4646" s="322">
        <v>3.41</v>
      </c>
      <c r="R4646" s="322">
        <f t="shared" ref="R4646:R4651" si="432">Q4646*J4646</f>
        <v>170.5</v>
      </c>
      <c r="S4646" s="7">
        <v>360</v>
      </c>
      <c r="T4646" s="7">
        <f t="shared" si="430"/>
        <v>18000</v>
      </c>
      <c r="U4646" s="21"/>
      <c r="V4646" s="260">
        <v>120</v>
      </c>
      <c r="W4646" s="1136">
        <f t="shared" si="427"/>
        <v>0.36575052854122625</v>
      </c>
    </row>
    <row r="4647" spans="1:23" s="7" customFormat="1" ht="27" customHeight="1">
      <c r="B4647" s="12" t="s">
        <v>302</v>
      </c>
      <c r="C4647" s="6" t="s">
        <v>5645</v>
      </c>
      <c r="D4647" s="14" t="s">
        <v>2171</v>
      </c>
      <c r="E4647" s="22" t="s">
        <v>207</v>
      </c>
      <c r="F4647" s="107">
        <v>152</v>
      </c>
      <c r="G4647" s="22" t="s">
        <v>5634</v>
      </c>
      <c r="H4647" s="1255">
        <v>54</v>
      </c>
      <c r="I4647" s="109">
        <v>1</v>
      </c>
      <c r="J4647" s="8">
        <f t="shared" si="428"/>
        <v>54</v>
      </c>
      <c r="K4647" s="39">
        <v>4.7300000000000004</v>
      </c>
      <c r="L4647" s="39">
        <f>K4647*J4647</f>
        <v>255.42000000000002</v>
      </c>
      <c r="M4647" s="403" t="s">
        <v>322</v>
      </c>
      <c r="N4647" s="33">
        <v>45848</v>
      </c>
      <c r="O4647" s="32">
        <v>7182</v>
      </c>
      <c r="P4647" s="391">
        <f t="shared" si="429"/>
        <v>3.4099999999999997</v>
      </c>
      <c r="Q4647" s="322">
        <v>3.41</v>
      </c>
      <c r="R4647" s="322">
        <f>Q4647*J4647</f>
        <v>184.14000000000001</v>
      </c>
      <c r="S4647" s="7">
        <v>360</v>
      </c>
      <c r="T4647" s="7">
        <f t="shared" si="430"/>
        <v>19440</v>
      </c>
      <c r="U4647" s="21"/>
      <c r="V4647" s="260">
        <v>120</v>
      </c>
      <c r="W4647" s="1136">
        <f t="shared" ref="W4647:W4655" si="433">(((K4647*V4647)-S4647)/(K4647*V4647))</f>
        <v>0.36575052854122625</v>
      </c>
    </row>
    <row r="4648" spans="1:23" s="7" customFormat="1" ht="18" customHeight="1">
      <c r="B4648" s="12" t="s">
        <v>302</v>
      </c>
      <c r="C4648" s="6" t="s">
        <v>5645</v>
      </c>
      <c r="D4648" s="14" t="s">
        <v>2171</v>
      </c>
      <c r="E4648" s="22" t="s">
        <v>207</v>
      </c>
      <c r="F4648" s="107">
        <v>152</v>
      </c>
      <c r="G4648" s="22" t="s">
        <v>5635</v>
      </c>
      <c r="H4648" s="1255">
        <v>50</v>
      </c>
      <c r="I4648" s="109">
        <v>3</v>
      </c>
      <c r="J4648" s="8">
        <f t="shared" si="428"/>
        <v>150</v>
      </c>
      <c r="K4648" s="39">
        <v>4.7300000000000004</v>
      </c>
      <c r="L4648" s="39">
        <f>K4648*J4648</f>
        <v>709.50000000000011</v>
      </c>
      <c r="M4648" s="403" t="s">
        <v>322</v>
      </c>
      <c r="N4648" s="33">
        <v>45848</v>
      </c>
      <c r="O4648" s="32">
        <v>7182</v>
      </c>
      <c r="P4648" s="391">
        <f t="shared" si="429"/>
        <v>3.4099999999999997</v>
      </c>
      <c r="Q4648" s="322">
        <v>3.41</v>
      </c>
      <c r="R4648" s="322">
        <f>Q4648*J4648</f>
        <v>511.5</v>
      </c>
      <c r="S4648" s="7">
        <v>360</v>
      </c>
      <c r="T4648" s="7">
        <f t="shared" si="430"/>
        <v>54000</v>
      </c>
      <c r="U4648" s="21"/>
      <c r="V4648" s="260">
        <v>120</v>
      </c>
      <c r="W4648" s="1136">
        <f t="shared" si="433"/>
        <v>0.36575052854122625</v>
      </c>
    </row>
    <row r="4649" spans="1:23" s="7" customFormat="1" ht="18" customHeight="1">
      <c r="B4649" s="12" t="s">
        <v>302</v>
      </c>
      <c r="C4649" s="6" t="s">
        <v>5645</v>
      </c>
      <c r="D4649" s="14" t="s">
        <v>2171</v>
      </c>
      <c r="E4649" s="22" t="s">
        <v>207</v>
      </c>
      <c r="F4649" s="107">
        <v>152</v>
      </c>
      <c r="G4649" s="22" t="s">
        <v>5644</v>
      </c>
      <c r="H4649" s="1255">
        <v>50</v>
      </c>
      <c r="I4649" s="109">
        <v>4</v>
      </c>
      <c r="J4649" s="8">
        <f t="shared" si="428"/>
        <v>200</v>
      </c>
      <c r="K4649" s="39">
        <v>4.7300000000000004</v>
      </c>
      <c r="L4649" s="39">
        <f t="shared" si="431"/>
        <v>946.00000000000011</v>
      </c>
      <c r="M4649" s="403" t="s">
        <v>322</v>
      </c>
      <c r="N4649" s="33">
        <v>45848</v>
      </c>
      <c r="O4649" s="32">
        <v>7182</v>
      </c>
      <c r="P4649" s="391">
        <f t="shared" si="429"/>
        <v>3.4099999999999997</v>
      </c>
      <c r="Q4649" s="322">
        <v>3.41</v>
      </c>
      <c r="R4649" s="322">
        <f t="shared" si="432"/>
        <v>682</v>
      </c>
      <c r="S4649" s="7">
        <v>360</v>
      </c>
      <c r="T4649" s="7">
        <f t="shared" si="430"/>
        <v>72000</v>
      </c>
      <c r="U4649" s="21"/>
      <c r="V4649" s="260">
        <v>120</v>
      </c>
      <c r="W4649" s="1136">
        <f t="shared" si="433"/>
        <v>0.36575052854122625</v>
      </c>
    </row>
    <row r="4650" spans="1:23" s="7" customFormat="1" ht="18" customHeight="1">
      <c r="B4650" s="12" t="s">
        <v>302</v>
      </c>
      <c r="C4650" s="6" t="s">
        <v>5645</v>
      </c>
      <c r="D4650" s="14" t="s">
        <v>2171</v>
      </c>
      <c r="E4650" s="22" t="s">
        <v>207</v>
      </c>
      <c r="F4650" s="107">
        <v>152</v>
      </c>
      <c r="G4650" s="22" t="s">
        <v>5636</v>
      </c>
      <c r="H4650" s="1255">
        <v>50</v>
      </c>
      <c r="I4650" s="109">
        <v>2</v>
      </c>
      <c r="J4650" s="8">
        <f t="shared" si="428"/>
        <v>100</v>
      </c>
      <c r="K4650" s="39">
        <v>4.7300000000000004</v>
      </c>
      <c r="L4650" s="39">
        <f t="shared" si="431"/>
        <v>473.00000000000006</v>
      </c>
      <c r="M4650" s="403" t="s">
        <v>322</v>
      </c>
      <c r="N4650" s="33">
        <v>45848</v>
      </c>
      <c r="O4650" s="32">
        <v>7182</v>
      </c>
      <c r="P4650" s="391">
        <f t="shared" si="429"/>
        <v>3.4099999999999997</v>
      </c>
      <c r="Q4650" s="322">
        <v>3.41</v>
      </c>
      <c r="R4650" s="322">
        <f t="shared" si="432"/>
        <v>341</v>
      </c>
      <c r="S4650" s="7">
        <v>360</v>
      </c>
      <c r="T4650" s="7">
        <f t="shared" si="430"/>
        <v>36000</v>
      </c>
      <c r="U4650" s="21"/>
      <c r="V4650" s="260">
        <v>120</v>
      </c>
      <c r="W4650" s="1136">
        <f t="shared" si="433"/>
        <v>0.36575052854122625</v>
      </c>
    </row>
    <row r="4651" spans="1:23" s="7" customFormat="1" ht="18" customHeight="1">
      <c r="B4651" s="12"/>
      <c r="C4651" s="6" t="s">
        <v>5645</v>
      </c>
      <c r="D4651" s="14" t="s">
        <v>2171</v>
      </c>
      <c r="E4651" s="22"/>
      <c r="F4651" s="102"/>
      <c r="G4651" s="22" t="s">
        <v>316</v>
      </c>
      <c r="H4651" s="8"/>
      <c r="I4651" s="35"/>
      <c r="J4651" s="38">
        <v>1</v>
      </c>
      <c r="K4651" s="39">
        <v>25</v>
      </c>
      <c r="L4651" s="39">
        <f t="shared" si="431"/>
        <v>25</v>
      </c>
      <c r="M4651" s="91"/>
      <c r="N4651" s="33">
        <v>45848</v>
      </c>
      <c r="O4651" s="32">
        <v>7182</v>
      </c>
      <c r="P4651" s="6" t="s">
        <v>3</v>
      </c>
      <c r="Q4651" s="39">
        <v>25</v>
      </c>
      <c r="R4651" s="322">
        <f t="shared" si="432"/>
        <v>25</v>
      </c>
      <c r="S4651" s="1388">
        <v>2500</v>
      </c>
      <c r="T4651" s="1388">
        <v>2500</v>
      </c>
      <c r="U4651" s="21"/>
      <c r="V4651" s="260">
        <v>120</v>
      </c>
      <c r="W4651" s="1136">
        <f t="shared" si="433"/>
        <v>0.16666666666666666</v>
      </c>
    </row>
    <row r="4652" spans="1:23" s="7" customFormat="1" ht="18" customHeight="1">
      <c r="B4652" s="12" t="s">
        <v>302</v>
      </c>
      <c r="C4652" s="6" t="s">
        <v>5834</v>
      </c>
      <c r="D4652" s="14" t="s">
        <v>2171</v>
      </c>
      <c r="E4652" s="22" t="s">
        <v>207</v>
      </c>
      <c r="F4652" s="107">
        <v>152</v>
      </c>
      <c r="G4652" s="22" t="s">
        <v>5635</v>
      </c>
      <c r="H4652" s="1255"/>
      <c r="I4652" s="109"/>
      <c r="J4652" s="8">
        <v>30</v>
      </c>
      <c r="K4652" s="39">
        <v>4.7300000000000004</v>
      </c>
      <c r="L4652" s="39">
        <f>K4652*J4652</f>
        <v>141.9</v>
      </c>
      <c r="M4652" s="403" t="s">
        <v>322</v>
      </c>
      <c r="N4652" s="33">
        <v>45848</v>
      </c>
      <c r="O4652" s="32">
        <v>7182</v>
      </c>
      <c r="P4652" s="391">
        <f>ROUNDUP(S4652/V4652/VLOOKUP(B4652,$C$2:$F$6,3,FALSE),2)</f>
        <v>3.4099999999999997</v>
      </c>
      <c r="Q4652" s="322">
        <v>3.41</v>
      </c>
      <c r="R4652" s="322">
        <f>Q4652*J4652</f>
        <v>102.30000000000001</v>
      </c>
      <c r="S4652" s="7">
        <v>360</v>
      </c>
      <c r="T4652" s="7">
        <f>S4652*J4652</f>
        <v>10800</v>
      </c>
      <c r="U4652" s="21"/>
      <c r="V4652" s="260">
        <v>120</v>
      </c>
      <c r="W4652" s="1136">
        <f t="shared" si="433"/>
        <v>0.36575052854122625</v>
      </c>
    </row>
    <row r="4653" spans="1:23" s="7" customFormat="1" ht="18" customHeight="1">
      <c r="B4653" s="12"/>
      <c r="C4653" s="6" t="s">
        <v>5834</v>
      </c>
      <c r="D4653" s="14" t="s">
        <v>2171</v>
      </c>
      <c r="E4653" s="22"/>
      <c r="F4653" s="102"/>
      <c r="G4653" s="22" t="s">
        <v>236</v>
      </c>
      <c r="H4653" s="8"/>
      <c r="I4653" s="35"/>
      <c r="J4653" s="38">
        <v>1</v>
      </c>
      <c r="K4653" s="39">
        <v>15</v>
      </c>
      <c r="L4653" s="39">
        <f>K4653*J4653</f>
        <v>15</v>
      </c>
      <c r="M4653" s="91"/>
      <c r="N4653" s="33">
        <v>45848</v>
      </c>
      <c r="O4653" s="32">
        <v>7182</v>
      </c>
      <c r="P4653" s="6" t="s">
        <v>3</v>
      </c>
      <c r="Q4653" s="39">
        <v>15</v>
      </c>
      <c r="R4653" s="322">
        <f>Q4653*J4653</f>
        <v>15</v>
      </c>
      <c r="S4653" s="1388">
        <v>1000</v>
      </c>
      <c r="T4653" s="7">
        <f>S4653*J4653</f>
        <v>1000</v>
      </c>
      <c r="U4653" s="21"/>
      <c r="V4653" s="260">
        <v>120</v>
      </c>
      <c r="W4653" s="1136">
        <f t="shared" si="433"/>
        <v>0.44444444444444442</v>
      </c>
    </row>
    <row r="4654" spans="1:23" s="7" customFormat="1" ht="18" customHeight="1">
      <c r="B4654" s="12"/>
      <c r="C4654" s="6" t="s">
        <v>5834</v>
      </c>
      <c r="D4654" s="14" t="s">
        <v>2171</v>
      </c>
      <c r="E4654" s="22"/>
      <c r="F4654" s="102"/>
      <c r="G4654" s="22" t="s">
        <v>316</v>
      </c>
      <c r="H4654" s="8"/>
      <c r="I4654" s="35"/>
      <c r="J4654" s="38">
        <v>1</v>
      </c>
      <c r="K4654" s="39">
        <v>25</v>
      </c>
      <c r="L4654" s="39">
        <f>K4654*J4654</f>
        <v>25</v>
      </c>
      <c r="M4654" s="91"/>
      <c r="N4654" s="33">
        <v>45848</v>
      </c>
      <c r="O4654" s="32">
        <v>7182</v>
      </c>
      <c r="P4654" s="6" t="s">
        <v>3</v>
      </c>
      <c r="Q4654" s="39">
        <v>25</v>
      </c>
      <c r="R4654" s="322">
        <f>Q4654*J4654</f>
        <v>25</v>
      </c>
      <c r="S4654" s="745">
        <v>1600</v>
      </c>
      <c r="T4654" s="745">
        <f>S4654*J4654</f>
        <v>1600</v>
      </c>
      <c r="U4654" s="21"/>
      <c r="V4654" s="260">
        <v>120</v>
      </c>
      <c r="W4654" s="1136">
        <f t="shared" si="433"/>
        <v>0.46666666666666667</v>
      </c>
    </row>
    <row r="4655" spans="1:23" s="191" customFormat="1" ht="15.75">
      <c r="B4655" s="190"/>
      <c r="C4655" s="179" t="s">
        <v>5645</v>
      </c>
      <c r="D4655" s="180" t="s">
        <v>2171</v>
      </c>
      <c r="E4655" s="181"/>
      <c r="F4655" s="182"/>
      <c r="G4655" s="309" t="s">
        <v>324</v>
      </c>
      <c r="H4655" s="184" t="s">
        <v>252</v>
      </c>
      <c r="I4655" s="185"/>
      <c r="J4655" s="183"/>
      <c r="K4655" s="203">
        <v>1850</v>
      </c>
      <c r="L4655" s="203">
        <v>1850</v>
      </c>
      <c r="M4655" s="187"/>
      <c r="N4655" s="187">
        <v>45848</v>
      </c>
      <c r="O4655" s="186">
        <v>7182</v>
      </c>
      <c r="P4655" s="179"/>
      <c r="Q4655" s="203">
        <v>1850</v>
      </c>
      <c r="R4655" s="203">
        <v>1850</v>
      </c>
      <c r="S4655" s="1201">
        <f>9730+105090</f>
        <v>114820</v>
      </c>
      <c r="T4655" s="1201">
        <v>114820</v>
      </c>
      <c r="U4655" s="271"/>
      <c r="V4655" s="260">
        <v>120</v>
      </c>
      <c r="W4655" s="1136">
        <f t="shared" si="433"/>
        <v>0.4827927927927928</v>
      </c>
    </row>
    <row r="4656" spans="1:23" s="7" customFormat="1" ht="18" customHeight="1">
      <c r="B4656" s="12"/>
      <c r="C4656" s="6" t="s">
        <v>5638</v>
      </c>
      <c r="D4656" s="14" t="s">
        <v>5637</v>
      </c>
      <c r="E4656" s="19" t="s">
        <v>2358</v>
      </c>
      <c r="F4656" s="24"/>
      <c r="G4656" s="22"/>
      <c r="H4656" s="60"/>
      <c r="I4656" s="61"/>
      <c r="J4656" s="60"/>
      <c r="K4656" s="16" t="s">
        <v>5</v>
      </c>
      <c r="L4656" s="139"/>
      <c r="M4656" s="33"/>
      <c r="N4656" s="33">
        <v>45818</v>
      </c>
      <c r="O4656" s="32">
        <v>7192</v>
      </c>
      <c r="P4656" s="6" t="s">
        <v>3</v>
      </c>
      <c r="Q4656" s="358"/>
      <c r="S4656" s="1434"/>
      <c r="U4656" s="120"/>
      <c r="V4656" s="260">
        <v>120</v>
      </c>
    </row>
    <row r="4657" spans="1:23" s="7" customFormat="1" ht="18" customHeight="1">
      <c r="B4657" s="12" t="s">
        <v>300</v>
      </c>
      <c r="C4657" s="6" t="s">
        <v>5638</v>
      </c>
      <c r="D4657" s="14" t="s">
        <v>5637</v>
      </c>
      <c r="E4657" s="22" t="s">
        <v>5498</v>
      </c>
      <c r="F4657" s="24"/>
      <c r="G4657" s="22" t="s">
        <v>5318</v>
      </c>
      <c r="H4657" s="108"/>
      <c r="I4657" s="109"/>
      <c r="J4657" s="8">
        <v>90</v>
      </c>
      <c r="K4657" s="39">
        <v>4.24</v>
      </c>
      <c r="L4657" s="39">
        <f>K4657*J4657</f>
        <v>381.6</v>
      </c>
      <c r="M4657" s="117" t="s">
        <v>323</v>
      </c>
      <c r="N4657" s="33">
        <v>45818</v>
      </c>
      <c r="O4657" s="32">
        <v>7192</v>
      </c>
      <c r="P4657" s="391">
        <f>ROUNDUP(S4657/V4657/VLOOKUP(B4657,$C$2:$F$6,3,FALSE),2)</f>
        <v>3.6399999999999997</v>
      </c>
      <c r="Q4657" s="322">
        <v>3.64</v>
      </c>
      <c r="R4657" s="322">
        <f>Q4657*J4657</f>
        <v>327.60000000000002</v>
      </c>
      <c r="S4657" s="7">
        <v>305</v>
      </c>
      <c r="T4657" s="7">
        <f>S4657*J4657</f>
        <v>27450</v>
      </c>
      <c r="U4657" s="386"/>
      <c r="V4657" s="260">
        <v>120</v>
      </c>
      <c r="W4657" s="1136">
        <f t="shared" ref="W4657:W4662" si="434">(((K4657*V4657)-S4657)/(K4657*V4657))</f>
        <v>0.40055031446540884</v>
      </c>
    </row>
    <row r="4658" spans="1:23" s="191" customFormat="1" ht="15.75">
      <c r="B4658" s="190"/>
      <c r="C4658" s="179" t="s">
        <v>5638</v>
      </c>
      <c r="D4658" s="180" t="s">
        <v>5637</v>
      </c>
      <c r="E4658" s="181"/>
      <c r="F4658" s="182"/>
      <c r="G4658" s="309" t="s">
        <v>324</v>
      </c>
      <c r="H4658" s="184" t="s">
        <v>251</v>
      </c>
      <c r="I4658" s="185"/>
      <c r="J4658" s="183"/>
      <c r="K4658" s="192">
        <v>0</v>
      </c>
      <c r="L4658" s="187"/>
      <c r="M4658" s="187"/>
      <c r="N4658" s="187">
        <v>45818</v>
      </c>
      <c r="O4658" s="186">
        <v>7192</v>
      </c>
      <c r="P4658" s="179"/>
      <c r="Q4658" s="255">
        <v>0</v>
      </c>
      <c r="S4658" s="275">
        <v>0</v>
      </c>
      <c r="T4658" s="198">
        <v>0</v>
      </c>
      <c r="U4658" s="271"/>
      <c r="V4658" s="260">
        <v>120</v>
      </c>
      <c r="W4658" s="1136" t="e">
        <f t="shared" si="434"/>
        <v>#DIV/0!</v>
      </c>
    </row>
    <row r="4659" spans="1:23" s="7" customFormat="1" ht="15">
      <c r="B4659" s="12"/>
      <c r="C4659" s="965" t="s">
        <v>5643</v>
      </c>
      <c r="D4659" s="14" t="s">
        <v>4963</v>
      </c>
      <c r="E4659" s="19" t="s">
        <v>2244</v>
      </c>
      <c r="F4659" s="24"/>
      <c r="G4659" s="22"/>
      <c r="H4659" s="60"/>
      <c r="I4659" s="61"/>
      <c r="J4659" s="8"/>
      <c r="K4659" s="110" t="s">
        <v>5</v>
      </c>
      <c r="L4659" s="139"/>
      <c r="M4659" s="33"/>
      <c r="N4659" s="33">
        <v>45811</v>
      </c>
      <c r="O4659" s="32">
        <v>7181</v>
      </c>
      <c r="P4659" s="6" t="s">
        <v>8</v>
      </c>
      <c r="Q4659" s="358"/>
      <c r="U4659" s="120"/>
      <c r="V4659" s="260">
        <v>120</v>
      </c>
      <c r="W4659" s="1136" t="e">
        <f t="shared" si="434"/>
        <v>#VALUE!</v>
      </c>
    </row>
    <row r="4660" spans="1:23" s="7" customFormat="1" ht="18" customHeight="1">
      <c r="B4660" s="12" t="s">
        <v>300</v>
      </c>
      <c r="C4660" s="965" t="s">
        <v>5643</v>
      </c>
      <c r="D4660" s="14" t="s">
        <v>4963</v>
      </c>
      <c r="E4660" s="22">
        <v>11700</v>
      </c>
      <c r="F4660" s="37">
        <v>24</v>
      </c>
      <c r="G4660" s="22" t="s">
        <v>118</v>
      </c>
      <c r="H4660" s="8">
        <v>10</v>
      </c>
      <c r="I4660" s="35">
        <v>2</v>
      </c>
      <c r="J4660" s="108">
        <f>H4660*I4660</f>
        <v>20</v>
      </c>
      <c r="K4660" s="958">
        <v>2.84</v>
      </c>
      <c r="L4660" s="39">
        <f>K4660*J4660</f>
        <v>56.8</v>
      </c>
      <c r="M4660" s="117" t="s">
        <v>349</v>
      </c>
      <c r="N4660" s="33">
        <v>45811</v>
      </c>
      <c r="O4660" s="32">
        <v>7181</v>
      </c>
      <c r="P4660" s="391">
        <f>ROUNDUP(S4660/V4660/VLOOKUP(B4660,$C$2:$F$6,3,FALSE),2)</f>
        <v>2.0099999999999998</v>
      </c>
      <c r="Q4660" s="322">
        <v>2.0099999999999998</v>
      </c>
      <c r="R4660" s="322">
        <f>Q4660*J4660</f>
        <v>40.199999999999996</v>
      </c>
      <c r="S4660" s="7">
        <v>168.6</v>
      </c>
      <c r="T4660" s="7">
        <f>S4660*J4660</f>
        <v>3372</v>
      </c>
      <c r="U4660" s="39"/>
      <c r="V4660" s="260">
        <v>120</v>
      </c>
      <c r="W4660" s="1136">
        <f t="shared" si="434"/>
        <v>0.50528169014084501</v>
      </c>
    </row>
    <row r="4661" spans="1:23" customFormat="1" ht="15.95" customHeight="1">
      <c r="A4661" s="1"/>
      <c r="B4661" s="12" t="s">
        <v>306</v>
      </c>
      <c r="C4661" s="965" t="s">
        <v>5643</v>
      </c>
      <c r="D4661" s="14" t="s">
        <v>4963</v>
      </c>
      <c r="E4661" s="22"/>
      <c r="F4661" s="102"/>
      <c r="G4661" s="37" t="s">
        <v>316</v>
      </c>
      <c r="H4661" s="8"/>
      <c r="I4661" s="35"/>
      <c r="J4661" s="38">
        <v>1</v>
      </c>
      <c r="K4661" s="39">
        <v>12</v>
      </c>
      <c r="L4661" s="39">
        <f>K4661*J4661</f>
        <v>12</v>
      </c>
      <c r="M4661" s="91"/>
      <c r="N4661" s="33">
        <v>45811</v>
      </c>
      <c r="O4661" s="32">
        <v>7181</v>
      </c>
      <c r="P4661" s="39"/>
      <c r="Q4661" s="358">
        <v>12</v>
      </c>
      <c r="R4661" s="323">
        <v>12</v>
      </c>
      <c r="S4661" s="7">
        <v>0</v>
      </c>
      <c r="T4661" s="7">
        <v>0</v>
      </c>
      <c r="U4661" s="270"/>
      <c r="V4661" s="260">
        <v>120</v>
      </c>
      <c r="W4661" s="1136">
        <f t="shared" si="434"/>
        <v>1</v>
      </c>
    </row>
    <row r="4662" spans="1:23" s="191" customFormat="1" ht="15">
      <c r="B4662" s="190"/>
      <c r="C4662" s="966" t="s">
        <v>5643</v>
      </c>
      <c r="D4662" s="180" t="s">
        <v>4963</v>
      </c>
      <c r="E4662" s="181"/>
      <c r="F4662" s="182"/>
      <c r="G4662" s="182" t="s">
        <v>250</v>
      </c>
      <c r="H4662" s="184" t="s">
        <v>251</v>
      </c>
      <c r="I4662" s="185"/>
      <c r="J4662" s="183"/>
      <c r="K4662" s="203">
        <v>63</v>
      </c>
      <c r="L4662" s="203">
        <v>63</v>
      </c>
      <c r="M4662" s="187"/>
      <c r="N4662" s="187">
        <v>45811</v>
      </c>
      <c r="O4662" s="186">
        <v>7181</v>
      </c>
      <c r="P4662" s="179"/>
      <c r="Q4662" s="203">
        <v>63</v>
      </c>
      <c r="R4662" s="203">
        <v>63</v>
      </c>
      <c r="S4662" s="7">
        <v>6291</v>
      </c>
      <c r="T4662" s="7">
        <v>6291</v>
      </c>
      <c r="U4662" s="271"/>
      <c r="V4662" s="260">
        <v>120</v>
      </c>
      <c r="W4662" s="1136">
        <f t="shared" si="434"/>
        <v>0.16785714285714284</v>
      </c>
    </row>
    <row r="4663" spans="1:23" s="7" customFormat="1" ht="15" customHeight="1">
      <c r="B4663" s="12"/>
      <c r="C4663" s="6" t="s">
        <v>5646</v>
      </c>
      <c r="D4663" s="14" t="s">
        <v>5608</v>
      </c>
      <c r="E4663" s="19" t="s">
        <v>4809</v>
      </c>
      <c r="F4663" s="107"/>
      <c r="G4663" s="22"/>
      <c r="H4663" s="108"/>
      <c r="I4663" s="109"/>
      <c r="J4663" s="108"/>
      <c r="K4663" s="29" t="s">
        <v>5</v>
      </c>
      <c r="L4663" s="39"/>
      <c r="M4663" s="91"/>
      <c r="N4663" s="33">
        <v>45813</v>
      </c>
      <c r="O4663" s="32">
        <v>7186</v>
      </c>
      <c r="P4663" s="14"/>
      <c r="Q4663" s="322"/>
      <c r="U4663" s="14"/>
      <c r="V4663" s="384">
        <v>120</v>
      </c>
    </row>
    <row r="4664" spans="1:23" s="7" customFormat="1" ht="18" customHeight="1">
      <c r="B4664" s="12" t="s">
        <v>302</v>
      </c>
      <c r="C4664" s="6" t="s">
        <v>5646</v>
      </c>
      <c r="D4664" s="14" t="s">
        <v>5608</v>
      </c>
      <c r="E4664" s="22" t="s">
        <v>4808</v>
      </c>
      <c r="F4664" s="107">
        <v>140</v>
      </c>
      <c r="G4664" s="396" t="s">
        <v>4483</v>
      </c>
      <c r="H4664" s="131">
        <v>34</v>
      </c>
      <c r="I4664" s="109">
        <v>1</v>
      </c>
      <c r="J4664" s="131">
        <f>H4664*I4664</f>
        <v>34</v>
      </c>
      <c r="K4664" s="39">
        <v>14.64</v>
      </c>
      <c r="L4664" s="39">
        <f>K4664*J4664</f>
        <v>497.76</v>
      </c>
      <c r="M4664" s="117" t="s">
        <v>323</v>
      </c>
      <c r="N4664" s="1510">
        <v>45813</v>
      </c>
      <c r="O4664" s="32">
        <v>7186</v>
      </c>
      <c r="P4664" s="391">
        <f>ROUNDUP(S4664/V4664/VLOOKUP(B4664,$C$2:$F$6,3,FALSE),2)</f>
        <v>11.94</v>
      </c>
      <c r="Q4664" s="322">
        <v>11.94</v>
      </c>
      <c r="R4664" s="322">
        <f>Q4664*J4664</f>
        <v>405.96</v>
      </c>
      <c r="S4664" s="92">
        <v>1260</v>
      </c>
      <c r="T4664" s="7">
        <f>S4664*J4664</f>
        <v>42840</v>
      </c>
      <c r="U4664" s="21"/>
      <c r="V4664" s="260">
        <v>120</v>
      </c>
      <c r="W4664" s="1136">
        <f t="shared" ref="W4664:W4672" si="435">(((K4664*V4664)-S4664)/(K4664*V4664))</f>
        <v>0.28278688524590173</v>
      </c>
    </row>
    <row r="4665" spans="1:23" s="7" customFormat="1" ht="18" customHeight="1">
      <c r="B4665" s="12" t="s">
        <v>302</v>
      </c>
      <c r="C4665" s="6" t="s">
        <v>5646</v>
      </c>
      <c r="D4665" s="14" t="s">
        <v>5608</v>
      </c>
      <c r="E4665" s="22" t="s">
        <v>4808</v>
      </c>
      <c r="F4665" s="107">
        <v>140</v>
      </c>
      <c r="G4665" s="396" t="s">
        <v>4483</v>
      </c>
      <c r="H4665" s="131">
        <v>20.2</v>
      </c>
      <c r="I4665" s="109">
        <v>1</v>
      </c>
      <c r="J4665" s="131">
        <f>H4665*I4665</f>
        <v>20.2</v>
      </c>
      <c r="K4665" s="39">
        <v>14.64</v>
      </c>
      <c r="L4665" s="39">
        <f>K4665*J4665</f>
        <v>295.72800000000001</v>
      </c>
      <c r="M4665" s="117" t="s">
        <v>323</v>
      </c>
      <c r="N4665" s="1510">
        <v>45813</v>
      </c>
      <c r="O4665" s="32">
        <v>7186</v>
      </c>
      <c r="P4665" s="391">
        <f>ROUNDUP(S4665/V4665/VLOOKUP(B4665,$C$2:$F$6,3,FALSE),2)</f>
        <v>11.94</v>
      </c>
      <c r="Q4665" s="322">
        <v>11.94</v>
      </c>
      <c r="R4665" s="322">
        <f>Q4665*J4665</f>
        <v>241.18799999999999</v>
      </c>
      <c r="S4665" s="92">
        <v>1260</v>
      </c>
      <c r="T4665" s="7">
        <f>S4665*J4665</f>
        <v>25452</v>
      </c>
      <c r="U4665" s="21"/>
      <c r="V4665" s="260">
        <v>120</v>
      </c>
      <c r="W4665" s="1136">
        <f t="shared" si="435"/>
        <v>0.28278688524590173</v>
      </c>
    </row>
    <row r="4666" spans="1:23" s="7" customFormat="1" ht="18" customHeight="1">
      <c r="B4666" s="12"/>
      <c r="C4666" s="6" t="s">
        <v>5646</v>
      </c>
      <c r="D4666" s="14" t="s">
        <v>5608</v>
      </c>
      <c r="E4666" s="49"/>
      <c r="F4666" s="102"/>
      <c r="G4666" s="22" t="s">
        <v>316</v>
      </c>
      <c r="H4666" s="8"/>
      <c r="I4666" s="35"/>
      <c r="J4666" s="38">
        <v>1</v>
      </c>
      <c r="K4666" s="39">
        <v>20</v>
      </c>
      <c r="L4666" s="39">
        <f>K4666*J4666</f>
        <v>20</v>
      </c>
      <c r="M4666" s="91"/>
      <c r="N4666" s="33">
        <v>45813</v>
      </c>
      <c r="O4666" s="32">
        <v>7186</v>
      </c>
      <c r="P4666" s="6" t="s">
        <v>3</v>
      </c>
      <c r="Q4666" s="39">
        <v>20</v>
      </c>
      <c r="R4666" s="322">
        <f>Q4666*J4666</f>
        <v>20</v>
      </c>
      <c r="S4666" s="7">
        <v>0</v>
      </c>
      <c r="T4666" s="7">
        <f>S4666*J4666</f>
        <v>0</v>
      </c>
      <c r="U4666" s="21"/>
      <c r="V4666" s="260">
        <v>120</v>
      </c>
      <c r="W4666" s="1136">
        <f t="shared" si="435"/>
        <v>1</v>
      </c>
    </row>
    <row r="4667" spans="1:23" s="191" customFormat="1" ht="18" customHeight="1">
      <c r="B4667" s="190"/>
      <c r="C4667" s="179" t="s">
        <v>5646</v>
      </c>
      <c r="D4667" s="180" t="s">
        <v>5608</v>
      </c>
      <c r="E4667" s="181"/>
      <c r="F4667" s="622"/>
      <c r="G4667" s="182" t="s">
        <v>250</v>
      </c>
      <c r="H4667" s="184" t="s">
        <v>251</v>
      </c>
      <c r="I4667" s="185"/>
      <c r="J4667" s="183"/>
      <c r="K4667" s="192">
        <v>0</v>
      </c>
      <c r="L4667" s="187"/>
      <c r="M4667" s="187"/>
      <c r="N4667" s="187">
        <v>45813</v>
      </c>
      <c r="O4667" s="186">
        <v>7186</v>
      </c>
      <c r="P4667" s="179"/>
      <c r="Q4667" s="255">
        <v>0</v>
      </c>
      <c r="R4667" s="322">
        <v>0</v>
      </c>
      <c r="S4667" s="275">
        <v>0</v>
      </c>
      <c r="T4667" s="198">
        <v>0</v>
      </c>
      <c r="U4667" s="271"/>
      <c r="V4667" s="260">
        <v>120</v>
      </c>
      <c r="W4667" s="1136" t="e">
        <f t="shared" si="435"/>
        <v>#DIV/0!</v>
      </c>
    </row>
    <row r="4668" spans="1:23" s="7" customFormat="1" ht="18" customHeight="1">
      <c r="B4668" s="12"/>
      <c r="C4668" s="6" t="s">
        <v>5654</v>
      </c>
      <c r="D4668" s="14" t="s">
        <v>5019</v>
      </c>
      <c r="E4668" s="7" t="s">
        <v>4812</v>
      </c>
      <c r="F4668" s="37"/>
      <c r="G4668" s="37"/>
      <c r="H4668" s="108"/>
      <c r="I4668" s="108"/>
      <c r="J4668" s="108"/>
      <c r="K4668" s="110" t="s">
        <v>5</v>
      </c>
      <c r="L4668" s="139"/>
      <c r="M4668" s="33"/>
      <c r="N4668" s="33">
        <v>45835</v>
      </c>
      <c r="O4668" s="32">
        <v>7195</v>
      </c>
      <c r="P4668" s="6"/>
      <c r="Q4668" s="339"/>
      <c r="U4668" s="21"/>
      <c r="V4668" s="260">
        <v>120</v>
      </c>
      <c r="W4668" s="1136" t="e">
        <f t="shared" si="435"/>
        <v>#VALUE!</v>
      </c>
    </row>
    <row r="4669" spans="1:23" s="7" customFormat="1" ht="18" customHeight="1">
      <c r="B4669" s="12" t="s">
        <v>300</v>
      </c>
      <c r="C4669" s="6" t="s">
        <v>5654</v>
      </c>
      <c r="D4669" s="14" t="s">
        <v>5019</v>
      </c>
      <c r="E4669" s="374">
        <v>5604</v>
      </c>
      <c r="F4669" s="24"/>
      <c r="G4669" s="22" t="s">
        <v>5610</v>
      </c>
      <c r="H4669" s="108">
        <v>50</v>
      </c>
      <c r="I4669" s="109">
        <v>4</v>
      </c>
      <c r="J4669" s="8">
        <f>H4669*I4669</f>
        <v>200</v>
      </c>
      <c r="K4669" s="39">
        <v>0.47</v>
      </c>
      <c r="L4669" s="39">
        <f>K4669*J4669</f>
        <v>94</v>
      </c>
      <c r="M4669" s="117" t="s">
        <v>349</v>
      </c>
      <c r="N4669" s="1398">
        <v>45835</v>
      </c>
      <c r="O4669" s="32">
        <v>7195</v>
      </c>
      <c r="P4669" s="391">
        <f>ROUNDUP(S4669/V4669/VLOOKUP(B4669,$C$2:$F$6,3,FALSE),2)</f>
        <v>0.3</v>
      </c>
      <c r="Q4669" s="322">
        <v>0.3</v>
      </c>
      <c r="R4669" s="322">
        <f>Q4669*J4669</f>
        <v>60</v>
      </c>
      <c r="S4669" s="92">
        <v>25.2</v>
      </c>
      <c r="T4669" s="7">
        <f>S4669*J4669</f>
        <v>5040</v>
      </c>
      <c r="U4669" s="959"/>
      <c r="V4669" s="260">
        <v>120</v>
      </c>
      <c r="W4669" s="1136">
        <f t="shared" si="435"/>
        <v>0.55319148936170215</v>
      </c>
    </row>
    <row r="4670" spans="1:23" s="7" customFormat="1" ht="18" customHeight="1">
      <c r="B4670" s="12"/>
      <c r="C4670" s="6" t="s">
        <v>5654</v>
      </c>
      <c r="D4670" s="14" t="s">
        <v>5019</v>
      </c>
      <c r="E4670" s="22"/>
      <c r="F4670" s="102"/>
      <c r="G4670" s="22" t="s">
        <v>316</v>
      </c>
      <c r="H4670" s="8"/>
      <c r="I4670" s="35"/>
      <c r="J4670" s="38">
        <v>1</v>
      </c>
      <c r="K4670" s="39">
        <v>12</v>
      </c>
      <c r="L4670" s="39">
        <f>K4670*J4670</f>
        <v>12</v>
      </c>
      <c r="M4670" s="91"/>
      <c r="N4670" s="33">
        <v>45835</v>
      </c>
      <c r="O4670" s="32">
        <v>7195</v>
      </c>
      <c r="P4670" s="6" t="s">
        <v>3</v>
      </c>
      <c r="Q4670" s="39">
        <v>12</v>
      </c>
      <c r="R4670" s="322">
        <f>Q4670*J4670</f>
        <v>12</v>
      </c>
      <c r="S4670" s="7">
        <v>1100</v>
      </c>
      <c r="T4670" s="7">
        <v>1100</v>
      </c>
      <c r="U4670" s="21"/>
      <c r="V4670" s="260">
        <v>120</v>
      </c>
      <c r="W4670" s="1136">
        <f t="shared" si="435"/>
        <v>0.2361111111111111</v>
      </c>
    </row>
    <row r="4671" spans="1:23" s="191" customFormat="1" ht="18" customHeight="1">
      <c r="B4671" s="190"/>
      <c r="C4671" s="179" t="s">
        <v>5654</v>
      </c>
      <c r="D4671" s="180" t="s">
        <v>5019</v>
      </c>
      <c r="E4671" s="217"/>
      <c r="F4671" s="182"/>
      <c r="G4671" s="182" t="s">
        <v>250</v>
      </c>
      <c r="H4671" s="184" t="s">
        <v>251</v>
      </c>
      <c r="I4671" s="185"/>
      <c r="J4671" s="183"/>
      <c r="K4671" s="192">
        <v>0</v>
      </c>
      <c r="L4671" s="192">
        <v>0</v>
      </c>
      <c r="M4671" s="187"/>
      <c r="N4671" s="187">
        <v>45835</v>
      </c>
      <c r="O4671" s="186">
        <v>7195</v>
      </c>
      <c r="P4671" s="179"/>
      <c r="Q4671" s="334">
        <v>0</v>
      </c>
      <c r="R4671" s="334">
        <v>0</v>
      </c>
      <c r="S4671" s="197">
        <v>0</v>
      </c>
      <c r="T4671" s="197">
        <v>0</v>
      </c>
      <c r="U4671" s="335"/>
      <c r="V4671" s="260">
        <v>120</v>
      </c>
      <c r="W4671" s="1136" t="e">
        <f t="shared" si="435"/>
        <v>#DIV/0!</v>
      </c>
    </row>
    <row r="4672" spans="1:23" s="7" customFormat="1" ht="18" customHeight="1">
      <c r="B4672" s="12"/>
      <c r="C4672" s="6" t="s">
        <v>5664</v>
      </c>
      <c r="D4672" s="6" t="s">
        <v>5655</v>
      </c>
      <c r="E4672" s="19" t="s">
        <v>10</v>
      </c>
      <c r="F4672" s="107"/>
      <c r="G4672" s="1256"/>
      <c r="H4672" s="108"/>
      <c r="I4672" s="109"/>
      <c r="J4672" s="108"/>
      <c r="K4672" s="29" t="s">
        <v>5</v>
      </c>
      <c r="L4672" s="139"/>
      <c r="M4672" s="33"/>
      <c r="N4672" s="33">
        <v>45825</v>
      </c>
      <c r="O4672" s="32">
        <v>7203</v>
      </c>
      <c r="P4672" s="14"/>
      <c r="Q4672" s="322"/>
      <c r="U4672" s="14"/>
      <c r="V4672" s="260">
        <v>120</v>
      </c>
      <c r="W4672" s="1136" t="e">
        <f t="shared" si="435"/>
        <v>#VALUE!</v>
      </c>
    </row>
    <row r="4673" spans="2:23" s="7" customFormat="1" ht="15.75">
      <c r="B4673" s="12" t="s">
        <v>302</v>
      </c>
      <c r="C4673" s="6" t="s">
        <v>5664</v>
      </c>
      <c r="D4673" s="6" t="s">
        <v>5655</v>
      </c>
      <c r="E4673" s="374" t="s">
        <v>207</v>
      </c>
      <c r="F4673" s="107">
        <v>152</v>
      </c>
      <c r="G4673" s="22" t="s">
        <v>5656</v>
      </c>
      <c r="H4673" s="1255">
        <v>50</v>
      </c>
      <c r="I4673" s="109">
        <v>1</v>
      </c>
      <c r="J4673" s="8">
        <f>I4673*H4673</f>
        <v>50</v>
      </c>
      <c r="K4673" s="39">
        <v>4.7300000000000004</v>
      </c>
      <c r="L4673" s="39">
        <f>K4673*J4673</f>
        <v>236.50000000000003</v>
      </c>
      <c r="M4673" s="403" t="s">
        <v>322</v>
      </c>
      <c r="N4673" s="33">
        <v>45825</v>
      </c>
      <c r="O4673" s="32">
        <v>7203</v>
      </c>
      <c r="P4673" s="391">
        <f>ROUNDUP(S4673/V4673/VLOOKUP(B4673,$C$2:$F$6,3,FALSE),2)</f>
        <v>3.4099999999999997</v>
      </c>
      <c r="Q4673" s="322">
        <v>3.41</v>
      </c>
      <c r="R4673" s="322">
        <f>Q4673*J4673</f>
        <v>170.5</v>
      </c>
      <c r="S4673" s="7">
        <v>360</v>
      </c>
      <c r="T4673" s="7">
        <f>S4673*J4673</f>
        <v>18000</v>
      </c>
      <c r="U4673" s="21"/>
      <c r="V4673" s="260">
        <v>120</v>
      </c>
      <c r="W4673" s="1136">
        <f>(((K4673*V4673)-S4673)/(K4673*V4673))</f>
        <v>0.36575052854122625</v>
      </c>
    </row>
    <row r="4674" spans="2:23" s="7" customFormat="1" ht="15.75">
      <c r="B4674" s="12" t="s">
        <v>302</v>
      </c>
      <c r="C4674" s="6" t="s">
        <v>5664</v>
      </c>
      <c r="D4674" s="6" t="s">
        <v>5655</v>
      </c>
      <c r="E4674" s="374" t="s">
        <v>207</v>
      </c>
      <c r="F4674" s="107">
        <v>152</v>
      </c>
      <c r="G4674" s="22" t="s">
        <v>5657</v>
      </c>
      <c r="H4674" s="1255">
        <v>67</v>
      </c>
      <c r="I4674" s="109">
        <v>1</v>
      </c>
      <c r="J4674" s="8">
        <f>I4674*H4674</f>
        <v>67</v>
      </c>
      <c r="K4674" s="39">
        <v>4.7300000000000004</v>
      </c>
      <c r="L4674" s="39">
        <f>K4674*J4674</f>
        <v>316.91000000000003</v>
      </c>
      <c r="M4674" s="403" t="s">
        <v>322</v>
      </c>
      <c r="N4674" s="33">
        <v>45825</v>
      </c>
      <c r="O4674" s="32">
        <v>7203</v>
      </c>
      <c r="P4674" s="391">
        <f>ROUNDUP(S4674/V4674/VLOOKUP(B4674,$C$2:$F$6,3,FALSE),2)</f>
        <v>3.4099999999999997</v>
      </c>
      <c r="Q4674" s="322">
        <v>3.41</v>
      </c>
      <c r="R4674" s="322">
        <f>Q4674*J4674</f>
        <v>228.47</v>
      </c>
      <c r="S4674" s="7">
        <v>360</v>
      </c>
      <c r="T4674" s="7">
        <f>S4674*J4674</f>
        <v>24120</v>
      </c>
      <c r="U4674" s="21"/>
      <c r="V4674" s="260">
        <v>120</v>
      </c>
      <c r="W4674" s="1136">
        <f>(((K4674*V4674)-S4674)/(K4674*V4674))</f>
        <v>0.36575052854122625</v>
      </c>
    </row>
    <row r="4675" spans="2:23" s="7" customFormat="1" ht="15.75">
      <c r="B4675" s="12" t="s">
        <v>302</v>
      </c>
      <c r="C4675" s="6" t="s">
        <v>5664</v>
      </c>
      <c r="D4675" s="6" t="s">
        <v>5655</v>
      </c>
      <c r="E4675" s="374" t="s">
        <v>207</v>
      </c>
      <c r="F4675" s="107">
        <v>152</v>
      </c>
      <c r="G4675" s="22" t="s">
        <v>5658</v>
      </c>
      <c r="H4675" s="1255">
        <v>50</v>
      </c>
      <c r="I4675" s="109">
        <v>1</v>
      </c>
      <c r="J4675" s="8">
        <f>I4675*H4675</f>
        <v>50</v>
      </c>
      <c r="K4675" s="39">
        <v>4.7300000000000004</v>
      </c>
      <c r="L4675" s="39">
        <f>K4675*J4675</f>
        <v>236.50000000000003</v>
      </c>
      <c r="M4675" s="403" t="s">
        <v>322</v>
      </c>
      <c r="N4675" s="33">
        <v>45825</v>
      </c>
      <c r="O4675" s="32">
        <v>7203</v>
      </c>
      <c r="P4675" s="391">
        <f>ROUNDUP(S4675/V4675/VLOOKUP(B4675,$C$2:$F$6,3,FALSE),2)</f>
        <v>3.4099999999999997</v>
      </c>
      <c r="Q4675" s="322">
        <v>3.41</v>
      </c>
      <c r="R4675" s="322">
        <f>Q4675*J4675</f>
        <v>170.5</v>
      </c>
      <c r="S4675" s="7">
        <v>360</v>
      </c>
      <c r="T4675" s="7">
        <f>S4675*J4675</f>
        <v>18000</v>
      </c>
      <c r="U4675" s="21"/>
      <c r="V4675" s="260">
        <v>120</v>
      </c>
      <c r="W4675" s="1136">
        <f>(((K4675*V4675)-S4675)/(K4675*V4675))</f>
        <v>0.36575052854122625</v>
      </c>
    </row>
    <row r="4676" spans="2:23" s="7" customFormat="1" ht="15.75">
      <c r="B4676" s="12" t="s">
        <v>302</v>
      </c>
      <c r="C4676" s="6" t="s">
        <v>5664</v>
      </c>
      <c r="D4676" s="6" t="s">
        <v>5655</v>
      </c>
      <c r="E4676" s="374" t="s">
        <v>207</v>
      </c>
      <c r="F4676" s="107">
        <v>152</v>
      </c>
      <c r="G4676" s="22" t="s">
        <v>5659</v>
      </c>
      <c r="H4676" s="1255">
        <v>50</v>
      </c>
      <c r="I4676" s="109">
        <v>1</v>
      </c>
      <c r="J4676" s="8">
        <f>I4676*H4676</f>
        <v>50</v>
      </c>
      <c r="K4676" s="39">
        <v>4.7300000000000004</v>
      </c>
      <c r="L4676" s="39">
        <f>K4676*J4676</f>
        <v>236.50000000000003</v>
      </c>
      <c r="M4676" s="403" t="s">
        <v>322</v>
      </c>
      <c r="N4676" s="33">
        <v>45825</v>
      </c>
      <c r="O4676" s="32">
        <v>7203</v>
      </c>
      <c r="P4676" s="391">
        <f>ROUNDUP(S4676/V4676/VLOOKUP(B4676,$C$2:$F$6,3,FALSE),2)</f>
        <v>3.4099999999999997</v>
      </c>
      <c r="Q4676" s="322">
        <v>3.41</v>
      </c>
      <c r="R4676" s="322">
        <f>Q4676*J4676</f>
        <v>170.5</v>
      </c>
      <c r="S4676" s="7">
        <v>360</v>
      </c>
      <c r="T4676" s="7">
        <f>S4676*J4676</f>
        <v>18000</v>
      </c>
      <c r="U4676" s="21"/>
      <c r="V4676" s="260">
        <v>120</v>
      </c>
      <c r="W4676" s="1136">
        <f>(((K4676*V4676)-S4676)/(K4676*V4676))</f>
        <v>0.36575052854122625</v>
      </c>
    </row>
    <row r="4677" spans="2:23" s="7" customFormat="1" ht="18" customHeight="1">
      <c r="B4677" s="12"/>
      <c r="C4677" s="6" t="s">
        <v>5664</v>
      </c>
      <c r="D4677" s="6" t="s">
        <v>5655</v>
      </c>
      <c r="E4677" s="22"/>
      <c r="F4677" s="102"/>
      <c r="G4677" s="22" t="s">
        <v>316</v>
      </c>
      <c r="H4677" s="8"/>
      <c r="I4677" s="35"/>
      <c r="J4677" s="38">
        <v>1</v>
      </c>
      <c r="K4677" s="39">
        <v>25</v>
      </c>
      <c r="L4677" s="39">
        <f>K4677*J4677</f>
        <v>25</v>
      </c>
      <c r="M4677" s="91"/>
      <c r="N4677" s="33">
        <v>45825</v>
      </c>
      <c r="O4677" s="32">
        <v>7203</v>
      </c>
      <c r="P4677" s="6" t="s">
        <v>3</v>
      </c>
      <c r="Q4677" s="39">
        <v>25</v>
      </c>
      <c r="R4677" s="322">
        <f>Q4677*J4677</f>
        <v>25</v>
      </c>
      <c r="S4677" s="1388">
        <v>2500</v>
      </c>
      <c r="T4677" s="1388">
        <v>2500</v>
      </c>
      <c r="U4677" s="21"/>
      <c r="V4677" s="260">
        <v>120</v>
      </c>
      <c r="W4677" s="1136">
        <f>(((K4677*V4677)-S4677)/(K4677*V4677))</f>
        <v>0.16666666666666666</v>
      </c>
    </row>
    <row r="4678" spans="2:23" s="7" customFormat="1" ht="15" customHeight="1">
      <c r="B4678" s="12"/>
      <c r="C4678" s="6" t="s">
        <v>5665</v>
      </c>
      <c r="D4678" s="6" t="s">
        <v>5655</v>
      </c>
      <c r="E4678" s="19" t="s">
        <v>4995</v>
      </c>
      <c r="F4678" s="107"/>
      <c r="G4678" s="22"/>
      <c r="H4678" s="108"/>
      <c r="I4678" s="109"/>
      <c r="J4678" s="108"/>
      <c r="K4678" s="29" t="s">
        <v>5</v>
      </c>
      <c r="L4678" s="39"/>
      <c r="M4678" s="91"/>
      <c r="N4678" s="33">
        <v>45825</v>
      </c>
      <c r="O4678" s="32">
        <v>7204</v>
      </c>
      <c r="P4678" s="14"/>
      <c r="Q4678" s="322"/>
      <c r="U4678" s="14"/>
      <c r="V4678" s="384">
        <v>120</v>
      </c>
    </row>
    <row r="4679" spans="2:23" s="7" customFormat="1" ht="18" customHeight="1">
      <c r="B4679" s="12" t="s">
        <v>302</v>
      </c>
      <c r="C4679" s="6" t="s">
        <v>5665</v>
      </c>
      <c r="D4679" s="6" t="s">
        <v>5655</v>
      </c>
      <c r="E4679" s="374" t="s">
        <v>5660</v>
      </c>
      <c r="F4679" s="107" t="s">
        <v>5661</v>
      </c>
      <c r="G4679" s="396" t="s">
        <v>5662</v>
      </c>
      <c r="H4679" s="131">
        <v>50.3</v>
      </c>
      <c r="I4679" s="109">
        <v>1</v>
      </c>
      <c r="J4679" s="131">
        <f>I4679*H4679</f>
        <v>50.3</v>
      </c>
      <c r="K4679" s="39">
        <v>13.44</v>
      </c>
      <c r="L4679" s="39">
        <f>K4679*J4679</f>
        <v>676.03199999999993</v>
      </c>
      <c r="M4679" s="117" t="s">
        <v>323</v>
      </c>
      <c r="N4679" s="33">
        <v>45825</v>
      </c>
      <c r="O4679" s="32">
        <v>7204</v>
      </c>
      <c r="P4679" s="391">
        <f>ROUNDUP(S4679/V4679/VLOOKUP(B4679,$C$2:$F$6,3,FALSE),2)</f>
        <v>11.94</v>
      </c>
      <c r="Q4679" s="322">
        <v>11.94</v>
      </c>
      <c r="R4679" s="322">
        <f>Q4679*J4679</f>
        <v>600.58199999999999</v>
      </c>
      <c r="S4679" s="92">
        <v>1260</v>
      </c>
      <c r="T4679" s="7">
        <f>S4679*J4679</f>
        <v>63378</v>
      </c>
      <c r="U4679" s="21"/>
      <c r="V4679" s="260">
        <v>120</v>
      </c>
      <c r="W4679" s="1136">
        <f>(((K4679*V4679)-S4679)/(K4679*V4679))</f>
        <v>0.21874999999999997</v>
      </c>
    </row>
    <row r="4680" spans="2:23" s="7" customFormat="1" ht="18" customHeight="1">
      <c r="B4680" s="12" t="s">
        <v>302</v>
      </c>
      <c r="C4680" s="6" t="s">
        <v>5665</v>
      </c>
      <c r="D4680" s="6" t="s">
        <v>5655</v>
      </c>
      <c r="E4680" s="374" t="s">
        <v>5660</v>
      </c>
      <c r="F4680" s="107" t="s">
        <v>5661</v>
      </c>
      <c r="G4680" s="396" t="s">
        <v>5663</v>
      </c>
      <c r="H4680" s="131">
        <v>50.6</v>
      </c>
      <c r="I4680" s="109">
        <v>1</v>
      </c>
      <c r="J4680" s="131">
        <f>I4680*H4680</f>
        <v>50.6</v>
      </c>
      <c r="K4680" s="39">
        <v>13.44</v>
      </c>
      <c r="L4680" s="39">
        <f>K4680*J4680</f>
        <v>680.06399999999996</v>
      </c>
      <c r="M4680" s="117" t="s">
        <v>323</v>
      </c>
      <c r="N4680" s="33">
        <v>45825</v>
      </c>
      <c r="O4680" s="32">
        <v>7204</v>
      </c>
      <c r="P4680" s="391">
        <f>ROUNDUP(S4680/V4680/VLOOKUP(B4680,$C$2:$F$6,3,FALSE),2)</f>
        <v>11.94</v>
      </c>
      <c r="Q4680" s="322">
        <v>11.94</v>
      </c>
      <c r="R4680" s="322">
        <f>Q4680*J4680</f>
        <v>604.16399999999999</v>
      </c>
      <c r="S4680" s="92">
        <v>1260</v>
      </c>
      <c r="T4680" s="7">
        <f>S4680*J4680</f>
        <v>63756</v>
      </c>
      <c r="U4680" s="21"/>
      <c r="V4680" s="260">
        <v>120</v>
      </c>
      <c r="W4680" s="1136">
        <f>(((K4680*V4680)-S4680)/(K4680*V4680))</f>
        <v>0.21874999999999997</v>
      </c>
    </row>
    <row r="4681" spans="2:23" s="191" customFormat="1" ht="18" customHeight="1">
      <c r="B4681" s="190"/>
      <c r="C4681" s="179" t="s">
        <v>5665</v>
      </c>
      <c r="D4681" s="179" t="s">
        <v>5655</v>
      </c>
      <c r="E4681" s="217"/>
      <c r="F4681" s="182"/>
      <c r="G4681" s="182" t="s">
        <v>250</v>
      </c>
      <c r="H4681" s="184" t="s">
        <v>251</v>
      </c>
      <c r="I4681" s="185"/>
      <c r="J4681" s="183"/>
      <c r="K4681" s="192">
        <v>0</v>
      </c>
      <c r="L4681" s="192">
        <v>0</v>
      </c>
      <c r="M4681" s="187"/>
      <c r="N4681" s="187">
        <v>45825</v>
      </c>
      <c r="O4681" s="186">
        <v>7204</v>
      </c>
      <c r="P4681" s="179"/>
      <c r="Q4681" s="334">
        <v>0</v>
      </c>
      <c r="R4681" s="334">
        <v>0</v>
      </c>
      <c r="S4681" s="197">
        <v>0</v>
      </c>
      <c r="T4681" s="197">
        <v>0</v>
      </c>
      <c r="U4681" s="335"/>
      <c r="V4681" s="260">
        <v>120</v>
      </c>
      <c r="W4681" s="1136" t="e">
        <f>(((K4681*V4681)-S4681)/(K4681*V4681))</f>
        <v>#DIV/0!</v>
      </c>
    </row>
    <row r="4682" spans="2:23" s="7" customFormat="1" ht="15" customHeight="1">
      <c r="B4682" s="12"/>
      <c r="C4682" s="6" t="s">
        <v>5666</v>
      </c>
      <c r="D4682" s="6" t="s">
        <v>3112</v>
      </c>
      <c r="E4682" s="19" t="s">
        <v>4639</v>
      </c>
      <c r="F4682" s="107"/>
      <c r="G4682" s="22"/>
      <c r="H4682" s="108"/>
      <c r="I4682" s="109"/>
      <c r="J4682" s="108"/>
      <c r="K4682" s="29" t="s">
        <v>5</v>
      </c>
      <c r="L4682" s="39"/>
      <c r="M4682" s="91"/>
      <c r="N4682" s="33">
        <v>45824</v>
      </c>
      <c r="O4682" s="32">
        <v>7205</v>
      </c>
      <c r="P4682" s="14"/>
      <c r="Q4682" s="322"/>
      <c r="U4682" s="14"/>
      <c r="V4682" s="384">
        <v>120</v>
      </c>
    </row>
    <row r="4683" spans="2:23" s="7" customFormat="1" ht="18" customHeight="1">
      <c r="B4683" s="12" t="s">
        <v>302</v>
      </c>
      <c r="C4683" s="6" t="s">
        <v>5666</v>
      </c>
      <c r="D4683" s="6" t="s">
        <v>3112</v>
      </c>
      <c r="E4683" s="374" t="s">
        <v>4633</v>
      </c>
      <c r="F4683" s="112">
        <v>145</v>
      </c>
      <c r="G4683" s="396" t="s">
        <v>4634</v>
      </c>
      <c r="H4683" s="131">
        <v>57.5</v>
      </c>
      <c r="I4683" s="109">
        <v>1</v>
      </c>
      <c r="J4683" s="131">
        <f>I4683*H4683</f>
        <v>57.5</v>
      </c>
      <c r="K4683" s="39">
        <v>9.8699999999999992</v>
      </c>
      <c r="L4683" s="39">
        <f>K4683*J4683</f>
        <v>567.52499999999998</v>
      </c>
      <c r="M4683" s="117" t="s">
        <v>323</v>
      </c>
      <c r="N4683" s="33">
        <v>45824</v>
      </c>
      <c r="O4683" s="32">
        <v>7205</v>
      </c>
      <c r="P4683" s="391">
        <f>ROUNDUP(S4683/V4683/VLOOKUP(B4683,$C$2:$F$6,3,FALSE),2)</f>
        <v>7.01</v>
      </c>
      <c r="Q4683" s="322">
        <v>7.01</v>
      </c>
      <c r="R4683" s="322">
        <f>Q4683*J4683</f>
        <v>403.07499999999999</v>
      </c>
      <c r="S4683" s="92">
        <v>740</v>
      </c>
      <c r="T4683" s="7">
        <f>S4683*J4683</f>
        <v>42550</v>
      </c>
      <c r="U4683" s="21"/>
      <c r="V4683" s="260">
        <v>120</v>
      </c>
      <c r="W4683" s="1136">
        <f>(((K4683*V4683)-S4683)/(K4683*V4683))</f>
        <v>0.37521107733873682</v>
      </c>
    </row>
    <row r="4684" spans="2:23" s="7" customFormat="1" ht="18" customHeight="1">
      <c r="B4684" s="12" t="s">
        <v>302</v>
      </c>
      <c r="C4684" s="6" t="s">
        <v>5666</v>
      </c>
      <c r="D4684" s="6" t="s">
        <v>3112</v>
      </c>
      <c r="E4684" s="374" t="s">
        <v>4633</v>
      </c>
      <c r="F4684" s="112">
        <v>145</v>
      </c>
      <c r="G4684" s="396" t="s">
        <v>4634</v>
      </c>
      <c r="H4684" s="131">
        <v>43.2</v>
      </c>
      <c r="I4684" s="109">
        <v>1</v>
      </c>
      <c r="J4684" s="131">
        <f>I4684*H4684</f>
        <v>43.2</v>
      </c>
      <c r="K4684" s="39">
        <v>9.8699999999999992</v>
      </c>
      <c r="L4684" s="39">
        <f>K4684*J4684</f>
        <v>426.38400000000001</v>
      </c>
      <c r="M4684" s="117" t="s">
        <v>323</v>
      </c>
      <c r="N4684" s="33">
        <v>45824</v>
      </c>
      <c r="O4684" s="32">
        <v>7205</v>
      </c>
      <c r="P4684" s="391">
        <f>ROUNDUP(S4684/V4684/VLOOKUP(B4684,$C$2:$F$6,3,FALSE),2)</f>
        <v>7.01</v>
      </c>
      <c r="Q4684" s="322">
        <v>7.01</v>
      </c>
      <c r="R4684" s="322">
        <f>Q4684*J4684</f>
        <v>302.83199999999999</v>
      </c>
      <c r="S4684" s="92">
        <v>740</v>
      </c>
      <c r="T4684" s="7">
        <f>S4684*J4684</f>
        <v>31968.000000000004</v>
      </c>
      <c r="U4684" s="21"/>
      <c r="V4684" s="260">
        <v>120</v>
      </c>
      <c r="W4684" s="1136">
        <f>(((K4684*V4684)-S4684)/(K4684*V4684))</f>
        <v>0.37521107733873682</v>
      </c>
    </row>
    <row r="4685" spans="2:23" s="7" customFormat="1" ht="18" customHeight="1">
      <c r="B4685" s="12"/>
      <c r="C4685" s="6" t="s">
        <v>5666</v>
      </c>
      <c r="D4685" s="14" t="s">
        <v>3112</v>
      </c>
      <c r="E4685" s="19" t="s">
        <v>4645</v>
      </c>
      <c r="F4685" s="22"/>
      <c r="G4685" s="37"/>
      <c r="H4685" s="108"/>
      <c r="I4685" s="108"/>
      <c r="J4685" s="108"/>
      <c r="K4685" s="110" t="s">
        <v>5</v>
      </c>
      <c r="L4685" s="33"/>
      <c r="M4685" s="33"/>
      <c r="N4685" s="33">
        <v>45824</v>
      </c>
      <c r="O4685" s="32">
        <v>7205</v>
      </c>
      <c r="P4685" s="6"/>
      <c r="Q4685" s="223"/>
      <c r="S4685" s="1174" t="s">
        <v>330</v>
      </c>
      <c r="T4685" s="92"/>
      <c r="U4685" s="266"/>
      <c r="V4685" s="260">
        <v>120</v>
      </c>
    </row>
    <row r="4686" spans="2:23" s="7" customFormat="1" ht="15.95" customHeight="1">
      <c r="B4686" s="12" t="s">
        <v>300</v>
      </c>
      <c r="C4686" s="6" t="s">
        <v>5666</v>
      </c>
      <c r="D4686" s="14" t="s">
        <v>3112</v>
      </c>
      <c r="E4686" s="374" t="s">
        <v>4934</v>
      </c>
      <c r="F4686" s="37">
        <v>25</v>
      </c>
      <c r="G4686" s="37" t="s">
        <v>350</v>
      </c>
      <c r="H4686" s="60">
        <v>30</v>
      </c>
      <c r="I4686" s="61">
        <v>4</v>
      </c>
      <c r="J4686" s="60">
        <f>H4686*I4686</f>
        <v>120</v>
      </c>
      <c r="K4686" s="39">
        <v>0.72</v>
      </c>
      <c r="L4686" s="39">
        <f>K4686*J4686</f>
        <v>86.399999999999991</v>
      </c>
      <c r="M4686" s="117" t="s">
        <v>323</v>
      </c>
      <c r="N4686" s="33">
        <v>45824</v>
      </c>
      <c r="O4686" s="32">
        <v>7205</v>
      </c>
      <c r="P4686" s="391">
        <f>ROUNDUP(S4686/V4686/VLOOKUP(B4686,$C$2:$F$6,3,FALSE),2)</f>
        <v>0.42</v>
      </c>
      <c r="Q4686" s="254">
        <v>0.42</v>
      </c>
      <c r="R4686" s="323">
        <f>Q4686*J4686</f>
        <v>50.4</v>
      </c>
      <c r="S4686" s="1200">
        <v>35.17</v>
      </c>
      <c r="T4686" s="92">
        <f>S4686*J4686</f>
        <v>4220.4000000000005</v>
      </c>
      <c r="U4686" s="1200">
        <v>38.700000000000003</v>
      </c>
      <c r="V4686" s="260">
        <v>120</v>
      </c>
      <c r="W4686" s="1136">
        <f>(((K4686*V4686)-S4686)/(K4686*V4686))</f>
        <v>0.59293981481481473</v>
      </c>
    </row>
    <row r="4687" spans="2:23" s="7" customFormat="1" ht="18" customHeight="1">
      <c r="B4687" s="12"/>
      <c r="C4687" s="6" t="s">
        <v>5666</v>
      </c>
      <c r="D4687" s="14" t="s">
        <v>3112</v>
      </c>
      <c r="E4687" s="22"/>
      <c r="F4687" s="102"/>
      <c r="G4687" s="22" t="s">
        <v>316</v>
      </c>
      <c r="H4687" s="8"/>
      <c r="I4687" s="35"/>
      <c r="J4687" s="38">
        <v>1</v>
      </c>
      <c r="K4687" s="39">
        <f>20+12</f>
        <v>32</v>
      </c>
      <c r="L4687" s="39">
        <f>K4687*J4687</f>
        <v>32</v>
      </c>
      <c r="M4687" s="91"/>
      <c r="N4687" s="33">
        <v>45824</v>
      </c>
      <c r="O4687" s="32">
        <v>7205</v>
      </c>
      <c r="P4687" s="6" t="s">
        <v>3</v>
      </c>
      <c r="Q4687" s="39">
        <f>20+12</f>
        <v>32</v>
      </c>
      <c r="R4687" s="322">
        <f>Q4687*J4687</f>
        <v>32</v>
      </c>
      <c r="S4687" s="1388">
        <v>0</v>
      </c>
      <c r="T4687" s="92">
        <f>S4687*J4687</f>
        <v>0</v>
      </c>
      <c r="U4687" s="21"/>
      <c r="V4687" s="260">
        <v>120</v>
      </c>
      <c r="W4687" s="1136">
        <f>(((K4687*V4687)-S4687)/(K4687*V4687))</f>
        <v>1</v>
      </c>
    </row>
    <row r="4688" spans="2:23" s="191" customFormat="1" ht="18" customHeight="1">
      <c r="B4688" s="190"/>
      <c r="C4688" s="179" t="s">
        <v>5666</v>
      </c>
      <c r="D4688" s="179" t="s">
        <v>3112</v>
      </c>
      <c r="E4688" s="217"/>
      <c r="F4688" s="182"/>
      <c r="G4688" s="182" t="s">
        <v>250</v>
      </c>
      <c r="H4688" s="184" t="s">
        <v>251</v>
      </c>
      <c r="I4688" s="185"/>
      <c r="J4688" s="183"/>
      <c r="K4688" s="192">
        <v>0</v>
      </c>
      <c r="L4688" s="192">
        <v>0</v>
      </c>
      <c r="M4688" s="187"/>
      <c r="N4688" s="187">
        <v>45824</v>
      </c>
      <c r="O4688" s="186">
        <v>7205</v>
      </c>
      <c r="P4688" s="179"/>
      <c r="Q4688" s="334">
        <v>0</v>
      </c>
      <c r="R4688" s="334">
        <v>0</v>
      </c>
      <c r="S4688" s="197">
        <v>0</v>
      </c>
      <c r="T4688" s="197">
        <v>0</v>
      </c>
      <c r="U4688" s="335"/>
      <c r="V4688" s="260">
        <v>120</v>
      </c>
      <c r="W4688" s="1136" t="e">
        <f>(((K4688*V4688)-S4688)/(K4688*V4688))</f>
        <v>#DIV/0!</v>
      </c>
    </row>
    <row r="4689" spans="2:23" s="7" customFormat="1" ht="15" customHeight="1">
      <c r="B4689" s="12"/>
      <c r="C4689" s="6" t="s">
        <v>5667</v>
      </c>
      <c r="D4689" s="14" t="s">
        <v>5608</v>
      </c>
      <c r="E4689" s="19" t="s">
        <v>4809</v>
      </c>
      <c r="F4689" s="107"/>
      <c r="G4689" s="22"/>
      <c r="H4689" s="108"/>
      <c r="I4689" s="109"/>
      <c r="J4689" s="108"/>
      <c r="K4689" s="29" t="s">
        <v>5</v>
      </c>
      <c r="L4689" s="39"/>
      <c r="M4689" s="91"/>
      <c r="N4689" s="33">
        <v>45827</v>
      </c>
      <c r="O4689" s="32">
        <v>7219</v>
      </c>
      <c r="P4689" s="14"/>
      <c r="Q4689" s="322"/>
      <c r="U4689" s="14"/>
      <c r="V4689" s="384">
        <v>120</v>
      </c>
    </row>
    <row r="4690" spans="2:23" s="7" customFormat="1" ht="18" customHeight="1">
      <c r="B4690" s="12" t="s">
        <v>302</v>
      </c>
      <c r="C4690" s="6" t="s">
        <v>5667</v>
      </c>
      <c r="D4690" s="14" t="s">
        <v>5608</v>
      </c>
      <c r="E4690" s="22" t="s">
        <v>4808</v>
      </c>
      <c r="F4690" s="107">
        <v>140</v>
      </c>
      <c r="G4690" s="396" t="s">
        <v>4483</v>
      </c>
      <c r="H4690" s="131">
        <v>50.6</v>
      </c>
      <c r="I4690" s="109">
        <v>1</v>
      </c>
      <c r="J4690" s="131">
        <f>H4690*I4690</f>
        <v>50.6</v>
      </c>
      <c r="K4690" s="39">
        <v>14.64</v>
      </c>
      <c r="L4690" s="39">
        <f>K4690*J4690</f>
        <v>740.78400000000011</v>
      </c>
      <c r="M4690" s="117" t="s">
        <v>323</v>
      </c>
      <c r="N4690" s="33">
        <v>45827</v>
      </c>
      <c r="O4690" s="32">
        <v>7219</v>
      </c>
      <c r="P4690" s="391">
        <f>ROUNDUP(S4690/V4690/VLOOKUP(B4690,$C$2:$F$6,3,FALSE),2)</f>
        <v>11.94</v>
      </c>
      <c r="Q4690" s="322">
        <v>11.94</v>
      </c>
      <c r="R4690" s="322">
        <f>Q4690*J4690</f>
        <v>604.16399999999999</v>
      </c>
      <c r="S4690" s="92">
        <v>1260</v>
      </c>
      <c r="T4690" s="7">
        <f>S4690*J4690</f>
        <v>63756</v>
      </c>
      <c r="U4690" s="21"/>
      <c r="V4690" s="260">
        <v>120</v>
      </c>
      <c r="W4690" s="1136">
        <f>(((K4690*V4690)-S4690)/(K4690*V4690))</f>
        <v>0.28278688524590173</v>
      </c>
    </row>
    <row r="4691" spans="2:23" s="7" customFormat="1" ht="18" customHeight="1">
      <c r="B4691" s="12"/>
      <c r="C4691" s="6" t="s">
        <v>5667</v>
      </c>
      <c r="D4691" s="14" t="s">
        <v>5608</v>
      </c>
      <c r="E4691" s="49"/>
      <c r="F4691" s="102"/>
      <c r="G4691" s="22" t="s">
        <v>316</v>
      </c>
      <c r="H4691" s="8"/>
      <c r="I4691" s="35"/>
      <c r="J4691" s="38">
        <v>1</v>
      </c>
      <c r="K4691" s="39">
        <v>20</v>
      </c>
      <c r="L4691" s="39">
        <f>K4691*J4691</f>
        <v>20</v>
      </c>
      <c r="M4691" s="91"/>
      <c r="N4691" s="33">
        <v>45827</v>
      </c>
      <c r="O4691" s="32">
        <v>7219</v>
      </c>
      <c r="P4691" s="6" t="s">
        <v>3</v>
      </c>
      <c r="Q4691" s="39">
        <v>20</v>
      </c>
      <c r="R4691" s="322">
        <f>Q4691*J4691</f>
        <v>20</v>
      </c>
      <c r="S4691" s="7">
        <v>0</v>
      </c>
      <c r="T4691" s="7">
        <f>S4691*J4691</f>
        <v>0</v>
      </c>
      <c r="U4691" s="21"/>
      <c r="V4691" s="260">
        <v>120</v>
      </c>
      <c r="W4691" s="1136">
        <f>(((K4691*V4691)-S4691)/(K4691*V4691))</f>
        <v>1</v>
      </c>
    </row>
    <row r="4692" spans="2:23" s="191" customFormat="1" ht="18" customHeight="1">
      <c r="B4692" s="190"/>
      <c r="C4692" s="179" t="s">
        <v>5667</v>
      </c>
      <c r="D4692" s="180" t="s">
        <v>5608</v>
      </c>
      <c r="E4692" s="181"/>
      <c r="F4692" s="622"/>
      <c r="G4692" s="182" t="s">
        <v>250</v>
      </c>
      <c r="H4692" s="184" t="s">
        <v>251</v>
      </c>
      <c r="I4692" s="185"/>
      <c r="J4692" s="183"/>
      <c r="K4692" s="192">
        <v>0</v>
      </c>
      <c r="L4692" s="187"/>
      <c r="M4692" s="187"/>
      <c r="N4692" s="187">
        <v>45827</v>
      </c>
      <c r="O4692" s="186">
        <v>7219</v>
      </c>
      <c r="P4692" s="179"/>
      <c r="Q4692" s="255">
        <v>0</v>
      </c>
      <c r="R4692" s="322">
        <v>0</v>
      </c>
      <c r="S4692" s="275">
        <v>0</v>
      </c>
      <c r="T4692" s="198">
        <v>0</v>
      </c>
      <c r="U4692" s="271"/>
      <c r="V4692" s="260">
        <v>120</v>
      </c>
      <c r="W4692" s="1136" t="e">
        <f>(((K4692*V4692)-S4692)/(K4692*V4692))</f>
        <v>#DIV/0!</v>
      </c>
    </row>
    <row r="4693" spans="2:23" s="7" customFormat="1" ht="18" customHeight="1">
      <c r="B4693" s="12"/>
      <c r="C4693" s="6" t="s">
        <v>5687</v>
      </c>
      <c r="D4693" s="14" t="s">
        <v>3047</v>
      </c>
      <c r="E4693" s="19" t="s">
        <v>2358</v>
      </c>
      <c r="F4693" s="24"/>
      <c r="G4693" s="22"/>
      <c r="H4693" s="60"/>
      <c r="I4693" s="61"/>
      <c r="J4693" s="60"/>
      <c r="K4693" s="16" t="s">
        <v>5</v>
      </c>
      <c r="L4693" s="139"/>
      <c r="M4693" s="33"/>
      <c r="N4693" s="33">
        <v>45838</v>
      </c>
      <c r="O4693" s="32">
        <v>7248</v>
      </c>
      <c r="P4693" s="6" t="s">
        <v>3</v>
      </c>
      <c r="Q4693" s="358"/>
      <c r="S4693" s="1434"/>
      <c r="U4693" s="120"/>
      <c r="V4693" s="260">
        <v>120</v>
      </c>
    </row>
    <row r="4694" spans="2:23" s="7" customFormat="1" ht="18" customHeight="1">
      <c r="B4694" s="12" t="s">
        <v>300</v>
      </c>
      <c r="C4694" s="6" t="s">
        <v>5687</v>
      </c>
      <c r="D4694" s="14" t="s">
        <v>3047</v>
      </c>
      <c r="E4694" s="22" t="s">
        <v>5688</v>
      </c>
      <c r="F4694" s="24"/>
      <c r="G4694" s="22" t="s">
        <v>5318</v>
      </c>
      <c r="H4694" s="131">
        <v>13.7</v>
      </c>
      <c r="I4694" s="109">
        <v>1</v>
      </c>
      <c r="J4694" s="131">
        <f>H4694*I4694</f>
        <v>13.7</v>
      </c>
      <c r="K4694" s="39">
        <v>2.23</v>
      </c>
      <c r="L4694" s="39">
        <f>K4694*J4694</f>
        <v>30.550999999999998</v>
      </c>
      <c r="M4694" s="117" t="s">
        <v>323</v>
      </c>
      <c r="N4694" s="33">
        <v>45838</v>
      </c>
      <c r="O4694" s="32">
        <v>7248</v>
      </c>
      <c r="P4694" s="391">
        <f>ROUNDUP(S4694/V4694/VLOOKUP(B4694,$C$2:$F$6,3,FALSE),2)</f>
        <v>1.79</v>
      </c>
      <c r="Q4694" s="322">
        <v>1.79</v>
      </c>
      <c r="R4694" s="322">
        <f>Q4694*J4694</f>
        <v>24.523</v>
      </c>
      <c r="S4694" s="7">
        <v>150</v>
      </c>
      <c r="T4694" s="7">
        <f>S4694*J4694</f>
        <v>2055</v>
      </c>
      <c r="U4694" s="386"/>
      <c r="V4694" s="260">
        <v>120</v>
      </c>
      <c r="W4694" s="1136">
        <f>(((K4694*V4694)-S4694)/(K4694*V4694))</f>
        <v>0.4394618834080718</v>
      </c>
    </row>
    <row r="4695" spans="2:23" s="7" customFormat="1" ht="18" customHeight="1">
      <c r="B4695" s="12" t="s">
        <v>300</v>
      </c>
      <c r="C4695" s="6" t="s">
        <v>5687</v>
      </c>
      <c r="D4695" s="14" t="s">
        <v>3047</v>
      </c>
      <c r="E4695" s="22" t="s">
        <v>5689</v>
      </c>
      <c r="F4695" s="24"/>
      <c r="G4695" s="22" t="s">
        <v>5318</v>
      </c>
      <c r="H4695" s="131">
        <v>13.7</v>
      </c>
      <c r="I4695" s="109">
        <v>1</v>
      </c>
      <c r="J4695" s="131">
        <f>H4695*I4695</f>
        <v>13.7</v>
      </c>
      <c r="K4695" s="39">
        <v>1.81</v>
      </c>
      <c r="L4695" s="39">
        <f t="shared" ref="L4695:L4705" si="436">K4695*J4695</f>
        <v>24.797000000000001</v>
      </c>
      <c r="M4695" s="117" t="s">
        <v>323</v>
      </c>
      <c r="N4695" s="33">
        <v>45838</v>
      </c>
      <c r="O4695" s="32">
        <v>7248</v>
      </c>
      <c r="P4695" s="391">
        <f t="shared" ref="P4695:P4705" si="437">ROUNDUP(S4695/V4695/VLOOKUP(B4695,$C$2:$F$6,3,FALSE),2)</f>
        <v>1.49</v>
      </c>
      <c r="Q4695" s="322">
        <v>1.49</v>
      </c>
      <c r="R4695" s="322">
        <f t="shared" ref="R4695:R4705" si="438">Q4695*J4695</f>
        <v>20.413</v>
      </c>
      <c r="S4695" s="7">
        <v>125</v>
      </c>
      <c r="T4695" s="7">
        <f t="shared" ref="T4695:T4705" si="439">S4695*J4695</f>
        <v>1712.5</v>
      </c>
      <c r="U4695" s="386"/>
      <c r="V4695" s="260">
        <v>120</v>
      </c>
      <c r="W4695" s="1136">
        <f t="shared" ref="W4695:W4705" si="440">(((K4695*V4695)-S4695)/(K4695*V4695))</f>
        <v>0.4244935543278085</v>
      </c>
    </row>
    <row r="4696" spans="2:23" s="7" customFormat="1" ht="18" customHeight="1">
      <c r="B4696" s="12"/>
      <c r="C4696" s="6" t="s">
        <v>5687</v>
      </c>
      <c r="D4696" s="14" t="s">
        <v>3047</v>
      </c>
      <c r="E4696" s="19" t="s">
        <v>2358</v>
      </c>
      <c r="F4696" s="24"/>
      <c r="G4696" s="22"/>
      <c r="H4696" s="108"/>
      <c r="I4696" s="109"/>
      <c r="J4696" s="8"/>
      <c r="K4696" s="39"/>
      <c r="L4696" s="39"/>
      <c r="M4696" s="117"/>
      <c r="N4696" s="33">
        <v>45838</v>
      </c>
      <c r="O4696" s="32">
        <v>7248</v>
      </c>
      <c r="P4696" s="391"/>
      <c r="Q4696" s="322"/>
      <c r="R4696" s="322"/>
      <c r="U4696" s="386"/>
      <c r="V4696" s="260"/>
      <c r="W4696" s="1136"/>
    </row>
    <row r="4697" spans="2:23" s="7" customFormat="1" ht="18" customHeight="1">
      <c r="B4697" s="12" t="s">
        <v>300</v>
      </c>
      <c r="C4697" s="6" t="s">
        <v>5687</v>
      </c>
      <c r="D4697" s="14" t="s">
        <v>3047</v>
      </c>
      <c r="E4697" s="22" t="s">
        <v>5676</v>
      </c>
      <c r="F4697" s="24"/>
      <c r="G4697" s="22" t="s">
        <v>5318</v>
      </c>
      <c r="H4697" s="108"/>
      <c r="I4697" s="109"/>
      <c r="J4697" s="8">
        <v>10</v>
      </c>
      <c r="K4697" s="39">
        <v>1.23</v>
      </c>
      <c r="L4697" s="39">
        <f t="shared" si="436"/>
        <v>12.3</v>
      </c>
      <c r="M4697" s="117" t="s">
        <v>323</v>
      </c>
      <c r="N4697" s="33">
        <v>45838</v>
      </c>
      <c r="O4697" s="32">
        <v>7248</v>
      </c>
      <c r="P4697" s="391">
        <f t="shared" si="437"/>
        <v>1.05</v>
      </c>
      <c r="Q4697" s="322">
        <v>1.05</v>
      </c>
      <c r="R4697" s="322">
        <f t="shared" si="438"/>
        <v>10.5</v>
      </c>
      <c r="S4697" s="7">
        <v>88</v>
      </c>
      <c r="T4697" s="7">
        <f t="shared" si="439"/>
        <v>880</v>
      </c>
      <c r="U4697" s="386"/>
      <c r="V4697" s="260">
        <v>120</v>
      </c>
      <c r="W4697" s="1136">
        <f t="shared" si="440"/>
        <v>0.40379403794037938</v>
      </c>
    </row>
    <row r="4698" spans="2:23" s="7" customFormat="1" ht="18" customHeight="1">
      <c r="B4698" s="12"/>
      <c r="C4698" s="6" t="s">
        <v>5687</v>
      </c>
      <c r="D4698" s="14" t="s">
        <v>3047</v>
      </c>
      <c r="E4698" s="19" t="s">
        <v>5691</v>
      </c>
      <c r="F4698" s="24"/>
      <c r="G4698" s="22"/>
      <c r="H4698" s="108"/>
      <c r="I4698" s="109"/>
      <c r="J4698" s="8"/>
      <c r="K4698" s="39"/>
      <c r="L4698" s="39"/>
      <c r="M4698" s="117"/>
      <c r="N4698" s="33">
        <v>45838</v>
      </c>
      <c r="O4698" s="32">
        <v>7248</v>
      </c>
      <c r="P4698" s="391"/>
      <c r="Q4698" s="322"/>
      <c r="R4698" s="322"/>
      <c r="U4698" s="386"/>
      <c r="V4698" s="260"/>
      <c r="W4698" s="1136"/>
    </row>
    <row r="4699" spans="2:23" s="7" customFormat="1" ht="18" customHeight="1">
      <c r="B4699" s="12" t="s">
        <v>300</v>
      </c>
      <c r="C4699" s="6" t="s">
        <v>5687</v>
      </c>
      <c r="D4699" s="14" t="s">
        <v>3047</v>
      </c>
      <c r="E4699" s="22" t="s">
        <v>5677</v>
      </c>
      <c r="F4699" s="24"/>
      <c r="G4699" s="22" t="s">
        <v>5318</v>
      </c>
      <c r="H4699" s="108"/>
      <c r="I4699" s="109"/>
      <c r="J4699" s="8">
        <v>10</v>
      </c>
      <c r="K4699" s="39">
        <v>1.28</v>
      </c>
      <c r="L4699" s="39">
        <f t="shared" si="436"/>
        <v>12.8</v>
      </c>
      <c r="M4699" s="117" t="s">
        <v>323</v>
      </c>
      <c r="N4699" s="33">
        <v>45838</v>
      </c>
      <c r="O4699" s="32">
        <v>7248</v>
      </c>
      <c r="P4699" s="391">
        <f t="shared" si="437"/>
        <v>1.1000000000000001</v>
      </c>
      <c r="Q4699" s="322">
        <v>1.1000000000000001</v>
      </c>
      <c r="R4699" s="322">
        <f t="shared" si="438"/>
        <v>11</v>
      </c>
      <c r="S4699" s="7">
        <v>92</v>
      </c>
      <c r="T4699" s="7">
        <f t="shared" si="439"/>
        <v>920</v>
      </c>
      <c r="U4699" s="386"/>
      <c r="V4699" s="260">
        <v>120</v>
      </c>
      <c r="W4699" s="1136">
        <f t="shared" si="440"/>
        <v>0.40104166666666663</v>
      </c>
    </row>
    <row r="4700" spans="2:23" s="7" customFormat="1" ht="18" customHeight="1">
      <c r="B4700" s="12"/>
      <c r="C4700" s="6" t="s">
        <v>5687</v>
      </c>
      <c r="D4700" s="14" t="s">
        <v>3047</v>
      </c>
      <c r="E4700" s="19" t="s">
        <v>5693</v>
      </c>
      <c r="F4700" s="24"/>
      <c r="G4700" s="22"/>
      <c r="H4700" s="108"/>
      <c r="I4700" s="109"/>
      <c r="J4700" s="8"/>
      <c r="K4700" s="39"/>
      <c r="L4700" s="39"/>
      <c r="M4700" s="117"/>
      <c r="N4700" s="33">
        <v>45838</v>
      </c>
      <c r="O4700" s="32">
        <v>7248</v>
      </c>
      <c r="P4700" s="391"/>
      <c r="Q4700" s="322"/>
      <c r="R4700" s="322"/>
      <c r="U4700" s="386"/>
      <c r="V4700" s="260"/>
      <c r="W4700" s="1136"/>
    </row>
    <row r="4701" spans="2:23" s="7" customFormat="1" ht="18" customHeight="1">
      <c r="B4701" s="12" t="s">
        <v>300</v>
      </c>
      <c r="C4701" s="6" t="s">
        <v>5687</v>
      </c>
      <c r="D4701" s="14" t="s">
        <v>3047</v>
      </c>
      <c r="E4701" s="22" t="s">
        <v>5678</v>
      </c>
      <c r="F4701" s="24"/>
      <c r="G4701" s="40" t="s">
        <v>5708</v>
      </c>
      <c r="H4701" s="108"/>
      <c r="I4701" s="109"/>
      <c r="J4701" s="8">
        <v>10</v>
      </c>
      <c r="K4701" s="39">
        <v>0.6</v>
      </c>
      <c r="L4701" s="39">
        <f t="shared" si="436"/>
        <v>6</v>
      </c>
      <c r="M4701" s="117" t="s">
        <v>323</v>
      </c>
      <c r="N4701" s="33">
        <v>45838</v>
      </c>
      <c r="O4701" s="32">
        <v>7248</v>
      </c>
      <c r="P4701" s="391">
        <f t="shared" si="437"/>
        <v>0.52</v>
      </c>
      <c r="Q4701" s="322">
        <v>0.52</v>
      </c>
      <c r="R4701" s="322">
        <f t="shared" si="438"/>
        <v>5.2</v>
      </c>
      <c r="S4701" s="7">
        <v>43</v>
      </c>
      <c r="T4701" s="7">
        <f t="shared" si="439"/>
        <v>430</v>
      </c>
      <c r="U4701" s="386"/>
      <c r="V4701" s="260">
        <v>120</v>
      </c>
      <c r="W4701" s="1136">
        <f t="shared" si="440"/>
        <v>0.40277777777777779</v>
      </c>
    </row>
    <row r="4702" spans="2:23" s="7" customFormat="1" ht="18" customHeight="1">
      <c r="B4702" s="12"/>
      <c r="C4702" s="6" t="s">
        <v>5687</v>
      </c>
      <c r="D4702" s="14" t="s">
        <v>3047</v>
      </c>
      <c r="E4702" s="19" t="s">
        <v>5692</v>
      </c>
      <c r="F4702" s="24"/>
      <c r="G4702" s="22"/>
      <c r="H4702" s="108"/>
      <c r="I4702" s="109"/>
      <c r="J4702" s="8"/>
      <c r="K4702" s="39"/>
      <c r="L4702" s="39"/>
      <c r="M4702" s="117"/>
      <c r="N4702" s="33">
        <v>45838</v>
      </c>
      <c r="O4702" s="32">
        <v>7248</v>
      </c>
      <c r="P4702" s="391"/>
      <c r="Q4702" s="322"/>
      <c r="R4702" s="322"/>
      <c r="U4702" s="386"/>
      <c r="V4702" s="260"/>
      <c r="W4702" s="1136"/>
    </row>
    <row r="4703" spans="2:23" s="7" customFormat="1" ht="18" customHeight="1">
      <c r="B4703" s="12" t="s">
        <v>300</v>
      </c>
      <c r="C4703" s="6" t="s">
        <v>5687</v>
      </c>
      <c r="D4703" s="14" t="s">
        <v>3047</v>
      </c>
      <c r="E4703" s="22" t="s">
        <v>5793</v>
      </c>
      <c r="F4703" s="24"/>
      <c r="G4703" s="40" t="s">
        <v>5708</v>
      </c>
      <c r="H4703" s="108"/>
      <c r="I4703" s="109"/>
      <c r="J4703" s="8">
        <v>10</v>
      </c>
      <c r="K4703" s="39">
        <v>0.6</v>
      </c>
      <c r="L4703" s="39">
        <f t="shared" si="436"/>
        <v>6</v>
      </c>
      <c r="M4703" s="117" t="s">
        <v>323</v>
      </c>
      <c r="N4703" s="33">
        <v>45838</v>
      </c>
      <c r="O4703" s="32">
        <v>7248</v>
      </c>
      <c r="P4703" s="391">
        <f t="shared" si="437"/>
        <v>0.52</v>
      </c>
      <c r="Q4703" s="322">
        <v>0.52</v>
      </c>
      <c r="R4703" s="322">
        <f t="shared" si="438"/>
        <v>5.2</v>
      </c>
      <c r="S4703" s="7">
        <v>43</v>
      </c>
      <c r="T4703" s="7">
        <f t="shared" si="439"/>
        <v>430</v>
      </c>
      <c r="U4703" s="386"/>
      <c r="V4703" s="260">
        <v>120</v>
      </c>
      <c r="W4703" s="1136">
        <f t="shared" si="440"/>
        <v>0.40277777777777779</v>
      </c>
    </row>
    <row r="4704" spans="2:23" s="7" customFormat="1" ht="18" customHeight="1">
      <c r="B4704" s="12"/>
      <c r="C4704" s="6" t="s">
        <v>5687</v>
      </c>
      <c r="D4704" s="14" t="s">
        <v>3047</v>
      </c>
      <c r="E4704" s="19" t="s">
        <v>5694</v>
      </c>
      <c r="F4704" s="24"/>
      <c r="G4704" s="22"/>
      <c r="H4704" s="108"/>
      <c r="I4704" s="109"/>
      <c r="J4704" s="8"/>
      <c r="K4704" s="39"/>
      <c r="L4704" s="39"/>
      <c r="M4704" s="117"/>
      <c r="N4704" s="33">
        <v>45838</v>
      </c>
      <c r="O4704" s="32">
        <v>7248</v>
      </c>
      <c r="P4704" s="391"/>
      <c r="Q4704" s="322"/>
      <c r="R4704" s="322"/>
      <c r="U4704" s="386"/>
      <c r="V4704" s="260"/>
      <c r="W4704" s="1136"/>
    </row>
    <row r="4705" spans="2:23" s="7" customFormat="1" ht="18" customHeight="1">
      <c r="B4705" s="12" t="s">
        <v>300</v>
      </c>
      <c r="C4705" s="6" t="s">
        <v>5687</v>
      </c>
      <c r="D4705" s="14" t="s">
        <v>3047</v>
      </c>
      <c r="E4705" s="22" t="s">
        <v>5679</v>
      </c>
      <c r="F4705" s="24"/>
      <c r="G4705" s="40" t="s">
        <v>5708</v>
      </c>
      <c r="H4705" s="108"/>
      <c r="I4705" s="109"/>
      <c r="J4705" s="8">
        <v>10</v>
      </c>
      <c r="K4705" s="39">
        <v>0.7</v>
      </c>
      <c r="L4705" s="39">
        <f t="shared" si="436"/>
        <v>7</v>
      </c>
      <c r="M4705" s="117" t="s">
        <v>323</v>
      </c>
      <c r="N4705" s="33">
        <v>45838</v>
      </c>
      <c r="O4705" s="32">
        <v>7248</v>
      </c>
      <c r="P4705" s="391">
        <f t="shared" si="437"/>
        <v>0.6</v>
      </c>
      <c r="Q4705" s="322">
        <v>0.6</v>
      </c>
      <c r="R4705" s="322">
        <f t="shared" si="438"/>
        <v>6</v>
      </c>
      <c r="S4705" s="7">
        <v>50</v>
      </c>
      <c r="T4705" s="7">
        <f t="shared" si="439"/>
        <v>500</v>
      </c>
      <c r="U4705" s="386"/>
      <c r="V4705" s="260">
        <v>120</v>
      </c>
      <c r="W4705" s="1136">
        <f t="shared" si="440"/>
        <v>0.40476190476190477</v>
      </c>
    </row>
    <row r="4706" spans="2:23" s="7" customFormat="1" ht="18" customHeight="1">
      <c r="B4706" s="12"/>
      <c r="C4706" s="6" t="s">
        <v>5687</v>
      </c>
      <c r="D4706" s="14" t="s">
        <v>3047</v>
      </c>
      <c r="E4706" s="19" t="s">
        <v>5695</v>
      </c>
      <c r="F4706" s="24"/>
      <c r="G4706" s="22"/>
      <c r="H4706" s="108"/>
      <c r="I4706" s="109"/>
      <c r="J4706" s="8"/>
      <c r="K4706" s="39"/>
      <c r="L4706" s="39"/>
      <c r="M4706" s="117"/>
      <c r="N4706" s="33">
        <v>45838</v>
      </c>
      <c r="O4706" s="32">
        <v>7248</v>
      </c>
      <c r="P4706" s="391"/>
      <c r="Q4706" s="322"/>
      <c r="R4706" s="322"/>
      <c r="U4706" s="386"/>
      <c r="V4706" s="260"/>
      <c r="W4706" s="1136"/>
    </row>
    <row r="4707" spans="2:23" s="7" customFormat="1" ht="18" customHeight="1">
      <c r="B4707" s="12" t="s">
        <v>300</v>
      </c>
      <c r="C4707" s="6" t="s">
        <v>5687</v>
      </c>
      <c r="D4707" s="14" t="s">
        <v>3047</v>
      </c>
      <c r="E4707" s="22" t="s">
        <v>5680</v>
      </c>
      <c r="F4707" s="24"/>
      <c r="G4707" s="22" t="s">
        <v>5318</v>
      </c>
      <c r="H4707" s="108"/>
      <c r="I4707" s="109"/>
      <c r="J4707" s="8">
        <v>10</v>
      </c>
      <c r="K4707" s="39">
        <v>2.4499999999999997</v>
      </c>
      <c r="L4707" s="39">
        <f t="shared" ref="L4707:L4714" si="441">K4707*J4707</f>
        <v>24.499999999999996</v>
      </c>
      <c r="M4707" s="117" t="s">
        <v>323</v>
      </c>
      <c r="N4707" s="33">
        <v>45838</v>
      </c>
      <c r="O4707" s="32">
        <v>7248</v>
      </c>
      <c r="P4707" s="391">
        <f t="shared" ref="P4707:P4714" si="442">ROUNDUP(S4707/V4707/VLOOKUP(B4707,$C$2:$F$6,3,FALSE),2)</f>
        <v>2.0999999999999996</v>
      </c>
      <c r="Q4707" s="322">
        <v>2.1</v>
      </c>
      <c r="R4707" s="322">
        <f t="shared" ref="R4707:R4714" si="443">Q4707*J4707</f>
        <v>21</v>
      </c>
      <c r="S4707" s="7">
        <v>176</v>
      </c>
      <c r="T4707" s="7">
        <f t="shared" ref="T4707:T4714" si="444">S4707*J4707</f>
        <v>1760</v>
      </c>
      <c r="U4707" s="386"/>
      <c r="V4707" s="260">
        <v>120</v>
      </c>
      <c r="W4707" s="1136">
        <f t="shared" ref="W4707:W4714" si="445">(((K4707*V4707)-S4707)/(K4707*V4707))</f>
        <v>0.40136054421768697</v>
      </c>
    </row>
    <row r="4708" spans="2:23" s="7" customFormat="1" ht="18" customHeight="1">
      <c r="B4708" s="12"/>
      <c r="C4708" s="6" t="s">
        <v>5687</v>
      </c>
      <c r="D4708" s="14" t="s">
        <v>3047</v>
      </c>
      <c r="E4708" s="19" t="s">
        <v>5696</v>
      </c>
      <c r="F4708" s="24"/>
      <c r="G4708" s="22"/>
      <c r="H4708" s="108"/>
      <c r="I4708" s="109"/>
      <c r="J4708" s="8"/>
      <c r="K4708" s="39"/>
      <c r="L4708" s="39"/>
      <c r="M4708" s="117"/>
      <c r="N4708" s="33">
        <v>45838</v>
      </c>
      <c r="O4708" s="32">
        <v>7248</v>
      </c>
      <c r="P4708" s="391"/>
      <c r="Q4708" s="322"/>
      <c r="R4708" s="322"/>
      <c r="U4708" s="386"/>
      <c r="V4708" s="260"/>
      <c r="W4708" s="1136"/>
    </row>
    <row r="4709" spans="2:23" s="7" customFormat="1" ht="18" customHeight="1">
      <c r="B4709" s="12" t="s">
        <v>300</v>
      </c>
      <c r="C4709" s="6" t="s">
        <v>5687</v>
      </c>
      <c r="D4709" s="14" t="s">
        <v>3047</v>
      </c>
      <c r="E4709" s="22" t="s">
        <v>5681</v>
      </c>
      <c r="F4709" s="24"/>
      <c r="G4709" s="22" t="s">
        <v>5318</v>
      </c>
      <c r="H4709" s="108"/>
      <c r="I4709" s="109"/>
      <c r="J4709" s="8">
        <v>10</v>
      </c>
      <c r="K4709" s="39">
        <v>1.17</v>
      </c>
      <c r="L4709" s="39">
        <f t="shared" si="441"/>
        <v>11.7</v>
      </c>
      <c r="M4709" s="117" t="s">
        <v>323</v>
      </c>
      <c r="N4709" s="33">
        <v>45838</v>
      </c>
      <c r="O4709" s="32">
        <v>7248</v>
      </c>
      <c r="P4709" s="391">
        <f t="shared" si="442"/>
        <v>1</v>
      </c>
      <c r="Q4709" s="322">
        <v>1</v>
      </c>
      <c r="R4709" s="322">
        <f t="shared" si="443"/>
        <v>10</v>
      </c>
      <c r="S4709" s="7">
        <v>84</v>
      </c>
      <c r="T4709" s="7">
        <f t="shared" si="444"/>
        <v>840</v>
      </c>
      <c r="U4709" s="386"/>
      <c r="V4709" s="260">
        <v>120</v>
      </c>
      <c r="W4709" s="1136">
        <f t="shared" si="445"/>
        <v>0.40170940170940161</v>
      </c>
    </row>
    <row r="4710" spans="2:23" s="7" customFormat="1" ht="18" customHeight="1">
      <c r="B4710" s="12"/>
      <c r="C4710" s="6" t="s">
        <v>5687</v>
      </c>
      <c r="D4710" s="14" t="s">
        <v>3047</v>
      </c>
      <c r="E4710" s="19" t="s">
        <v>5698</v>
      </c>
      <c r="F4710" s="24"/>
      <c r="G4710" s="22"/>
      <c r="H4710" s="108"/>
      <c r="I4710" s="109"/>
      <c r="J4710" s="8"/>
      <c r="K4710" s="39"/>
      <c r="L4710" s="39"/>
      <c r="M4710" s="117"/>
      <c r="N4710" s="33">
        <v>45847</v>
      </c>
      <c r="O4710" s="32">
        <v>7276</v>
      </c>
      <c r="P4710" s="391"/>
      <c r="Q4710" s="322"/>
      <c r="R4710" s="322"/>
      <c r="U4710" s="386"/>
      <c r="V4710" s="260"/>
      <c r="W4710" s="1136"/>
    </row>
    <row r="4711" spans="2:23" s="7" customFormat="1" ht="18" customHeight="1">
      <c r="B4711" s="12" t="s">
        <v>300</v>
      </c>
      <c r="C4711" s="6" t="s">
        <v>5687</v>
      </c>
      <c r="D4711" s="14" t="s">
        <v>3047</v>
      </c>
      <c r="E4711" s="22" t="s">
        <v>5697</v>
      </c>
      <c r="F4711" s="24"/>
      <c r="G4711" s="40" t="s">
        <v>5708</v>
      </c>
      <c r="H4711" s="108"/>
      <c r="I4711" s="109"/>
      <c r="J4711" s="8">
        <v>10</v>
      </c>
      <c r="K4711" s="39">
        <v>1.3800000000000001</v>
      </c>
      <c r="L4711" s="39">
        <f t="shared" si="441"/>
        <v>13.8</v>
      </c>
      <c r="M4711" s="117" t="s">
        <v>323</v>
      </c>
      <c r="N4711" s="33">
        <v>45847</v>
      </c>
      <c r="O4711" s="32">
        <v>7276</v>
      </c>
      <c r="P4711" s="391">
        <f t="shared" si="442"/>
        <v>1.0900000000000001</v>
      </c>
      <c r="Q4711" s="322">
        <v>1.18</v>
      </c>
      <c r="R4711" s="322">
        <f t="shared" si="443"/>
        <v>11.799999999999999</v>
      </c>
      <c r="S4711" s="7">
        <v>91</v>
      </c>
      <c r="T4711" s="7">
        <f t="shared" si="444"/>
        <v>910</v>
      </c>
      <c r="U4711" s="386"/>
      <c r="V4711" s="260">
        <v>120</v>
      </c>
      <c r="W4711" s="1136">
        <f t="shared" si="445"/>
        <v>0.45048309178743967</v>
      </c>
    </row>
    <row r="4712" spans="2:23" s="7" customFormat="1" ht="18" customHeight="1">
      <c r="B4712" s="12" t="s">
        <v>300</v>
      </c>
      <c r="C4712" s="6" t="s">
        <v>5687</v>
      </c>
      <c r="D4712" s="14" t="s">
        <v>3047</v>
      </c>
      <c r="E4712" s="22" t="s">
        <v>5682</v>
      </c>
      <c r="F4712" s="24"/>
      <c r="G4712" s="40" t="s">
        <v>5708</v>
      </c>
      <c r="H4712" s="108"/>
      <c r="I4712" s="109"/>
      <c r="J4712" s="8">
        <v>10</v>
      </c>
      <c r="K4712" s="39">
        <v>1.3800000000000001</v>
      </c>
      <c r="L4712" s="39">
        <f t="shared" si="441"/>
        <v>13.8</v>
      </c>
      <c r="M4712" s="117" t="s">
        <v>323</v>
      </c>
      <c r="N4712" s="33">
        <v>45838</v>
      </c>
      <c r="O4712" s="32">
        <v>7248</v>
      </c>
      <c r="P4712" s="391">
        <f t="shared" si="442"/>
        <v>1.18</v>
      </c>
      <c r="Q4712" s="322">
        <v>1.18</v>
      </c>
      <c r="R4712" s="322">
        <f t="shared" si="443"/>
        <v>11.799999999999999</v>
      </c>
      <c r="S4712" s="7">
        <v>99</v>
      </c>
      <c r="T4712" s="7">
        <f t="shared" si="444"/>
        <v>990</v>
      </c>
      <c r="U4712" s="386"/>
      <c r="V4712" s="260">
        <v>120</v>
      </c>
      <c r="W4712" s="1136">
        <f t="shared" si="445"/>
        <v>0.40217391304347833</v>
      </c>
    </row>
    <row r="4713" spans="2:23" s="7" customFormat="1" ht="18" customHeight="1">
      <c r="B4713" s="12"/>
      <c r="C4713" s="6" t="s">
        <v>5687</v>
      </c>
      <c r="D4713" s="14" t="s">
        <v>3047</v>
      </c>
      <c r="E4713" s="19" t="s">
        <v>5699</v>
      </c>
      <c r="F4713" s="24"/>
      <c r="G4713" s="22"/>
      <c r="H4713" s="108"/>
      <c r="I4713" s="109"/>
      <c r="J4713" s="8"/>
      <c r="K4713" s="39"/>
      <c r="L4713" s="39"/>
      <c r="M4713" s="117"/>
      <c r="N4713" s="33">
        <v>45847</v>
      </c>
      <c r="O4713" s="32">
        <v>7276</v>
      </c>
      <c r="P4713" s="391"/>
      <c r="Q4713" s="322"/>
      <c r="R4713" s="322"/>
      <c r="U4713" s="386"/>
      <c r="V4713" s="260"/>
      <c r="W4713" s="1136"/>
    </row>
    <row r="4714" spans="2:23" s="7" customFormat="1" ht="18" customHeight="1">
      <c r="B4714" s="12" t="s">
        <v>300</v>
      </c>
      <c r="C4714" s="6" t="s">
        <v>5687</v>
      </c>
      <c r="D4714" s="14" t="s">
        <v>3047</v>
      </c>
      <c r="E4714" s="22" t="s">
        <v>5683</v>
      </c>
      <c r="F4714" s="24"/>
      <c r="G4714" s="22" t="s">
        <v>5700</v>
      </c>
      <c r="H4714" s="108"/>
      <c r="I4714" s="109"/>
      <c r="J4714" s="8">
        <v>10</v>
      </c>
      <c r="K4714" s="39">
        <v>3.8</v>
      </c>
      <c r="L4714" s="39">
        <f t="shared" si="441"/>
        <v>38</v>
      </c>
      <c r="M4714" s="117" t="s">
        <v>323</v>
      </c>
      <c r="N4714" s="33">
        <v>45847</v>
      </c>
      <c r="O4714" s="32">
        <v>7276</v>
      </c>
      <c r="P4714" s="391">
        <f t="shared" si="442"/>
        <v>3.25</v>
      </c>
      <c r="Q4714" s="322">
        <v>3.25</v>
      </c>
      <c r="R4714" s="322">
        <f t="shared" si="443"/>
        <v>32.5</v>
      </c>
      <c r="S4714" s="7">
        <v>273</v>
      </c>
      <c r="T4714" s="7">
        <f t="shared" si="444"/>
        <v>2730</v>
      </c>
      <c r="U4714" s="386"/>
      <c r="V4714" s="260">
        <v>120</v>
      </c>
      <c r="W4714" s="1136">
        <f t="shared" si="445"/>
        <v>0.40131578947368424</v>
      </c>
    </row>
    <row r="4715" spans="2:23" s="7" customFormat="1" ht="18" customHeight="1">
      <c r="B4715" s="12" t="s">
        <v>300</v>
      </c>
      <c r="C4715" s="6" t="s">
        <v>5687</v>
      </c>
      <c r="D4715" s="14" t="s">
        <v>3047</v>
      </c>
      <c r="E4715" s="22" t="s">
        <v>5683</v>
      </c>
      <c r="F4715" s="24"/>
      <c r="G4715" s="22" t="s">
        <v>5701</v>
      </c>
      <c r="H4715" s="108"/>
      <c r="I4715" s="109"/>
      <c r="J4715" s="8">
        <v>10</v>
      </c>
      <c r="K4715" s="39">
        <v>3.8</v>
      </c>
      <c r="L4715" s="39">
        <f t="shared" ref="L4715:L4720" si="446">K4715*J4715</f>
        <v>38</v>
      </c>
      <c r="M4715" s="117" t="s">
        <v>323</v>
      </c>
      <c r="N4715" s="33">
        <v>45847</v>
      </c>
      <c r="O4715" s="32">
        <v>7276</v>
      </c>
      <c r="P4715" s="391">
        <f>ROUNDUP(S4715/V4715/VLOOKUP(B4715,$C$2:$F$6,3,FALSE),2)</f>
        <v>3.25</v>
      </c>
      <c r="Q4715" s="322">
        <v>3.25</v>
      </c>
      <c r="R4715" s="322">
        <f t="shared" ref="R4715:R4720" si="447">Q4715*J4715</f>
        <v>32.5</v>
      </c>
      <c r="S4715" s="7">
        <v>273</v>
      </c>
      <c r="T4715" s="7">
        <f t="shared" ref="T4715:T4720" si="448">S4715*J4715</f>
        <v>2730</v>
      </c>
      <c r="U4715" s="386"/>
      <c r="V4715" s="260">
        <v>120</v>
      </c>
      <c r="W4715" s="1136">
        <f t="shared" ref="W4715:W4724" si="449">(((K4715*V4715)-S4715)/(K4715*V4715))</f>
        <v>0.40131578947368424</v>
      </c>
    </row>
    <row r="4716" spans="2:23" s="7" customFormat="1" ht="18" customHeight="1">
      <c r="B4716" s="12"/>
      <c r="C4716" s="6" t="s">
        <v>5687</v>
      </c>
      <c r="D4716" s="14" t="s">
        <v>3047</v>
      </c>
      <c r="E4716" s="19" t="s">
        <v>5703</v>
      </c>
      <c r="F4716" s="24"/>
      <c r="G4716" s="22"/>
      <c r="H4716" s="108"/>
      <c r="I4716" s="109"/>
      <c r="J4716" s="8"/>
      <c r="K4716" s="39"/>
      <c r="L4716" s="39"/>
      <c r="M4716" s="117"/>
      <c r="N4716" s="33">
        <v>45838</v>
      </c>
      <c r="O4716" s="32">
        <v>7248</v>
      </c>
      <c r="P4716" s="391"/>
      <c r="Q4716" s="322"/>
      <c r="R4716" s="322"/>
      <c r="U4716" s="386"/>
      <c r="V4716" s="260"/>
      <c r="W4716" s="1136"/>
    </row>
    <row r="4717" spans="2:23" s="7" customFormat="1" ht="18" customHeight="1">
      <c r="B4717" s="12" t="s">
        <v>300</v>
      </c>
      <c r="C4717" s="6" t="s">
        <v>5687</v>
      </c>
      <c r="D4717" s="14" t="s">
        <v>3047</v>
      </c>
      <c r="E4717" s="22" t="s">
        <v>5684</v>
      </c>
      <c r="F4717" s="24"/>
      <c r="G4717" s="22" t="s">
        <v>5701</v>
      </c>
      <c r="H4717" s="108"/>
      <c r="I4717" s="109"/>
      <c r="J4717" s="8">
        <v>10</v>
      </c>
      <c r="K4717" s="39">
        <v>3.0999999999999996</v>
      </c>
      <c r="L4717" s="39">
        <f t="shared" si="446"/>
        <v>30.999999999999996</v>
      </c>
      <c r="M4717" s="117" t="s">
        <v>323</v>
      </c>
      <c r="N4717" s="33">
        <v>45838</v>
      </c>
      <c r="O4717" s="32">
        <v>7248</v>
      </c>
      <c r="P4717" s="391">
        <f>ROUNDUP(S4717/V4717/VLOOKUP(B4717,$C$2:$F$6,3,FALSE),2)</f>
        <v>2.6599999999999997</v>
      </c>
      <c r="Q4717" s="322">
        <v>2.66</v>
      </c>
      <c r="R4717" s="322">
        <f t="shared" si="447"/>
        <v>26.6</v>
      </c>
      <c r="S4717" s="7">
        <v>223</v>
      </c>
      <c r="T4717" s="7">
        <f t="shared" si="448"/>
        <v>2230</v>
      </c>
      <c r="U4717" s="386"/>
      <c r="V4717" s="260">
        <v>120</v>
      </c>
      <c r="W4717" s="1136">
        <f t="shared" si="449"/>
        <v>0.40053763440860207</v>
      </c>
    </row>
    <row r="4718" spans="2:23" s="7" customFormat="1" ht="18" customHeight="1">
      <c r="B4718" s="12"/>
      <c r="C4718" s="6" t="s">
        <v>5687</v>
      </c>
      <c r="D4718" s="14" t="s">
        <v>3047</v>
      </c>
      <c r="E4718" s="19" t="s">
        <v>5732</v>
      </c>
      <c r="F4718" s="24"/>
      <c r="G4718" s="22"/>
      <c r="H4718" s="108"/>
      <c r="I4718" s="109"/>
      <c r="J4718" s="8"/>
      <c r="K4718" s="39"/>
      <c r="L4718" s="39"/>
      <c r="M4718" s="117"/>
      <c r="N4718" s="33">
        <v>45838</v>
      </c>
      <c r="O4718" s="32">
        <v>7248</v>
      </c>
      <c r="P4718" s="391"/>
      <c r="Q4718" s="322"/>
      <c r="R4718" s="322"/>
      <c r="U4718" s="386"/>
      <c r="V4718" s="260"/>
      <c r="W4718" s="1136"/>
    </row>
    <row r="4719" spans="2:23" s="7" customFormat="1" ht="18" customHeight="1">
      <c r="B4719" s="12" t="s">
        <v>300</v>
      </c>
      <c r="C4719" s="6" t="s">
        <v>5687</v>
      </c>
      <c r="D4719" s="14" t="s">
        <v>3047</v>
      </c>
      <c r="E4719" s="22" t="s">
        <v>5685</v>
      </c>
      <c r="F4719" s="24"/>
      <c r="G4719" s="22" t="s">
        <v>5686</v>
      </c>
      <c r="H4719" s="108"/>
      <c r="I4719" s="109"/>
      <c r="J4719" s="8">
        <v>10</v>
      </c>
      <c r="K4719" s="39">
        <v>1.74</v>
      </c>
      <c r="L4719" s="39">
        <f t="shared" si="446"/>
        <v>17.399999999999999</v>
      </c>
      <c r="M4719" s="117" t="s">
        <v>323</v>
      </c>
      <c r="N4719" s="33">
        <v>45838</v>
      </c>
      <c r="O4719" s="32">
        <v>7248</v>
      </c>
      <c r="P4719" s="391">
        <f>ROUNDUP(S4719/V4719/VLOOKUP(B4719,$C$2:$F$6,3,FALSE),2)</f>
        <v>1.49</v>
      </c>
      <c r="Q4719" s="322">
        <v>1.49</v>
      </c>
      <c r="R4719" s="322">
        <f t="shared" si="447"/>
        <v>14.9</v>
      </c>
      <c r="S4719" s="7">
        <v>125</v>
      </c>
      <c r="T4719" s="7">
        <f t="shared" si="448"/>
        <v>1250</v>
      </c>
      <c r="U4719" s="386"/>
      <c r="V4719" s="260">
        <v>120</v>
      </c>
      <c r="W4719" s="1136">
        <f t="shared" si="449"/>
        <v>0.40134099616858243</v>
      </c>
    </row>
    <row r="4720" spans="2:23" s="7" customFormat="1" ht="18" customHeight="1">
      <c r="B4720" s="12"/>
      <c r="C4720" s="6" t="s">
        <v>5687</v>
      </c>
      <c r="D4720" s="14" t="s">
        <v>3047</v>
      </c>
      <c r="E4720" s="49"/>
      <c r="F4720" s="102"/>
      <c r="G4720" s="22" t="s">
        <v>316</v>
      </c>
      <c r="H4720" s="8"/>
      <c r="I4720" s="35"/>
      <c r="J4720" s="38">
        <v>1</v>
      </c>
      <c r="K4720" s="39">
        <v>20</v>
      </c>
      <c r="L4720" s="39">
        <f t="shared" si="446"/>
        <v>20</v>
      </c>
      <c r="M4720" s="91"/>
      <c r="N4720" s="33">
        <v>45838</v>
      </c>
      <c r="O4720" s="32">
        <v>7248</v>
      </c>
      <c r="P4720" s="6" t="s">
        <v>3</v>
      </c>
      <c r="Q4720" s="39">
        <v>20</v>
      </c>
      <c r="R4720" s="322">
        <f t="shared" si="447"/>
        <v>20</v>
      </c>
      <c r="S4720" s="7">
        <f>1000</f>
        <v>1000</v>
      </c>
      <c r="T4720" s="7">
        <f t="shared" si="448"/>
        <v>1000</v>
      </c>
      <c r="U4720" s="21"/>
      <c r="V4720" s="260">
        <v>120</v>
      </c>
      <c r="W4720" s="1136">
        <f t="shared" si="449"/>
        <v>0.58333333333333337</v>
      </c>
    </row>
    <row r="4721" spans="1:51" s="191" customFormat="1" ht="18" customHeight="1">
      <c r="B4721" s="190"/>
      <c r="C4721" s="179" t="s">
        <v>5687</v>
      </c>
      <c r="D4721" s="180" t="s">
        <v>3047</v>
      </c>
      <c r="E4721" s="181"/>
      <c r="F4721" s="622"/>
      <c r="G4721" s="182" t="s">
        <v>250</v>
      </c>
      <c r="H4721" s="184" t="s">
        <v>251</v>
      </c>
      <c r="I4721" s="185"/>
      <c r="J4721" s="183"/>
      <c r="K4721" s="192">
        <v>0</v>
      </c>
      <c r="L4721" s="187"/>
      <c r="M4721" s="187"/>
      <c r="N4721" s="187">
        <v>45838</v>
      </c>
      <c r="O4721" s="186">
        <v>7248</v>
      </c>
      <c r="P4721" s="179"/>
      <c r="Q4721" s="255">
        <v>0</v>
      </c>
      <c r="R4721" s="322">
        <v>0</v>
      </c>
      <c r="S4721" s="275">
        <v>0</v>
      </c>
      <c r="T4721" s="198">
        <v>0</v>
      </c>
      <c r="U4721" s="271"/>
      <c r="V4721" s="260">
        <v>120</v>
      </c>
      <c r="W4721" s="1136" t="e">
        <f t="shared" si="449"/>
        <v>#DIV/0!</v>
      </c>
    </row>
    <row r="4722" spans="1:51" customFormat="1" ht="18" customHeight="1">
      <c r="A4722" s="1"/>
      <c r="B4722" s="26"/>
      <c r="C4722" s="6" t="s">
        <v>5744</v>
      </c>
      <c r="D4722" s="14" t="s">
        <v>4963</v>
      </c>
      <c r="E4722" s="19" t="s">
        <v>59</v>
      </c>
      <c r="F4722" s="107"/>
      <c r="G4722" s="22"/>
      <c r="H4722" s="108"/>
      <c r="I4722" s="109"/>
      <c r="J4722" s="108"/>
      <c r="K4722" s="110" t="s">
        <v>5</v>
      </c>
      <c r="L4722" s="33"/>
      <c r="M4722" s="33"/>
      <c r="N4722" s="1398">
        <v>45839</v>
      </c>
      <c r="O4722" s="32">
        <v>7250</v>
      </c>
      <c r="P4722" s="14"/>
      <c r="Q4722" s="254"/>
      <c r="R4722" s="1"/>
      <c r="S4722" s="261"/>
      <c r="T4722" s="92"/>
      <c r="U4722" s="264"/>
      <c r="V4722" s="260">
        <v>120</v>
      </c>
      <c r="W4722" s="1136" t="e">
        <f t="shared" si="449"/>
        <v>#VALUE!</v>
      </c>
      <c r="X4722" s="1"/>
      <c r="Y4722" s="1"/>
      <c r="Z4722" s="1"/>
      <c r="AA4722" s="1"/>
      <c r="AB4722" s="1"/>
      <c r="AC4722" s="1"/>
      <c r="AD4722" s="1"/>
      <c r="AE4722" s="1"/>
      <c r="AF4722" s="1"/>
      <c r="AG4722" s="1"/>
      <c r="AH4722" s="1"/>
      <c r="AI4722" s="1"/>
      <c r="AJ4722" s="1"/>
      <c r="AK4722" s="1"/>
      <c r="AL4722" s="1"/>
      <c r="AM4722" s="1"/>
      <c r="AN4722" s="1"/>
      <c r="AO4722" s="1"/>
      <c r="AP4722" s="1"/>
      <c r="AQ4722" s="1"/>
      <c r="AR4722" s="1"/>
      <c r="AS4722" s="1"/>
      <c r="AT4722" s="1"/>
      <c r="AU4722" s="1"/>
      <c r="AV4722" s="1"/>
      <c r="AW4722" s="1"/>
      <c r="AX4722" s="1"/>
      <c r="AY4722" s="1"/>
    </row>
    <row r="4723" spans="1:51" customFormat="1" ht="18" customHeight="1">
      <c r="B4723" s="12" t="s">
        <v>302</v>
      </c>
      <c r="C4723" s="6" t="s">
        <v>5744</v>
      </c>
      <c r="D4723" s="14" t="s">
        <v>4963</v>
      </c>
      <c r="E4723" s="22" t="s">
        <v>5747</v>
      </c>
      <c r="F4723" s="107">
        <v>152</v>
      </c>
      <c r="G4723" s="22" t="s">
        <v>5249</v>
      </c>
      <c r="H4723" s="108">
        <v>58</v>
      </c>
      <c r="I4723" s="109">
        <v>1</v>
      </c>
      <c r="J4723" s="8">
        <f>H4723*I4723</f>
        <v>58</v>
      </c>
      <c r="K4723" s="39">
        <v>4.17</v>
      </c>
      <c r="L4723" s="39">
        <f>K4723*J4723</f>
        <v>241.85999999999999</v>
      </c>
      <c r="M4723" s="117" t="s">
        <v>323</v>
      </c>
      <c r="N4723" s="1398">
        <v>45839</v>
      </c>
      <c r="O4723" s="32">
        <v>7250</v>
      </c>
      <c r="P4723" s="391">
        <f>ROUNDUP(S4723/V4723/VLOOKUP(B4723,$C$2:$F$6,3,FALSE),2)</f>
        <v>2.94</v>
      </c>
      <c r="Q4723" s="254">
        <v>2.94</v>
      </c>
      <c r="R4723" s="323">
        <f>Q4723*J4723</f>
        <v>170.52</v>
      </c>
      <c r="S4723" s="257">
        <v>310</v>
      </c>
      <c r="T4723" s="287">
        <f>S4723*J4723</f>
        <v>17980</v>
      </c>
      <c r="U4723" s="264"/>
      <c r="V4723" s="260">
        <v>120</v>
      </c>
      <c r="W4723" s="1136">
        <f t="shared" si="449"/>
        <v>0.3804956035171862</v>
      </c>
      <c r="X4723" s="1"/>
      <c r="Y4723" s="1"/>
      <c r="Z4723" s="1"/>
      <c r="AA4723" s="1"/>
      <c r="AB4723" s="1"/>
      <c r="AC4723" s="1"/>
      <c r="AD4723" s="1"/>
      <c r="AE4723" s="1"/>
      <c r="AF4723" s="1"/>
      <c r="AG4723" s="1"/>
      <c r="AH4723" s="1"/>
      <c r="AI4723" s="1"/>
      <c r="AJ4723" s="1"/>
      <c r="AK4723" s="1"/>
      <c r="AL4723" s="1"/>
      <c r="AM4723" s="1"/>
      <c r="AN4723" s="1"/>
      <c r="AO4723" s="1"/>
      <c r="AP4723" s="1"/>
      <c r="AQ4723" s="1"/>
      <c r="AR4723" s="1"/>
      <c r="AS4723" s="1"/>
      <c r="AT4723" s="1"/>
      <c r="AU4723" s="1"/>
      <c r="AV4723" s="1"/>
      <c r="AW4723" s="1"/>
      <c r="AX4723" s="1"/>
      <c r="AY4723" s="1"/>
    </row>
    <row r="4724" spans="1:51" s="7" customFormat="1" ht="15">
      <c r="B4724" s="12"/>
      <c r="C4724" s="6" t="s">
        <v>5744</v>
      </c>
      <c r="D4724" s="14" t="s">
        <v>4963</v>
      </c>
      <c r="E4724" s="49"/>
      <c r="F4724" s="102"/>
      <c r="G4724" s="22" t="s">
        <v>316</v>
      </c>
      <c r="H4724" s="38"/>
      <c r="I4724" s="35"/>
      <c r="J4724" s="38">
        <v>1</v>
      </c>
      <c r="K4724" s="39">
        <v>20</v>
      </c>
      <c r="L4724" s="39">
        <f>K4724*J4724</f>
        <v>20</v>
      </c>
      <c r="M4724" s="91"/>
      <c r="N4724" s="1398">
        <v>45839</v>
      </c>
      <c r="O4724" s="32">
        <v>7250</v>
      </c>
      <c r="P4724" s="722"/>
      <c r="Q4724" s="322">
        <v>20</v>
      </c>
      <c r="R4724" s="322">
        <f>Q4724*J4724</f>
        <v>20</v>
      </c>
      <c r="S4724" s="7">
        <v>2500</v>
      </c>
      <c r="T4724" s="7">
        <f>S4724*J4724</f>
        <v>2500</v>
      </c>
      <c r="U4724" s="21"/>
      <c r="V4724" s="260">
        <v>120</v>
      </c>
      <c r="W4724" s="1136">
        <f t="shared" si="449"/>
        <v>-4.1666666666666664E-2</v>
      </c>
    </row>
    <row r="4725" spans="1:51" s="191" customFormat="1" ht="15">
      <c r="B4725" s="190"/>
      <c r="C4725" s="179" t="s">
        <v>5744</v>
      </c>
      <c r="D4725" s="180" t="s">
        <v>4963</v>
      </c>
      <c r="E4725" s="181"/>
      <c r="F4725" s="182"/>
      <c r="G4725" s="182" t="s">
        <v>2738</v>
      </c>
      <c r="H4725" s="184" t="s">
        <v>374</v>
      </c>
      <c r="I4725" s="185"/>
      <c r="J4725" s="183"/>
      <c r="K4725" s="203">
        <v>140</v>
      </c>
      <c r="L4725" s="203">
        <v>140</v>
      </c>
      <c r="M4725" s="187"/>
      <c r="N4725" s="1399">
        <v>45839</v>
      </c>
      <c r="O4725" s="186">
        <v>7250</v>
      </c>
      <c r="P4725" s="179"/>
      <c r="Q4725" s="203">
        <v>140</v>
      </c>
      <c r="R4725" s="203">
        <v>140</v>
      </c>
      <c r="S4725" s="7">
        <f>1820+9267</f>
        <v>11087</v>
      </c>
      <c r="T4725" s="7">
        <v>11087</v>
      </c>
      <c r="U4725" s="271"/>
      <c r="V4725" s="260">
        <v>120</v>
      </c>
      <c r="W4725" s="1136">
        <f>(((K4725*V4725)-S4725)/(K4725*V4725))</f>
        <v>0.34005952380952381</v>
      </c>
    </row>
    <row r="4726" spans="1:51" s="7" customFormat="1" ht="18" customHeight="1">
      <c r="B4726" s="12"/>
      <c r="C4726" s="6" t="s">
        <v>5745</v>
      </c>
      <c r="D4726" s="14" t="s">
        <v>3150</v>
      </c>
      <c r="E4726" s="19" t="s">
        <v>2599</v>
      </c>
      <c r="F4726" s="22"/>
      <c r="G4726" s="37"/>
      <c r="H4726" s="108"/>
      <c r="I4726" s="108"/>
      <c r="J4726" s="108"/>
      <c r="K4726" s="110" t="s">
        <v>102</v>
      </c>
      <c r="L4726" s="33"/>
      <c r="M4726" s="33"/>
      <c r="N4726" s="33">
        <v>45840</v>
      </c>
      <c r="O4726" s="32">
        <v>7257</v>
      </c>
      <c r="P4726" s="6"/>
      <c r="Q4726" s="223"/>
      <c r="S4726" s="1174"/>
      <c r="T4726" s="92"/>
      <c r="U4726" s="266"/>
      <c r="V4726" s="260">
        <v>120</v>
      </c>
    </row>
    <row r="4727" spans="1:51" s="7" customFormat="1" ht="15.95" customHeight="1">
      <c r="B4727" s="12" t="s">
        <v>306</v>
      </c>
      <c r="C4727" s="6" t="s">
        <v>5745</v>
      </c>
      <c r="D4727" s="14" t="s">
        <v>3150</v>
      </c>
      <c r="E4727" s="22" t="s">
        <v>5746</v>
      </c>
      <c r="F4727" s="37"/>
      <c r="G4727" s="37"/>
      <c r="H4727" s="60"/>
      <c r="I4727" s="61"/>
      <c r="J4727" s="38">
        <v>1</v>
      </c>
      <c r="K4727" s="39">
        <v>15</v>
      </c>
      <c r="L4727" s="39">
        <f>K4727*J4727</f>
        <v>15</v>
      </c>
      <c r="M4727" s="117" t="s">
        <v>323</v>
      </c>
      <c r="N4727" s="33">
        <v>45840</v>
      </c>
      <c r="O4727" s="32">
        <v>7257</v>
      </c>
      <c r="P4727" s="391">
        <v>11.37</v>
      </c>
      <c r="Q4727" s="39">
        <v>11.37</v>
      </c>
      <c r="R4727" s="322">
        <f>Q4727*J4727</f>
        <v>11.37</v>
      </c>
      <c r="S4727" s="7">
        <v>800</v>
      </c>
      <c r="T4727" s="7">
        <f>S4727*J4727</f>
        <v>800</v>
      </c>
      <c r="U4727" s="1305"/>
      <c r="V4727" s="260">
        <v>120</v>
      </c>
      <c r="W4727" s="1136">
        <f>(((K4727*V4727)-S4727)/(K4727*V4727))</f>
        <v>0.55555555555555558</v>
      </c>
    </row>
    <row r="4728" spans="1:51" s="191" customFormat="1" ht="18" customHeight="1">
      <c r="B4728" s="190"/>
      <c r="C4728" s="179" t="s">
        <v>5745</v>
      </c>
      <c r="D4728" s="180" t="s">
        <v>3150</v>
      </c>
      <c r="E4728" s="217"/>
      <c r="F4728" s="182"/>
      <c r="G4728" s="182" t="s">
        <v>250</v>
      </c>
      <c r="H4728" s="184" t="s">
        <v>251</v>
      </c>
      <c r="I4728" s="185"/>
      <c r="J4728" s="183"/>
      <c r="K4728" s="192">
        <v>0</v>
      </c>
      <c r="L4728" s="187"/>
      <c r="M4728" s="1310"/>
      <c r="N4728" s="187">
        <v>45840</v>
      </c>
      <c r="O4728" s="186">
        <v>7257</v>
      </c>
      <c r="P4728" s="179"/>
      <c r="Q4728" s="255">
        <v>0</v>
      </c>
      <c r="R4728" s="322">
        <v>0</v>
      </c>
      <c r="S4728" s="275">
        <v>0</v>
      </c>
      <c r="T4728" s="198">
        <v>0</v>
      </c>
      <c r="U4728" s="271"/>
      <c r="V4728" s="260">
        <v>120</v>
      </c>
      <c r="W4728" s="1136" t="e">
        <f>(((K4728*V4728)-S4728)/(K4728*V4728))</f>
        <v>#DIV/0!</v>
      </c>
    </row>
    <row r="4729" spans="1:51" s="7" customFormat="1" ht="18" customHeight="1">
      <c r="B4729" s="12"/>
      <c r="C4729" s="6" t="s">
        <v>5829</v>
      </c>
      <c r="D4729" s="14" t="s">
        <v>3047</v>
      </c>
      <c r="E4729" s="19" t="s">
        <v>2358</v>
      </c>
      <c r="F4729" s="24"/>
      <c r="G4729" s="22"/>
      <c r="H4729" s="60"/>
      <c r="I4729" s="61"/>
      <c r="J4729" s="60"/>
      <c r="K4729" s="16"/>
      <c r="L4729" s="139"/>
      <c r="M4729" s="33"/>
      <c r="N4729" s="33">
        <v>45842</v>
      </c>
      <c r="O4729" s="32">
        <v>7260</v>
      </c>
      <c r="P4729" s="6" t="s">
        <v>3</v>
      </c>
      <c r="Q4729" s="358"/>
      <c r="S4729" s="1434"/>
      <c r="U4729" s="120"/>
      <c r="V4729" s="260">
        <v>120</v>
      </c>
    </row>
    <row r="4730" spans="1:51" s="7" customFormat="1" ht="18" customHeight="1">
      <c r="B4730" s="12" t="s">
        <v>300</v>
      </c>
      <c r="C4730" s="6" t="s">
        <v>5829</v>
      </c>
      <c r="D4730" s="14" t="s">
        <v>3047</v>
      </c>
      <c r="E4730" s="22" t="s">
        <v>5764</v>
      </c>
      <c r="F4730" s="24"/>
      <c r="G4730" s="22" t="s">
        <v>5318</v>
      </c>
      <c r="H4730" s="108"/>
      <c r="I4730" s="109"/>
      <c r="J4730" s="8">
        <v>15</v>
      </c>
      <c r="K4730" s="39">
        <f>ROUNDUP(S4730/0.6/120,2)</f>
        <v>1.98</v>
      </c>
      <c r="L4730" s="39">
        <f>K4730*J4730</f>
        <v>29.7</v>
      </c>
      <c r="M4730" s="117" t="s">
        <v>323</v>
      </c>
      <c r="N4730" s="33">
        <v>45842</v>
      </c>
      <c r="O4730" s="32">
        <v>7260</v>
      </c>
      <c r="P4730" s="391">
        <f>ROUNDUP(S4730/V4730/VLOOKUP(B4730,$C$2:$F$6,3,FALSE),2)</f>
        <v>1.7</v>
      </c>
      <c r="Q4730" s="322">
        <v>1.7</v>
      </c>
      <c r="R4730" s="322">
        <f>Q4730*J4730</f>
        <v>25.5</v>
      </c>
      <c r="S4730" s="7">
        <v>142</v>
      </c>
      <c r="T4730" s="7">
        <f>S4730*J4730</f>
        <v>2130</v>
      </c>
      <c r="U4730" s="386"/>
      <c r="V4730" s="260">
        <v>120</v>
      </c>
      <c r="W4730" s="1136">
        <f>(((K4730*V4730)-S4730)/(K4730*V4730))</f>
        <v>0.40235690235690236</v>
      </c>
    </row>
    <row r="4731" spans="1:51" s="7" customFormat="1" ht="18" customHeight="1">
      <c r="B4731" s="12" t="s">
        <v>300</v>
      </c>
      <c r="C4731" s="6" t="s">
        <v>5829</v>
      </c>
      <c r="D4731" s="14" t="s">
        <v>3047</v>
      </c>
      <c r="E4731" s="22" t="s">
        <v>5766</v>
      </c>
      <c r="F4731" s="24"/>
      <c r="G4731" s="22" t="s">
        <v>5318</v>
      </c>
      <c r="H4731" s="108"/>
      <c r="I4731" s="109"/>
      <c r="J4731" s="8">
        <v>15</v>
      </c>
      <c r="K4731" s="39">
        <f>ROUNDUP(S4731/0.6/120,2)</f>
        <v>0.91</v>
      </c>
      <c r="L4731" s="39">
        <f>K4731*J4731</f>
        <v>13.65</v>
      </c>
      <c r="M4731" s="117" t="s">
        <v>323</v>
      </c>
      <c r="N4731" s="33">
        <v>45842</v>
      </c>
      <c r="O4731" s="32">
        <v>7260</v>
      </c>
      <c r="P4731" s="391">
        <f>ROUNDUP(S4731/V4731/VLOOKUP(B4731,$C$2:$F$6,3,FALSE),2)</f>
        <v>0.78</v>
      </c>
      <c r="Q4731" s="322">
        <v>0.78</v>
      </c>
      <c r="R4731" s="322">
        <f>Q4731*J4731</f>
        <v>11.700000000000001</v>
      </c>
      <c r="S4731" s="7">
        <v>65</v>
      </c>
      <c r="T4731" s="7">
        <f>S4731*J4731</f>
        <v>975</v>
      </c>
      <c r="U4731" s="386"/>
      <c r="V4731" s="260">
        <v>120</v>
      </c>
      <c r="W4731" s="1136">
        <f>(((K4731*V4731)-S4731)/(K4731*V4731))</f>
        <v>0.40476190476190477</v>
      </c>
    </row>
    <row r="4732" spans="1:51" s="7" customFormat="1" ht="18" customHeight="1">
      <c r="B4732" s="12" t="s">
        <v>300</v>
      </c>
      <c r="C4732" s="6" t="s">
        <v>5829</v>
      </c>
      <c r="D4732" s="14" t="s">
        <v>3047</v>
      </c>
      <c r="E4732" s="22" t="s">
        <v>5825</v>
      </c>
      <c r="F4732" s="24"/>
      <c r="G4732" s="22" t="s">
        <v>5318</v>
      </c>
      <c r="H4732" s="108"/>
      <c r="I4732" s="109"/>
      <c r="J4732" s="8">
        <v>15</v>
      </c>
      <c r="K4732" s="39">
        <v>2.23</v>
      </c>
      <c r="L4732" s="39">
        <f>K4732*J4732</f>
        <v>33.450000000000003</v>
      </c>
      <c r="M4732" s="117" t="s">
        <v>323</v>
      </c>
      <c r="N4732" s="33">
        <v>45842</v>
      </c>
      <c r="O4732" s="32">
        <v>7260</v>
      </c>
      <c r="P4732" s="391">
        <f>ROUNDUP(S4732/V4732/VLOOKUP(B4732,$C$2:$F$6,3,FALSE),2)</f>
        <v>1.91</v>
      </c>
      <c r="Q4732" s="322">
        <v>1.91</v>
      </c>
      <c r="R4732" s="322">
        <f>Q4732*J4732</f>
        <v>28.65</v>
      </c>
      <c r="S4732" s="7">
        <v>160</v>
      </c>
      <c r="T4732" s="7">
        <f>S4732*J4732</f>
        <v>2400</v>
      </c>
      <c r="U4732" s="386"/>
      <c r="V4732" s="260">
        <v>120</v>
      </c>
      <c r="W4732" s="1136">
        <f>(((K4732*V4732)-S4732)/(K4732*V4732))</f>
        <v>0.40209267563527656</v>
      </c>
    </row>
    <row r="4733" spans="1:51" s="7" customFormat="1" ht="18" customHeight="1">
      <c r="B4733" s="12"/>
      <c r="C4733" s="6" t="s">
        <v>5829</v>
      </c>
      <c r="D4733" s="14" t="s">
        <v>3047</v>
      </c>
      <c r="E4733" s="22"/>
      <c r="F4733" s="102"/>
      <c r="G4733" s="22" t="s">
        <v>316</v>
      </c>
      <c r="H4733" s="8"/>
      <c r="I4733" s="35"/>
      <c r="J4733" s="38">
        <v>1</v>
      </c>
      <c r="K4733" s="39">
        <v>12</v>
      </c>
      <c r="L4733" s="39">
        <f>K4733*J4733</f>
        <v>12</v>
      </c>
      <c r="M4733" s="91"/>
      <c r="N4733" s="33">
        <v>45842</v>
      </c>
      <c r="O4733" s="32">
        <v>7260</v>
      </c>
      <c r="P4733" s="6" t="s">
        <v>3</v>
      </c>
      <c r="Q4733" s="39">
        <v>12</v>
      </c>
      <c r="R4733" s="322">
        <f>Q4733*J4733</f>
        <v>12</v>
      </c>
      <c r="S4733" s="7">
        <v>1000</v>
      </c>
      <c r="T4733" s="7">
        <f>S4733*J4733</f>
        <v>1000</v>
      </c>
      <c r="U4733" s="21"/>
      <c r="V4733" s="260">
        <v>120</v>
      </c>
      <c r="W4733" s="1136">
        <f>(((K4733*V4733)-S4733)/(K4733*V4733))</f>
        <v>0.30555555555555558</v>
      </c>
    </row>
    <row r="4734" spans="1:51" s="191" customFormat="1" ht="18" customHeight="1">
      <c r="B4734" s="190"/>
      <c r="C4734" s="179" t="s">
        <v>5829</v>
      </c>
      <c r="D4734" s="180" t="s">
        <v>3047</v>
      </c>
      <c r="E4734" s="217"/>
      <c r="F4734" s="182"/>
      <c r="G4734" s="182" t="s">
        <v>250</v>
      </c>
      <c r="H4734" s="184" t="s">
        <v>251</v>
      </c>
      <c r="I4734" s="185"/>
      <c r="J4734" s="183"/>
      <c r="K4734" s="192">
        <v>0</v>
      </c>
      <c r="L4734" s="187"/>
      <c r="M4734" s="1310"/>
      <c r="N4734" s="187">
        <v>45842</v>
      </c>
      <c r="O4734" s="186">
        <v>7260</v>
      </c>
      <c r="P4734" s="179"/>
      <c r="Q4734" s="255">
        <v>0</v>
      </c>
      <c r="R4734" s="322">
        <v>0</v>
      </c>
      <c r="S4734" s="275">
        <v>0</v>
      </c>
      <c r="T4734" s="198">
        <v>0</v>
      </c>
      <c r="U4734" s="271"/>
      <c r="V4734" s="260">
        <v>120</v>
      </c>
      <c r="W4734" s="1136" t="e">
        <f>(((K4734*V4734)-S4734)/(K4734*V4734))</f>
        <v>#DIV/0!</v>
      </c>
    </row>
    <row r="4735" spans="1:51" s="7" customFormat="1" ht="18" customHeight="1">
      <c r="B4735" s="12"/>
      <c r="C4735" s="6" t="s">
        <v>5826</v>
      </c>
      <c r="D4735" s="14" t="s">
        <v>3047</v>
      </c>
      <c r="E4735" s="19" t="s">
        <v>2358</v>
      </c>
      <c r="F4735" s="24"/>
      <c r="G4735" s="22"/>
      <c r="H4735" s="60"/>
      <c r="I4735" s="61"/>
      <c r="J4735" s="60"/>
      <c r="K4735" s="16"/>
      <c r="L4735" s="139"/>
      <c r="M4735" s="33"/>
      <c r="N4735" s="33">
        <v>45842</v>
      </c>
      <c r="O4735" s="32">
        <v>7261</v>
      </c>
      <c r="P4735" s="6" t="s">
        <v>3</v>
      </c>
      <c r="Q4735" s="358"/>
      <c r="S4735" s="1434"/>
      <c r="U4735" s="120"/>
      <c r="V4735" s="260">
        <v>120</v>
      </c>
    </row>
    <row r="4736" spans="1:51" s="7" customFormat="1" ht="18" customHeight="1">
      <c r="B4736" s="12" t="s">
        <v>300</v>
      </c>
      <c r="C4736" s="6" t="s">
        <v>5826</v>
      </c>
      <c r="D4736" s="14" t="s">
        <v>3047</v>
      </c>
      <c r="E4736" s="22" t="s">
        <v>5764</v>
      </c>
      <c r="F4736" s="24"/>
      <c r="G4736" s="22" t="s">
        <v>5318</v>
      </c>
      <c r="H4736" s="108"/>
      <c r="I4736" s="109"/>
      <c r="J4736" s="8">
        <v>5</v>
      </c>
      <c r="K4736" s="39">
        <f>ROUNDUP(S4736/0.6/120,2)</f>
        <v>1.98</v>
      </c>
      <c r="L4736" s="39">
        <f>K4736*J4736</f>
        <v>9.9</v>
      </c>
      <c r="M4736" s="117" t="s">
        <v>323</v>
      </c>
      <c r="N4736" s="33">
        <v>45842</v>
      </c>
      <c r="O4736" s="32">
        <v>7261</v>
      </c>
      <c r="P4736" s="391">
        <f>ROUNDUP(S4736/V4736/VLOOKUP(B4736,$C$2:$F$6,3,FALSE),2)</f>
        <v>1.7</v>
      </c>
      <c r="Q4736" s="322">
        <v>1.7</v>
      </c>
      <c r="R4736" s="322">
        <f>Q4736*J4736</f>
        <v>8.5</v>
      </c>
      <c r="S4736" s="7">
        <v>142</v>
      </c>
      <c r="T4736" s="7">
        <f>S4736*J4736</f>
        <v>710</v>
      </c>
      <c r="U4736" s="386"/>
      <c r="V4736" s="260">
        <v>120</v>
      </c>
      <c r="W4736" s="1136">
        <f>(((K4736*V4736)-S4736)/(K4736*V4736))</f>
        <v>0.40235690235690236</v>
      </c>
    </row>
    <row r="4737" spans="2:23" s="7" customFormat="1" ht="18" customHeight="1">
      <c r="B4737" s="12" t="s">
        <v>300</v>
      </c>
      <c r="C4737" s="6" t="s">
        <v>5826</v>
      </c>
      <c r="D4737" s="14" t="s">
        <v>3047</v>
      </c>
      <c r="E4737" s="22" t="s">
        <v>5766</v>
      </c>
      <c r="F4737" s="24"/>
      <c r="G4737" s="22" t="s">
        <v>5318</v>
      </c>
      <c r="H4737" s="108"/>
      <c r="I4737" s="109"/>
      <c r="J4737" s="8">
        <v>5</v>
      </c>
      <c r="K4737" s="39">
        <f>ROUNDUP(S4737/0.6/120,2)</f>
        <v>0.91</v>
      </c>
      <c r="L4737" s="39">
        <f>K4737*J4737</f>
        <v>4.55</v>
      </c>
      <c r="M4737" s="117" t="s">
        <v>323</v>
      </c>
      <c r="N4737" s="33">
        <v>45842</v>
      </c>
      <c r="O4737" s="32">
        <v>7261</v>
      </c>
      <c r="P4737" s="391">
        <f>ROUNDUP(S4737/V4737/VLOOKUP(B4737,$C$2:$F$6,3,FALSE),2)</f>
        <v>0.78</v>
      </c>
      <c r="Q4737" s="322">
        <v>0.78</v>
      </c>
      <c r="R4737" s="322">
        <f>Q4737*J4737</f>
        <v>3.9000000000000004</v>
      </c>
      <c r="S4737" s="7">
        <v>65</v>
      </c>
      <c r="T4737" s="7">
        <f>S4737*J4737</f>
        <v>325</v>
      </c>
      <c r="U4737" s="386"/>
      <c r="V4737" s="260">
        <v>120</v>
      </c>
      <c r="W4737" s="1136">
        <f>(((K4737*V4737)-S4737)/(K4737*V4737))</f>
        <v>0.40476190476190477</v>
      </c>
    </row>
    <row r="4738" spans="2:23" s="7" customFormat="1" ht="18" customHeight="1">
      <c r="B4738" s="12"/>
      <c r="C4738" s="6" t="s">
        <v>5826</v>
      </c>
      <c r="D4738" s="14" t="s">
        <v>3047</v>
      </c>
      <c r="E4738" s="19" t="s">
        <v>5805</v>
      </c>
      <c r="F4738" s="24"/>
      <c r="G4738" s="22"/>
      <c r="H4738" s="108"/>
      <c r="I4738" s="109"/>
      <c r="J4738" s="8"/>
      <c r="K4738" s="39"/>
      <c r="L4738" s="39"/>
      <c r="M4738" s="117"/>
      <c r="N4738" s="33">
        <v>45842</v>
      </c>
      <c r="O4738" s="32">
        <v>7261</v>
      </c>
      <c r="P4738" s="391"/>
      <c r="Q4738" s="322"/>
      <c r="R4738" s="322"/>
      <c r="U4738" s="386"/>
      <c r="V4738" s="260"/>
      <c r="W4738" s="1136"/>
    </row>
    <row r="4739" spans="2:23" s="7" customFormat="1" ht="18" customHeight="1">
      <c r="B4739" s="12" t="s">
        <v>300</v>
      </c>
      <c r="C4739" s="6" t="s">
        <v>5826</v>
      </c>
      <c r="D4739" s="14" t="s">
        <v>3047</v>
      </c>
      <c r="E4739" s="22" t="s">
        <v>5770</v>
      </c>
      <c r="F4739" s="24"/>
      <c r="G4739" s="22" t="s">
        <v>5775</v>
      </c>
      <c r="H4739" s="108"/>
      <c r="I4739" s="109"/>
      <c r="J4739" s="8">
        <v>10</v>
      </c>
      <c r="K4739" s="39">
        <f>ROUNDUP(S4739/0.6/120,2)</f>
        <v>0.96</v>
      </c>
      <c r="L4739" s="39">
        <f>K4739*J4739</f>
        <v>9.6</v>
      </c>
      <c r="M4739" s="117" t="s">
        <v>323</v>
      </c>
      <c r="N4739" s="33">
        <v>45842</v>
      </c>
      <c r="O4739" s="32">
        <v>7261</v>
      </c>
      <c r="P4739" s="391">
        <f>ROUNDUP(S4739/V4739/VLOOKUP(B4739,$C$2:$F$6,3,FALSE),2)</f>
        <v>0.83</v>
      </c>
      <c r="Q4739" s="322">
        <v>0.83</v>
      </c>
      <c r="R4739" s="322">
        <f>Q4739*J4739</f>
        <v>8.2999999999999989</v>
      </c>
      <c r="S4739" s="7">
        <v>69</v>
      </c>
      <c r="T4739" s="7">
        <f>S4739*J4739</f>
        <v>690</v>
      </c>
      <c r="U4739" s="386"/>
      <c r="V4739" s="260">
        <v>120</v>
      </c>
      <c r="W4739" s="1136">
        <f>(((K4739*V4739)-S4739)/(K4739*V4739))</f>
        <v>0.40104166666666663</v>
      </c>
    </row>
    <row r="4740" spans="2:23" s="7" customFormat="1" ht="18" customHeight="1">
      <c r="B4740" s="12"/>
      <c r="C4740" s="6" t="s">
        <v>5826</v>
      </c>
      <c r="D4740" s="14" t="s">
        <v>3047</v>
      </c>
      <c r="E4740" s="19" t="s">
        <v>2358</v>
      </c>
      <c r="F4740" s="24"/>
      <c r="G4740" s="22"/>
      <c r="H4740" s="60"/>
      <c r="I4740" s="61"/>
      <c r="J4740" s="60"/>
      <c r="K4740" s="16"/>
      <c r="L4740" s="139"/>
      <c r="M4740" s="33"/>
      <c r="N4740" s="33">
        <v>45842</v>
      </c>
      <c r="O4740" s="32">
        <v>7261</v>
      </c>
      <c r="P4740" s="6" t="s">
        <v>3</v>
      </c>
      <c r="Q4740" s="358"/>
      <c r="S4740" s="1434"/>
      <c r="U4740" s="120"/>
      <c r="V4740" s="260">
        <v>120</v>
      </c>
    </row>
    <row r="4741" spans="2:23" s="7" customFormat="1" ht="18" customHeight="1">
      <c r="B4741" s="12" t="s">
        <v>300</v>
      </c>
      <c r="C4741" s="6" t="s">
        <v>5826</v>
      </c>
      <c r="D4741" s="14" t="s">
        <v>3047</v>
      </c>
      <c r="E4741" s="22" t="s">
        <v>5825</v>
      </c>
      <c r="F4741" s="24"/>
      <c r="G4741" s="22" t="s">
        <v>5318</v>
      </c>
      <c r="H4741" s="108"/>
      <c r="I4741" s="109"/>
      <c r="J4741" s="8">
        <v>5</v>
      </c>
      <c r="K4741" s="39">
        <v>2.23</v>
      </c>
      <c r="L4741" s="39">
        <f>K4741*J4741</f>
        <v>11.15</v>
      </c>
      <c r="M4741" s="117" t="s">
        <v>323</v>
      </c>
      <c r="N4741" s="33">
        <v>45842</v>
      </c>
      <c r="O4741" s="32">
        <v>7261</v>
      </c>
      <c r="P4741" s="391">
        <f>ROUNDUP(S4741/V4741/VLOOKUP(B4741,$C$2:$F$6,3,FALSE),2)</f>
        <v>1.91</v>
      </c>
      <c r="Q4741" s="322">
        <v>1.91</v>
      </c>
      <c r="R4741" s="322">
        <f>Q4741*J4741</f>
        <v>9.5499999999999989</v>
      </c>
      <c r="S4741" s="7">
        <v>160</v>
      </c>
      <c r="T4741" s="7">
        <f>S4741*J4741</f>
        <v>800</v>
      </c>
      <c r="U4741" s="386"/>
      <c r="V4741" s="260">
        <v>120</v>
      </c>
      <c r="W4741" s="1136">
        <f>(((K4741*V4741)-S4741)/(K4741*V4741))</f>
        <v>0.40209267563527656</v>
      </c>
    </row>
    <row r="4742" spans="2:23" s="7" customFormat="1" ht="18" customHeight="1">
      <c r="B4742" s="12"/>
      <c r="C4742" s="6" t="s">
        <v>5826</v>
      </c>
      <c r="D4742" s="14" t="s">
        <v>3047</v>
      </c>
      <c r="E4742" s="19" t="s">
        <v>5784</v>
      </c>
      <c r="F4742" s="24"/>
      <c r="G4742" s="22"/>
      <c r="H4742" s="60"/>
      <c r="I4742" s="61"/>
      <c r="J4742" s="60"/>
      <c r="K4742" s="16"/>
      <c r="L4742" s="139"/>
      <c r="M4742" s="33"/>
      <c r="N4742" s="33">
        <v>45842</v>
      </c>
      <c r="O4742" s="32">
        <v>7261</v>
      </c>
      <c r="P4742" s="6" t="s">
        <v>3</v>
      </c>
      <c r="Q4742" s="358"/>
      <c r="S4742" s="1434"/>
      <c r="U4742" s="120"/>
      <c r="V4742" s="260">
        <v>120</v>
      </c>
    </row>
    <row r="4743" spans="2:23" s="7" customFormat="1" ht="18" customHeight="1">
      <c r="B4743" s="12" t="s">
        <v>300</v>
      </c>
      <c r="C4743" s="6" t="s">
        <v>5826</v>
      </c>
      <c r="D4743" s="14" t="s">
        <v>3047</v>
      </c>
      <c r="E4743" s="22" t="s">
        <v>5806</v>
      </c>
      <c r="F4743" s="24"/>
      <c r="G4743" s="22" t="s">
        <v>5830</v>
      </c>
      <c r="H4743" s="108"/>
      <c r="I4743" s="109"/>
      <c r="J4743" s="8">
        <v>10</v>
      </c>
      <c r="K4743" s="39">
        <v>2.5</v>
      </c>
      <c r="L4743" s="39">
        <f>K4743*J4743</f>
        <v>25</v>
      </c>
      <c r="M4743" s="117" t="s">
        <v>323</v>
      </c>
      <c r="N4743" s="33">
        <v>45842</v>
      </c>
      <c r="O4743" s="32">
        <v>7261</v>
      </c>
      <c r="P4743" s="391">
        <f>ROUNDUP(S4743/V4743/VLOOKUP(B4743,$C$2:$F$6,3,FALSE),2)</f>
        <v>2.15</v>
      </c>
      <c r="Q4743" s="322">
        <v>2.15</v>
      </c>
      <c r="R4743" s="322">
        <f>Q4743*J4743</f>
        <v>21.5</v>
      </c>
      <c r="S4743" s="7">
        <v>180</v>
      </c>
      <c r="T4743" s="7">
        <f>S4743*J4743</f>
        <v>1800</v>
      </c>
      <c r="U4743" s="386"/>
      <c r="V4743" s="260">
        <v>120</v>
      </c>
      <c r="W4743" s="1136">
        <f>(((K4743*V4743)-S4743)/(K4743*V4743))</f>
        <v>0.4</v>
      </c>
    </row>
    <row r="4744" spans="2:23" s="7" customFormat="1" ht="18" customHeight="1">
      <c r="B4744" s="12"/>
      <c r="C4744" s="6" t="s">
        <v>5826</v>
      </c>
      <c r="D4744" s="14" t="s">
        <v>3047</v>
      </c>
      <c r="E4744" s="19" t="s">
        <v>2358</v>
      </c>
      <c r="F4744" s="24"/>
      <c r="G4744" s="22"/>
      <c r="H4744" s="60"/>
      <c r="I4744" s="61"/>
      <c r="J4744" s="60"/>
      <c r="K4744" s="16"/>
      <c r="L4744" s="139"/>
      <c r="M4744" s="33"/>
      <c r="N4744" s="33">
        <v>45842</v>
      </c>
      <c r="O4744" s="32">
        <v>7261</v>
      </c>
      <c r="P4744" s="6" t="s">
        <v>3</v>
      </c>
      <c r="Q4744" s="358"/>
      <c r="S4744" s="1434"/>
      <c r="U4744" s="120"/>
      <c r="V4744" s="260">
        <v>120</v>
      </c>
    </row>
    <row r="4745" spans="2:23" s="7" customFormat="1" ht="18" customHeight="1">
      <c r="B4745" s="12" t="s">
        <v>300</v>
      </c>
      <c r="C4745" s="6" t="s">
        <v>5826</v>
      </c>
      <c r="D4745" s="14" t="s">
        <v>3047</v>
      </c>
      <c r="E4745" s="22" t="s">
        <v>2360</v>
      </c>
      <c r="F4745" s="24"/>
      <c r="G4745" s="22" t="s">
        <v>5318</v>
      </c>
      <c r="H4745" s="131">
        <v>13.7</v>
      </c>
      <c r="I4745" s="109">
        <v>1</v>
      </c>
      <c r="J4745" s="131">
        <f>H4745*I4745</f>
        <v>13.7</v>
      </c>
      <c r="K4745" s="39">
        <v>1.81</v>
      </c>
      <c r="L4745" s="39">
        <f>K4745*J4745</f>
        <v>24.797000000000001</v>
      </c>
      <c r="M4745" s="117" t="s">
        <v>323</v>
      </c>
      <c r="N4745" s="33">
        <v>45842</v>
      </c>
      <c r="O4745" s="32">
        <v>7261</v>
      </c>
      <c r="P4745" s="391">
        <f>ROUNDUP(S4745/V4745/VLOOKUP(B4745,$C$2:$F$6,3,FALSE),2)</f>
        <v>1.55</v>
      </c>
      <c r="Q4745" s="322">
        <v>1.55</v>
      </c>
      <c r="R4745" s="322">
        <f>Q4745*J4745</f>
        <v>21.234999999999999</v>
      </c>
      <c r="S4745" s="7">
        <v>130</v>
      </c>
      <c r="T4745" s="7">
        <f>S4745*J4745</f>
        <v>1781</v>
      </c>
      <c r="U4745" s="386"/>
      <c r="V4745" s="260">
        <v>120</v>
      </c>
      <c r="W4745" s="1136">
        <f>(((K4745*V4745)-S4745)/(K4745*V4745))</f>
        <v>0.40147329650092084</v>
      </c>
    </row>
    <row r="4746" spans="2:23" s="7" customFormat="1" ht="18" customHeight="1">
      <c r="B4746" s="12"/>
      <c r="C4746" s="6" t="s">
        <v>5826</v>
      </c>
      <c r="D4746" s="14" t="s">
        <v>3047</v>
      </c>
      <c r="E4746" s="19" t="s">
        <v>5778</v>
      </c>
      <c r="F4746" s="24"/>
      <c r="G4746" s="22"/>
      <c r="H4746" s="108"/>
      <c r="I4746" s="109"/>
      <c r="J4746" s="8"/>
      <c r="K4746" s="39"/>
      <c r="L4746" s="39"/>
      <c r="M4746" s="117"/>
      <c r="N4746" s="33">
        <v>45842</v>
      </c>
      <c r="O4746" s="32">
        <v>7261</v>
      </c>
      <c r="P4746" s="391"/>
      <c r="Q4746" s="322"/>
      <c r="R4746" s="322"/>
      <c r="U4746" s="386"/>
      <c r="V4746" s="260"/>
      <c r="W4746" s="1136"/>
    </row>
    <row r="4747" spans="2:23" s="7" customFormat="1" ht="18" customHeight="1">
      <c r="B4747" s="12" t="s">
        <v>300</v>
      </c>
      <c r="C4747" s="6" t="s">
        <v>5826</v>
      </c>
      <c r="D4747" s="14" t="s">
        <v>3047</v>
      </c>
      <c r="E4747" s="22" t="s">
        <v>5767</v>
      </c>
      <c r="F4747" s="24"/>
      <c r="G4747" s="22" t="s">
        <v>5772</v>
      </c>
      <c r="H4747" s="108"/>
      <c r="I4747" s="109"/>
      <c r="J4747" s="8">
        <v>2</v>
      </c>
      <c r="K4747" s="39">
        <f>ROUNDUP(S4747/0.6/120,2)</f>
        <v>1.24</v>
      </c>
      <c r="L4747" s="39">
        <f>K4747*J4747</f>
        <v>2.48</v>
      </c>
      <c r="M4747" s="117" t="s">
        <v>323</v>
      </c>
      <c r="N4747" s="33">
        <v>45842</v>
      </c>
      <c r="O4747" s="32">
        <v>7261</v>
      </c>
      <c r="P4747" s="391">
        <f>ROUNDUP(S4747/V4747/VLOOKUP(B4747,$C$2:$F$6,3,FALSE),2)</f>
        <v>1.06</v>
      </c>
      <c r="Q4747" s="322">
        <v>1.06</v>
      </c>
      <c r="R4747" s="322">
        <f>Q4747*J4747</f>
        <v>2.12</v>
      </c>
      <c r="S4747" s="7">
        <v>89</v>
      </c>
      <c r="T4747" s="7">
        <f>S4747*J4747</f>
        <v>178</v>
      </c>
      <c r="U4747" s="386"/>
      <c r="V4747" s="260">
        <v>120</v>
      </c>
      <c r="W4747" s="1136">
        <f>(((K4747*V4747)-S4747)/(K4747*V4747))</f>
        <v>0.40188172043010756</v>
      </c>
    </row>
    <row r="4748" spans="2:23" s="191" customFormat="1" ht="18" customHeight="1">
      <c r="B4748" s="190"/>
      <c r="C4748" s="179" t="s">
        <v>5826</v>
      </c>
      <c r="D4748" s="180" t="s">
        <v>3047</v>
      </c>
      <c r="E4748" s="217"/>
      <c r="F4748" s="182"/>
      <c r="G4748" s="182" t="s">
        <v>250</v>
      </c>
      <c r="H4748" s="184" t="s">
        <v>251</v>
      </c>
      <c r="I4748" s="185"/>
      <c r="J4748" s="183"/>
      <c r="K4748" s="192">
        <v>0</v>
      </c>
      <c r="L4748" s="187"/>
      <c r="M4748" s="1310"/>
      <c r="N4748" s="187">
        <v>45842</v>
      </c>
      <c r="O4748" s="186">
        <v>7261</v>
      </c>
      <c r="P4748" s="179"/>
      <c r="Q4748" s="255">
        <v>0</v>
      </c>
      <c r="R4748" s="322">
        <v>0</v>
      </c>
      <c r="S4748" s="275">
        <v>0</v>
      </c>
      <c r="T4748" s="198">
        <v>0</v>
      </c>
      <c r="U4748" s="271"/>
      <c r="V4748" s="260">
        <v>120</v>
      </c>
      <c r="W4748" s="1136" t="e">
        <f>(((K4748*V4748)-S4748)/(K4748*V4748))</f>
        <v>#DIV/0!</v>
      </c>
    </row>
    <row r="4749" spans="2:23" s="7" customFormat="1" ht="18" customHeight="1">
      <c r="B4749" s="12"/>
      <c r="C4749" s="6" t="s">
        <v>5800</v>
      </c>
      <c r="D4749" s="14" t="s">
        <v>5801</v>
      </c>
      <c r="E4749" s="19" t="s">
        <v>2358</v>
      </c>
      <c r="F4749" s="24"/>
      <c r="G4749" s="22"/>
      <c r="H4749" s="60"/>
      <c r="I4749" s="61"/>
      <c r="J4749" s="60"/>
      <c r="K4749" s="16" t="s">
        <v>5</v>
      </c>
      <c r="L4749" s="139"/>
      <c r="M4749" s="33"/>
      <c r="N4749" s="33">
        <v>45840</v>
      </c>
      <c r="O4749" s="32">
        <v>7256</v>
      </c>
      <c r="P4749" s="6" t="s">
        <v>3</v>
      </c>
      <c r="Q4749" s="358"/>
      <c r="S4749" s="1434"/>
      <c r="U4749" s="120"/>
      <c r="V4749" s="260">
        <v>120</v>
      </c>
    </row>
    <row r="4750" spans="2:23" s="7" customFormat="1" ht="18" customHeight="1">
      <c r="B4750" s="12" t="s">
        <v>300</v>
      </c>
      <c r="C4750" s="6" t="s">
        <v>5800</v>
      </c>
      <c r="D4750" s="14" t="s">
        <v>5801</v>
      </c>
      <c r="E4750" s="22" t="s">
        <v>5802</v>
      </c>
      <c r="F4750" s="24"/>
      <c r="G4750" s="22" t="s">
        <v>5318</v>
      </c>
      <c r="H4750" s="108"/>
      <c r="I4750" s="109"/>
      <c r="J4750" s="8">
        <v>30</v>
      </c>
      <c r="K4750" s="39">
        <v>1.85</v>
      </c>
      <c r="L4750" s="39">
        <f>K4750*J4750</f>
        <v>55.5</v>
      </c>
      <c r="M4750" s="117" t="s">
        <v>323</v>
      </c>
      <c r="N4750" s="33">
        <v>45840</v>
      </c>
      <c r="O4750" s="32">
        <v>7256</v>
      </c>
      <c r="P4750" s="391">
        <f>ROUNDUP(S4750/V4750/VLOOKUP(B4750,$C$2:$F$6,3,FALSE),2)</f>
        <v>1.2</v>
      </c>
      <c r="Q4750" s="322">
        <v>1.2</v>
      </c>
      <c r="R4750" s="322">
        <f>Q4750*J4750</f>
        <v>36</v>
      </c>
      <c r="S4750" s="7">
        <v>100</v>
      </c>
      <c r="T4750" s="7">
        <f>S4750*J4750</f>
        <v>3000</v>
      </c>
      <c r="U4750" s="386"/>
      <c r="V4750" s="260">
        <v>120</v>
      </c>
      <c r="W4750" s="1136">
        <f t="shared" ref="W4750:W4755" si="450">(((K4750*V4750)-S4750)/(K4750*V4750))</f>
        <v>0.5495495495495496</v>
      </c>
    </row>
    <row r="4751" spans="2:23" s="7" customFormat="1" ht="18" customHeight="1">
      <c r="B4751" s="12"/>
      <c r="C4751" s="6" t="s">
        <v>5800</v>
      </c>
      <c r="D4751" s="14" t="s">
        <v>5801</v>
      </c>
      <c r="E4751" s="49"/>
      <c r="F4751" s="102"/>
      <c r="G4751" s="22" t="s">
        <v>316</v>
      </c>
      <c r="H4751" s="8"/>
      <c r="I4751" s="35"/>
      <c r="J4751" s="38">
        <v>1</v>
      </c>
      <c r="K4751" s="39">
        <v>12</v>
      </c>
      <c r="L4751" s="39">
        <f>K4751*J4751</f>
        <v>12</v>
      </c>
      <c r="M4751" s="91"/>
      <c r="N4751" s="33">
        <v>45840</v>
      </c>
      <c r="O4751" s="32">
        <v>7256</v>
      </c>
      <c r="P4751" s="6" t="s">
        <v>3</v>
      </c>
      <c r="Q4751" s="39">
        <v>12</v>
      </c>
      <c r="R4751" s="322">
        <f>Q4751*J4751</f>
        <v>12</v>
      </c>
      <c r="S4751" s="7">
        <v>900</v>
      </c>
      <c r="T4751" s="7">
        <f>S4751*J4751</f>
        <v>900</v>
      </c>
      <c r="U4751" s="21"/>
      <c r="V4751" s="260">
        <v>120</v>
      </c>
      <c r="W4751" s="1136">
        <f t="shared" si="450"/>
        <v>0.375</v>
      </c>
    </row>
    <row r="4752" spans="2:23" s="191" customFormat="1" ht="18" customHeight="1">
      <c r="B4752" s="190"/>
      <c r="C4752" s="179" t="s">
        <v>5800</v>
      </c>
      <c r="D4752" s="180" t="s">
        <v>5801</v>
      </c>
      <c r="E4752" s="217"/>
      <c r="F4752" s="182"/>
      <c r="G4752" s="182" t="s">
        <v>250</v>
      </c>
      <c r="H4752" s="184" t="s">
        <v>251</v>
      </c>
      <c r="I4752" s="185"/>
      <c r="J4752" s="183"/>
      <c r="K4752" s="192">
        <v>0</v>
      </c>
      <c r="L4752" s="187"/>
      <c r="M4752" s="1310"/>
      <c r="N4752" s="187">
        <v>45840</v>
      </c>
      <c r="O4752" s="186">
        <v>7256</v>
      </c>
      <c r="P4752" s="179"/>
      <c r="Q4752" s="255">
        <v>0</v>
      </c>
      <c r="R4752" s="322">
        <v>0</v>
      </c>
      <c r="S4752" s="275">
        <v>0</v>
      </c>
      <c r="T4752" s="198">
        <v>0</v>
      </c>
      <c r="U4752" s="271"/>
      <c r="V4752" s="260">
        <v>120</v>
      </c>
      <c r="W4752" s="1136" t="e">
        <f t="shared" si="450"/>
        <v>#DIV/0!</v>
      </c>
    </row>
    <row r="4753" spans="1:51" customFormat="1" ht="18" customHeight="1">
      <c r="A4753" s="1"/>
      <c r="B4753" s="26"/>
      <c r="C4753" s="6" t="s">
        <v>5831</v>
      </c>
      <c r="D4753" s="14" t="s">
        <v>2034</v>
      </c>
      <c r="E4753" s="19" t="s">
        <v>59</v>
      </c>
      <c r="F4753" s="107"/>
      <c r="G4753" s="22"/>
      <c r="H4753" s="108"/>
      <c r="I4753" s="109"/>
      <c r="J4753" s="108"/>
      <c r="K4753" s="110" t="s">
        <v>5</v>
      </c>
      <c r="L4753" s="33"/>
      <c r="M4753" s="33"/>
      <c r="N4753" s="1398">
        <v>45845</v>
      </c>
      <c r="O4753" s="32">
        <v>7262</v>
      </c>
      <c r="P4753" s="14"/>
      <c r="Q4753" s="254"/>
      <c r="R4753" s="1"/>
      <c r="S4753" s="261"/>
      <c r="T4753" s="92"/>
      <c r="U4753" s="264"/>
      <c r="V4753" s="260">
        <v>120</v>
      </c>
      <c r="W4753" s="1136" t="e">
        <f t="shared" si="450"/>
        <v>#VALUE!</v>
      </c>
      <c r="X4753" s="1"/>
      <c r="Y4753" s="1"/>
      <c r="Z4753" s="1"/>
      <c r="AA4753" s="1"/>
      <c r="AB4753" s="1"/>
      <c r="AC4753" s="1"/>
      <c r="AD4753" s="1"/>
      <c r="AE4753" s="1"/>
      <c r="AF4753" s="1"/>
      <c r="AG4753" s="1"/>
      <c r="AH4753" s="1"/>
      <c r="AI4753" s="1"/>
      <c r="AJ4753" s="1"/>
      <c r="AK4753" s="1"/>
      <c r="AL4753" s="1"/>
      <c r="AM4753" s="1"/>
      <c r="AN4753" s="1"/>
      <c r="AO4753" s="1"/>
      <c r="AP4753" s="1"/>
      <c r="AQ4753" s="1"/>
      <c r="AR4753" s="1"/>
      <c r="AS4753" s="1"/>
      <c r="AT4753" s="1"/>
      <c r="AU4753" s="1"/>
      <c r="AV4753" s="1"/>
      <c r="AW4753" s="1"/>
      <c r="AX4753" s="1"/>
      <c r="AY4753" s="1"/>
    </row>
    <row r="4754" spans="1:51" customFormat="1" ht="18" customHeight="1">
      <c r="B4754" s="12" t="s">
        <v>302</v>
      </c>
      <c r="C4754" s="6" t="s">
        <v>5831</v>
      </c>
      <c r="D4754" s="14" t="s">
        <v>2034</v>
      </c>
      <c r="E4754" s="22" t="s">
        <v>5832</v>
      </c>
      <c r="F4754" s="107">
        <v>150</v>
      </c>
      <c r="G4754" s="22" t="s">
        <v>353</v>
      </c>
      <c r="H4754" s="108">
        <v>50</v>
      </c>
      <c r="I4754" s="109">
        <v>1</v>
      </c>
      <c r="J4754" s="8">
        <f>H4754*I4754</f>
        <v>50</v>
      </c>
      <c r="K4754" s="39">
        <v>9.8000000000000007</v>
      </c>
      <c r="L4754" s="39">
        <f>K4754*J4754</f>
        <v>490.00000000000006</v>
      </c>
      <c r="M4754" s="117" t="s">
        <v>323</v>
      </c>
      <c r="N4754" s="1398">
        <v>45845</v>
      </c>
      <c r="O4754" s="32">
        <v>7262</v>
      </c>
      <c r="P4754" s="391">
        <f>ROUNDUP(S4754/V4754/VLOOKUP(B4754,$C$2:$F$6,3,FALSE),2)</f>
        <v>8.6199999999999992</v>
      </c>
      <c r="Q4754" s="254">
        <v>8.6199999999999992</v>
      </c>
      <c r="R4754" s="323">
        <f>Q4754*J4754</f>
        <v>430.99999999999994</v>
      </c>
      <c r="S4754" s="257">
        <v>910</v>
      </c>
      <c r="T4754" s="287">
        <f>S4754*J4754</f>
        <v>45500</v>
      </c>
      <c r="U4754" s="264"/>
      <c r="V4754" s="260">
        <v>120</v>
      </c>
      <c r="W4754" s="1136">
        <f t="shared" si="450"/>
        <v>0.22619047619047619</v>
      </c>
      <c r="X4754" s="1"/>
      <c r="Y4754" s="1"/>
      <c r="Z4754" s="1"/>
      <c r="AA4754" s="1"/>
      <c r="AB4754" s="1"/>
      <c r="AC4754" s="1"/>
      <c r="AD4754" s="1"/>
      <c r="AE4754" s="1"/>
      <c r="AF4754" s="1"/>
      <c r="AG4754" s="1"/>
      <c r="AH4754" s="1"/>
      <c r="AI4754" s="1"/>
      <c r="AJ4754" s="1"/>
      <c r="AK4754" s="1"/>
      <c r="AL4754" s="1"/>
      <c r="AM4754" s="1"/>
      <c r="AN4754" s="1"/>
      <c r="AO4754" s="1"/>
      <c r="AP4754" s="1"/>
      <c r="AQ4754" s="1"/>
      <c r="AR4754" s="1"/>
      <c r="AS4754" s="1"/>
      <c r="AT4754" s="1"/>
      <c r="AU4754" s="1"/>
      <c r="AV4754" s="1"/>
      <c r="AW4754" s="1"/>
      <c r="AX4754" s="1"/>
      <c r="AY4754" s="1"/>
    </row>
    <row r="4755" spans="1:51" s="7" customFormat="1" ht="15">
      <c r="B4755" s="12"/>
      <c r="C4755" s="6" t="s">
        <v>5831</v>
      </c>
      <c r="D4755" s="14" t="s">
        <v>2034</v>
      </c>
      <c r="E4755" s="49"/>
      <c r="F4755" s="102"/>
      <c r="G4755" s="22" t="s">
        <v>316</v>
      </c>
      <c r="H4755" s="38"/>
      <c r="I4755" s="35"/>
      <c r="J4755" s="38">
        <v>1</v>
      </c>
      <c r="K4755" s="39">
        <v>20</v>
      </c>
      <c r="L4755" s="39">
        <f>K4755*J4755</f>
        <v>20</v>
      </c>
      <c r="M4755" s="91"/>
      <c r="N4755" s="1398">
        <v>45845</v>
      </c>
      <c r="O4755" s="32">
        <v>7262</v>
      </c>
      <c r="P4755" s="722"/>
      <c r="Q4755" s="322">
        <v>20</v>
      </c>
      <c r="R4755" s="322">
        <f>Q4755*J4755</f>
        <v>20</v>
      </c>
      <c r="S4755" s="7">
        <v>2500</v>
      </c>
      <c r="T4755" s="7">
        <f>S4755*J4755</f>
        <v>2500</v>
      </c>
      <c r="U4755" s="21"/>
      <c r="V4755" s="260">
        <v>120</v>
      </c>
      <c r="W4755" s="1136">
        <f t="shared" si="450"/>
        <v>-4.1666666666666664E-2</v>
      </c>
    </row>
    <row r="4756" spans="1:51" s="191" customFormat="1" ht="15">
      <c r="B4756" s="190"/>
      <c r="C4756" s="179" t="s">
        <v>5831</v>
      </c>
      <c r="D4756" s="180" t="s">
        <v>2034</v>
      </c>
      <c r="E4756" s="181"/>
      <c r="F4756" s="182"/>
      <c r="G4756" s="182" t="s">
        <v>2738</v>
      </c>
      <c r="H4756" s="184" t="s">
        <v>374</v>
      </c>
      <c r="I4756" s="185"/>
      <c r="J4756" s="183"/>
      <c r="K4756" s="203">
        <v>119</v>
      </c>
      <c r="L4756" s="203">
        <v>119</v>
      </c>
      <c r="M4756" s="187"/>
      <c r="N4756" s="1399">
        <v>45845</v>
      </c>
      <c r="O4756" s="186">
        <v>7262</v>
      </c>
      <c r="P4756" s="179"/>
      <c r="Q4756" s="203">
        <v>119</v>
      </c>
      <c r="R4756" s="203">
        <v>119</v>
      </c>
      <c r="S4756" s="1201">
        <v>10910</v>
      </c>
      <c r="T4756" s="1201">
        <v>10910</v>
      </c>
      <c r="U4756" s="271"/>
      <c r="V4756" s="260">
        <v>120</v>
      </c>
      <c r="W4756" s="1136">
        <f>(((K4756*V4756)-S4756)/(K4756*V4756))</f>
        <v>0.23599439775910364</v>
      </c>
    </row>
    <row r="4757" spans="1:51" customFormat="1" ht="18" customHeight="1">
      <c r="A4757" s="1"/>
      <c r="B4757" s="26"/>
      <c r="C4757" s="6" t="s">
        <v>5835</v>
      </c>
      <c r="D4757" s="14" t="s">
        <v>3067</v>
      </c>
      <c r="E4757" s="19" t="s">
        <v>59</v>
      </c>
      <c r="F4757" s="107"/>
      <c r="G4757" s="22"/>
      <c r="H4757" s="108"/>
      <c r="I4757" s="109"/>
      <c r="J4757" s="108"/>
      <c r="K4757" s="110" t="s">
        <v>5</v>
      </c>
      <c r="L4757" s="33"/>
      <c r="M4757" s="33"/>
      <c r="N4757" s="1398">
        <v>45852</v>
      </c>
      <c r="O4757" s="32">
        <v>7280</v>
      </c>
      <c r="P4757" s="14"/>
      <c r="Q4757" s="254"/>
      <c r="R4757" s="1"/>
      <c r="S4757" s="261"/>
      <c r="T4757" s="92"/>
      <c r="U4757" s="264"/>
      <c r="V4757" s="260">
        <v>120</v>
      </c>
      <c r="W4757" s="1136" t="e">
        <f>(((K4757*V4757)-S4757)/(K4757*V4757))</f>
        <v>#VALUE!</v>
      </c>
      <c r="X4757" s="1"/>
      <c r="Y4757" s="1"/>
      <c r="Z4757" s="1"/>
      <c r="AA4757" s="1"/>
      <c r="AB4757" s="1"/>
      <c r="AC4757" s="1"/>
      <c r="AD4757" s="1"/>
      <c r="AE4757" s="1"/>
      <c r="AF4757" s="1"/>
      <c r="AG4757" s="1"/>
      <c r="AH4757" s="1"/>
      <c r="AI4757" s="1"/>
      <c r="AJ4757" s="1"/>
      <c r="AK4757" s="1"/>
      <c r="AL4757" s="1"/>
      <c r="AM4757" s="1"/>
      <c r="AN4757" s="1"/>
      <c r="AO4757" s="1"/>
      <c r="AP4757" s="1"/>
      <c r="AQ4757" s="1"/>
      <c r="AR4757" s="1"/>
      <c r="AS4757" s="1"/>
      <c r="AT4757" s="1"/>
      <c r="AU4757" s="1"/>
      <c r="AV4757" s="1"/>
      <c r="AW4757" s="1"/>
      <c r="AX4757" s="1"/>
      <c r="AY4757" s="1"/>
    </row>
    <row r="4758" spans="1:51" customFormat="1" ht="18" customHeight="1">
      <c r="B4758" s="12" t="s">
        <v>302</v>
      </c>
      <c r="C4758" s="6" t="s">
        <v>5835</v>
      </c>
      <c r="D4758" s="14" t="s">
        <v>3067</v>
      </c>
      <c r="E4758" s="22" t="s">
        <v>5747</v>
      </c>
      <c r="F4758" s="107">
        <v>152</v>
      </c>
      <c r="G4758" s="22" t="s">
        <v>5249</v>
      </c>
      <c r="H4758" s="108">
        <v>58</v>
      </c>
      <c r="I4758" s="109">
        <v>6</v>
      </c>
      <c r="J4758" s="8">
        <f>H4758*I4758</f>
        <v>348</v>
      </c>
      <c r="K4758" s="39">
        <v>3.88</v>
      </c>
      <c r="L4758" s="39">
        <f>K4758*J4758</f>
        <v>1350.24</v>
      </c>
      <c r="M4758" s="117" t="s">
        <v>323</v>
      </c>
      <c r="N4758" s="1398">
        <v>45852</v>
      </c>
      <c r="O4758" s="32">
        <v>7280</v>
      </c>
      <c r="P4758" s="391">
        <f>ROUNDUP(S4758/V4758/VLOOKUP(B4758,$C$2:$F$6,3,FALSE),2)</f>
        <v>2.94</v>
      </c>
      <c r="Q4758" s="254">
        <v>2.94</v>
      </c>
      <c r="R4758" s="323">
        <f>Q4758*J4758</f>
        <v>1023.12</v>
      </c>
      <c r="S4758" s="257">
        <v>310</v>
      </c>
      <c r="T4758" s="287">
        <f>S4758*J4758</f>
        <v>107880</v>
      </c>
      <c r="U4758" s="264"/>
      <c r="V4758" s="260">
        <v>120</v>
      </c>
      <c r="W4758" s="1136">
        <f>(((K4758*V4758)-S4758)/(K4758*V4758))</f>
        <v>0.33419243986254293</v>
      </c>
      <c r="X4758" s="1"/>
      <c r="Y4758" s="1"/>
      <c r="Z4758" s="1"/>
      <c r="AA4758" s="1"/>
      <c r="AB4758" s="1"/>
      <c r="AC4758" s="1"/>
      <c r="AD4758" s="1"/>
      <c r="AE4758" s="1"/>
      <c r="AF4758" s="1"/>
      <c r="AG4758" s="1"/>
      <c r="AH4758" s="1"/>
      <c r="AI4758" s="1"/>
      <c r="AJ4758" s="1"/>
      <c r="AK4758" s="1"/>
      <c r="AL4758" s="1"/>
      <c r="AM4758" s="1"/>
      <c r="AN4758" s="1"/>
      <c r="AO4758" s="1"/>
      <c r="AP4758" s="1"/>
      <c r="AQ4758" s="1"/>
      <c r="AR4758" s="1"/>
      <c r="AS4758" s="1"/>
      <c r="AT4758" s="1"/>
      <c r="AU4758" s="1"/>
      <c r="AV4758" s="1"/>
      <c r="AW4758" s="1"/>
      <c r="AX4758" s="1"/>
      <c r="AY4758" s="1"/>
    </row>
    <row r="4759" spans="1:51" s="7" customFormat="1" ht="15">
      <c r="B4759" s="12"/>
      <c r="C4759" s="6" t="s">
        <v>5835</v>
      </c>
      <c r="D4759" s="14" t="s">
        <v>3067</v>
      </c>
      <c r="E4759" s="49"/>
      <c r="F4759" s="102"/>
      <c r="G4759" s="22" t="s">
        <v>316</v>
      </c>
      <c r="H4759" s="38"/>
      <c r="I4759" s="35"/>
      <c r="J4759" s="38">
        <v>1</v>
      </c>
      <c r="K4759" s="39">
        <v>20</v>
      </c>
      <c r="L4759" s="39">
        <f>K4759*J4759</f>
        <v>20</v>
      </c>
      <c r="M4759" s="91"/>
      <c r="N4759" s="1398">
        <v>45852</v>
      </c>
      <c r="O4759" s="32">
        <v>7280</v>
      </c>
      <c r="P4759" s="722"/>
      <c r="Q4759" s="322">
        <v>20</v>
      </c>
      <c r="R4759" s="322">
        <f>Q4759*J4759</f>
        <v>20</v>
      </c>
      <c r="S4759" s="7">
        <v>2500</v>
      </c>
      <c r="T4759" s="7">
        <f>S4759*J4759</f>
        <v>2500</v>
      </c>
      <c r="U4759" s="21"/>
      <c r="V4759" s="260">
        <v>120</v>
      </c>
      <c r="W4759" s="1136">
        <f>(((K4759*V4759)-S4759)/(K4759*V4759))</f>
        <v>-4.1666666666666664E-2</v>
      </c>
    </row>
    <row r="4760" spans="1:51" s="191" customFormat="1" ht="15.75">
      <c r="B4760" s="190"/>
      <c r="C4760" s="179" t="s">
        <v>5835</v>
      </c>
      <c r="D4760" s="180" t="s">
        <v>3067</v>
      </c>
      <c r="E4760" s="181"/>
      <c r="F4760" s="182"/>
      <c r="G4760" s="182" t="s">
        <v>2738</v>
      </c>
      <c r="H4760" s="184" t="s">
        <v>251</v>
      </c>
      <c r="I4760" s="185"/>
      <c r="J4760" s="183"/>
      <c r="K4760" s="192">
        <v>0</v>
      </c>
      <c r="L4760" s="187"/>
      <c r="M4760" s="1310"/>
      <c r="N4760" s="1399">
        <v>45852</v>
      </c>
      <c r="O4760" s="186">
        <v>7280</v>
      </c>
      <c r="P4760" s="179"/>
      <c r="Q4760" s="255">
        <v>0</v>
      </c>
      <c r="R4760" s="322">
        <v>0</v>
      </c>
      <c r="S4760" s="275">
        <v>0</v>
      </c>
      <c r="T4760" s="198">
        <v>0</v>
      </c>
      <c r="U4760" s="271"/>
      <c r="V4760" s="260">
        <v>120</v>
      </c>
      <c r="W4760" s="1136" t="e">
        <f>(((K4760*V4760)-S4760)/(K4760*V4760))</f>
        <v>#DIV/0!</v>
      </c>
    </row>
    <row r="4761" spans="1:51" customFormat="1" ht="18" customHeight="1">
      <c r="A4761" s="1"/>
      <c r="B4761" s="26"/>
      <c r="C4761" s="6" t="s">
        <v>5836</v>
      </c>
      <c r="D4761" s="14" t="s">
        <v>4840</v>
      </c>
      <c r="E4761" s="19" t="s">
        <v>4847</v>
      </c>
      <c r="F4761" s="107"/>
      <c r="G4761" s="22"/>
      <c r="H4761" s="108"/>
      <c r="I4761" s="109"/>
      <c r="J4761" s="108"/>
      <c r="K4761" s="110" t="s">
        <v>5</v>
      </c>
      <c r="L4761" s="33"/>
      <c r="M4761" s="33"/>
      <c r="N4761" s="33">
        <v>45853</v>
      </c>
      <c r="O4761" s="32">
        <v>7284</v>
      </c>
      <c r="P4761" s="14"/>
      <c r="Q4761" s="254"/>
      <c r="R4761" s="1"/>
      <c r="S4761" s="261"/>
      <c r="T4761" s="92"/>
      <c r="U4761" s="264"/>
      <c r="V4761" s="260">
        <v>120</v>
      </c>
    </row>
    <row r="4762" spans="1:51" customFormat="1" ht="18" customHeight="1">
      <c r="B4762" s="12" t="s">
        <v>302</v>
      </c>
      <c r="C4762" s="6" t="s">
        <v>5836</v>
      </c>
      <c r="D4762" s="14" t="s">
        <v>4840</v>
      </c>
      <c r="E4762" s="19" t="s">
        <v>4841</v>
      </c>
      <c r="F4762" s="107" t="s">
        <v>3340</v>
      </c>
      <c r="G4762" s="22" t="s">
        <v>4842</v>
      </c>
      <c r="H4762" s="18">
        <v>61.3</v>
      </c>
      <c r="I4762" s="61">
        <v>1</v>
      </c>
      <c r="J4762" s="18">
        <f>H4762*I4762</f>
        <v>61.3</v>
      </c>
      <c r="K4762" s="39">
        <v>17.75</v>
      </c>
      <c r="L4762" s="39">
        <f>K4762*J4762</f>
        <v>1088.075</v>
      </c>
      <c r="M4762" s="117" t="s">
        <v>323</v>
      </c>
      <c r="N4762" s="1398">
        <v>45853</v>
      </c>
      <c r="O4762" s="32">
        <v>7284</v>
      </c>
      <c r="P4762" s="391">
        <f>ROUNDUP(S4762/V4762/VLOOKUP(B4762,$C$2:$F$6,3,FALSE),2)</f>
        <v>13.45</v>
      </c>
      <c r="Q4762" s="254">
        <v>13.45</v>
      </c>
      <c r="R4762" s="323">
        <f>Q4762*J4762</f>
        <v>824.4849999999999</v>
      </c>
      <c r="S4762" s="273">
        <v>1420</v>
      </c>
      <c r="T4762" s="287">
        <f>S4762*J4762</f>
        <v>87046</v>
      </c>
      <c r="U4762" s="264"/>
      <c r="V4762" s="260">
        <v>120</v>
      </c>
      <c r="W4762" s="1136">
        <f>(((K4762*V4762)-S4762)/(K4762*V4762))</f>
        <v>0.33333333333333331</v>
      </c>
    </row>
    <row r="4763" spans="1:51" s="7" customFormat="1" ht="18" customHeight="1">
      <c r="B4763" s="12"/>
      <c r="C4763" s="6" t="s">
        <v>5836</v>
      </c>
      <c r="D4763" s="14" t="s">
        <v>4840</v>
      </c>
      <c r="E4763" s="82"/>
      <c r="F4763" s="102"/>
      <c r="G4763" s="22" t="s">
        <v>316</v>
      </c>
      <c r="H4763" s="8"/>
      <c r="I4763" s="35"/>
      <c r="J4763" s="38">
        <v>1</v>
      </c>
      <c r="K4763" s="39">
        <v>20</v>
      </c>
      <c r="L4763" s="39">
        <f>K4763*J4763</f>
        <v>20</v>
      </c>
      <c r="M4763" s="91"/>
      <c r="N4763" s="33">
        <v>45853</v>
      </c>
      <c r="O4763" s="32">
        <v>7284</v>
      </c>
      <c r="P4763" s="6"/>
      <c r="Q4763" s="322">
        <v>20</v>
      </c>
      <c r="R4763" s="322">
        <f>Q4763*J4763</f>
        <v>20</v>
      </c>
      <c r="S4763" s="7">
        <v>0</v>
      </c>
      <c r="T4763" s="7">
        <f>S4763*J4763</f>
        <v>0</v>
      </c>
      <c r="U4763" s="21"/>
      <c r="V4763" s="260">
        <v>120</v>
      </c>
      <c r="W4763" s="1136">
        <f>(((K4763*V4763)-S4763)/(K4763*V4763))</f>
        <v>1</v>
      </c>
    </row>
    <row r="4764" spans="1:51" s="191" customFormat="1" ht="15.75">
      <c r="B4764" s="190"/>
      <c r="C4764" s="179" t="s">
        <v>5836</v>
      </c>
      <c r="D4764" s="180" t="s">
        <v>4840</v>
      </c>
      <c r="E4764" s="181"/>
      <c r="F4764" s="182"/>
      <c r="G4764" s="309" t="s">
        <v>324</v>
      </c>
      <c r="H4764" s="184" t="s">
        <v>374</v>
      </c>
      <c r="I4764" s="185"/>
      <c r="J4764" s="183"/>
      <c r="K4764" s="1535">
        <v>387</v>
      </c>
      <c r="L4764" s="1535">
        <v>387</v>
      </c>
      <c r="M4764" s="187"/>
      <c r="N4764" s="187">
        <v>45853</v>
      </c>
      <c r="O4764" s="186">
        <v>7284</v>
      </c>
      <c r="P4764" s="179"/>
      <c r="Q4764" s="1535">
        <v>387</v>
      </c>
      <c r="R4764" s="1535">
        <v>387</v>
      </c>
      <c r="S4764" s="809">
        <v>33169</v>
      </c>
      <c r="T4764" s="809">
        <v>33169</v>
      </c>
      <c r="U4764" s="271"/>
      <c r="V4764" s="260">
        <v>120</v>
      </c>
      <c r="W4764" s="1136">
        <f t="shared" ref="W4764:W4771" si="451">(((K4764*V4764)-S4764)/(K4764*V4764))</f>
        <v>0.28576658053402237</v>
      </c>
    </row>
    <row r="4765" spans="1:51" s="7" customFormat="1" ht="15">
      <c r="B4765" s="12"/>
      <c r="C4765" s="965" t="s">
        <v>5837</v>
      </c>
      <c r="D4765" s="14" t="s">
        <v>3150</v>
      </c>
      <c r="E4765" s="19" t="s">
        <v>2244</v>
      </c>
      <c r="F4765" s="24"/>
      <c r="G4765" s="22"/>
      <c r="H4765" s="60"/>
      <c r="I4765" s="61"/>
      <c r="J4765" s="8"/>
      <c r="K4765" s="110" t="s">
        <v>5</v>
      </c>
      <c r="L4765" s="139"/>
      <c r="M4765" s="33"/>
      <c r="N4765" s="33">
        <v>45856</v>
      </c>
      <c r="O4765" s="32">
        <v>7193</v>
      </c>
      <c r="P4765" s="6" t="s">
        <v>8</v>
      </c>
      <c r="Q4765" s="358"/>
      <c r="U4765" s="120"/>
      <c r="V4765" s="260">
        <v>120</v>
      </c>
      <c r="W4765" s="1136" t="e">
        <f t="shared" si="451"/>
        <v>#VALUE!</v>
      </c>
    </row>
    <row r="4766" spans="1:51" s="7" customFormat="1" ht="18" customHeight="1">
      <c r="B4766" s="12" t="s">
        <v>300</v>
      </c>
      <c r="C4766" s="965" t="s">
        <v>5837</v>
      </c>
      <c r="D4766" s="14" t="s">
        <v>3150</v>
      </c>
      <c r="E4766" s="374">
        <v>11700</v>
      </c>
      <c r="F4766" s="37">
        <v>24</v>
      </c>
      <c r="G4766" s="22" t="s">
        <v>5838</v>
      </c>
      <c r="H4766" s="8">
        <v>10</v>
      </c>
      <c r="I4766" s="35">
        <v>4</v>
      </c>
      <c r="J4766" s="108">
        <f>H4766*I4766</f>
        <v>40</v>
      </c>
      <c r="K4766" s="958">
        <v>2.84</v>
      </c>
      <c r="L4766" s="39">
        <f>K4766*J4766</f>
        <v>113.6</v>
      </c>
      <c r="M4766" s="117" t="s">
        <v>349</v>
      </c>
      <c r="N4766" s="1398">
        <v>45856</v>
      </c>
      <c r="O4766" s="32">
        <v>7193</v>
      </c>
      <c r="P4766" s="391">
        <f>ROUNDUP(S4766/V4766/VLOOKUP(B4766,$C$2:$F$6,3,FALSE),2)</f>
        <v>2.0099999999999998</v>
      </c>
      <c r="Q4766" s="322">
        <v>2.0099999999999998</v>
      </c>
      <c r="R4766" s="322">
        <f>Q4766*J4766</f>
        <v>80.399999999999991</v>
      </c>
      <c r="S4766" s="7">
        <v>168.6</v>
      </c>
      <c r="T4766" s="7">
        <f>S4766*J4766</f>
        <v>6744</v>
      </c>
      <c r="U4766" s="39"/>
      <c r="V4766" s="260">
        <v>120</v>
      </c>
      <c r="W4766" s="1136">
        <f t="shared" si="451"/>
        <v>0.50528169014084501</v>
      </c>
    </row>
    <row r="4767" spans="1:51" s="7" customFormat="1" ht="18" customHeight="1">
      <c r="B4767" s="12" t="s">
        <v>300</v>
      </c>
      <c r="C4767" s="965" t="s">
        <v>5837</v>
      </c>
      <c r="D4767" s="14" t="s">
        <v>3150</v>
      </c>
      <c r="E4767" s="374">
        <v>11700</v>
      </c>
      <c r="F4767" s="37">
        <v>36</v>
      </c>
      <c r="G4767" s="22" t="s">
        <v>5838</v>
      </c>
      <c r="H4767" s="8">
        <v>10</v>
      </c>
      <c r="I4767" s="35">
        <v>1</v>
      </c>
      <c r="J4767" s="108">
        <f>H4767*I4767</f>
        <v>10</v>
      </c>
      <c r="K4767" s="958">
        <v>4.72</v>
      </c>
      <c r="L4767" s="39">
        <f>K4767*J4767</f>
        <v>47.199999999999996</v>
      </c>
      <c r="M4767" s="117" t="s">
        <v>349</v>
      </c>
      <c r="N4767" s="1398">
        <v>45856</v>
      </c>
      <c r="O4767" s="32">
        <v>7193</v>
      </c>
      <c r="P4767" s="391">
        <f>ROUNDUP(S4767/V4767/VLOOKUP(B4767,$C$2:$F$6,3,FALSE),2)</f>
        <v>3.3499999999999996</v>
      </c>
      <c r="Q4767" s="322">
        <v>3.35</v>
      </c>
      <c r="R4767" s="322">
        <f>Q4767*J4767</f>
        <v>33.5</v>
      </c>
      <c r="S4767" s="7">
        <v>280.60000000000002</v>
      </c>
      <c r="T4767" s="7">
        <f>S4767*J4767</f>
        <v>2806</v>
      </c>
      <c r="U4767" s="39"/>
      <c r="V4767" s="260">
        <v>120</v>
      </c>
      <c r="W4767" s="1136">
        <f>(((K4767*V4767)-S4767)/(K4767*V4767))</f>
        <v>0.50459039548022588</v>
      </c>
    </row>
    <row r="4768" spans="1:51" s="7" customFormat="1" ht="18" customHeight="1">
      <c r="B4768" s="12" t="s">
        <v>300</v>
      </c>
      <c r="C4768" s="965" t="s">
        <v>5837</v>
      </c>
      <c r="D4768" s="14" t="s">
        <v>3150</v>
      </c>
      <c r="E4768" s="374">
        <v>11700</v>
      </c>
      <c r="F4768" s="37">
        <v>24</v>
      </c>
      <c r="G4768" s="22" t="s">
        <v>5839</v>
      </c>
      <c r="H4768" s="8">
        <v>10</v>
      </c>
      <c r="I4768" s="35">
        <v>4</v>
      </c>
      <c r="J4768" s="108">
        <f>H4768*I4768</f>
        <v>40</v>
      </c>
      <c r="K4768" s="958">
        <v>2.84</v>
      </c>
      <c r="L4768" s="39">
        <f>K4768*J4768</f>
        <v>113.6</v>
      </c>
      <c r="M4768" s="117" t="s">
        <v>349</v>
      </c>
      <c r="N4768" s="1398">
        <v>45856</v>
      </c>
      <c r="O4768" s="32">
        <v>7193</v>
      </c>
      <c r="P4768" s="391">
        <f>ROUNDUP(S4768/V4768/VLOOKUP(B4768,$C$2:$F$6,3,FALSE),2)</f>
        <v>2.0099999999999998</v>
      </c>
      <c r="Q4768" s="322">
        <v>2.0099999999999998</v>
      </c>
      <c r="R4768" s="322">
        <f>Q4768*J4768</f>
        <v>80.399999999999991</v>
      </c>
      <c r="S4768" s="7">
        <v>168.6</v>
      </c>
      <c r="T4768" s="7">
        <f>S4768*J4768</f>
        <v>6744</v>
      </c>
      <c r="U4768" s="39"/>
      <c r="V4768" s="260">
        <v>120</v>
      </c>
      <c r="W4768" s="1136">
        <f>(((K4768*V4768)-S4768)/(K4768*V4768))</f>
        <v>0.50528169014084501</v>
      </c>
    </row>
    <row r="4769" spans="1:23" s="7" customFormat="1" ht="18" customHeight="1">
      <c r="B4769" s="12" t="s">
        <v>300</v>
      </c>
      <c r="C4769" s="965" t="s">
        <v>5837</v>
      </c>
      <c r="D4769" s="14" t="s">
        <v>3150</v>
      </c>
      <c r="E4769" s="374">
        <v>11700</v>
      </c>
      <c r="F4769" s="37">
        <v>36</v>
      </c>
      <c r="G4769" s="22" t="s">
        <v>5839</v>
      </c>
      <c r="H4769" s="8">
        <v>10</v>
      </c>
      <c r="I4769" s="35">
        <v>2</v>
      </c>
      <c r="J4769" s="108">
        <f>H4769*I4769</f>
        <v>20</v>
      </c>
      <c r="K4769" s="958">
        <v>4.72</v>
      </c>
      <c r="L4769" s="39">
        <f>K4769*J4769</f>
        <v>94.399999999999991</v>
      </c>
      <c r="M4769" s="117" t="s">
        <v>349</v>
      </c>
      <c r="N4769" s="1398">
        <v>45856</v>
      </c>
      <c r="O4769" s="32">
        <v>7193</v>
      </c>
      <c r="P4769" s="391">
        <f>ROUNDUP(S4769/V4769/VLOOKUP(B4769,$C$2:$F$6,3,FALSE),2)</f>
        <v>3.3499999999999996</v>
      </c>
      <c r="Q4769" s="322">
        <v>3.35</v>
      </c>
      <c r="R4769" s="322">
        <f>Q4769*J4769</f>
        <v>67</v>
      </c>
      <c r="S4769" s="7">
        <v>280.60000000000002</v>
      </c>
      <c r="T4769" s="7">
        <f>S4769*J4769</f>
        <v>5612</v>
      </c>
      <c r="U4769" s="39"/>
      <c r="V4769" s="260">
        <v>120</v>
      </c>
      <c r="W4769" s="1136">
        <f>(((K4769*V4769)-S4769)/(K4769*V4769))</f>
        <v>0.50459039548022588</v>
      </c>
    </row>
    <row r="4770" spans="1:23" customFormat="1" ht="15.95" customHeight="1">
      <c r="A4770" s="1"/>
      <c r="B4770" s="12" t="s">
        <v>306</v>
      </c>
      <c r="C4770" s="965" t="s">
        <v>5837</v>
      </c>
      <c r="D4770" s="14" t="s">
        <v>3150</v>
      </c>
      <c r="E4770" s="22"/>
      <c r="F4770" s="102"/>
      <c r="G4770" s="37" t="s">
        <v>316</v>
      </c>
      <c r="H4770" s="8"/>
      <c r="I4770" s="35"/>
      <c r="J4770" s="38">
        <v>1</v>
      </c>
      <c r="K4770" s="39">
        <v>12</v>
      </c>
      <c r="L4770" s="39">
        <f>K4770*J4770</f>
        <v>12</v>
      </c>
      <c r="M4770" s="91"/>
      <c r="N4770" s="1398">
        <v>45856</v>
      </c>
      <c r="O4770" s="32">
        <v>7193</v>
      </c>
      <c r="P4770" s="39"/>
      <c r="Q4770" s="358">
        <v>12</v>
      </c>
      <c r="R4770" s="323">
        <v>12</v>
      </c>
      <c r="S4770" s="7">
        <v>0</v>
      </c>
      <c r="T4770" s="7">
        <v>0</v>
      </c>
      <c r="U4770" s="270"/>
      <c r="V4770" s="260">
        <v>120</v>
      </c>
      <c r="W4770" s="1136">
        <f t="shared" si="451"/>
        <v>1</v>
      </c>
    </row>
    <row r="4771" spans="1:23" s="191" customFormat="1" ht="15.75">
      <c r="B4771" s="190"/>
      <c r="C4771" s="966" t="s">
        <v>5837</v>
      </c>
      <c r="D4771" s="180" t="s">
        <v>3150</v>
      </c>
      <c r="E4771" s="181"/>
      <c r="F4771" s="182"/>
      <c r="G4771" s="182" t="s">
        <v>250</v>
      </c>
      <c r="H4771" s="184" t="s">
        <v>251</v>
      </c>
      <c r="I4771" s="185"/>
      <c r="J4771" s="183"/>
      <c r="K4771" s="192">
        <v>0</v>
      </c>
      <c r="L4771" s="187"/>
      <c r="M4771" s="1310"/>
      <c r="N4771" s="1399">
        <v>45856</v>
      </c>
      <c r="O4771" s="186">
        <v>7193</v>
      </c>
      <c r="P4771" s="179"/>
      <c r="Q4771" s="255">
        <v>0</v>
      </c>
      <c r="R4771" s="322">
        <v>0</v>
      </c>
      <c r="S4771" s="275">
        <v>0</v>
      </c>
      <c r="T4771" s="198">
        <v>0</v>
      </c>
      <c r="U4771" s="271"/>
      <c r="V4771" s="260">
        <v>120</v>
      </c>
      <c r="W4771" s="1136" t="e">
        <f t="shared" si="451"/>
        <v>#DIV/0!</v>
      </c>
    </row>
    <row r="4772" spans="1:23" s="7" customFormat="1" ht="15">
      <c r="B4772" s="12"/>
      <c r="C4772" s="965" t="s">
        <v>5843</v>
      </c>
      <c r="D4772" s="14" t="s">
        <v>2162</v>
      </c>
      <c r="E4772" s="19" t="s">
        <v>200</v>
      </c>
      <c r="F4772" s="37"/>
      <c r="G4772" s="37"/>
      <c r="H4772" s="108"/>
      <c r="I4772" s="108"/>
      <c r="J4772" s="108"/>
      <c r="K4772" s="29" t="s">
        <v>5</v>
      </c>
      <c r="L4772" s="139"/>
      <c r="M4772" s="33"/>
      <c r="N4772" s="33">
        <v>45863</v>
      </c>
      <c r="O4772" s="32">
        <v>7313</v>
      </c>
      <c r="P4772" s="6"/>
      <c r="Q4772" s="339"/>
      <c r="U4772" s="120"/>
      <c r="V4772" s="260">
        <v>120</v>
      </c>
      <c r="W4772" s="1136" t="e">
        <f>(((K4772*V4772)-S4772)/(K4772*V4772))</f>
        <v>#VALUE!</v>
      </c>
    </row>
    <row r="4773" spans="1:23" s="7" customFormat="1" ht="18" customHeight="1">
      <c r="B4773" s="12" t="s">
        <v>300</v>
      </c>
      <c r="C4773" s="965" t="s">
        <v>5843</v>
      </c>
      <c r="D4773" s="14" t="s">
        <v>2162</v>
      </c>
      <c r="E4773" s="22" t="s">
        <v>2950</v>
      </c>
      <c r="F4773" s="37"/>
      <c r="G4773" s="839" t="s">
        <v>4795</v>
      </c>
      <c r="H4773" s="108">
        <v>30</v>
      </c>
      <c r="I4773" s="109">
        <v>2</v>
      </c>
      <c r="J4773" s="8">
        <f>H4773*I4773</f>
        <v>60</v>
      </c>
      <c r="K4773" s="39">
        <v>1.04</v>
      </c>
      <c r="L4773" s="39">
        <f>K4773*J4773</f>
        <v>62.400000000000006</v>
      </c>
      <c r="M4773" s="117" t="s">
        <v>349</v>
      </c>
      <c r="N4773" s="33">
        <v>45863</v>
      </c>
      <c r="O4773" s="32">
        <v>7313</v>
      </c>
      <c r="P4773" s="391">
        <f>ROUNDUP(S4773/V4773/VLOOKUP(B4773,$C$2:$F$6,3,FALSE),2)</f>
        <v>0.67</v>
      </c>
      <c r="Q4773" s="322">
        <v>0.67</v>
      </c>
      <c r="R4773" s="322">
        <f>Q4773*J4773</f>
        <v>40.200000000000003</v>
      </c>
      <c r="S4773" s="7">
        <v>56</v>
      </c>
      <c r="T4773" s="7">
        <f>S4773*J4773</f>
        <v>3360</v>
      </c>
      <c r="U4773" s="39"/>
      <c r="V4773" s="260">
        <v>120</v>
      </c>
      <c r="W4773" s="1136">
        <f>(((K4773*V4773)-S4773)/(K4773*V4773))</f>
        <v>0.55128205128205132</v>
      </c>
    </row>
    <row r="4774" spans="1:23" s="7" customFormat="1" ht="18" customHeight="1">
      <c r="B4774" s="12" t="s">
        <v>300</v>
      </c>
      <c r="C4774" s="965" t="s">
        <v>5843</v>
      </c>
      <c r="D4774" s="14" t="s">
        <v>2162</v>
      </c>
      <c r="E4774" s="22">
        <v>5603</v>
      </c>
      <c r="F4774" s="37"/>
      <c r="G4774" s="22" t="s">
        <v>185</v>
      </c>
      <c r="H4774" s="108">
        <v>50</v>
      </c>
      <c r="I4774" s="950">
        <v>3</v>
      </c>
      <c r="J4774" s="8">
        <f>I4774*H4774</f>
        <v>150</v>
      </c>
      <c r="K4774" s="39">
        <v>0.34</v>
      </c>
      <c r="L4774" s="39">
        <f>K4774*J4774</f>
        <v>51.000000000000007</v>
      </c>
      <c r="M4774" s="117" t="s">
        <v>349</v>
      </c>
      <c r="N4774" s="33">
        <v>45863</v>
      </c>
      <c r="O4774" s="32">
        <v>7313</v>
      </c>
      <c r="P4774" s="391">
        <f>ROUNDUP(S4774/V4774/VLOOKUP(B4774,$C$2:$F$6,3,FALSE),2)</f>
        <v>0.22</v>
      </c>
      <c r="Q4774" s="322">
        <v>0.22</v>
      </c>
      <c r="R4774" s="322">
        <f>Q4774*J4774</f>
        <v>33</v>
      </c>
      <c r="S4774" s="7">
        <v>18.3</v>
      </c>
      <c r="T4774" s="7">
        <f>S4774*J4774</f>
        <v>2745</v>
      </c>
      <c r="U4774" s="21"/>
      <c r="V4774" s="260">
        <v>120</v>
      </c>
      <c r="W4774" s="1136">
        <f>(((K4774*V4774)-S4774)/(K4774*V4774))</f>
        <v>0.55147058823529416</v>
      </c>
    </row>
    <row r="4775" spans="1:23" customFormat="1" ht="15.95" customHeight="1">
      <c r="A4775" s="1"/>
      <c r="B4775" s="12" t="s">
        <v>306</v>
      </c>
      <c r="C4775" s="965" t="s">
        <v>5843</v>
      </c>
      <c r="D4775" s="14" t="s">
        <v>2162</v>
      </c>
      <c r="E4775" s="22"/>
      <c r="F4775" s="102"/>
      <c r="G4775" s="37" t="s">
        <v>316</v>
      </c>
      <c r="H4775" s="8"/>
      <c r="I4775" s="35"/>
      <c r="J4775" s="38">
        <v>2</v>
      </c>
      <c r="K4775" s="39">
        <v>12</v>
      </c>
      <c r="L4775" s="39">
        <f>K4775*J4775</f>
        <v>24</v>
      </c>
      <c r="M4775" s="91"/>
      <c r="N4775" s="1398">
        <v>45863</v>
      </c>
      <c r="O4775" s="32">
        <v>7313</v>
      </c>
      <c r="P4775" s="39"/>
      <c r="Q4775" s="358">
        <v>12</v>
      </c>
      <c r="R4775" s="322">
        <f>Q4775*J4775</f>
        <v>24</v>
      </c>
      <c r="S4775" s="7">
        <v>900</v>
      </c>
      <c r="T4775" s="7">
        <v>900</v>
      </c>
      <c r="U4775" s="270"/>
      <c r="V4775" s="260">
        <v>120</v>
      </c>
      <c r="W4775" s="1136">
        <f>(((K4775*V4775)-S4775)/(K4775*V4775))</f>
        <v>0.375</v>
      </c>
    </row>
    <row r="4776" spans="1:23" s="191" customFormat="1" ht="15.75">
      <c r="B4776" s="190"/>
      <c r="C4776" s="966" t="s">
        <v>5843</v>
      </c>
      <c r="D4776" s="180" t="s">
        <v>2162</v>
      </c>
      <c r="E4776" s="181"/>
      <c r="F4776" s="182"/>
      <c r="G4776" s="182" t="s">
        <v>250</v>
      </c>
      <c r="H4776" s="184" t="s">
        <v>251</v>
      </c>
      <c r="I4776" s="185"/>
      <c r="J4776" s="183"/>
      <c r="K4776" s="192">
        <v>0</v>
      </c>
      <c r="L4776" s="187"/>
      <c r="M4776" s="1310"/>
      <c r="N4776" s="1399">
        <v>45863</v>
      </c>
      <c r="O4776" s="186">
        <v>7313</v>
      </c>
      <c r="P4776" s="179"/>
      <c r="Q4776" s="255">
        <v>0</v>
      </c>
      <c r="R4776" s="322">
        <v>0</v>
      </c>
      <c r="S4776" s="275">
        <v>0</v>
      </c>
      <c r="T4776" s="198">
        <v>0</v>
      </c>
      <c r="U4776" s="271"/>
      <c r="V4776" s="260">
        <v>120</v>
      </c>
      <c r="W4776" s="1136" t="e">
        <f>(((K4776*V4776)-S4776)/(K4776*V4776))</f>
        <v>#DIV/0!</v>
      </c>
    </row>
    <row r="4777" spans="1:23" s="1541" customFormat="1" ht="15" customHeight="1">
      <c r="B4777" s="1317"/>
      <c r="C4777" s="1318" t="s">
        <v>5847</v>
      </c>
      <c r="D4777" s="1318" t="s">
        <v>5655</v>
      </c>
      <c r="E4777" s="1542" t="s">
        <v>5859</v>
      </c>
      <c r="F4777" s="1320"/>
      <c r="G4777" s="1321"/>
      <c r="H4777" s="1322"/>
      <c r="I4777" s="1323"/>
      <c r="J4777" s="1322"/>
      <c r="K4777" s="1543" t="s">
        <v>5</v>
      </c>
      <c r="L4777" s="1325"/>
      <c r="M4777" s="1544"/>
      <c r="N4777" s="1558" t="s">
        <v>5878</v>
      </c>
      <c r="O4777" s="1558" t="s">
        <v>5878</v>
      </c>
      <c r="P4777" s="1319"/>
      <c r="Q4777" s="1546"/>
      <c r="U4777" s="1319"/>
      <c r="V4777" s="1547">
        <v>120</v>
      </c>
    </row>
    <row r="4778" spans="1:23" s="1541" customFormat="1" ht="18" customHeight="1">
      <c r="B4778" s="1317" t="s">
        <v>302</v>
      </c>
      <c r="C4778" s="1318" t="s">
        <v>5847</v>
      </c>
      <c r="D4778" s="1318" t="s">
        <v>5655</v>
      </c>
      <c r="E4778" s="1548" t="s">
        <v>5860</v>
      </c>
      <c r="F4778" s="1549" t="s">
        <v>5861</v>
      </c>
      <c r="G4778" s="1550" t="s">
        <v>5862</v>
      </c>
      <c r="H4778" s="1551"/>
      <c r="I4778" s="1323"/>
      <c r="J4778" s="1324">
        <v>10</v>
      </c>
      <c r="K4778" s="1325">
        <v>21.15</v>
      </c>
      <c r="L4778" s="1325">
        <f>K4778*J4778</f>
        <v>211.5</v>
      </c>
      <c r="M4778" s="1326" t="s">
        <v>323</v>
      </c>
      <c r="N4778" s="1558" t="s">
        <v>5878</v>
      </c>
      <c r="O4778" s="1558" t="s">
        <v>5878</v>
      </c>
      <c r="P4778" s="1327">
        <f>ROUNDUP(S4778/V4778/VLOOKUP(B4778,$C$2:$F$6,3,FALSE),2)</f>
        <v>19.23</v>
      </c>
      <c r="Q4778" s="1546">
        <v>19.23</v>
      </c>
      <c r="R4778" s="1546">
        <f>Q4778*J4778</f>
        <v>192.3</v>
      </c>
      <c r="S4778" s="1331">
        <f>1630+400</f>
        <v>2030</v>
      </c>
      <c r="T4778" s="1541">
        <f>S4778*J4778</f>
        <v>20300</v>
      </c>
      <c r="U4778" s="1552"/>
      <c r="V4778" s="1333">
        <v>120</v>
      </c>
      <c r="W4778" s="1334">
        <f t="shared" ref="W4778:W4784" si="452">(((K4778*V4778)-S4778)/(K4778*V4778))</f>
        <v>0.20015760441292357</v>
      </c>
    </row>
    <row r="4779" spans="1:23" s="1541" customFormat="1" ht="18" customHeight="1">
      <c r="B4779" s="1317" t="s">
        <v>302</v>
      </c>
      <c r="C4779" s="1318" t="s">
        <v>5847</v>
      </c>
      <c r="D4779" s="1318" t="s">
        <v>5655</v>
      </c>
      <c r="E4779" s="1548" t="s">
        <v>5860</v>
      </c>
      <c r="F4779" s="1549" t="s">
        <v>5861</v>
      </c>
      <c r="G4779" s="1550" t="s">
        <v>5863</v>
      </c>
      <c r="H4779" s="1551"/>
      <c r="I4779" s="1323"/>
      <c r="J4779" s="1324">
        <v>10</v>
      </c>
      <c r="K4779" s="1325">
        <v>21.15</v>
      </c>
      <c r="L4779" s="1325">
        <f>K4779*J4779</f>
        <v>211.5</v>
      </c>
      <c r="M4779" s="1326" t="s">
        <v>323</v>
      </c>
      <c r="N4779" s="1558" t="s">
        <v>5878</v>
      </c>
      <c r="O4779" s="1558" t="s">
        <v>5878</v>
      </c>
      <c r="P4779" s="1327">
        <f>ROUNDUP(S4779/V4779/VLOOKUP(B4779,$C$2:$F$6,3,FALSE),2)</f>
        <v>19.23</v>
      </c>
      <c r="Q4779" s="1546">
        <v>19.23</v>
      </c>
      <c r="R4779" s="1546">
        <f>Q4779*J4779</f>
        <v>192.3</v>
      </c>
      <c r="S4779" s="1331">
        <f>1630+400</f>
        <v>2030</v>
      </c>
      <c r="T4779" s="1541">
        <f>S4779*J4779</f>
        <v>20300</v>
      </c>
      <c r="U4779" s="1552"/>
      <c r="V4779" s="1333">
        <v>120</v>
      </c>
      <c r="W4779" s="1334">
        <f>(((K4779*V4779)-S4779)/(K4779*V4779))</f>
        <v>0.20015760441292357</v>
      </c>
    </row>
    <row r="4780" spans="1:23" s="1335" customFormat="1" ht="18" customHeight="1">
      <c r="B4780" s="1553"/>
      <c r="C4780" s="1318" t="s">
        <v>5847</v>
      </c>
      <c r="D4780" s="1318" t="s">
        <v>5655</v>
      </c>
      <c r="E4780" s="1321"/>
      <c r="F4780" s="1554"/>
      <c r="G4780" s="1554" t="s">
        <v>250</v>
      </c>
      <c r="H4780" s="1555" t="s">
        <v>374</v>
      </c>
      <c r="I4780" s="1323"/>
      <c r="J4780" s="1322"/>
      <c r="K4780" s="1556" t="s">
        <v>5851</v>
      </c>
      <c r="L4780" s="1556" t="s">
        <v>5851</v>
      </c>
      <c r="M4780" s="1545"/>
      <c r="N4780" s="1558" t="s">
        <v>5878</v>
      </c>
      <c r="O4780" s="1558" t="s">
        <v>5878</v>
      </c>
      <c r="P4780" s="1318"/>
      <c r="Q4780" s="1556" t="s">
        <v>5851</v>
      </c>
      <c r="R4780" s="1556" t="s">
        <v>5851</v>
      </c>
      <c r="S4780" s="1556" t="s">
        <v>5851</v>
      </c>
      <c r="T4780" s="1556" t="s">
        <v>5851</v>
      </c>
      <c r="U4780" s="1557"/>
      <c r="V4780" s="1333">
        <v>120</v>
      </c>
      <c r="W4780" s="1334" t="e">
        <f t="shared" si="452"/>
        <v>#VALUE!</v>
      </c>
    </row>
    <row r="4781" spans="1:23" s="7" customFormat="1" ht="18" customHeight="1">
      <c r="B4781" s="12"/>
      <c r="C4781" s="6" t="s">
        <v>5852</v>
      </c>
      <c r="D4781" s="14" t="s">
        <v>4193</v>
      </c>
      <c r="E4781" s="19" t="s">
        <v>2358</v>
      </c>
      <c r="F4781" s="319"/>
      <c r="G4781" s="299"/>
      <c r="H4781" s="300" t="s">
        <v>355</v>
      </c>
      <c r="I4781" s="320"/>
      <c r="J4781" s="321"/>
      <c r="K4781" s="110" t="s">
        <v>101</v>
      </c>
      <c r="L4781" s="139"/>
      <c r="M4781" s="33"/>
      <c r="N4781" s="33">
        <v>45867</v>
      </c>
      <c r="O4781" s="32">
        <v>7331</v>
      </c>
      <c r="P4781" s="6"/>
      <c r="Q4781" s="322"/>
      <c r="U4781" s="39"/>
      <c r="V4781" s="260">
        <v>120</v>
      </c>
      <c r="W4781" s="1136" t="e">
        <f t="shared" si="452"/>
        <v>#VALUE!</v>
      </c>
    </row>
    <row r="4782" spans="1:23" s="7" customFormat="1" ht="18" customHeight="1">
      <c r="B4782" s="12" t="s">
        <v>300</v>
      </c>
      <c r="C4782" s="6" t="s">
        <v>5852</v>
      </c>
      <c r="D4782" s="14" t="s">
        <v>4193</v>
      </c>
      <c r="E4782" s="22" t="s">
        <v>5853</v>
      </c>
      <c r="F4782" s="24"/>
      <c r="G4782" s="22" t="s">
        <v>58</v>
      </c>
      <c r="H4782" s="108"/>
      <c r="I4782" s="109"/>
      <c r="J4782" s="8">
        <v>10</v>
      </c>
      <c r="K4782" s="39">
        <v>2</v>
      </c>
      <c r="L4782" s="39">
        <f>K4782*J4782</f>
        <v>20</v>
      </c>
      <c r="M4782" s="117" t="s">
        <v>323</v>
      </c>
      <c r="N4782" s="33">
        <v>45867</v>
      </c>
      <c r="O4782" s="32">
        <v>7331</v>
      </c>
      <c r="P4782" s="391">
        <f>ROUNDUP(S4782/V4782/VLOOKUP(B4782,$C$2:$F$6,3,FALSE),2)</f>
        <v>1.29</v>
      </c>
      <c r="Q4782" s="358">
        <v>1.29</v>
      </c>
      <c r="R4782" s="322">
        <f>Q4782*J4782</f>
        <v>12.9</v>
      </c>
      <c r="S4782" s="7">
        <v>108</v>
      </c>
      <c r="T4782" s="7">
        <f>S4782*J4782</f>
        <v>1080</v>
      </c>
      <c r="U4782" s="267"/>
      <c r="V4782" s="260">
        <v>120</v>
      </c>
      <c r="W4782" s="1136">
        <f t="shared" si="452"/>
        <v>0.55000000000000004</v>
      </c>
    </row>
    <row r="4783" spans="1:23" s="7" customFormat="1" ht="18" customHeight="1">
      <c r="B4783" s="12"/>
      <c r="C4783" s="6" t="s">
        <v>5852</v>
      </c>
      <c r="D4783" s="14" t="s">
        <v>4193</v>
      </c>
      <c r="E4783" s="49"/>
      <c r="F4783" s="102"/>
      <c r="G4783" s="22" t="s">
        <v>316</v>
      </c>
      <c r="H4783" s="8"/>
      <c r="I4783" s="35"/>
      <c r="J4783" s="38">
        <v>1</v>
      </c>
      <c r="K4783" s="39">
        <v>12</v>
      </c>
      <c r="L4783" s="39">
        <f>K4783*J4783</f>
        <v>12</v>
      </c>
      <c r="M4783" s="117" t="s">
        <v>349</v>
      </c>
      <c r="N4783" s="33">
        <v>45867</v>
      </c>
      <c r="O4783" s="32">
        <v>7331</v>
      </c>
      <c r="P4783" s="6" t="s">
        <v>3</v>
      </c>
      <c r="Q4783" s="39">
        <v>12</v>
      </c>
      <c r="R4783" s="322">
        <f>Q4783*J4783</f>
        <v>12</v>
      </c>
      <c r="S4783" s="7">
        <v>0</v>
      </c>
      <c r="T4783" s="7">
        <f>S4783*J4783</f>
        <v>0</v>
      </c>
      <c r="U4783" s="21"/>
      <c r="V4783" s="260">
        <v>120</v>
      </c>
      <c r="W4783" s="1136">
        <f t="shared" si="452"/>
        <v>1</v>
      </c>
    </row>
    <row r="4784" spans="1:23" s="191" customFormat="1" ht="18" customHeight="1">
      <c r="B4784" s="190"/>
      <c r="C4784" s="179" t="s">
        <v>5852</v>
      </c>
      <c r="D4784" s="180" t="s">
        <v>4193</v>
      </c>
      <c r="E4784" s="217"/>
      <c r="F4784" s="182"/>
      <c r="G4784" s="182" t="s">
        <v>250</v>
      </c>
      <c r="H4784" s="184" t="s">
        <v>251</v>
      </c>
      <c r="I4784" s="185"/>
      <c r="J4784" s="183"/>
      <c r="K4784" s="192">
        <v>0</v>
      </c>
      <c r="L4784" s="187"/>
      <c r="M4784" s="1310"/>
      <c r="N4784" s="187">
        <v>45867</v>
      </c>
      <c r="O4784" s="186">
        <v>7331</v>
      </c>
      <c r="P4784" s="179"/>
      <c r="Q4784" s="255">
        <v>0</v>
      </c>
      <c r="R4784" s="322">
        <v>0</v>
      </c>
      <c r="S4784" s="275">
        <v>0</v>
      </c>
      <c r="T4784" s="198">
        <v>0</v>
      </c>
      <c r="U4784" s="271"/>
      <c r="V4784" s="260">
        <v>120</v>
      </c>
      <c r="W4784" s="1136" t="e">
        <f t="shared" si="452"/>
        <v>#DIV/0!</v>
      </c>
    </row>
    <row r="4785" spans="1:23" s="7" customFormat="1" ht="18" customHeight="1">
      <c r="B4785" s="12"/>
      <c r="C4785" s="6" t="s">
        <v>5879</v>
      </c>
      <c r="D4785" s="14" t="s">
        <v>5801</v>
      </c>
      <c r="E4785" s="19" t="s">
        <v>2358</v>
      </c>
      <c r="F4785" s="24"/>
      <c r="G4785" s="22"/>
      <c r="H4785" s="60"/>
      <c r="I4785" s="61"/>
      <c r="J4785" s="60"/>
      <c r="K4785" s="16" t="s">
        <v>5</v>
      </c>
      <c r="L4785" s="139"/>
      <c r="M4785" s="33"/>
      <c r="N4785" s="33">
        <v>45877</v>
      </c>
      <c r="O4785" s="32">
        <v>7340</v>
      </c>
      <c r="P4785" s="6" t="s">
        <v>3</v>
      </c>
      <c r="Q4785" s="358"/>
      <c r="S4785" s="1434"/>
      <c r="U4785" s="120"/>
      <c r="V4785" s="260">
        <v>120</v>
      </c>
    </row>
    <row r="4786" spans="1:23" s="7" customFormat="1" ht="18" customHeight="1">
      <c r="B4786" s="12" t="s">
        <v>300</v>
      </c>
      <c r="C4786" s="6" t="s">
        <v>5879</v>
      </c>
      <c r="D4786" s="14" t="s">
        <v>5801</v>
      </c>
      <c r="E4786" s="22" t="s">
        <v>5880</v>
      </c>
      <c r="F4786" s="24"/>
      <c r="G4786" s="22" t="s">
        <v>5318</v>
      </c>
      <c r="H4786" s="108"/>
      <c r="I4786" s="109"/>
      <c r="J4786" s="8">
        <v>10</v>
      </c>
      <c r="K4786" s="39">
        <v>2.83</v>
      </c>
      <c r="L4786" s="39">
        <f>K4786*J4786</f>
        <v>28.3</v>
      </c>
      <c r="M4786" s="117" t="s">
        <v>323</v>
      </c>
      <c r="N4786" s="33">
        <v>45877</v>
      </c>
      <c r="O4786" s="32">
        <v>7340</v>
      </c>
      <c r="P4786" s="391">
        <f>ROUNDUP(S4786/V4786/VLOOKUP(B4786,$C$2:$F$6,3,FALSE),2)</f>
        <v>2.3299999999999996</v>
      </c>
      <c r="Q4786" s="322">
        <v>2.33</v>
      </c>
      <c r="R4786" s="322">
        <f>Q4786*J4786</f>
        <v>23.3</v>
      </c>
      <c r="S4786" s="7">
        <v>195</v>
      </c>
      <c r="T4786" s="7">
        <f>S4786*J4786</f>
        <v>1950</v>
      </c>
      <c r="U4786" s="386"/>
      <c r="V4786" s="260">
        <v>120</v>
      </c>
      <c r="W4786" s="1136">
        <f t="shared" ref="W4786:W4793" si="453">(((K4786*V4786)-S4786)/(K4786*V4786))</f>
        <v>0.4257950530035336</v>
      </c>
    </row>
    <row r="4787" spans="1:23" s="7" customFormat="1" ht="18" customHeight="1">
      <c r="B4787" s="12" t="s">
        <v>300</v>
      </c>
      <c r="C4787" s="6" t="s">
        <v>5879</v>
      </c>
      <c r="D4787" s="14" t="s">
        <v>5801</v>
      </c>
      <c r="E4787" s="22" t="s">
        <v>5881</v>
      </c>
      <c r="F4787" s="24"/>
      <c r="G4787" s="22" t="s">
        <v>5318</v>
      </c>
      <c r="H4787" s="108"/>
      <c r="I4787" s="109"/>
      <c r="J4787" s="8">
        <v>20</v>
      </c>
      <c r="K4787" s="39">
        <v>2.83</v>
      </c>
      <c r="L4787" s="39">
        <f>K4787*J4787</f>
        <v>56.6</v>
      </c>
      <c r="M4787" s="117" t="s">
        <v>323</v>
      </c>
      <c r="N4787" s="33">
        <v>45877</v>
      </c>
      <c r="O4787" s="32">
        <v>7340</v>
      </c>
      <c r="P4787" s="391">
        <f>ROUNDUP(S4787/V4787/VLOOKUP(B4787,$C$2:$F$6,3,FALSE),2)</f>
        <v>2.3299999999999996</v>
      </c>
      <c r="Q4787" s="322">
        <v>2.33</v>
      </c>
      <c r="R4787" s="322">
        <f>Q4787*J4787</f>
        <v>46.6</v>
      </c>
      <c r="S4787" s="7">
        <v>195</v>
      </c>
      <c r="T4787" s="7">
        <f>S4787*J4787</f>
        <v>3900</v>
      </c>
      <c r="U4787" s="386"/>
      <c r="V4787" s="260">
        <v>120</v>
      </c>
      <c r="W4787" s="1136">
        <f>(((K4787*V4787)-S4787)/(K4787*V4787))</f>
        <v>0.4257950530035336</v>
      </c>
    </row>
    <row r="4788" spans="1:23" s="7" customFormat="1" ht="18" customHeight="1">
      <c r="B4788" s="12"/>
      <c r="C4788" s="6" t="s">
        <v>5879</v>
      </c>
      <c r="D4788" s="14" t="s">
        <v>5801</v>
      </c>
      <c r="E4788" s="49"/>
      <c r="F4788" s="102"/>
      <c r="G4788" s="22" t="s">
        <v>316</v>
      </c>
      <c r="H4788" s="8"/>
      <c r="I4788" s="35"/>
      <c r="J4788" s="38">
        <v>1</v>
      </c>
      <c r="K4788" s="39">
        <v>12</v>
      </c>
      <c r="L4788" s="39">
        <f>K4788*J4788</f>
        <v>12</v>
      </c>
      <c r="M4788" s="91"/>
      <c r="N4788" s="33">
        <v>45877</v>
      </c>
      <c r="O4788" s="32">
        <v>7340</v>
      </c>
      <c r="P4788" s="6" t="s">
        <v>3</v>
      </c>
      <c r="Q4788" s="39">
        <v>12</v>
      </c>
      <c r="R4788" s="322">
        <f>Q4788*J4788</f>
        <v>12</v>
      </c>
      <c r="S4788" s="7">
        <v>900</v>
      </c>
      <c r="T4788" s="7">
        <f>S4788*J4788</f>
        <v>900</v>
      </c>
      <c r="U4788" s="21"/>
      <c r="V4788" s="260">
        <v>120</v>
      </c>
      <c r="W4788" s="1136">
        <f t="shared" si="453"/>
        <v>0.375</v>
      </c>
    </row>
    <row r="4789" spans="1:23" s="191" customFormat="1" ht="18" customHeight="1">
      <c r="B4789" s="190"/>
      <c r="C4789" s="179" t="s">
        <v>5879</v>
      </c>
      <c r="D4789" s="180" t="s">
        <v>5801</v>
      </c>
      <c r="E4789" s="217"/>
      <c r="F4789" s="182"/>
      <c r="G4789" s="182" t="s">
        <v>250</v>
      </c>
      <c r="H4789" s="184" t="s">
        <v>251</v>
      </c>
      <c r="I4789" s="185"/>
      <c r="J4789" s="183"/>
      <c r="K4789" s="192">
        <v>0</v>
      </c>
      <c r="L4789" s="187"/>
      <c r="M4789" s="1310"/>
      <c r="N4789" s="187">
        <v>45877</v>
      </c>
      <c r="O4789" s="186">
        <v>7340</v>
      </c>
      <c r="P4789" s="179"/>
      <c r="Q4789" s="255">
        <v>0</v>
      </c>
      <c r="R4789" s="322">
        <v>0</v>
      </c>
      <c r="S4789" s="275">
        <v>0</v>
      </c>
      <c r="T4789" s="198">
        <v>0</v>
      </c>
      <c r="U4789" s="271"/>
      <c r="V4789" s="260">
        <v>120</v>
      </c>
      <c r="W4789" s="1136" t="e">
        <f t="shared" si="453"/>
        <v>#DIV/0!</v>
      </c>
    </row>
    <row r="4790" spans="1:23" s="7" customFormat="1" ht="15">
      <c r="B4790" s="12"/>
      <c r="C4790" s="965" t="s">
        <v>5882</v>
      </c>
      <c r="D4790" s="14" t="s">
        <v>5365</v>
      </c>
      <c r="E4790" s="19" t="s">
        <v>200</v>
      </c>
      <c r="F4790" s="37"/>
      <c r="G4790" s="37"/>
      <c r="H4790" s="108"/>
      <c r="I4790" s="108"/>
      <c r="J4790" s="108"/>
      <c r="K4790" s="29" t="s">
        <v>5</v>
      </c>
      <c r="L4790" s="139"/>
      <c r="M4790" s="33"/>
      <c r="N4790" s="33">
        <v>45908</v>
      </c>
      <c r="O4790" s="32">
        <v>7354</v>
      </c>
      <c r="P4790" s="6"/>
      <c r="Q4790" s="339"/>
      <c r="U4790" s="120"/>
      <c r="V4790" s="260">
        <v>120</v>
      </c>
      <c r="W4790" s="1136" t="e">
        <f t="shared" si="453"/>
        <v>#VALUE!</v>
      </c>
    </row>
    <row r="4791" spans="1:23" s="7" customFormat="1" ht="18" customHeight="1">
      <c r="B4791" s="12" t="s">
        <v>300</v>
      </c>
      <c r="C4791" s="965" t="s">
        <v>5882</v>
      </c>
      <c r="D4791" s="14" t="s">
        <v>5365</v>
      </c>
      <c r="E4791" s="22" t="s">
        <v>2950</v>
      </c>
      <c r="F4791" s="37"/>
      <c r="G4791" s="839" t="s">
        <v>4795</v>
      </c>
      <c r="H4791" s="108">
        <v>30</v>
      </c>
      <c r="I4791" s="109">
        <v>2</v>
      </c>
      <c r="J4791" s="8">
        <f>H4791*I4791</f>
        <v>60</v>
      </c>
      <c r="K4791" s="39">
        <v>1.04</v>
      </c>
      <c r="L4791" s="39">
        <f>K4791*J4791</f>
        <v>62.400000000000006</v>
      </c>
      <c r="M4791" s="117" t="s">
        <v>349</v>
      </c>
      <c r="N4791" s="33">
        <v>45908</v>
      </c>
      <c r="O4791" s="32">
        <v>7354</v>
      </c>
      <c r="P4791" s="391">
        <f>ROUNDUP(S4791/V4791/VLOOKUP(B4791,$C$2:$F$6,3,FALSE),2)</f>
        <v>0.67</v>
      </c>
      <c r="Q4791" s="322">
        <v>0.67</v>
      </c>
      <c r="R4791" s="322">
        <f>Q4791*J4791</f>
        <v>40.200000000000003</v>
      </c>
      <c r="S4791" s="7">
        <v>56</v>
      </c>
      <c r="T4791" s="7">
        <f>S4791*J4791</f>
        <v>3360</v>
      </c>
      <c r="U4791" s="39"/>
      <c r="V4791" s="260">
        <v>120</v>
      </c>
      <c r="W4791" s="1136">
        <f t="shared" si="453"/>
        <v>0.55128205128205132</v>
      </c>
    </row>
    <row r="4792" spans="1:23" customFormat="1" ht="15.95" customHeight="1">
      <c r="A4792" s="1"/>
      <c r="B4792" s="12" t="s">
        <v>306</v>
      </c>
      <c r="C4792" s="965" t="s">
        <v>5882</v>
      </c>
      <c r="D4792" s="14" t="s">
        <v>5365</v>
      </c>
      <c r="E4792" s="22"/>
      <c r="F4792" s="102"/>
      <c r="G4792" s="37" t="s">
        <v>316</v>
      </c>
      <c r="H4792" s="8"/>
      <c r="I4792" s="35"/>
      <c r="J4792" s="38">
        <v>1</v>
      </c>
      <c r="K4792" s="39">
        <v>12</v>
      </c>
      <c r="L4792" s="39">
        <f>K4792*J4792</f>
        <v>12</v>
      </c>
      <c r="M4792" s="91"/>
      <c r="N4792" s="1398">
        <v>45908</v>
      </c>
      <c r="O4792" s="32">
        <v>7354</v>
      </c>
      <c r="P4792" s="39"/>
      <c r="Q4792" s="358">
        <v>12</v>
      </c>
      <c r="R4792" s="322">
        <f>Q4792*J4792</f>
        <v>12</v>
      </c>
      <c r="S4792" s="7">
        <v>900</v>
      </c>
      <c r="T4792" s="7">
        <v>900</v>
      </c>
      <c r="U4792" s="270"/>
      <c r="V4792" s="260">
        <v>120</v>
      </c>
      <c r="W4792" s="1136">
        <f t="shared" si="453"/>
        <v>0.375</v>
      </c>
    </row>
    <row r="4793" spans="1:23" s="191" customFormat="1" ht="15.75">
      <c r="B4793" s="190"/>
      <c r="C4793" s="966" t="s">
        <v>5882</v>
      </c>
      <c r="D4793" s="180" t="s">
        <v>5365</v>
      </c>
      <c r="E4793" s="181"/>
      <c r="F4793" s="182"/>
      <c r="G4793" s="182" t="s">
        <v>250</v>
      </c>
      <c r="H4793" s="184" t="s">
        <v>251</v>
      </c>
      <c r="I4793" s="185"/>
      <c r="J4793" s="183"/>
      <c r="K4793" s="192">
        <v>0</v>
      </c>
      <c r="L4793" s="187"/>
      <c r="M4793" s="1310"/>
      <c r="N4793" s="1399">
        <v>45908</v>
      </c>
      <c r="O4793" s="186">
        <v>7354</v>
      </c>
      <c r="P4793" s="179"/>
      <c r="Q4793" s="255">
        <v>0</v>
      </c>
      <c r="R4793" s="322">
        <v>0</v>
      </c>
      <c r="S4793" s="275">
        <v>0</v>
      </c>
      <c r="T4793" s="198">
        <v>0</v>
      </c>
      <c r="U4793" s="271"/>
      <c r="V4793" s="260">
        <v>120</v>
      </c>
      <c r="W4793" s="1136" t="e">
        <f t="shared" si="453"/>
        <v>#DIV/0!</v>
      </c>
    </row>
    <row r="4794" spans="1:23" s="7" customFormat="1" ht="18" customHeight="1">
      <c r="B4794" s="12"/>
      <c r="C4794" s="1303" t="s">
        <v>4973</v>
      </c>
      <c r="D4794" s="14"/>
      <c r="E4794" s="19" t="s">
        <v>5161</v>
      </c>
      <c r="F4794" s="22"/>
      <c r="G4794" s="37"/>
      <c r="H4794" s="108"/>
      <c r="I4794" s="108"/>
      <c r="J4794" s="108"/>
      <c r="K4794" s="110" t="s">
        <v>5</v>
      </c>
      <c r="L4794" s="33"/>
      <c r="M4794" s="33"/>
      <c r="N4794" s="33">
        <v>45877</v>
      </c>
      <c r="O4794" s="1306" t="s">
        <v>5903</v>
      </c>
      <c r="P4794" s="6"/>
      <c r="Q4794" s="223"/>
      <c r="S4794" s="1174"/>
      <c r="T4794" s="92"/>
      <c r="U4794" s="266"/>
      <c r="V4794" s="260">
        <v>120</v>
      </c>
    </row>
    <row r="4795" spans="1:23" s="7" customFormat="1" ht="15.95" customHeight="1">
      <c r="B4795" s="12" t="s">
        <v>300</v>
      </c>
      <c r="C4795" s="1303" t="s">
        <v>4973</v>
      </c>
      <c r="D4795" s="14"/>
      <c r="E4795" s="374" t="s">
        <v>5883</v>
      </c>
      <c r="F4795" s="107">
        <v>150</v>
      </c>
      <c r="G4795" s="37" t="s">
        <v>5174</v>
      </c>
      <c r="H4795" s="60"/>
      <c r="I4795" s="61"/>
      <c r="J4795" s="60">
        <v>1</v>
      </c>
      <c r="K4795" s="39"/>
      <c r="L4795" s="39"/>
      <c r="M4795" s="117" t="s">
        <v>323</v>
      </c>
      <c r="N4795" s="33">
        <v>45877</v>
      </c>
      <c r="O4795" s="1306" t="s">
        <v>5903</v>
      </c>
      <c r="P4795" s="391"/>
      <c r="Q4795" s="254"/>
      <c r="R4795" s="323"/>
      <c r="S4795" s="1345">
        <v>4500</v>
      </c>
      <c r="T4795" s="92">
        <f t="shared" ref="T4795:T4800" si="454">S4795*J4795</f>
        <v>4500</v>
      </c>
      <c r="U4795" s="1200"/>
      <c r="V4795" s="260">
        <v>120</v>
      </c>
      <c r="W4795" s="1136" t="e">
        <f t="shared" ref="W4795:W4800" si="455">(((K4795*V4795)-S4795)/(K4795*V4795))</f>
        <v>#DIV/0!</v>
      </c>
    </row>
    <row r="4796" spans="1:23" s="7" customFormat="1" ht="15.95" customHeight="1">
      <c r="B4796" s="12" t="s">
        <v>300</v>
      </c>
      <c r="C4796" s="1303" t="s">
        <v>4973</v>
      </c>
      <c r="D4796" s="14"/>
      <c r="E4796" s="374" t="s">
        <v>5884</v>
      </c>
      <c r="F4796" s="107">
        <v>160</v>
      </c>
      <c r="G4796" s="37" t="s">
        <v>5174</v>
      </c>
      <c r="H4796" s="60"/>
      <c r="I4796" s="61"/>
      <c r="J4796" s="60">
        <v>1</v>
      </c>
      <c r="K4796" s="39"/>
      <c r="L4796" s="39"/>
      <c r="M4796" s="117" t="s">
        <v>323</v>
      </c>
      <c r="N4796" s="33">
        <v>45877</v>
      </c>
      <c r="O4796" s="1306" t="s">
        <v>5903</v>
      </c>
      <c r="P4796" s="391"/>
      <c r="Q4796" s="254"/>
      <c r="R4796" s="323"/>
      <c r="S4796" s="1345">
        <v>2400</v>
      </c>
      <c r="T4796" s="92">
        <f t="shared" si="454"/>
        <v>2400</v>
      </c>
      <c r="U4796" s="1200"/>
      <c r="V4796" s="260">
        <v>120</v>
      </c>
      <c r="W4796" s="1136" t="e">
        <f t="shared" si="455"/>
        <v>#DIV/0!</v>
      </c>
    </row>
    <row r="4797" spans="1:23" s="7" customFormat="1" ht="15.95" customHeight="1">
      <c r="B4797" s="12" t="s">
        <v>300</v>
      </c>
      <c r="C4797" s="1303" t="s">
        <v>4973</v>
      </c>
      <c r="D4797" s="14"/>
      <c r="E4797" s="374" t="s">
        <v>5885</v>
      </c>
      <c r="F4797" s="107">
        <v>110</v>
      </c>
      <c r="G4797" s="37" t="s">
        <v>5886</v>
      </c>
      <c r="H4797" s="60"/>
      <c r="I4797" s="61"/>
      <c r="J4797" s="60">
        <v>1</v>
      </c>
      <c r="K4797" s="39"/>
      <c r="L4797" s="39"/>
      <c r="M4797" s="117" t="s">
        <v>323</v>
      </c>
      <c r="N4797" s="33">
        <v>45877</v>
      </c>
      <c r="O4797" s="1306" t="s">
        <v>5903</v>
      </c>
      <c r="P4797" s="391"/>
      <c r="Q4797" s="254"/>
      <c r="R4797" s="323"/>
      <c r="S4797" s="1345">
        <v>1450</v>
      </c>
      <c r="T4797" s="92">
        <f t="shared" si="454"/>
        <v>1450</v>
      </c>
      <c r="U4797" s="1200"/>
      <c r="V4797" s="260">
        <v>120</v>
      </c>
      <c r="W4797" s="1136" t="e">
        <f t="shared" si="455"/>
        <v>#DIV/0!</v>
      </c>
    </row>
    <row r="4798" spans="1:23" s="7" customFormat="1" ht="15.95" customHeight="1">
      <c r="B4798" s="12" t="s">
        <v>300</v>
      </c>
      <c r="C4798" s="1303" t="s">
        <v>4973</v>
      </c>
      <c r="D4798" s="14"/>
      <c r="E4798" s="374" t="s">
        <v>5887</v>
      </c>
      <c r="F4798" s="107">
        <v>95</v>
      </c>
      <c r="G4798" s="37" t="s">
        <v>5174</v>
      </c>
      <c r="H4798" s="60"/>
      <c r="I4798" s="61"/>
      <c r="J4798" s="60">
        <v>1</v>
      </c>
      <c r="K4798" s="39"/>
      <c r="L4798" s="39"/>
      <c r="M4798" s="117" t="s">
        <v>323</v>
      </c>
      <c r="N4798" s="33">
        <v>45877</v>
      </c>
      <c r="O4798" s="1306" t="s">
        <v>5903</v>
      </c>
      <c r="P4798" s="391"/>
      <c r="Q4798" s="254"/>
      <c r="R4798" s="323"/>
      <c r="S4798" s="1345">
        <v>2400</v>
      </c>
      <c r="T4798" s="92">
        <f t="shared" si="454"/>
        <v>2400</v>
      </c>
      <c r="U4798" s="1200"/>
      <c r="V4798" s="260">
        <v>120</v>
      </c>
      <c r="W4798" s="1136" t="e">
        <f t="shared" si="455"/>
        <v>#DIV/0!</v>
      </c>
    </row>
    <row r="4799" spans="1:23" s="7" customFormat="1" ht="18" customHeight="1">
      <c r="B4799" s="12"/>
      <c r="C4799" s="1303" t="s">
        <v>4973</v>
      </c>
      <c r="D4799" s="14"/>
      <c r="E4799" s="49"/>
      <c r="F4799" s="102"/>
      <c r="G4799" s="22" t="s">
        <v>4329</v>
      </c>
      <c r="H4799" s="8"/>
      <c r="I4799" s="35"/>
      <c r="J4799" s="38">
        <v>4</v>
      </c>
      <c r="K4799" s="39"/>
      <c r="L4799" s="39"/>
      <c r="M4799" s="117" t="s">
        <v>323</v>
      </c>
      <c r="N4799" s="33">
        <v>45877</v>
      </c>
      <c r="O4799" s="1306" t="s">
        <v>5903</v>
      </c>
      <c r="P4799" s="6"/>
      <c r="Q4799" s="39"/>
      <c r="R4799" s="322"/>
      <c r="S4799" s="7">
        <v>500</v>
      </c>
      <c r="T4799" s="7">
        <f t="shared" si="454"/>
        <v>2000</v>
      </c>
      <c r="U4799" s="21"/>
      <c r="V4799" s="260">
        <v>120</v>
      </c>
      <c r="W4799" s="1136" t="e">
        <f t="shared" si="455"/>
        <v>#DIV/0!</v>
      </c>
    </row>
    <row r="4800" spans="1:23" s="7" customFormat="1" ht="18" customHeight="1">
      <c r="B4800" s="12"/>
      <c r="C4800" s="1303" t="s">
        <v>4973</v>
      </c>
      <c r="D4800" s="14"/>
      <c r="E4800" s="22"/>
      <c r="F4800" s="102"/>
      <c r="G4800" s="22" t="s">
        <v>316</v>
      </c>
      <c r="H4800" s="8"/>
      <c r="I4800" s="35"/>
      <c r="J4800" s="38">
        <v>1</v>
      </c>
      <c r="K4800" s="39"/>
      <c r="L4800" s="39"/>
      <c r="M4800" s="117" t="s">
        <v>323</v>
      </c>
      <c r="N4800" s="33">
        <v>45877</v>
      </c>
      <c r="O4800" s="1306" t="s">
        <v>5903</v>
      </c>
      <c r="P4800" s="6"/>
      <c r="Q4800" s="39"/>
      <c r="R4800" s="39"/>
      <c r="S4800" s="7">
        <v>1000</v>
      </c>
      <c r="T4800" s="287">
        <f t="shared" si="454"/>
        <v>1000</v>
      </c>
      <c r="U4800" s="21"/>
      <c r="V4800" s="260">
        <v>120</v>
      </c>
      <c r="W4800" s="1136" t="e">
        <f t="shared" si="455"/>
        <v>#DIV/0!</v>
      </c>
    </row>
    <row r="4801" spans="2:23" s="191" customFormat="1" ht="18" customHeight="1">
      <c r="B4801" s="190"/>
      <c r="C4801" s="1304" t="s">
        <v>4973</v>
      </c>
      <c r="D4801" s="180"/>
      <c r="E4801" s="217"/>
      <c r="F4801" s="182"/>
      <c r="G4801" s="182" t="s">
        <v>250</v>
      </c>
      <c r="H4801" s="184" t="s">
        <v>251</v>
      </c>
      <c r="I4801" s="185"/>
      <c r="J4801" s="183"/>
      <c r="K4801" s="192"/>
      <c r="L4801" s="187"/>
      <c r="M4801" s="187"/>
      <c r="N4801" s="187">
        <v>45877</v>
      </c>
      <c r="O4801" s="1307" t="s">
        <v>5903</v>
      </c>
      <c r="P4801" s="179"/>
      <c r="Q4801" s="255"/>
      <c r="R4801" s="322"/>
      <c r="S4801" s="275"/>
      <c r="T4801" s="275"/>
      <c r="U4801" s="271"/>
      <c r="V4801" s="260"/>
      <c r="W4801" s="1136"/>
    </row>
    <row r="4802" spans="2:23" s="7" customFormat="1" ht="18" customHeight="1">
      <c r="B4802" s="12"/>
      <c r="C4802" s="6" t="s">
        <v>5901</v>
      </c>
      <c r="D4802" s="14" t="s">
        <v>3047</v>
      </c>
      <c r="E4802" s="19" t="s">
        <v>5890</v>
      </c>
      <c r="F4802" s="24"/>
      <c r="G4802" s="22"/>
      <c r="H4802" s="108"/>
      <c r="I4802" s="109"/>
      <c r="J4802" s="8"/>
      <c r="K4802" s="110" t="s">
        <v>5</v>
      </c>
      <c r="L4802" s="39"/>
      <c r="M4802" s="117"/>
      <c r="N4802" s="33">
        <v>45881</v>
      </c>
      <c r="O4802" s="32">
        <v>7363</v>
      </c>
      <c r="P4802" s="391"/>
      <c r="Q4802" s="322"/>
      <c r="R4802" s="322"/>
      <c r="U4802" s="14"/>
      <c r="V4802" s="260"/>
      <c r="W4802" s="1136"/>
    </row>
    <row r="4803" spans="2:23" s="7" customFormat="1" ht="18" customHeight="1">
      <c r="B4803" s="12" t="s">
        <v>300</v>
      </c>
      <c r="C4803" s="6" t="s">
        <v>5901</v>
      </c>
      <c r="D4803" s="14" t="s">
        <v>3047</v>
      </c>
      <c r="E4803" s="374" t="s">
        <v>5889</v>
      </c>
      <c r="F4803" s="24"/>
      <c r="G4803" s="22" t="s">
        <v>5708</v>
      </c>
      <c r="H4803" s="108"/>
      <c r="I4803" s="109"/>
      <c r="J4803" s="8">
        <v>20</v>
      </c>
      <c r="K4803" s="39">
        <v>0.6</v>
      </c>
      <c r="L4803" s="39">
        <f>K4803*J4803</f>
        <v>12</v>
      </c>
      <c r="M4803" s="117" t="s">
        <v>323</v>
      </c>
      <c r="N4803" s="1398">
        <v>45881</v>
      </c>
      <c r="O4803" s="32">
        <v>7363</v>
      </c>
      <c r="P4803" s="391">
        <f>ROUNDUP(S4803/V4803/VLOOKUP(B4803,$C$2:$F$6,3,FALSE),2)</f>
        <v>0.52</v>
      </c>
      <c r="Q4803" s="322">
        <v>0.52</v>
      </c>
      <c r="R4803" s="322">
        <f>Q4803*J4803</f>
        <v>10.4</v>
      </c>
      <c r="S4803" s="7">
        <v>43</v>
      </c>
      <c r="T4803" s="7">
        <f>S4803*J4803</f>
        <v>860</v>
      </c>
      <c r="U4803" s="14"/>
      <c r="V4803" s="260">
        <v>120</v>
      </c>
      <c r="W4803" s="1136">
        <f>(((K4803*V4803)-S4803)/(K4803*V4803))</f>
        <v>0.40277777777777779</v>
      </c>
    </row>
    <row r="4804" spans="2:23" s="7" customFormat="1" ht="18" customHeight="1">
      <c r="B4804" s="12"/>
      <c r="C4804" s="6" t="s">
        <v>5901</v>
      </c>
      <c r="D4804" s="14" t="s">
        <v>3047</v>
      </c>
      <c r="E4804" s="19" t="s">
        <v>5888</v>
      </c>
      <c r="F4804" s="24"/>
      <c r="G4804" s="22"/>
      <c r="H4804" s="108"/>
      <c r="I4804" s="109"/>
      <c r="J4804" s="8"/>
      <c r="K4804" s="39"/>
      <c r="L4804" s="39"/>
      <c r="M4804" s="117"/>
      <c r="N4804" s="1398">
        <v>45881</v>
      </c>
      <c r="O4804" s="32">
        <v>7363</v>
      </c>
      <c r="P4804" s="391"/>
      <c r="Q4804" s="322"/>
      <c r="R4804" s="322"/>
      <c r="U4804" s="14"/>
      <c r="V4804" s="260"/>
      <c r="W4804" s="1136"/>
    </row>
    <row r="4805" spans="2:23" s="7" customFormat="1" ht="18" customHeight="1">
      <c r="B4805" s="12" t="s">
        <v>300</v>
      </c>
      <c r="C4805" s="6" t="s">
        <v>5901</v>
      </c>
      <c r="D4805" s="14" t="s">
        <v>3047</v>
      </c>
      <c r="E4805" s="374" t="s">
        <v>5902</v>
      </c>
      <c r="F4805" s="24"/>
      <c r="G4805" s="22" t="s">
        <v>5708</v>
      </c>
      <c r="H4805" s="108"/>
      <c r="I4805" s="109"/>
      <c r="J4805" s="8">
        <v>20</v>
      </c>
      <c r="K4805" s="39">
        <v>0.6</v>
      </c>
      <c r="L4805" s="39">
        <f>K4805*J4805</f>
        <v>12</v>
      </c>
      <c r="M4805" s="117" t="s">
        <v>323</v>
      </c>
      <c r="N4805" s="1398">
        <v>45881</v>
      </c>
      <c r="O4805" s="32">
        <v>7363</v>
      </c>
      <c r="P4805" s="391">
        <f>ROUNDUP(S4805/V4805/VLOOKUP(B4805,$C$2:$F$6,3,FALSE),2)</f>
        <v>0.52</v>
      </c>
      <c r="Q4805" s="322">
        <v>0.52</v>
      </c>
      <c r="R4805" s="322">
        <f>Q4805*J4805</f>
        <v>10.4</v>
      </c>
      <c r="S4805" s="7">
        <v>43</v>
      </c>
      <c r="T4805" s="7">
        <f>S4805*J4805</f>
        <v>860</v>
      </c>
      <c r="U4805" s="14"/>
      <c r="V4805" s="260">
        <v>120</v>
      </c>
      <c r="W4805" s="1136">
        <f>(((K4805*V4805)-S4805)/(K4805*V4805))</f>
        <v>0.40277777777777779</v>
      </c>
    </row>
    <row r="4806" spans="2:23" s="7" customFormat="1" ht="18" customHeight="1">
      <c r="B4806" s="12"/>
      <c r="C4806" s="6" t="s">
        <v>5901</v>
      </c>
      <c r="D4806" s="14" t="s">
        <v>3047</v>
      </c>
      <c r="E4806" s="19" t="s">
        <v>5891</v>
      </c>
      <c r="F4806" s="24"/>
      <c r="G4806" s="22"/>
      <c r="H4806" s="108"/>
      <c r="I4806" s="109"/>
      <c r="J4806" s="8"/>
      <c r="K4806" s="39"/>
      <c r="L4806" s="39"/>
      <c r="M4806" s="117"/>
      <c r="N4806" s="1398">
        <v>45881</v>
      </c>
      <c r="O4806" s="32">
        <v>7363</v>
      </c>
      <c r="P4806" s="391"/>
      <c r="Q4806" s="322"/>
      <c r="R4806" s="322"/>
      <c r="U4806" s="14"/>
      <c r="V4806" s="260"/>
      <c r="W4806" s="1136"/>
    </row>
    <row r="4807" spans="2:23" s="7" customFormat="1" ht="18" customHeight="1">
      <c r="B4807" s="12" t="s">
        <v>300</v>
      </c>
      <c r="C4807" s="6" t="s">
        <v>5901</v>
      </c>
      <c r="D4807" s="14" t="s">
        <v>3047</v>
      </c>
      <c r="E4807" s="374" t="s">
        <v>5892</v>
      </c>
      <c r="F4807" s="24"/>
      <c r="G4807" s="22" t="s">
        <v>5708</v>
      </c>
      <c r="H4807" s="108"/>
      <c r="I4807" s="109"/>
      <c r="J4807" s="8">
        <v>20</v>
      </c>
      <c r="K4807" s="39">
        <v>0.7</v>
      </c>
      <c r="L4807" s="39">
        <f>K4807*J4807</f>
        <v>14</v>
      </c>
      <c r="M4807" s="117" t="s">
        <v>323</v>
      </c>
      <c r="N4807" s="1398">
        <v>45881</v>
      </c>
      <c r="O4807" s="32">
        <v>7363</v>
      </c>
      <c r="P4807" s="391">
        <f>ROUNDUP(S4807/V4807/VLOOKUP(B4807,$C$2:$F$6,3,FALSE),2)</f>
        <v>0.6</v>
      </c>
      <c r="Q4807" s="322">
        <v>0.6</v>
      </c>
      <c r="R4807" s="322">
        <f>Q4807*J4807</f>
        <v>12</v>
      </c>
      <c r="S4807" s="7">
        <v>50</v>
      </c>
      <c r="T4807" s="7">
        <f>S4807*J4807</f>
        <v>1000</v>
      </c>
      <c r="U4807" s="14"/>
      <c r="V4807" s="260">
        <v>120</v>
      </c>
      <c r="W4807" s="1136">
        <f>(((K4807*V4807)-S4807)/(K4807*V4807))</f>
        <v>0.40476190476190477</v>
      </c>
    </row>
    <row r="4808" spans="2:23" s="7" customFormat="1" ht="18" customHeight="1">
      <c r="B4808" s="12"/>
      <c r="C4808" s="6" t="s">
        <v>5901</v>
      </c>
      <c r="D4808" s="14" t="s">
        <v>3047</v>
      </c>
      <c r="E4808" s="1458" t="s">
        <v>2358</v>
      </c>
      <c r="F4808" s="24"/>
      <c r="G4808" s="22"/>
      <c r="H4808" s="60"/>
      <c r="I4808" s="61"/>
      <c r="J4808" s="60"/>
      <c r="K4808" s="16"/>
      <c r="L4808" s="144"/>
      <c r="M4808" s="11"/>
      <c r="N4808" s="1398">
        <v>45881</v>
      </c>
      <c r="O4808" s="32">
        <v>7363</v>
      </c>
      <c r="P4808" s="6" t="s">
        <v>3</v>
      </c>
      <c r="Q4808" s="358"/>
      <c r="S4808" s="1434"/>
      <c r="U4808" s="120"/>
      <c r="V4808" s="260">
        <v>120</v>
      </c>
    </row>
    <row r="4809" spans="2:23" s="7" customFormat="1" ht="18" customHeight="1">
      <c r="B4809" s="12" t="s">
        <v>300</v>
      </c>
      <c r="C4809" s="6" t="s">
        <v>5901</v>
      </c>
      <c r="D4809" s="14" t="s">
        <v>3047</v>
      </c>
      <c r="E4809" s="374" t="s">
        <v>5764</v>
      </c>
      <c r="F4809" s="24"/>
      <c r="G4809" s="22" t="s">
        <v>5318</v>
      </c>
      <c r="H4809" s="108"/>
      <c r="I4809" s="109"/>
      <c r="J4809" s="8">
        <v>20</v>
      </c>
      <c r="K4809" s="39">
        <f>ROUNDUP(S4809/0.6/120,2)</f>
        <v>1.98</v>
      </c>
      <c r="L4809" s="39">
        <f>K4809*J4809</f>
        <v>39.6</v>
      </c>
      <c r="M4809" s="117" t="s">
        <v>323</v>
      </c>
      <c r="N4809" s="1398">
        <v>45881</v>
      </c>
      <c r="O4809" s="32">
        <v>7363</v>
      </c>
      <c r="P4809" s="391">
        <f>ROUNDUP(S4809/V4809/VLOOKUP(B4809,$C$2:$F$6,3,FALSE),2)</f>
        <v>1.7</v>
      </c>
      <c r="Q4809" s="322">
        <v>1.7</v>
      </c>
      <c r="R4809" s="322">
        <f>Q4809*J4809</f>
        <v>34</v>
      </c>
      <c r="S4809" s="7">
        <v>142</v>
      </c>
      <c r="T4809" s="7">
        <f>S4809*J4809</f>
        <v>2840</v>
      </c>
      <c r="U4809" s="14"/>
      <c r="V4809" s="260">
        <v>120</v>
      </c>
      <c r="W4809" s="1136">
        <f>(((K4809*V4809)-S4809)/(K4809*V4809))</f>
        <v>0.40235690235690236</v>
      </c>
    </row>
    <row r="4810" spans="2:23" s="7" customFormat="1" ht="18" customHeight="1">
      <c r="B4810" s="12" t="s">
        <v>300</v>
      </c>
      <c r="C4810" s="6" t="s">
        <v>5901</v>
      </c>
      <c r="D4810" s="14" t="s">
        <v>3047</v>
      </c>
      <c r="E4810" s="374" t="s">
        <v>5825</v>
      </c>
      <c r="F4810" s="24"/>
      <c r="G4810" s="22" t="s">
        <v>5318</v>
      </c>
      <c r="H4810" s="108"/>
      <c r="I4810" s="109"/>
      <c r="J4810" s="8">
        <v>20</v>
      </c>
      <c r="K4810" s="39">
        <v>2.23</v>
      </c>
      <c r="L4810" s="39">
        <f>K4810*J4810</f>
        <v>44.6</v>
      </c>
      <c r="M4810" s="117" t="s">
        <v>323</v>
      </c>
      <c r="N4810" s="1398">
        <v>45881</v>
      </c>
      <c r="O4810" s="32">
        <v>7363</v>
      </c>
      <c r="P4810" s="391">
        <f>ROUNDUP(S4810/V4810/VLOOKUP(B4810,$C$2:$F$6,3,FALSE),2)</f>
        <v>1.91</v>
      </c>
      <c r="Q4810" s="322">
        <v>1.91</v>
      </c>
      <c r="R4810" s="322">
        <f>Q4810*J4810</f>
        <v>38.199999999999996</v>
      </c>
      <c r="S4810" s="7">
        <v>160</v>
      </c>
      <c r="T4810" s="7">
        <f>S4810*J4810</f>
        <v>3200</v>
      </c>
      <c r="U4810" s="14"/>
      <c r="V4810" s="260">
        <v>120</v>
      </c>
      <c r="W4810" s="1136">
        <f>(((K4810*V4810)-S4810)/(K4810*V4810))</f>
        <v>0.40209267563527656</v>
      </c>
    </row>
    <row r="4811" spans="2:23" s="7" customFormat="1" ht="18" customHeight="1">
      <c r="B4811" s="12"/>
      <c r="C4811" s="6" t="s">
        <v>5901</v>
      </c>
      <c r="D4811" s="14" t="s">
        <v>3047</v>
      </c>
      <c r="E4811" s="19" t="s">
        <v>5894</v>
      </c>
      <c r="F4811" s="24"/>
      <c r="G4811" s="22"/>
      <c r="H4811" s="108"/>
      <c r="I4811" s="109"/>
      <c r="J4811" s="8"/>
      <c r="K4811" s="39"/>
      <c r="L4811" s="39"/>
      <c r="M4811" s="117"/>
      <c r="N4811" s="1398">
        <v>45881</v>
      </c>
      <c r="O4811" s="32">
        <v>7363</v>
      </c>
      <c r="P4811" s="391"/>
      <c r="Q4811" s="322"/>
      <c r="R4811" s="322"/>
      <c r="U4811" s="14"/>
      <c r="V4811" s="260"/>
      <c r="W4811" s="1136"/>
    </row>
    <row r="4812" spans="2:23" s="7" customFormat="1" ht="18" customHeight="1">
      <c r="B4812" s="12" t="s">
        <v>300</v>
      </c>
      <c r="C4812" s="6" t="s">
        <v>5901</v>
      </c>
      <c r="D4812" s="14" t="s">
        <v>3047</v>
      </c>
      <c r="E4812" s="374" t="s">
        <v>5893</v>
      </c>
      <c r="F4812" s="24"/>
      <c r="G4812" s="22" t="s">
        <v>5708</v>
      </c>
      <c r="H4812" s="108"/>
      <c r="I4812" s="109"/>
      <c r="J4812" s="8">
        <v>20</v>
      </c>
      <c r="K4812" s="39">
        <v>0.89</v>
      </c>
      <c r="L4812" s="39">
        <f>K4812*J4812</f>
        <v>17.8</v>
      </c>
      <c r="M4812" s="117" t="s">
        <v>323</v>
      </c>
      <c r="N4812" s="1398">
        <v>45881</v>
      </c>
      <c r="O4812" s="32">
        <v>7363</v>
      </c>
      <c r="P4812" s="391">
        <f>ROUNDUP(S4812/V4812/VLOOKUP(B4812,$C$2:$F$6,3,FALSE),2)</f>
        <v>0.77</v>
      </c>
      <c r="Q4812" s="322">
        <v>0.77</v>
      </c>
      <c r="R4812" s="322">
        <f>Q4812*J4812</f>
        <v>15.4</v>
      </c>
      <c r="S4812" s="7">
        <v>64</v>
      </c>
      <c r="T4812" s="7">
        <f>S4812*J4812</f>
        <v>1280</v>
      </c>
      <c r="U4812" s="14"/>
      <c r="V4812" s="260">
        <v>120</v>
      </c>
      <c r="W4812" s="1136">
        <f>(((K4812*V4812)-S4812)/(K4812*V4812))</f>
        <v>0.40074906367041196</v>
      </c>
    </row>
    <row r="4813" spans="2:23" s="7" customFormat="1" ht="18" customHeight="1">
      <c r="B4813" s="12"/>
      <c r="C4813" s="6" t="s">
        <v>5901</v>
      </c>
      <c r="D4813" s="14" t="s">
        <v>3047</v>
      </c>
      <c r="E4813" s="19" t="s">
        <v>2358</v>
      </c>
      <c r="F4813" s="24"/>
      <c r="G4813" s="49"/>
      <c r="H4813" s="60"/>
      <c r="I4813" s="61"/>
      <c r="J4813" s="60"/>
      <c r="K4813" s="16"/>
      <c r="L4813" s="144"/>
      <c r="M4813" s="11"/>
      <c r="N4813" s="1398">
        <v>45881</v>
      </c>
      <c r="O4813" s="32">
        <v>7363</v>
      </c>
      <c r="P4813" s="6" t="s">
        <v>3</v>
      </c>
      <c r="Q4813" s="358"/>
      <c r="S4813" s="1434"/>
      <c r="U4813" s="120"/>
      <c r="V4813" s="260">
        <v>120</v>
      </c>
    </row>
    <row r="4814" spans="2:23" s="7" customFormat="1" ht="18" customHeight="1">
      <c r="B4814" s="12" t="s">
        <v>300</v>
      </c>
      <c r="C4814" s="6" t="s">
        <v>5901</v>
      </c>
      <c r="D4814" s="14" t="s">
        <v>3047</v>
      </c>
      <c r="E4814" s="374" t="s">
        <v>5895</v>
      </c>
      <c r="F4814" s="24"/>
      <c r="G4814" s="22" t="s">
        <v>5318</v>
      </c>
      <c r="H4814" s="108"/>
      <c r="I4814" s="109"/>
      <c r="J4814" s="8">
        <v>20</v>
      </c>
      <c r="K4814" s="39">
        <f>ROUNDUP(S4814/0.6/120,2)</f>
        <v>1.48</v>
      </c>
      <c r="L4814" s="39">
        <f>K4814*J4814</f>
        <v>29.6</v>
      </c>
      <c r="M4814" s="117" t="s">
        <v>323</v>
      </c>
      <c r="N4814" s="1398">
        <v>45881</v>
      </c>
      <c r="O4814" s="32">
        <v>7363</v>
      </c>
      <c r="P4814" s="391">
        <f>ROUNDUP(S4814/V4814/VLOOKUP(B4814,$C$2:$F$6,3,FALSE),2)</f>
        <v>1.27</v>
      </c>
      <c r="Q4814" s="322">
        <v>1.27</v>
      </c>
      <c r="R4814" s="322">
        <f>Q4814*J4814</f>
        <v>25.4</v>
      </c>
      <c r="S4814" s="7">
        <v>106</v>
      </c>
      <c r="T4814" s="7">
        <f>S4814*J4814</f>
        <v>2120</v>
      </c>
      <c r="U4814" s="14"/>
      <c r="V4814" s="260">
        <v>120</v>
      </c>
      <c r="W4814" s="1136">
        <f t="shared" ref="W4814:W4824" si="456">(((K4814*V4814)-S4814)/(K4814*V4814))</f>
        <v>0.40315315315315314</v>
      </c>
    </row>
    <row r="4815" spans="2:23" s="7" customFormat="1" ht="18" customHeight="1">
      <c r="B4815" s="12" t="s">
        <v>300</v>
      </c>
      <c r="C4815" s="6" t="s">
        <v>5901</v>
      </c>
      <c r="D4815" s="14" t="s">
        <v>3047</v>
      </c>
      <c r="E4815" s="374" t="s">
        <v>5896</v>
      </c>
      <c r="F4815" s="24"/>
      <c r="G4815" s="22" t="s">
        <v>5318</v>
      </c>
      <c r="H4815" s="108"/>
      <c r="I4815" s="109"/>
      <c r="J4815" s="8">
        <v>20</v>
      </c>
      <c r="K4815" s="39">
        <f>ROUNDUP(S4815/0.6/120,2)</f>
        <v>1.64</v>
      </c>
      <c r="L4815" s="39">
        <f>K4815*J4815</f>
        <v>32.799999999999997</v>
      </c>
      <c r="M4815" s="117" t="s">
        <v>323</v>
      </c>
      <c r="N4815" s="1398">
        <v>45881</v>
      </c>
      <c r="O4815" s="32">
        <v>7363</v>
      </c>
      <c r="P4815" s="391">
        <f>ROUNDUP(S4815/V4815/VLOOKUP(B4815,$C$2:$F$6,3,FALSE),2)</f>
        <v>1.41</v>
      </c>
      <c r="Q4815" s="322">
        <v>1.41</v>
      </c>
      <c r="R4815" s="322">
        <f>Q4815*J4815</f>
        <v>28.2</v>
      </c>
      <c r="S4815" s="7">
        <v>118</v>
      </c>
      <c r="T4815" s="7">
        <f>S4815*J4815</f>
        <v>2360</v>
      </c>
      <c r="U4815" s="14"/>
      <c r="V4815" s="260">
        <v>120</v>
      </c>
      <c r="W4815" s="1136">
        <f t="shared" si="456"/>
        <v>0.40040650406504058</v>
      </c>
    </row>
    <row r="4816" spans="2:23" s="7" customFormat="1" ht="18" customHeight="1">
      <c r="B4816" s="12" t="s">
        <v>300</v>
      </c>
      <c r="C4816" s="6" t="s">
        <v>5901</v>
      </c>
      <c r="D4816" s="14" t="s">
        <v>3047</v>
      </c>
      <c r="E4816" s="374" t="s">
        <v>5897</v>
      </c>
      <c r="F4816" s="24"/>
      <c r="G4816" s="22" t="s">
        <v>5318</v>
      </c>
      <c r="H4816" s="108"/>
      <c r="I4816" s="109"/>
      <c r="J4816" s="8">
        <v>20</v>
      </c>
      <c r="K4816" s="39">
        <f>ROUNDUP(S4816/0.6/120,2)</f>
        <v>2.5499999999999998</v>
      </c>
      <c r="L4816" s="39">
        <f>K4816*J4816</f>
        <v>51</v>
      </c>
      <c r="M4816" s="117" t="s">
        <v>323</v>
      </c>
      <c r="N4816" s="1398">
        <v>45881</v>
      </c>
      <c r="O4816" s="32">
        <v>7363</v>
      </c>
      <c r="P4816" s="391">
        <f>ROUNDUP(S4816/V4816/VLOOKUP(B4816,$C$2:$F$6,3,FALSE),2)</f>
        <v>2.1799999999999997</v>
      </c>
      <c r="Q4816" s="322">
        <v>2.1800000000000002</v>
      </c>
      <c r="R4816" s="322">
        <f>Q4816*J4816</f>
        <v>43.6</v>
      </c>
      <c r="S4816" s="7">
        <v>183</v>
      </c>
      <c r="T4816" s="7">
        <f>S4816*J4816</f>
        <v>3660</v>
      </c>
      <c r="U4816" s="14"/>
      <c r="V4816" s="260">
        <v>120</v>
      </c>
      <c r="W4816" s="1136">
        <f t="shared" si="456"/>
        <v>0.40196078431372551</v>
      </c>
    </row>
    <row r="4817" spans="1:23" customFormat="1" ht="15.95" customHeight="1">
      <c r="A4817" s="1"/>
      <c r="B4817" s="12" t="s">
        <v>306</v>
      </c>
      <c r="C4817" s="6" t="s">
        <v>5901</v>
      </c>
      <c r="D4817" s="14" t="s">
        <v>3047</v>
      </c>
      <c r="E4817" s="22"/>
      <c r="F4817" s="102"/>
      <c r="G4817" s="37" t="s">
        <v>316</v>
      </c>
      <c r="H4817" s="8"/>
      <c r="I4817" s="35"/>
      <c r="J4817" s="38">
        <v>1</v>
      </c>
      <c r="K4817" s="39">
        <v>12</v>
      </c>
      <c r="L4817" s="39">
        <f>K4817*J4817</f>
        <v>12</v>
      </c>
      <c r="M4817" s="91"/>
      <c r="N4817" s="1398">
        <v>45881</v>
      </c>
      <c r="O4817" s="32">
        <v>7363</v>
      </c>
      <c r="P4817" s="39"/>
      <c r="Q4817" s="358">
        <v>12</v>
      </c>
      <c r="R4817" s="322">
        <f>Q4817*J4817</f>
        <v>12</v>
      </c>
      <c r="S4817" s="1388">
        <v>0</v>
      </c>
      <c r="T4817" s="1388">
        <v>0</v>
      </c>
      <c r="U4817" s="270"/>
      <c r="V4817" s="260">
        <v>120</v>
      </c>
      <c r="W4817" s="1136">
        <f t="shared" si="456"/>
        <v>1</v>
      </c>
    </row>
    <row r="4818" spans="1:23" s="191" customFormat="1" ht="15.75">
      <c r="B4818" s="190"/>
      <c r="C4818" s="179" t="s">
        <v>5901</v>
      </c>
      <c r="D4818" s="180" t="s">
        <v>3047</v>
      </c>
      <c r="E4818" s="181"/>
      <c r="F4818" s="182"/>
      <c r="G4818" s="182" t="s">
        <v>250</v>
      </c>
      <c r="H4818" s="184" t="s">
        <v>251</v>
      </c>
      <c r="I4818" s="185"/>
      <c r="J4818" s="183"/>
      <c r="K4818" s="192">
        <v>0</v>
      </c>
      <c r="L4818" s="187"/>
      <c r="M4818" s="1310"/>
      <c r="N4818" s="1399">
        <v>45881</v>
      </c>
      <c r="O4818" s="186">
        <v>7363</v>
      </c>
      <c r="P4818" s="179"/>
      <c r="Q4818" s="255">
        <v>0</v>
      </c>
      <c r="R4818" s="322">
        <v>0</v>
      </c>
      <c r="S4818" s="275">
        <v>0</v>
      </c>
      <c r="T4818" s="198">
        <v>0</v>
      </c>
      <c r="U4818" s="271"/>
      <c r="V4818" s="260">
        <v>120</v>
      </c>
      <c r="W4818" s="1136" t="e">
        <f t="shared" si="456"/>
        <v>#DIV/0!</v>
      </c>
    </row>
    <row r="4819" spans="1:23" s="7" customFormat="1" ht="15">
      <c r="B4819" s="12"/>
      <c r="C4819" s="965" t="s">
        <v>5906</v>
      </c>
      <c r="D4819" s="14" t="s">
        <v>5904</v>
      </c>
      <c r="E4819" s="19" t="s">
        <v>2244</v>
      </c>
      <c r="F4819" s="24"/>
      <c r="G4819" s="22"/>
      <c r="H4819" s="60"/>
      <c r="I4819" s="61"/>
      <c r="J4819" s="8"/>
      <c r="K4819" s="110" t="s">
        <v>5</v>
      </c>
      <c r="L4819" s="139"/>
      <c r="M4819" s="33"/>
      <c r="N4819" s="33">
        <v>45890</v>
      </c>
      <c r="O4819" s="32">
        <v>7385</v>
      </c>
      <c r="P4819" s="6" t="s">
        <v>8</v>
      </c>
      <c r="Q4819" s="358"/>
      <c r="R4819" s="14"/>
      <c r="U4819" s="120"/>
      <c r="V4819" s="260">
        <v>120</v>
      </c>
      <c r="W4819" s="1136" t="e">
        <f t="shared" si="456"/>
        <v>#VALUE!</v>
      </c>
    </row>
    <row r="4820" spans="1:23" s="7" customFormat="1" ht="18" customHeight="1">
      <c r="B4820" s="12" t="s">
        <v>300</v>
      </c>
      <c r="C4820" s="965" t="s">
        <v>5906</v>
      </c>
      <c r="D4820" s="14" t="s">
        <v>5904</v>
      </c>
      <c r="E4820" s="22">
        <v>11700</v>
      </c>
      <c r="F4820" s="37">
        <v>18</v>
      </c>
      <c r="G4820" s="22" t="s">
        <v>5905</v>
      </c>
      <c r="H4820" s="8">
        <v>10</v>
      </c>
      <c r="I4820" s="35">
        <v>8</v>
      </c>
      <c r="J4820" s="108">
        <f>H4820*I4820</f>
        <v>80</v>
      </c>
      <c r="K4820" s="958">
        <v>2.29</v>
      </c>
      <c r="L4820" s="39">
        <f>K4820*J4820</f>
        <v>183.2</v>
      </c>
      <c r="M4820" s="117" t="s">
        <v>349</v>
      </c>
      <c r="N4820" s="33">
        <v>45890</v>
      </c>
      <c r="O4820" s="32">
        <v>7385</v>
      </c>
      <c r="P4820" s="391">
        <f>ROUNDUP(S4820/V4820/VLOOKUP(B4820,$C$2:$F$6,3,FALSE),2)</f>
        <v>1.62</v>
      </c>
      <c r="Q4820" s="322">
        <v>1.62</v>
      </c>
      <c r="R4820" s="322">
        <f>Q4820*J4820</f>
        <v>129.60000000000002</v>
      </c>
      <c r="S4820" s="7">
        <v>136</v>
      </c>
      <c r="T4820" s="7">
        <f>S4820*J4820</f>
        <v>10880</v>
      </c>
      <c r="U4820" s="39"/>
      <c r="V4820" s="260">
        <v>120</v>
      </c>
      <c r="W4820" s="1136">
        <f t="shared" si="456"/>
        <v>0.50509461426491997</v>
      </c>
    </row>
    <row r="4821" spans="1:23" customFormat="1" ht="15.95" customHeight="1">
      <c r="A4821" s="1"/>
      <c r="B4821" s="12" t="s">
        <v>306</v>
      </c>
      <c r="C4821" s="965" t="s">
        <v>5906</v>
      </c>
      <c r="D4821" s="14" t="s">
        <v>5904</v>
      </c>
      <c r="E4821" s="22"/>
      <c r="F4821" s="102"/>
      <c r="G4821" s="37" t="s">
        <v>316</v>
      </c>
      <c r="H4821" s="8"/>
      <c r="I4821" s="35"/>
      <c r="J4821" s="38">
        <v>1</v>
      </c>
      <c r="K4821" s="39">
        <v>12</v>
      </c>
      <c r="L4821" s="39">
        <f>K4821*J4821</f>
        <v>12</v>
      </c>
      <c r="M4821" s="91"/>
      <c r="N4821" s="1398">
        <v>45890</v>
      </c>
      <c r="O4821" s="32">
        <v>7385</v>
      </c>
      <c r="P4821" s="39"/>
      <c r="Q4821" s="358">
        <v>12</v>
      </c>
      <c r="R4821" s="1564">
        <v>12</v>
      </c>
      <c r="S4821" s="7">
        <v>0</v>
      </c>
      <c r="T4821" s="7">
        <v>0</v>
      </c>
      <c r="U4821" s="270"/>
      <c r="V4821" s="260">
        <v>120</v>
      </c>
      <c r="W4821" s="1136">
        <f t="shared" si="456"/>
        <v>1</v>
      </c>
    </row>
    <row r="4822" spans="1:23" s="191" customFormat="1" ht="15.75">
      <c r="B4822" s="190"/>
      <c r="C4822" s="966" t="s">
        <v>5906</v>
      </c>
      <c r="D4822" s="180" t="s">
        <v>5904</v>
      </c>
      <c r="E4822" s="181"/>
      <c r="F4822" s="182"/>
      <c r="G4822" s="309" t="s">
        <v>250</v>
      </c>
      <c r="H4822" s="1561" t="s">
        <v>374</v>
      </c>
      <c r="I4822" s="185"/>
      <c r="J4822" s="183"/>
      <c r="K4822" s="192">
        <v>59</v>
      </c>
      <c r="L4822" s="192">
        <v>59</v>
      </c>
      <c r="M4822" s="1310"/>
      <c r="N4822" s="1399">
        <v>45890</v>
      </c>
      <c r="O4822" s="186">
        <v>7385</v>
      </c>
      <c r="P4822" s="179"/>
      <c r="Q4822" s="255">
        <v>59</v>
      </c>
      <c r="R4822" s="322">
        <v>59</v>
      </c>
      <c r="S4822" s="197">
        <f>1420+3339</f>
        <v>4759</v>
      </c>
      <c r="T4822" s="275">
        <f>1420+3339</f>
        <v>4759</v>
      </c>
      <c r="U4822" s="271"/>
      <c r="V4822" s="260">
        <v>120</v>
      </c>
      <c r="W4822" s="1136">
        <f t="shared" si="456"/>
        <v>0.32782485875706213</v>
      </c>
    </row>
    <row r="4823" spans="1:23" customFormat="1" ht="18" customHeight="1">
      <c r="A4823" s="1"/>
      <c r="B4823" s="26"/>
      <c r="C4823" s="6" t="s">
        <v>5907</v>
      </c>
      <c r="D4823" s="14" t="s">
        <v>3202</v>
      </c>
      <c r="E4823" s="19" t="s">
        <v>5310</v>
      </c>
      <c r="F4823" s="107"/>
      <c r="G4823" s="22"/>
      <c r="H4823" s="108"/>
      <c r="I4823" s="109"/>
      <c r="J4823" s="108"/>
      <c r="K4823" s="110" t="s">
        <v>5</v>
      </c>
      <c r="L4823" s="33"/>
      <c r="M4823" s="33"/>
      <c r="N4823" s="33">
        <v>45891</v>
      </c>
      <c r="O4823" s="32">
        <v>7391</v>
      </c>
      <c r="P4823" s="14"/>
      <c r="Q4823" s="39"/>
      <c r="R4823" s="1566"/>
      <c r="S4823" s="72"/>
      <c r="T4823" s="92"/>
      <c r="U4823" s="264"/>
      <c r="V4823" s="260">
        <v>120</v>
      </c>
      <c r="W4823" s="1136" t="e">
        <f t="shared" si="456"/>
        <v>#VALUE!</v>
      </c>
    </row>
    <row r="4824" spans="1:23" ht="18" customHeight="1">
      <c r="B4824" s="12" t="s">
        <v>302</v>
      </c>
      <c r="C4824" s="6" t="s">
        <v>5907</v>
      </c>
      <c r="D4824" s="14" t="s">
        <v>3202</v>
      </c>
      <c r="E4824" s="22">
        <v>5081</v>
      </c>
      <c r="F4824" s="107">
        <v>140</v>
      </c>
      <c r="G4824" s="396" t="s">
        <v>5311</v>
      </c>
      <c r="H4824" s="60">
        <v>46</v>
      </c>
      <c r="I4824" s="61">
        <v>1</v>
      </c>
      <c r="J4824" s="60">
        <f>H4824*I4824</f>
        <v>46</v>
      </c>
      <c r="K4824" s="39">
        <v>9.17</v>
      </c>
      <c r="L4824" s="39">
        <f t="shared" ref="L4824:L4830" si="457">K4824*J4824</f>
        <v>421.82</v>
      </c>
      <c r="M4824" s="117" t="s">
        <v>323</v>
      </c>
      <c r="N4824" s="33">
        <v>45891</v>
      </c>
      <c r="O4824" s="32">
        <v>7391</v>
      </c>
      <c r="P4824" s="391">
        <f>ROUNDUP(S4824/V4824/VLOOKUP(B4824,$C$2:$F$6,3,FALSE),2)</f>
        <v>8.0499999999999989</v>
      </c>
      <c r="Q4824" s="39">
        <v>8.0500000000000007</v>
      </c>
      <c r="R4824" s="1563">
        <f t="shared" ref="R4824:R4830" si="458">Q4824*J4824</f>
        <v>370.3</v>
      </c>
      <c r="S4824" s="92">
        <v>850</v>
      </c>
      <c r="T4824" s="287">
        <f t="shared" ref="T4824:T4830" si="459">S4824*J4824</f>
        <v>39100</v>
      </c>
      <c r="U4824" s="264"/>
      <c r="V4824" s="260">
        <v>120</v>
      </c>
      <c r="W4824" s="1136">
        <f t="shared" si="456"/>
        <v>0.22755361686659403</v>
      </c>
    </row>
    <row r="4825" spans="1:23" s="7" customFormat="1" ht="18" customHeight="1">
      <c r="B4825" s="12"/>
      <c r="C4825" s="6" t="s">
        <v>5907</v>
      </c>
      <c r="D4825" s="14" t="s">
        <v>3202</v>
      </c>
      <c r="E4825" s="22"/>
      <c r="F4825" s="102"/>
      <c r="G4825" s="22" t="s">
        <v>316</v>
      </c>
      <c r="H4825" s="8"/>
      <c r="I4825" s="35"/>
      <c r="J4825" s="38">
        <v>1</v>
      </c>
      <c r="K4825" s="39">
        <v>20</v>
      </c>
      <c r="L4825" s="39">
        <f t="shared" si="457"/>
        <v>20</v>
      </c>
      <c r="M4825" s="91"/>
      <c r="N4825" s="33">
        <v>45891</v>
      </c>
      <c r="O4825" s="32">
        <v>7391</v>
      </c>
      <c r="P4825" s="6"/>
      <c r="Q4825" s="322">
        <v>20</v>
      </c>
      <c r="R4825" s="322">
        <f t="shared" si="458"/>
        <v>20</v>
      </c>
      <c r="S4825" s="1388">
        <v>2500</v>
      </c>
      <c r="T4825" s="287">
        <f t="shared" si="459"/>
        <v>2500</v>
      </c>
      <c r="U4825" s="21"/>
      <c r="V4825" s="260">
        <v>120</v>
      </c>
      <c r="W4825" s="1136">
        <f t="shared" ref="W4825:W4831" si="460">(((K4825*V4825)-S4825)/(K4825*V4825))</f>
        <v>-4.1666666666666664E-2</v>
      </c>
    </row>
    <row r="4826" spans="1:23" ht="18" customHeight="1">
      <c r="B4826" s="12" t="s">
        <v>302</v>
      </c>
      <c r="C4826" s="6" t="s">
        <v>5907</v>
      </c>
      <c r="D4826" s="14" t="s">
        <v>3202</v>
      </c>
      <c r="E4826" s="374">
        <v>5081</v>
      </c>
      <c r="F4826" s="107">
        <v>140</v>
      </c>
      <c r="G4826" s="396" t="s">
        <v>5311</v>
      </c>
      <c r="H4826" s="18">
        <v>39.5</v>
      </c>
      <c r="I4826" s="61">
        <v>1</v>
      </c>
      <c r="J4826" s="18">
        <f>H4826*I4826</f>
        <v>39.5</v>
      </c>
      <c r="K4826" s="39">
        <v>9.17</v>
      </c>
      <c r="L4826" s="39">
        <f t="shared" si="457"/>
        <v>362.21499999999997</v>
      </c>
      <c r="M4826" s="117" t="s">
        <v>323</v>
      </c>
      <c r="N4826" s="1398">
        <v>45910</v>
      </c>
      <c r="O4826" s="32">
        <v>7443</v>
      </c>
      <c r="P4826" s="391">
        <f>ROUNDUP(S4826/V4826/VLOOKUP(B4826,$C$2:$F$6,3,FALSE),2)</f>
        <v>8.0499999999999989</v>
      </c>
      <c r="Q4826" s="39">
        <v>8.0500000000000007</v>
      </c>
      <c r="R4826" s="1564">
        <f t="shared" si="458"/>
        <v>317.97500000000002</v>
      </c>
      <c r="S4826" s="92">
        <v>850</v>
      </c>
      <c r="T4826" s="287">
        <f t="shared" si="459"/>
        <v>33575</v>
      </c>
      <c r="U4826" s="264"/>
      <c r="V4826" s="260">
        <v>120</v>
      </c>
      <c r="W4826" s="1136">
        <f t="shared" si="460"/>
        <v>0.22755361686659403</v>
      </c>
    </row>
    <row r="4827" spans="1:23" ht="18.75" customHeight="1">
      <c r="B4827" s="12" t="s">
        <v>302</v>
      </c>
      <c r="C4827" s="6" t="s">
        <v>5907</v>
      </c>
      <c r="D4827" s="14" t="s">
        <v>3202</v>
      </c>
      <c r="E4827" s="374">
        <v>5081</v>
      </c>
      <c r="F4827" s="107">
        <v>140</v>
      </c>
      <c r="G4827" s="396" t="s">
        <v>5311</v>
      </c>
      <c r="H4827" s="18">
        <v>40</v>
      </c>
      <c r="I4827" s="61">
        <v>1</v>
      </c>
      <c r="J4827" s="18">
        <f>H4827*I4827</f>
        <v>40</v>
      </c>
      <c r="K4827" s="39">
        <v>9.17</v>
      </c>
      <c r="L4827" s="39">
        <f t="shared" si="457"/>
        <v>366.8</v>
      </c>
      <c r="M4827" s="117" t="s">
        <v>323</v>
      </c>
      <c r="N4827" s="1398">
        <v>45910</v>
      </c>
      <c r="O4827" s="32">
        <v>7443</v>
      </c>
      <c r="P4827" s="391">
        <f>ROUNDUP(S4827/V4827/VLOOKUP(B4827,$C$2:$F$6,3,FALSE),2)</f>
        <v>8.0499999999999989</v>
      </c>
      <c r="Q4827" s="39">
        <v>8.0500000000000007</v>
      </c>
      <c r="R4827" s="1564">
        <f t="shared" si="458"/>
        <v>322</v>
      </c>
      <c r="S4827" s="92">
        <v>850</v>
      </c>
      <c r="T4827" s="287">
        <f t="shared" si="459"/>
        <v>34000</v>
      </c>
      <c r="U4827" s="264"/>
      <c r="V4827" s="260">
        <v>120</v>
      </c>
      <c r="W4827" s="1136">
        <f>(((K4827*V4827)-S4827)/(K4827*V4827))</f>
        <v>0.22755361686659403</v>
      </c>
    </row>
    <row r="4828" spans="1:23" ht="18" customHeight="1">
      <c r="B4828" s="12" t="s">
        <v>302</v>
      </c>
      <c r="C4828" s="6" t="s">
        <v>5907</v>
      </c>
      <c r="D4828" s="14" t="s">
        <v>3202</v>
      </c>
      <c r="E4828" s="374">
        <v>5081</v>
      </c>
      <c r="F4828" s="107">
        <v>140</v>
      </c>
      <c r="G4828" s="396" t="s">
        <v>5311</v>
      </c>
      <c r="H4828" s="18">
        <v>44.5</v>
      </c>
      <c r="I4828" s="61">
        <v>1</v>
      </c>
      <c r="J4828" s="18">
        <f>H4828*I4828</f>
        <v>44.5</v>
      </c>
      <c r="K4828" s="39">
        <v>9.17</v>
      </c>
      <c r="L4828" s="39">
        <f t="shared" si="457"/>
        <v>408.065</v>
      </c>
      <c r="M4828" s="117" t="s">
        <v>323</v>
      </c>
      <c r="N4828" s="1398">
        <v>45910</v>
      </c>
      <c r="O4828" s="32">
        <v>7443</v>
      </c>
      <c r="P4828" s="391">
        <f>ROUNDUP(S4828/V4828/VLOOKUP(B4828,$C$2:$F$6,3,FALSE),2)</f>
        <v>8.0499999999999989</v>
      </c>
      <c r="Q4828" s="39">
        <v>8.0500000000000007</v>
      </c>
      <c r="R4828" s="1564">
        <f t="shared" si="458"/>
        <v>358.22500000000002</v>
      </c>
      <c r="S4828" s="92">
        <v>850</v>
      </c>
      <c r="T4828" s="287">
        <f t="shared" si="459"/>
        <v>37825</v>
      </c>
      <c r="U4828" s="264"/>
      <c r="V4828" s="260">
        <v>120</v>
      </c>
      <c r="W4828" s="1136">
        <f>(((K4828*V4828)-S4828)/(K4828*V4828))</f>
        <v>0.22755361686659403</v>
      </c>
    </row>
    <row r="4829" spans="1:23" ht="18" customHeight="1">
      <c r="B4829" s="12" t="s">
        <v>302</v>
      </c>
      <c r="C4829" s="6" t="s">
        <v>5907</v>
      </c>
      <c r="D4829" s="14" t="s">
        <v>3202</v>
      </c>
      <c r="E4829" s="374">
        <v>5081</v>
      </c>
      <c r="F4829" s="107">
        <v>140</v>
      </c>
      <c r="G4829" s="396" t="s">
        <v>5311</v>
      </c>
      <c r="H4829" s="18">
        <v>45</v>
      </c>
      <c r="I4829" s="61">
        <v>1</v>
      </c>
      <c r="J4829" s="18">
        <f>H4829*I4829</f>
        <v>45</v>
      </c>
      <c r="K4829" s="39">
        <v>9.17</v>
      </c>
      <c r="L4829" s="39">
        <f t="shared" si="457"/>
        <v>412.65</v>
      </c>
      <c r="M4829" s="117" t="s">
        <v>323</v>
      </c>
      <c r="N4829" s="1398">
        <v>45910</v>
      </c>
      <c r="O4829" s="32">
        <v>7443</v>
      </c>
      <c r="P4829" s="391">
        <f>ROUNDUP(S4829/V4829/VLOOKUP(B4829,$C$2:$F$6,3,FALSE),2)</f>
        <v>8.0499999999999989</v>
      </c>
      <c r="Q4829" s="39">
        <v>8.0500000000000007</v>
      </c>
      <c r="R4829" s="1565">
        <f t="shared" si="458"/>
        <v>362.25000000000006</v>
      </c>
      <c r="S4829" s="92">
        <v>850</v>
      </c>
      <c r="T4829" s="287">
        <f t="shared" si="459"/>
        <v>38250</v>
      </c>
      <c r="U4829" s="264"/>
      <c r="V4829" s="260">
        <v>120</v>
      </c>
      <c r="W4829" s="1136">
        <f>(((K4829*V4829)-S4829)/(K4829*V4829))</f>
        <v>0.22755361686659403</v>
      </c>
    </row>
    <row r="4830" spans="1:23" s="7" customFormat="1" ht="18" customHeight="1">
      <c r="B4830" s="12"/>
      <c r="C4830" s="6" t="s">
        <v>5907</v>
      </c>
      <c r="D4830" s="14" t="s">
        <v>3202</v>
      </c>
      <c r="E4830" s="22"/>
      <c r="F4830" s="102"/>
      <c r="G4830" s="22" t="s">
        <v>316</v>
      </c>
      <c r="H4830" s="8"/>
      <c r="I4830" s="35"/>
      <c r="J4830" s="38">
        <v>1</v>
      </c>
      <c r="K4830" s="39">
        <v>20</v>
      </c>
      <c r="L4830" s="39">
        <f t="shared" si="457"/>
        <v>20</v>
      </c>
      <c r="M4830" s="91"/>
      <c r="N4830" s="33">
        <v>45910</v>
      </c>
      <c r="O4830" s="32">
        <v>7443</v>
      </c>
      <c r="P4830" s="6"/>
      <c r="Q4830" s="322">
        <v>20</v>
      </c>
      <c r="R4830" s="322">
        <f t="shared" si="458"/>
        <v>20</v>
      </c>
      <c r="S4830" s="1388">
        <v>2500</v>
      </c>
      <c r="T4830" s="287">
        <f t="shared" si="459"/>
        <v>2500</v>
      </c>
      <c r="U4830" s="21"/>
      <c r="V4830" s="260">
        <v>120</v>
      </c>
      <c r="W4830" s="1136">
        <f>(((K4830*V4830)-S4830)/(K4830*V4830))</f>
        <v>-4.1666666666666664E-2</v>
      </c>
    </row>
    <row r="4831" spans="1:23" s="191" customFormat="1" ht="15">
      <c r="B4831" s="190"/>
      <c r="C4831" s="179" t="s">
        <v>5907</v>
      </c>
      <c r="D4831" s="180" t="s">
        <v>3202</v>
      </c>
      <c r="E4831" s="181"/>
      <c r="F4831" s="182"/>
      <c r="G4831" s="182" t="s">
        <v>2738</v>
      </c>
      <c r="H4831" s="184" t="s">
        <v>251</v>
      </c>
      <c r="I4831" s="185"/>
      <c r="J4831" s="183"/>
      <c r="K4831" s="192">
        <v>0</v>
      </c>
      <c r="L4831" s="187"/>
      <c r="M4831" s="187"/>
      <c r="N4831" s="187">
        <v>45910</v>
      </c>
      <c r="O4831" s="186">
        <v>7443</v>
      </c>
      <c r="P4831" s="179"/>
      <c r="Q4831" s="203"/>
      <c r="R4831" s="203"/>
      <c r="S4831" s="203"/>
      <c r="T4831" s="203"/>
      <c r="U4831" s="271"/>
      <c r="V4831" s="260">
        <v>120</v>
      </c>
      <c r="W4831" s="1136" t="e">
        <f t="shared" si="460"/>
        <v>#DIV/0!</v>
      </c>
    </row>
    <row r="4832" spans="1:23" s="7" customFormat="1" ht="18" customHeight="1">
      <c r="B4832" s="12"/>
      <c r="C4832" s="6" t="s">
        <v>5908</v>
      </c>
      <c r="D4832" s="14" t="s">
        <v>5909</v>
      </c>
      <c r="E4832" s="19" t="s">
        <v>10</v>
      </c>
      <c r="F4832" s="107"/>
      <c r="G4832" s="22"/>
      <c r="H4832" s="108"/>
      <c r="I4832" s="109"/>
      <c r="J4832" s="108"/>
      <c r="K4832" s="110" t="s">
        <v>5</v>
      </c>
      <c r="L4832" s="139"/>
      <c r="M4832" s="33"/>
      <c r="N4832" s="1398">
        <v>45894</v>
      </c>
      <c r="O4832" s="32">
        <v>7393</v>
      </c>
      <c r="P4832" s="14"/>
      <c r="Q4832" s="322"/>
      <c r="U4832" s="14"/>
      <c r="V4832" s="260">
        <v>120</v>
      </c>
    </row>
    <row r="4833" spans="1:51" s="7" customFormat="1" ht="18" customHeight="1">
      <c r="B4833" s="12" t="s">
        <v>302</v>
      </c>
      <c r="C4833" s="6" t="s">
        <v>5908</v>
      </c>
      <c r="D4833" s="14" t="s">
        <v>5909</v>
      </c>
      <c r="E4833" s="22" t="s">
        <v>206</v>
      </c>
      <c r="F4833" s="107">
        <v>160</v>
      </c>
      <c r="G4833" s="22" t="s">
        <v>5910</v>
      </c>
      <c r="H4833" s="108"/>
      <c r="I4833" s="109"/>
      <c r="J4833" s="8">
        <v>10</v>
      </c>
      <c r="K4833" s="39">
        <v>4.07</v>
      </c>
      <c r="L4833" s="39">
        <f>K4833*J4833</f>
        <v>40.700000000000003</v>
      </c>
      <c r="M4833" s="117" t="s">
        <v>322</v>
      </c>
      <c r="N4833" s="1398">
        <v>45894</v>
      </c>
      <c r="O4833" s="32">
        <v>7393</v>
      </c>
      <c r="P4833" s="391">
        <f>ROUNDUP(S4833/V4833/VLOOKUP(B4833,$C$2:$F$6,3,FALSE),2)</f>
        <v>3.6999999999999997</v>
      </c>
      <c r="Q4833" s="322">
        <v>3.7</v>
      </c>
      <c r="R4833" s="322">
        <f>Q4833*J4833</f>
        <v>37</v>
      </c>
      <c r="S4833" s="7">
        <v>390</v>
      </c>
      <c r="T4833" s="7">
        <f>S4833*J4833</f>
        <v>3900</v>
      </c>
      <c r="U4833" s="21"/>
      <c r="V4833" s="260">
        <v>120</v>
      </c>
      <c r="W4833" s="1136">
        <f>(((K4833*V4833)-S4833)/(K4833*V4833))</f>
        <v>0.20147420147420153</v>
      </c>
    </row>
    <row r="4834" spans="1:51" s="7" customFormat="1" ht="18" customHeight="1">
      <c r="B4834" s="12" t="s">
        <v>302</v>
      </c>
      <c r="C4834" s="6" t="s">
        <v>5908</v>
      </c>
      <c r="D4834" s="14" t="s">
        <v>5909</v>
      </c>
      <c r="E4834" s="22" t="s">
        <v>206</v>
      </c>
      <c r="F4834" s="107">
        <v>160</v>
      </c>
      <c r="G4834" s="22" t="s">
        <v>5910</v>
      </c>
      <c r="H4834" s="108"/>
      <c r="I4834" s="109"/>
      <c r="J4834" s="8">
        <v>5</v>
      </c>
      <c r="K4834" s="39">
        <v>4.07</v>
      </c>
      <c r="L4834" s="39">
        <f>K4834*J4834</f>
        <v>20.350000000000001</v>
      </c>
      <c r="M4834" s="117" t="s">
        <v>322</v>
      </c>
      <c r="N4834" s="1398">
        <v>45894</v>
      </c>
      <c r="O4834" s="32">
        <v>7393</v>
      </c>
      <c r="P4834" s="391">
        <f>ROUNDUP(S4834/V4834/VLOOKUP(B4834,$C$2:$F$6,3,FALSE),2)</f>
        <v>3.6999999999999997</v>
      </c>
      <c r="Q4834" s="322">
        <v>3.7</v>
      </c>
      <c r="R4834" s="322">
        <f>Q4834*J4834</f>
        <v>18.5</v>
      </c>
      <c r="S4834" s="7">
        <v>390</v>
      </c>
      <c r="T4834" s="7">
        <f>S4834*J4834</f>
        <v>1950</v>
      </c>
      <c r="U4834" s="21"/>
      <c r="V4834" s="260">
        <v>120</v>
      </c>
      <c r="W4834" s="1136">
        <f>(((K4834*V4834)-S4834)/(K4834*V4834))</f>
        <v>0.20147420147420153</v>
      </c>
    </row>
    <row r="4835" spans="1:51" s="7" customFormat="1" ht="18" customHeight="1">
      <c r="B4835" s="12"/>
      <c r="C4835" s="6" t="s">
        <v>5908</v>
      </c>
      <c r="D4835" s="14" t="s">
        <v>5909</v>
      </c>
      <c r="E4835" s="22"/>
      <c r="F4835" s="102"/>
      <c r="G4835" s="22" t="s">
        <v>4329</v>
      </c>
      <c r="H4835" s="8"/>
      <c r="I4835" s="35"/>
      <c r="J4835" s="38">
        <v>2</v>
      </c>
      <c r="K4835" s="39">
        <v>15</v>
      </c>
      <c r="L4835" s="39">
        <f>K4835*J4835</f>
        <v>30</v>
      </c>
      <c r="M4835" s="91"/>
      <c r="N4835" s="1398">
        <v>45894</v>
      </c>
      <c r="O4835" s="32">
        <v>7393</v>
      </c>
      <c r="P4835" s="6"/>
      <c r="Q4835" s="322">
        <v>15</v>
      </c>
      <c r="R4835" s="322">
        <f>Q4835*J4835</f>
        <v>30</v>
      </c>
      <c r="S4835" s="1388">
        <v>1000</v>
      </c>
      <c r="T4835" s="287">
        <f>S4835*J4835</f>
        <v>2000</v>
      </c>
      <c r="U4835" s="21"/>
      <c r="V4835" s="260">
        <v>120</v>
      </c>
      <c r="W4835" s="1136">
        <f>(((K4835*V4835)-S4835)/(K4835*V4835))</f>
        <v>0.44444444444444442</v>
      </c>
    </row>
    <row r="4836" spans="1:51" s="7" customFormat="1" ht="15.75">
      <c r="B4836" s="12" t="s">
        <v>302</v>
      </c>
      <c r="C4836" s="6" t="s">
        <v>5908</v>
      </c>
      <c r="D4836" s="14" t="s">
        <v>5909</v>
      </c>
      <c r="E4836" s="22" t="s">
        <v>207</v>
      </c>
      <c r="F4836" s="107">
        <v>152</v>
      </c>
      <c r="G4836" s="22" t="s">
        <v>5910</v>
      </c>
      <c r="H4836" s="1255">
        <v>50</v>
      </c>
      <c r="I4836" s="109">
        <v>1</v>
      </c>
      <c r="J4836" s="8">
        <f>I4836*H4836</f>
        <v>50</v>
      </c>
      <c r="K4836" s="39">
        <v>3.75</v>
      </c>
      <c r="L4836" s="39">
        <f>K4836*J4836</f>
        <v>187.5</v>
      </c>
      <c r="M4836" s="403" t="s">
        <v>322</v>
      </c>
      <c r="N4836" s="1398">
        <v>45894</v>
      </c>
      <c r="O4836" s="32">
        <v>7393</v>
      </c>
      <c r="P4836" s="391">
        <f>ROUNDUP(S4836/V4836/VLOOKUP(B4836,$C$2:$F$6,3,FALSE),2)</f>
        <v>3.4099999999999997</v>
      </c>
      <c r="Q4836" s="322">
        <v>3.41</v>
      </c>
      <c r="R4836" s="322">
        <f>Q4836*J4836</f>
        <v>170.5</v>
      </c>
      <c r="S4836" s="7">
        <v>360</v>
      </c>
      <c r="T4836" s="7">
        <f>S4836*J4836</f>
        <v>18000</v>
      </c>
      <c r="U4836" s="21"/>
      <c r="V4836" s="260">
        <v>120</v>
      </c>
      <c r="W4836" s="1136">
        <f t="shared" ref="W4836:W4846" si="461">(((K4836*V4836)-S4836)/(K4836*V4836))</f>
        <v>0.2</v>
      </c>
    </row>
    <row r="4837" spans="1:51" s="7" customFormat="1" ht="18" customHeight="1">
      <c r="B4837" s="12"/>
      <c r="C4837" s="6" t="s">
        <v>5908</v>
      </c>
      <c r="D4837" s="14" t="s">
        <v>5909</v>
      </c>
      <c r="E4837" s="22"/>
      <c r="F4837" s="102"/>
      <c r="G4837" s="22" t="s">
        <v>316</v>
      </c>
      <c r="H4837" s="8"/>
      <c r="I4837" s="35"/>
      <c r="J4837" s="38">
        <v>1</v>
      </c>
      <c r="K4837" s="39">
        <v>20</v>
      </c>
      <c r="L4837" s="39">
        <f>K4837*J4837</f>
        <v>20</v>
      </c>
      <c r="M4837" s="91"/>
      <c r="N4837" s="33">
        <v>45894</v>
      </c>
      <c r="O4837" s="32">
        <v>7393</v>
      </c>
      <c r="P4837" s="6"/>
      <c r="Q4837" s="322">
        <v>20</v>
      </c>
      <c r="R4837" s="322">
        <f>Q4837*J4837</f>
        <v>20</v>
      </c>
      <c r="S4837" s="1388">
        <v>2500</v>
      </c>
      <c r="T4837" s="287">
        <f>S4837*J4837</f>
        <v>2500</v>
      </c>
      <c r="U4837" s="21"/>
      <c r="V4837" s="260">
        <v>120</v>
      </c>
      <c r="W4837" s="1136">
        <f t="shared" si="461"/>
        <v>-4.1666666666666664E-2</v>
      </c>
    </row>
    <row r="4838" spans="1:51" s="191" customFormat="1" ht="15.75">
      <c r="B4838" s="190"/>
      <c r="C4838" s="179" t="s">
        <v>5908</v>
      </c>
      <c r="D4838" s="180" t="s">
        <v>5909</v>
      </c>
      <c r="E4838" s="181"/>
      <c r="F4838" s="182"/>
      <c r="G4838" s="309" t="s">
        <v>250</v>
      </c>
      <c r="H4838" s="1561" t="s">
        <v>374</v>
      </c>
      <c r="I4838" s="185"/>
      <c r="J4838" s="183"/>
      <c r="K4838" s="203">
        <v>133</v>
      </c>
      <c r="L4838" s="203">
        <v>133</v>
      </c>
      <c r="M4838" s="1310"/>
      <c r="N4838" s="1399">
        <v>45894</v>
      </c>
      <c r="O4838" s="186">
        <v>7393</v>
      </c>
      <c r="P4838" s="179"/>
      <c r="Q4838" s="203">
        <v>133</v>
      </c>
      <c r="R4838" s="203">
        <v>133</v>
      </c>
      <c r="S4838" s="275">
        <f>2240+9108</f>
        <v>11348</v>
      </c>
      <c r="T4838" s="275">
        <f>2240+9108</f>
        <v>11348</v>
      </c>
      <c r="U4838" s="271"/>
      <c r="V4838" s="260">
        <v>120</v>
      </c>
      <c r="W4838" s="1136">
        <f t="shared" si="461"/>
        <v>0.28897243107769421</v>
      </c>
    </row>
    <row r="4839" spans="1:51" s="7" customFormat="1" ht="15">
      <c r="B4839" s="12"/>
      <c r="C4839" s="965" t="s">
        <v>5911</v>
      </c>
      <c r="D4839" s="14" t="s">
        <v>3150</v>
      </c>
      <c r="E4839" s="19" t="s">
        <v>2244</v>
      </c>
      <c r="F4839" s="24"/>
      <c r="G4839" s="22"/>
      <c r="H4839" s="60"/>
      <c r="I4839" s="61"/>
      <c r="J4839" s="8"/>
      <c r="K4839" s="110" t="s">
        <v>5</v>
      </c>
      <c r="L4839" s="139"/>
      <c r="M4839" s="33"/>
      <c r="N4839" s="1398">
        <v>45894</v>
      </c>
      <c r="O4839" s="32">
        <v>7394</v>
      </c>
      <c r="P4839" s="6" t="s">
        <v>8</v>
      </c>
      <c r="Q4839" s="358"/>
      <c r="U4839" s="120"/>
      <c r="V4839" s="260">
        <v>120</v>
      </c>
      <c r="W4839" s="1136" t="e">
        <f t="shared" si="461"/>
        <v>#VALUE!</v>
      </c>
    </row>
    <row r="4840" spans="1:51" s="7" customFormat="1" ht="18" customHeight="1">
      <c r="B4840" s="12" t="s">
        <v>300</v>
      </c>
      <c r="C4840" s="965" t="s">
        <v>5911</v>
      </c>
      <c r="D4840" s="14" t="s">
        <v>3150</v>
      </c>
      <c r="E4840" s="374">
        <v>11700</v>
      </c>
      <c r="F4840" s="37">
        <v>9</v>
      </c>
      <c r="G4840" s="22" t="s">
        <v>350</v>
      </c>
      <c r="H4840" s="8">
        <v>10</v>
      </c>
      <c r="I4840" s="35">
        <v>1</v>
      </c>
      <c r="J4840" s="108">
        <f>H4840*I4840</f>
        <v>10</v>
      </c>
      <c r="K4840" s="958">
        <v>1.62</v>
      </c>
      <c r="L4840" s="39">
        <f>K4840*J4840</f>
        <v>16.200000000000003</v>
      </c>
      <c r="M4840" s="117" t="s">
        <v>349</v>
      </c>
      <c r="N4840" s="1398">
        <v>45894</v>
      </c>
      <c r="O4840" s="32">
        <v>7394</v>
      </c>
      <c r="P4840" s="391">
        <f>ROUNDUP(S4840/V4840/VLOOKUP(B4840,$C$2:$F$6,3,FALSE),2)</f>
        <v>1.1599999999999999</v>
      </c>
      <c r="Q4840" s="322">
        <v>1.1599999999999999</v>
      </c>
      <c r="R4840" s="322">
        <f>Q4840*J4840</f>
        <v>11.6</v>
      </c>
      <c r="S4840" s="7">
        <v>97.1</v>
      </c>
      <c r="T4840" s="7">
        <f>S4840*J4840</f>
        <v>971</v>
      </c>
      <c r="U4840" s="39"/>
      <c r="V4840" s="260">
        <v>120</v>
      </c>
      <c r="W4840" s="1136">
        <f t="shared" si="461"/>
        <v>0.50051440329218111</v>
      </c>
    </row>
    <row r="4841" spans="1:51" customFormat="1" ht="15.95" customHeight="1">
      <c r="A4841" s="1"/>
      <c r="B4841" s="12" t="s">
        <v>306</v>
      </c>
      <c r="C4841" s="965" t="s">
        <v>5911</v>
      </c>
      <c r="D4841" s="14" t="s">
        <v>3150</v>
      </c>
      <c r="E4841" s="22"/>
      <c r="F4841" s="102"/>
      <c r="G4841" s="37" t="s">
        <v>316</v>
      </c>
      <c r="H4841" s="8"/>
      <c r="I4841" s="35"/>
      <c r="J4841" s="38">
        <v>1</v>
      </c>
      <c r="K4841" s="39">
        <v>12</v>
      </c>
      <c r="L4841" s="39">
        <f>K4841*J4841</f>
        <v>12</v>
      </c>
      <c r="M4841" s="91"/>
      <c r="N4841" s="1398">
        <v>45894</v>
      </c>
      <c r="O4841" s="32">
        <v>7394</v>
      </c>
      <c r="P4841" s="39"/>
      <c r="Q4841" s="358">
        <v>12</v>
      </c>
      <c r="R4841" s="323">
        <v>12</v>
      </c>
      <c r="S4841" s="7">
        <v>0</v>
      </c>
      <c r="T4841" s="7">
        <v>0</v>
      </c>
      <c r="U4841" s="270"/>
      <c r="V4841" s="260">
        <v>120</v>
      </c>
      <c r="W4841" s="1136">
        <f t="shared" si="461"/>
        <v>1</v>
      </c>
    </row>
    <row r="4842" spans="1:51" s="191" customFormat="1" ht="15.75">
      <c r="B4842" s="190"/>
      <c r="C4842" s="966" t="s">
        <v>5911</v>
      </c>
      <c r="D4842" s="180" t="s">
        <v>3150</v>
      </c>
      <c r="E4842" s="181"/>
      <c r="F4842" s="182"/>
      <c r="G4842" s="309" t="s">
        <v>250</v>
      </c>
      <c r="H4842" s="1561" t="s">
        <v>251</v>
      </c>
      <c r="I4842" s="185"/>
      <c r="J4842" s="183"/>
      <c r="K4842" s="192">
        <v>0</v>
      </c>
      <c r="L4842" s="192">
        <v>0</v>
      </c>
      <c r="M4842" s="1310"/>
      <c r="N4842" s="1399">
        <v>45894</v>
      </c>
      <c r="O4842" s="186">
        <v>7394</v>
      </c>
      <c r="P4842" s="179"/>
      <c r="Q4842" s="192">
        <v>0</v>
      </c>
      <c r="R4842" s="192">
        <v>0</v>
      </c>
      <c r="S4842" s="192">
        <v>0</v>
      </c>
      <c r="T4842" s="192">
        <v>0</v>
      </c>
      <c r="U4842" s="271"/>
      <c r="V4842" s="260">
        <v>120</v>
      </c>
      <c r="W4842" s="1136" t="e">
        <f t="shared" si="461"/>
        <v>#DIV/0!</v>
      </c>
    </row>
    <row r="4843" spans="1:51" customFormat="1" ht="18" customHeight="1">
      <c r="A4843" s="1"/>
      <c r="B4843" s="26"/>
      <c r="C4843" s="6" t="s">
        <v>5923</v>
      </c>
      <c r="D4843" s="14" t="s">
        <v>4693</v>
      </c>
      <c r="E4843" s="19" t="s">
        <v>59</v>
      </c>
      <c r="F4843" s="107"/>
      <c r="G4843" s="22"/>
      <c r="H4843" s="108"/>
      <c r="I4843" s="109"/>
      <c r="J4843" s="108"/>
      <c r="K4843" s="110" t="s">
        <v>5</v>
      </c>
      <c r="L4843" s="33"/>
      <c r="M4843" s="33"/>
      <c r="N4843" s="1398">
        <v>45917</v>
      </c>
      <c r="O4843" s="32">
        <v>7450</v>
      </c>
      <c r="P4843" s="14"/>
      <c r="Q4843" s="254"/>
      <c r="R4843" s="1"/>
      <c r="S4843" s="261"/>
      <c r="T4843" s="92"/>
      <c r="U4843" s="264"/>
      <c r="V4843" s="260">
        <v>120</v>
      </c>
      <c r="W4843" s="1136" t="e">
        <f t="shared" si="461"/>
        <v>#VALUE!</v>
      </c>
      <c r="X4843" s="1"/>
      <c r="Y4843" s="1"/>
      <c r="Z4843" s="1"/>
      <c r="AA4843" s="1"/>
      <c r="AB4843" s="1"/>
      <c r="AC4843" s="1"/>
      <c r="AD4843" s="1"/>
      <c r="AE4843" s="1"/>
      <c r="AF4843" s="1"/>
      <c r="AG4843" s="1"/>
      <c r="AH4843" s="1"/>
      <c r="AI4843" s="1"/>
      <c r="AJ4843" s="1"/>
      <c r="AK4843" s="1"/>
      <c r="AL4843" s="1"/>
      <c r="AM4843" s="1"/>
      <c r="AN4843" s="1"/>
      <c r="AO4843" s="1"/>
      <c r="AP4843" s="1"/>
      <c r="AQ4843" s="1"/>
      <c r="AR4843" s="1"/>
      <c r="AS4843" s="1"/>
      <c r="AT4843" s="1"/>
      <c r="AU4843" s="1"/>
      <c r="AV4843" s="1"/>
      <c r="AW4843" s="1"/>
      <c r="AX4843" s="1"/>
      <c r="AY4843" s="1"/>
    </row>
    <row r="4844" spans="1:51" customFormat="1" ht="18" customHeight="1">
      <c r="B4844" s="12" t="s">
        <v>302</v>
      </c>
      <c r="C4844" s="6" t="s">
        <v>5923</v>
      </c>
      <c r="D4844" s="14" t="s">
        <v>4693</v>
      </c>
      <c r="E4844" s="22" t="s">
        <v>5747</v>
      </c>
      <c r="F4844" s="107">
        <v>152</v>
      </c>
      <c r="G4844" s="22" t="s">
        <v>5924</v>
      </c>
      <c r="H4844" s="108">
        <v>58</v>
      </c>
      <c r="I4844" s="109">
        <v>2</v>
      </c>
      <c r="J4844" s="8">
        <f>H4844*I4844</f>
        <v>116</v>
      </c>
      <c r="K4844" s="39">
        <v>3.88</v>
      </c>
      <c r="L4844" s="39">
        <f>K4844*J4844</f>
        <v>450.08</v>
      </c>
      <c r="M4844" s="117" t="s">
        <v>323</v>
      </c>
      <c r="N4844" s="1398">
        <v>45917</v>
      </c>
      <c r="O4844" s="32">
        <v>7450</v>
      </c>
      <c r="P4844" s="391">
        <f>ROUNDUP(S4844/V4844/VLOOKUP(B4844,$C$2:$F$6,3,FALSE),2)</f>
        <v>2.94</v>
      </c>
      <c r="Q4844" s="254">
        <v>2.94</v>
      </c>
      <c r="R4844" s="323">
        <f>Q4844*J4844</f>
        <v>341.04</v>
      </c>
      <c r="S4844" s="257">
        <v>310</v>
      </c>
      <c r="T4844" s="287">
        <f>S4844*J4844</f>
        <v>35960</v>
      </c>
      <c r="U4844" s="264"/>
      <c r="V4844" s="260">
        <v>120</v>
      </c>
      <c r="W4844" s="1136">
        <f t="shared" si="461"/>
        <v>0.33419243986254293</v>
      </c>
      <c r="X4844" s="1"/>
      <c r="Y4844" s="1"/>
      <c r="Z4844" s="1"/>
      <c r="AA4844" s="1"/>
      <c r="AB4844" s="1"/>
      <c r="AC4844" s="1"/>
      <c r="AD4844" s="1"/>
      <c r="AE4844" s="1"/>
      <c r="AF4844" s="1"/>
      <c r="AG4844" s="1"/>
      <c r="AH4844" s="1"/>
      <c r="AI4844" s="1"/>
      <c r="AJ4844" s="1"/>
      <c r="AK4844" s="1"/>
      <c r="AL4844" s="1"/>
      <c r="AM4844" s="1"/>
      <c r="AN4844" s="1"/>
      <c r="AO4844" s="1"/>
      <c r="AP4844" s="1"/>
      <c r="AQ4844" s="1"/>
      <c r="AR4844" s="1"/>
      <c r="AS4844" s="1"/>
      <c r="AT4844" s="1"/>
      <c r="AU4844" s="1"/>
      <c r="AV4844" s="1"/>
      <c r="AW4844" s="1"/>
      <c r="AX4844" s="1"/>
      <c r="AY4844" s="1"/>
    </row>
    <row r="4845" spans="1:51" s="7" customFormat="1" ht="15">
      <c r="B4845" s="12"/>
      <c r="C4845" s="6" t="s">
        <v>5923</v>
      </c>
      <c r="D4845" s="14" t="s">
        <v>4693</v>
      </c>
      <c r="E4845" s="49"/>
      <c r="F4845" s="102"/>
      <c r="G4845" s="22" t="s">
        <v>316</v>
      </c>
      <c r="H4845" s="38"/>
      <c r="I4845" s="35"/>
      <c r="J4845" s="38">
        <v>1</v>
      </c>
      <c r="K4845" s="39">
        <v>20</v>
      </c>
      <c r="L4845" s="39">
        <f>K4845*J4845</f>
        <v>20</v>
      </c>
      <c r="M4845" s="91"/>
      <c r="N4845" s="1398">
        <v>45917</v>
      </c>
      <c r="O4845" s="32">
        <v>7450</v>
      </c>
      <c r="P4845" s="722"/>
      <c r="Q4845" s="322">
        <v>20</v>
      </c>
      <c r="R4845" s="322">
        <f>Q4845*J4845</f>
        <v>20</v>
      </c>
      <c r="S4845" s="7">
        <v>2500</v>
      </c>
      <c r="T4845" s="7">
        <f>S4845*J4845</f>
        <v>2500</v>
      </c>
      <c r="U4845" s="21"/>
      <c r="V4845" s="260">
        <v>120</v>
      </c>
      <c r="W4845" s="1136">
        <f t="shared" si="461"/>
        <v>-4.1666666666666664E-2</v>
      </c>
    </row>
    <row r="4846" spans="1:51" s="191" customFormat="1" ht="15.75">
      <c r="B4846" s="190"/>
      <c r="C4846" s="179" t="s">
        <v>5923</v>
      </c>
      <c r="D4846" s="180" t="s">
        <v>4693</v>
      </c>
      <c r="E4846" s="181"/>
      <c r="F4846" s="182"/>
      <c r="G4846" s="182" t="s">
        <v>2738</v>
      </c>
      <c r="H4846" s="184" t="s">
        <v>251</v>
      </c>
      <c r="I4846" s="185"/>
      <c r="J4846" s="183"/>
      <c r="K4846" s="192">
        <v>0</v>
      </c>
      <c r="L4846" s="187"/>
      <c r="M4846" s="1310"/>
      <c r="N4846" s="1399">
        <v>45917</v>
      </c>
      <c r="O4846" s="186">
        <v>7450</v>
      </c>
      <c r="P4846" s="179"/>
      <c r="Q4846" s="255">
        <v>0</v>
      </c>
      <c r="R4846" s="322">
        <v>0</v>
      </c>
      <c r="S4846" s="275">
        <v>0</v>
      </c>
      <c r="T4846" s="198">
        <v>0</v>
      </c>
      <c r="U4846" s="271"/>
      <c r="V4846" s="260">
        <v>120</v>
      </c>
      <c r="W4846" s="1136" t="e">
        <f t="shared" si="461"/>
        <v>#DIV/0!</v>
      </c>
    </row>
    <row r="4847" spans="1:51" s="7" customFormat="1" ht="18" customHeight="1">
      <c r="B4847" s="12"/>
      <c r="C4847" s="6" t="s">
        <v>5972</v>
      </c>
      <c r="D4847" s="14" t="s">
        <v>3047</v>
      </c>
      <c r="E4847" s="19" t="s">
        <v>2358</v>
      </c>
      <c r="F4847" s="24"/>
      <c r="G4847" s="49"/>
      <c r="H4847" s="60"/>
      <c r="I4847" s="61"/>
      <c r="J4847" s="60"/>
      <c r="K4847" s="110" t="s">
        <v>5</v>
      </c>
      <c r="L4847" s="144"/>
      <c r="M4847" s="11"/>
      <c r="N4847" s="1398">
        <v>45924</v>
      </c>
      <c r="O4847" s="32">
        <v>7473</v>
      </c>
      <c r="P4847" s="6" t="s">
        <v>3</v>
      </c>
      <c r="Q4847" s="358"/>
      <c r="S4847" s="1434"/>
      <c r="U4847" s="120"/>
      <c r="V4847" s="260">
        <v>120</v>
      </c>
    </row>
    <row r="4848" spans="1:51" s="7" customFormat="1" ht="18" customHeight="1">
      <c r="B4848" s="12" t="s">
        <v>300</v>
      </c>
      <c r="C4848" s="6" t="s">
        <v>5972</v>
      </c>
      <c r="D4848" s="14" t="s">
        <v>3047</v>
      </c>
      <c r="E4848" s="374" t="s">
        <v>5954</v>
      </c>
      <c r="F4848" s="24"/>
      <c r="G4848" s="22" t="s">
        <v>5318</v>
      </c>
      <c r="H4848" s="108"/>
      <c r="I4848" s="109"/>
      <c r="J4848" s="8">
        <v>20</v>
      </c>
      <c r="K4848" s="39">
        <f>ROUNDUP(S4848/0.6/120,2)</f>
        <v>2.5499999999999998</v>
      </c>
      <c r="L4848" s="39">
        <f>K4848*J4848</f>
        <v>51</v>
      </c>
      <c r="M4848" s="117" t="s">
        <v>323</v>
      </c>
      <c r="N4848" s="1398">
        <v>45924</v>
      </c>
      <c r="O4848" s="32">
        <v>7473</v>
      </c>
      <c r="P4848" s="391">
        <f>ROUNDUP(S4848/V4848/VLOOKUP(B4848,$C$2:$F$6,3,FALSE),2)</f>
        <v>2.1799999999999997</v>
      </c>
      <c r="Q4848" s="322">
        <v>2.1800000000000002</v>
      </c>
      <c r="R4848" s="322">
        <f>Q4848*J4848</f>
        <v>43.6</v>
      </c>
      <c r="S4848" s="7">
        <v>183</v>
      </c>
      <c r="T4848" s="7">
        <f>S4848*J4848</f>
        <v>3660</v>
      </c>
      <c r="U4848" s="14"/>
      <c r="V4848" s="260">
        <v>120</v>
      </c>
      <c r="W4848" s="1136">
        <f>(((K4848*V4848)-S4848)/(K4848*V4848))</f>
        <v>0.40196078431372551</v>
      </c>
    </row>
    <row r="4849" spans="1:23" s="7" customFormat="1" ht="18" customHeight="1">
      <c r="B4849" s="12"/>
      <c r="C4849" s="6" t="s">
        <v>5972</v>
      </c>
      <c r="D4849" s="14" t="s">
        <v>3047</v>
      </c>
      <c r="E4849" s="19" t="s">
        <v>5963</v>
      </c>
      <c r="F4849" s="24"/>
      <c r="G4849" s="22"/>
      <c r="H4849" s="108"/>
      <c r="I4849" s="109"/>
      <c r="J4849" s="8"/>
      <c r="K4849" s="39"/>
      <c r="L4849" s="39"/>
      <c r="M4849" s="117"/>
      <c r="N4849" s="33">
        <v>45924</v>
      </c>
      <c r="O4849" s="32">
        <v>7473</v>
      </c>
      <c r="P4849" s="391"/>
      <c r="Q4849" s="322"/>
      <c r="R4849" s="322"/>
      <c r="U4849" s="386"/>
      <c r="V4849" s="260"/>
      <c r="W4849" s="1136"/>
    </row>
    <row r="4850" spans="1:23" s="7" customFormat="1" ht="18" customHeight="1">
      <c r="B4850" s="12" t="s">
        <v>300</v>
      </c>
      <c r="C4850" s="6" t="s">
        <v>5972</v>
      </c>
      <c r="D4850" s="14" t="s">
        <v>3047</v>
      </c>
      <c r="E4850" s="374" t="s">
        <v>5971</v>
      </c>
      <c r="F4850" s="24"/>
      <c r="G4850" s="22" t="s">
        <v>5318</v>
      </c>
      <c r="H4850" s="108"/>
      <c r="I4850" s="109"/>
      <c r="J4850" s="8">
        <v>20</v>
      </c>
      <c r="K4850" s="39">
        <v>2.4499999999999997</v>
      </c>
      <c r="L4850" s="39">
        <f>K4850*J4850</f>
        <v>48.999999999999993</v>
      </c>
      <c r="M4850" s="117" t="s">
        <v>323</v>
      </c>
      <c r="N4850" s="33">
        <v>45924</v>
      </c>
      <c r="O4850" s="32">
        <v>7473</v>
      </c>
      <c r="P4850" s="391">
        <f>ROUNDUP(S4850/V4850/VLOOKUP(B4850,$C$2:$F$6,3,FALSE),2)</f>
        <v>2.0999999999999996</v>
      </c>
      <c r="Q4850" s="322">
        <v>2.1</v>
      </c>
      <c r="R4850" s="322">
        <f>Q4850*J4850</f>
        <v>42</v>
      </c>
      <c r="S4850" s="7">
        <v>176</v>
      </c>
      <c r="T4850" s="7">
        <f>S4850*J4850</f>
        <v>3520</v>
      </c>
      <c r="U4850" s="386"/>
      <c r="V4850" s="260">
        <v>120</v>
      </c>
      <c r="W4850" s="1136">
        <f>(((K4850*V4850)-S4850)/(K4850*V4850))</f>
        <v>0.40136054421768697</v>
      </c>
    </row>
    <row r="4851" spans="1:23" s="7" customFormat="1" ht="18" customHeight="1">
      <c r="B4851" s="12"/>
      <c r="C4851" s="6" t="s">
        <v>5972</v>
      </c>
      <c r="D4851" s="14" t="s">
        <v>3047</v>
      </c>
      <c r="E4851" s="1458" t="s">
        <v>2358</v>
      </c>
      <c r="F4851" s="24"/>
      <c r="G4851" s="22"/>
      <c r="H4851" s="60"/>
      <c r="I4851" s="61"/>
      <c r="J4851" s="60"/>
      <c r="K4851" s="16"/>
      <c r="L4851" s="144"/>
      <c r="M4851" s="11"/>
      <c r="N4851" s="1398">
        <v>45924</v>
      </c>
      <c r="O4851" s="32">
        <v>7473</v>
      </c>
      <c r="P4851" s="6" t="s">
        <v>3</v>
      </c>
      <c r="Q4851" s="358"/>
      <c r="S4851" s="1434"/>
      <c r="U4851" s="120"/>
      <c r="V4851" s="260">
        <v>120</v>
      </c>
    </row>
    <row r="4852" spans="1:23" s="7" customFormat="1" ht="18" customHeight="1">
      <c r="B4852" s="12" t="s">
        <v>300</v>
      </c>
      <c r="C4852" s="6" t="s">
        <v>5972</v>
      </c>
      <c r="D4852" s="14" t="s">
        <v>3047</v>
      </c>
      <c r="E4852" s="374" t="s">
        <v>5764</v>
      </c>
      <c r="F4852" s="24"/>
      <c r="G4852" s="22" t="s">
        <v>5318</v>
      </c>
      <c r="H4852" s="108"/>
      <c r="I4852" s="109"/>
      <c r="J4852" s="8">
        <v>20</v>
      </c>
      <c r="K4852" s="39">
        <f>ROUNDUP(S4852/0.6/120,2)</f>
        <v>1.98</v>
      </c>
      <c r="L4852" s="39">
        <f>K4852*J4852</f>
        <v>39.6</v>
      </c>
      <c r="M4852" s="117" t="s">
        <v>323</v>
      </c>
      <c r="N4852" s="1398">
        <v>45924</v>
      </c>
      <c r="O4852" s="32">
        <v>7473</v>
      </c>
      <c r="P4852" s="391">
        <f>ROUNDUP(S4852/V4852/VLOOKUP(B4852,$C$2:$F$6,3,FALSE),2)</f>
        <v>1.7</v>
      </c>
      <c r="Q4852" s="322">
        <v>1.7</v>
      </c>
      <c r="R4852" s="322">
        <f>Q4852*J4852</f>
        <v>34</v>
      </c>
      <c r="S4852" s="7">
        <v>142</v>
      </c>
      <c r="T4852" s="7">
        <f>S4852*J4852</f>
        <v>2840</v>
      </c>
      <c r="U4852" s="14"/>
      <c r="V4852" s="260">
        <v>120</v>
      </c>
      <c r="W4852" s="1136">
        <f>(((K4852*V4852)-S4852)/(K4852*V4852))</f>
        <v>0.40235690235690236</v>
      </c>
    </row>
    <row r="4853" spans="1:23" s="7" customFormat="1" ht="15">
      <c r="B4853" s="12"/>
      <c r="C4853" s="6" t="s">
        <v>5972</v>
      </c>
      <c r="D4853" s="14" t="s">
        <v>3047</v>
      </c>
      <c r="E4853" s="49"/>
      <c r="F4853" s="102"/>
      <c r="G4853" s="22" t="s">
        <v>316</v>
      </c>
      <c r="H4853" s="38"/>
      <c r="I4853" s="35"/>
      <c r="J4853" s="38">
        <v>1</v>
      </c>
      <c r="K4853" s="39">
        <v>12</v>
      </c>
      <c r="L4853" s="39">
        <f>K4853*J4853</f>
        <v>12</v>
      </c>
      <c r="M4853" s="91"/>
      <c r="N4853" s="1398">
        <v>45924</v>
      </c>
      <c r="O4853" s="32">
        <v>7473</v>
      </c>
      <c r="P4853" s="722"/>
      <c r="Q4853" s="322">
        <v>12</v>
      </c>
      <c r="R4853" s="322">
        <f>Q4853*J4853</f>
        <v>12</v>
      </c>
      <c r="S4853" s="1388">
        <v>0</v>
      </c>
      <c r="T4853" s="1388">
        <f>S4853*J4853</f>
        <v>0</v>
      </c>
      <c r="U4853" s="21"/>
      <c r="V4853" s="260">
        <v>120</v>
      </c>
      <c r="W4853" s="1136">
        <f>(((K4853*V4853)-S4853)/(K4853*V4853))</f>
        <v>1</v>
      </c>
    </row>
    <row r="4854" spans="1:23" s="214" customFormat="1" ht="18" customHeight="1">
      <c r="B4854" s="1577" t="s">
        <v>300</v>
      </c>
      <c r="C4854" s="145" t="s">
        <v>5972</v>
      </c>
      <c r="D4854" s="149" t="s">
        <v>3047</v>
      </c>
      <c r="E4854" s="832" t="s">
        <v>5997</v>
      </c>
      <c r="F4854" s="121"/>
      <c r="G4854" s="122" t="s">
        <v>5318</v>
      </c>
      <c r="H4854" s="148"/>
      <c r="I4854" s="156"/>
      <c r="J4854" s="151">
        <v>20</v>
      </c>
      <c r="K4854" s="132">
        <v>2.5</v>
      </c>
      <c r="L4854" s="132">
        <f>K4854*J4854</f>
        <v>50</v>
      </c>
      <c r="M4854" s="373" t="s">
        <v>323</v>
      </c>
      <c r="N4854" s="1667" t="s">
        <v>6231</v>
      </c>
      <c r="O4854" s="1667" t="s">
        <v>6231</v>
      </c>
      <c r="P4854" s="1579">
        <f>ROUNDUP(S4854/V4854/VLOOKUP(B4854,$C$2:$F$6,3,FALSE),2)</f>
        <v>2.15</v>
      </c>
      <c r="Q4854" s="1580"/>
      <c r="R4854" s="1580">
        <f>Q4854*J4854</f>
        <v>0</v>
      </c>
      <c r="S4854" s="1614">
        <v>180</v>
      </c>
      <c r="T4854" s="214">
        <f>S4854*J4854</f>
        <v>3600</v>
      </c>
      <c r="U4854" s="1578"/>
      <c r="V4854" s="1258">
        <v>120</v>
      </c>
      <c r="W4854" s="1581">
        <f>(((K4854*V4854)-S4854)/(K4854*V4854))</f>
        <v>0.4</v>
      </c>
    </row>
    <row r="4855" spans="1:23" s="7" customFormat="1" ht="18" customHeight="1">
      <c r="B4855" s="12" t="s">
        <v>300</v>
      </c>
      <c r="C4855" s="145" t="s">
        <v>5972</v>
      </c>
      <c r="D4855" s="149" t="s">
        <v>3047</v>
      </c>
      <c r="E4855" s="832" t="s">
        <v>5997</v>
      </c>
      <c r="F4855" s="121"/>
      <c r="G4855" s="122" t="s">
        <v>5964</v>
      </c>
      <c r="H4855" s="148"/>
      <c r="I4855" s="156"/>
      <c r="J4855" s="151">
        <v>20</v>
      </c>
      <c r="K4855" s="132">
        <v>3.48</v>
      </c>
      <c r="L4855" s="132">
        <f>K4855*J4855</f>
        <v>69.599999999999994</v>
      </c>
      <c r="M4855" s="373" t="s">
        <v>323</v>
      </c>
      <c r="N4855" s="1667" t="s">
        <v>6231</v>
      </c>
      <c r="O4855" s="1667" t="s">
        <v>6231</v>
      </c>
      <c r="P4855" s="391">
        <f>ROUNDUP(S4855/V4855/VLOOKUP(B4855,$C$2:$F$6,3,FALSE),2)</f>
        <v>2.98</v>
      </c>
      <c r="Q4855" s="322"/>
      <c r="R4855" s="322">
        <f>Q4855*J4855</f>
        <v>0</v>
      </c>
      <c r="S4855" s="92">
        <v>250</v>
      </c>
      <c r="T4855" s="7">
        <f>S4855*J4855</f>
        <v>5000</v>
      </c>
      <c r="U4855" s="14"/>
      <c r="V4855" s="260">
        <v>120</v>
      </c>
      <c r="W4855" s="1136">
        <f>(((K4855*V4855)-S4855)/(K4855*V4855))</f>
        <v>0.40134099616858243</v>
      </c>
    </row>
    <row r="4856" spans="1:23" s="7" customFormat="1" ht="17.45" customHeight="1">
      <c r="A4856" s="1"/>
      <c r="B4856" s="12"/>
      <c r="C4856" s="145" t="s">
        <v>5972</v>
      </c>
      <c r="D4856" s="149" t="s">
        <v>3047</v>
      </c>
      <c r="E4856" s="367" t="s">
        <v>6005</v>
      </c>
      <c r="F4856" s="121"/>
      <c r="G4856" s="122"/>
      <c r="H4856" s="148"/>
      <c r="I4856" s="152"/>
      <c r="J4856" s="146"/>
      <c r="K4856" s="377" t="s">
        <v>102</v>
      </c>
      <c r="L4856" s="132"/>
      <c r="M4856" s="373"/>
      <c r="N4856" s="1667" t="s">
        <v>6231</v>
      </c>
      <c r="O4856" s="1667" t="s">
        <v>6231</v>
      </c>
      <c r="P4856" s="124"/>
      <c r="Q4856" s="254"/>
      <c r="R4856" s="323"/>
      <c r="S4856" s="257">
        <v>0</v>
      </c>
      <c r="T4856" s="92"/>
      <c r="U4856" s="1479"/>
      <c r="V4856" s="260"/>
      <c r="W4856" s="1136"/>
    </row>
    <row r="4857" spans="1:23" s="214" customFormat="1" ht="18" customHeight="1">
      <c r="B4857" s="1577" t="s">
        <v>306</v>
      </c>
      <c r="C4857" s="145" t="s">
        <v>5972</v>
      </c>
      <c r="D4857" s="149" t="s">
        <v>3047</v>
      </c>
      <c r="E4857" s="832" t="s">
        <v>5997</v>
      </c>
      <c r="F4857" s="121"/>
      <c r="G4857" s="122" t="s">
        <v>5318</v>
      </c>
      <c r="H4857" s="148"/>
      <c r="I4857" s="156"/>
      <c r="J4857" s="381">
        <v>1</v>
      </c>
      <c r="K4857" s="132">
        <v>65</v>
      </c>
      <c r="L4857" s="132">
        <f>K4857*J4857</f>
        <v>65</v>
      </c>
      <c r="M4857" s="373" t="s">
        <v>323</v>
      </c>
      <c r="N4857" s="1667" t="s">
        <v>6231</v>
      </c>
      <c r="O4857" s="1667" t="s">
        <v>6231</v>
      </c>
      <c r="P4857" s="1579">
        <f>ROUNDUP(S4857/V4857/VLOOKUP(B4857,$C$2:$F$6,3,FALSE),2)</f>
        <v>56.82</v>
      </c>
      <c r="Q4857" s="1580">
        <v>56.82</v>
      </c>
      <c r="R4857" s="1580">
        <f>Q4857*J4857</f>
        <v>56.82</v>
      </c>
      <c r="S4857" s="214">
        <v>6000</v>
      </c>
      <c r="T4857" s="214">
        <f>S4857*J4857</f>
        <v>6000</v>
      </c>
      <c r="U4857" s="1578"/>
      <c r="V4857" s="1258">
        <v>120</v>
      </c>
      <c r="W4857" s="1581">
        <f>(((K4857*V4857)-S4857)/(K4857*V4857))</f>
        <v>0.23076923076923078</v>
      </c>
    </row>
    <row r="4858" spans="1:23" s="7" customFormat="1" ht="18" customHeight="1">
      <c r="B4858" s="12" t="s">
        <v>306</v>
      </c>
      <c r="C4858" s="145" t="s">
        <v>5972</v>
      </c>
      <c r="D4858" s="149" t="s">
        <v>3047</v>
      </c>
      <c r="E4858" s="832" t="s">
        <v>5997</v>
      </c>
      <c r="F4858" s="121"/>
      <c r="G4858" s="122" t="s">
        <v>5964</v>
      </c>
      <c r="H4858" s="148"/>
      <c r="I4858" s="156"/>
      <c r="J4858" s="381">
        <v>1</v>
      </c>
      <c r="K4858" s="132">
        <v>65</v>
      </c>
      <c r="L4858" s="132">
        <f>K4858*J4858</f>
        <v>65</v>
      </c>
      <c r="M4858" s="373" t="s">
        <v>323</v>
      </c>
      <c r="N4858" s="1667" t="s">
        <v>6231</v>
      </c>
      <c r="O4858" s="1667" t="s">
        <v>6231</v>
      </c>
      <c r="P4858" s="391">
        <f>ROUNDUP(S4858/V4858/VLOOKUP(B4858,$C$2:$F$6,3,FALSE),2)</f>
        <v>56.82</v>
      </c>
      <c r="Q4858" s="322">
        <v>56.82</v>
      </c>
      <c r="R4858" s="322">
        <f>Q4858*J4858</f>
        <v>56.82</v>
      </c>
      <c r="S4858" s="7">
        <v>6000</v>
      </c>
      <c r="T4858" s="7">
        <f>S4858*J4858</f>
        <v>6000</v>
      </c>
      <c r="U4858" s="14"/>
      <c r="V4858" s="260">
        <v>120</v>
      </c>
      <c r="W4858" s="1136">
        <f t="shared" ref="W4858:W4875" si="462">(((K4858*V4858)-S4858)/(K4858*V4858))</f>
        <v>0.23076923076923078</v>
      </c>
    </row>
    <row r="4859" spans="1:23" s="191" customFormat="1" ht="15.75">
      <c r="B4859" s="190"/>
      <c r="C4859" s="179" t="s">
        <v>5972</v>
      </c>
      <c r="D4859" s="180" t="s">
        <v>3047</v>
      </c>
      <c r="E4859" s="181"/>
      <c r="F4859" s="182"/>
      <c r="G4859" s="182" t="s">
        <v>2738</v>
      </c>
      <c r="H4859" s="184" t="s">
        <v>251</v>
      </c>
      <c r="I4859" s="185"/>
      <c r="J4859" s="183"/>
      <c r="K4859" s="192">
        <v>0</v>
      </c>
      <c r="L4859" s="187"/>
      <c r="M4859" s="1310"/>
      <c r="N4859" s="1399"/>
      <c r="O4859" s="186"/>
      <c r="P4859" s="179"/>
      <c r="Q4859" s="255">
        <v>0</v>
      </c>
      <c r="R4859" s="322">
        <v>0</v>
      </c>
      <c r="S4859" s="275">
        <v>0</v>
      </c>
      <c r="T4859" s="198">
        <v>0</v>
      </c>
      <c r="U4859" s="271"/>
      <c r="V4859" s="260">
        <v>120</v>
      </c>
      <c r="W4859" s="1136" t="e">
        <f t="shared" si="462"/>
        <v>#DIV/0!</v>
      </c>
    </row>
    <row r="4860" spans="1:23" s="7" customFormat="1" ht="19.5">
      <c r="B4860" s="12"/>
      <c r="C4860" s="965" t="s">
        <v>5969</v>
      </c>
      <c r="D4860" s="14" t="s">
        <v>3150</v>
      </c>
      <c r="E4860" s="19" t="s">
        <v>5965</v>
      </c>
      <c r="F4860" s="24"/>
      <c r="G4860" s="22"/>
      <c r="H4860" s="60"/>
      <c r="I4860" s="61"/>
      <c r="J4860" s="8"/>
      <c r="K4860" s="110" t="s">
        <v>5</v>
      </c>
      <c r="L4860" s="139"/>
      <c r="M4860" s="33"/>
      <c r="N4860" s="1398">
        <v>45925</v>
      </c>
      <c r="O4860" s="32">
        <v>7474</v>
      </c>
      <c r="P4860" s="6" t="s">
        <v>8</v>
      </c>
      <c r="Q4860" s="358"/>
      <c r="U4860" s="120"/>
      <c r="V4860" s="260">
        <v>120</v>
      </c>
      <c r="W4860" s="1136" t="e">
        <f t="shared" si="462"/>
        <v>#VALUE!</v>
      </c>
    </row>
    <row r="4861" spans="1:23" s="7" customFormat="1" ht="18" customHeight="1">
      <c r="B4861" s="12" t="s">
        <v>300</v>
      </c>
      <c r="C4861" s="965" t="s">
        <v>5969</v>
      </c>
      <c r="D4861" s="14" t="s">
        <v>3150</v>
      </c>
      <c r="E4861" s="374" t="s">
        <v>5966</v>
      </c>
      <c r="F4861" s="37" t="s">
        <v>5967</v>
      </c>
      <c r="G4861" s="22" t="s">
        <v>5968</v>
      </c>
      <c r="H4861" s="8">
        <v>30</v>
      </c>
      <c r="I4861" s="35">
        <v>1</v>
      </c>
      <c r="J4861" s="108">
        <f>H4861*I4861</f>
        <v>30</v>
      </c>
      <c r="K4861" s="958">
        <v>0.37</v>
      </c>
      <c r="L4861" s="39">
        <f>K4861*J4861</f>
        <v>11.1</v>
      </c>
      <c r="M4861" s="117" t="s">
        <v>349</v>
      </c>
      <c r="N4861" s="1398">
        <v>45925</v>
      </c>
      <c r="O4861" s="32">
        <v>7474</v>
      </c>
      <c r="P4861" s="391">
        <f>ROUNDUP(S4861/V4861/VLOOKUP(B4861,$C$2:$F$6,3,FALSE),2)</f>
        <v>0.27</v>
      </c>
      <c r="Q4861" s="322">
        <v>0.27</v>
      </c>
      <c r="R4861" s="322">
        <f>Q4861*J4861</f>
        <v>8.1000000000000014</v>
      </c>
      <c r="S4861" s="7">
        <v>21.9</v>
      </c>
      <c r="T4861" s="7">
        <f>S4861*J4861</f>
        <v>657</v>
      </c>
      <c r="U4861" s="39"/>
      <c r="V4861" s="260">
        <v>120</v>
      </c>
      <c r="W4861" s="1136">
        <f t="shared" si="462"/>
        <v>0.5067567567567568</v>
      </c>
    </row>
    <row r="4862" spans="1:23" s="1168" customFormat="1" ht="17.25" customHeight="1">
      <c r="B4862" s="1169"/>
      <c r="C4862" s="965" t="s">
        <v>5969</v>
      </c>
      <c r="D4862" s="14" t="s">
        <v>3150</v>
      </c>
      <c r="E4862" s="19" t="s">
        <v>4485</v>
      </c>
      <c r="F4862" s="1171"/>
      <c r="G4862" s="22"/>
      <c r="H4862" s="108"/>
      <c r="I4862" s="109"/>
      <c r="J4862" s="8"/>
      <c r="K4862" s="110" t="s">
        <v>5</v>
      </c>
      <c r="L4862" s="900"/>
      <c r="M4862" s="403"/>
      <c r="N4862" s="1398">
        <v>45925</v>
      </c>
      <c r="O4862" s="32">
        <v>7474</v>
      </c>
      <c r="P4862" s="1173"/>
      <c r="Q4862" s="899"/>
      <c r="R4862" s="899"/>
      <c r="S4862" s="1174" t="s">
        <v>330</v>
      </c>
      <c r="T4862" s="92"/>
      <c r="U4862" s="1174"/>
      <c r="V4862" s="901"/>
    </row>
    <row r="4863" spans="1:23" s="1168" customFormat="1" ht="17.25" customHeight="1">
      <c r="B4863" s="1169" t="s">
        <v>300</v>
      </c>
      <c r="C4863" s="965" t="s">
        <v>5969</v>
      </c>
      <c r="D4863" s="14" t="s">
        <v>3150</v>
      </c>
      <c r="E4863" s="374">
        <v>2200</v>
      </c>
      <c r="F4863" s="1171">
        <v>36</v>
      </c>
      <c r="G4863" s="22" t="s">
        <v>12</v>
      </c>
      <c r="H4863" s="108">
        <v>15</v>
      </c>
      <c r="I4863" s="109">
        <v>1</v>
      </c>
      <c r="J4863" s="8">
        <f>H4863*I4863</f>
        <v>15</v>
      </c>
      <c r="K4863" s="39">
        <v>3.02</v>
      </c>
      <c r="L4863" s="39">
        <f>K4863*J4863</f>
        <v>45.3</v>
      </c>
      <c r="M4863" s="403" t="s">
        <v>323</v>
      </c>
      <c r="N4863" s="1398">
        <v>45925</v>
      </c>
      <c r="O4863" s="32">
        <v>7474</v>
      </c>
      <c r="P4863" s="391">
        <f>ROUNDUP(S4863/V4863/VLOOKUP(B4863,$C$2:$F$6,3,FALSE),2)</f>
        <v>2.2599999999999998</v>
      </c>
      <c r="Q4863" s="899">
        <v>2.2599999999999998</v>
      </c>
      <c r="R4863" s="322">
        <f>Q4863*J4863</f>
        <v>33.9</v>
      </c>
      <c r="S4863" s="7">
        <v>189.13329999999999</v>
      </c>
      <c r="T4863" s="7">
        <f>S4863*J4863</f>
        <v>2836.9994999999999</v>
      </c>
      <c r="U4863" s="7"/>
      <c r="V4863" s="901">
        <v>120</v>
      </c>
      <c r="W4863" s="1136">
        <f>(((K4863*V4863)-S4863)/(K4863*V4863))</f>
        <v>0.47810899558498893</v>
      </c>
    </row>
    <row r="4864" spans="1:23" customFormat="1" ht="15.95" customHeight="1">
      <c r="A4864" s="1"/>
      <c r="B4864" s="12" t="s">
        <v>306</v>
      </c>
      <c r="C4864" s="965" t="s">
        <v>5969</v>
      </c>
      <c r="D4864" s="14" t="s">
        <v>3150</v>
      </c>
      <c r="E4864" s="22"/>
      <c r="F4864" s="102"/>
      <c r="G4864" s="37" t="s">
        <v>316</v>
      </c>
      <c r="H4864" s="8"/>
      <c r="I4864" s="35"/>
      <c r="J4864" s="38">
        <v>2</v>
      </c>
      <c r="K4864" s="39">
        <v>12</v>
      </c>
      <c r="L4864" s="39">
        <f>K4864*J4864</f>
        <v>24</v>
      </c>
      <c r="M4864" s="91"/>
      <c r="N4864" s="1398">
        <v>45925</v>
      </c>
      <c r="O4864" s="32">
        <v>7474</v>
      </c>
      <c r="P4864" s="39"/>
      <c r="Q4864" s="358">
        <v>12</v>
      </c>
      <c r="R4864" s="322">
        <f>Q4864*J4864</f>
        <v>24</v>
      </c>
      <c r="S4864" s="7">
        <v>1000</v>
      </c>
      <c r="T4864" s="7">
        <v>1000</v>
      </c>
      <c r="U4864" s="270"/>
      <c r="V4864" s="260">
        <v>120</v>
      </c>
      <c r="W4864" s="1136">
        <f t="shared" si="462"/>
        <v>0.30555555555555558</v>
      </c>
    </row>
    <row r="4865" spans="1:23" s="191" customFormat="1" ht="15.75">
      <c r="B4865" s="190"/>
      <c r="C4865" s="966" t="s">
        <v>5969</v>
      </c>
      <c r="D4865" s="180" t="s">
        <v>3150</v>
      </c>
      <c r="E4865" s="181"/>
      <c r="F4865" s="182"/>
      <c r="G4865" s="309" t="s">
        <v>250</v>
      </c>
      <c r="H4865" s="1561" t="s">
        <v>251</v>
      </c>
      <c r="I4865" s="185"/>
      <c r="J4865" s="183"/>
      <c r="K4865" s="192">
        <v>0</v>
      </c>
      <c r="L4865" s="192">
        <v>0</v>
      </c>
      <c r="M4865" s="1310"/>
      <c r="N4865" s="1399">
        <v>45925</v>
      </c>
      <c r="O4865" s="186">
        <v>7474</v>
      </c>
      <c r="P4865" s="179"/>
      <c r="Q4865" s="192">
        <v>0</v>
      </c>
      <c r="R4865" s="192">
        <v>0</v>
      </c>
      <c r="S4865" s="192">
        <v>0</v>
      </c>
      <c r="T4865" s="192">
        <v>0</v>
      </c>
      <c r="U4865" s="271"/>
      <c r="V4865" s="260">
        <v>120</v>
      </c>
      <c r="W4865" s="1136" t="e">
        <f t="shared" si="462"/>
        <v>#DIV/0!</v>
      </c>
    </row>
    <row r="4866" spans="1:23" customFormat="1" ht="18" customHeight="1">
      <c r="A4866" s="1"/>
      <c r="B4866" s="26"/>
      <c r="C4866" s="6" t="s">
        <v>5970</v>
      </c>
      <c r="D4866" s="14" t="s">
        <v>3202</v>
      </c>
      <c r="E4866" s="19" t="s">
        <v>59</v>
      </c>
      <c r="F4866" s="107"/>
      <c r="G4866" s="22"/>
      <c r="H4866" s="108"/>
      <c r="I4866" s="109"/>
      <c r="J4866" s="108"/>
      <c r="K4866" s="110" t="s">
        <v>5</v>
      </c>
      <c r="L4866" s="33"/>
      <c r="M4866" s="33"/>
      <c r="N4866" s="33">
        <v>45968</v>
      </c>
      <c r="O4866" s="32">
        <v>7571</v>
      </c>
      <c r="P4866" s="14"/>
      <c r="Q4866" s="254"/>
      <c r="R4866" s="1"/>
      <c r="S4866" s="261"/>
      <c r="T4866" s="92"/>
      <c r="U4866" s="264"/>
      <c r="V4866" s="260">
        <v>120</v>
      </c>
      <c r="W4866" s="1136" t="e">
        <f t="shared" si="462"/>
        <v>#VALUE!</v>
      </c>
    </row>
    <row r="4867" spans="1:23" customFormat="1" ht="18" customHeight="1">
      <c r="A4867" s="1"/>
      <c r="B4867" s="12" t="s">
        <v>302</v>
      </c>
      <c r="C4867" s="6" t="s">
        <v>5970</v>
      </c>
      <c r="D4867" s="14" t="s">
        <v>3202</v>
      </c>
      <c r="E4867" s="19" t="s">
        <v>5293</v>
      </c>
      <c r="F4867" s="107">
        <v>148</v>
      </c>
      <c r="G4867" s="22" t="s">
        <v>212</v>
      </c>
      <c r="H4867" s="8">
        <v>58</v>
      </c>
      <c r="I4867" s="35">
        <v>14</v>
      </c>
      <c r="J4867" s="108">
        <f t="shared" ref="J4867:J4873" si="463">H4867*I4867</f>
        <v>812</v>
      </c>
      <c r="K4867" s="39">
        <v>6.31</v>
      </c>
      <c r="L4867" s="39">
        <f t="shared" ref="L4867:L4874" si="464">K4867*J4867</f>
        <v>5123.7199999999993</v>
      </c>
      <c r="M4867" s="117" t="s">
        <v>323</v>
      </c>
      <c r="N4867" s="33">
        <v>45968</v>
      </c>
      <c r="O4867" s="32">
        <v>7571</v>
      </c>
      <c r="P4867" s="391">
        <f t="shared" ref="P4867:P4873" si="465">ROUNDUP(S4867/V4867/VLOOKUP(B4867,$C$2:$F$6,3,FALSE),2)</f>
        <v>5.59</v>
      </c>
      <c r="Q4867" s="254">
        <v>5.73</v>
      </c>
      <c r="R4867" s="323">
        <f t="shared" ref="R4867:R4874" si="466">Q4867*J4867</f>
        <v>4652.76</v>
      </c>
      <c r="S4867" s="273">
        <v>590</v>
      </c>
      <c r="T4867" s="287">
        <f t="shared" ref="T4867:T4873" si="467">S4867*J4867</f>
        <v>479080</v>
      </c>
      <c r="U4867" s="264"/>
      <c r="V4867" s="260">
        <v>120</v>
      </c>
      <c r="W4867" s="1136">
        <f t="shared" si="462"/>
        <v>0.22081352350765973</v>
      </c>
    </row>
    <row r="4868" spans="1:23" customFormat="1" ht="18" customHeight="1">
      <c r="A4868" s="1"/>
      <c r="B4868" s="12" t="s">
        <v>302</v>
      </c>
      <c r="C4868" s="6" t="s">
        <v>5970</v>
      </c>
      <c r="D4868" s="14" t="s">
        <v>3202</v>
      </c>
      <c r="E4868" s="19" t="s">
        <v>5293</v>
      </c>
      <c r="F4868" s="107">
        <v>148</v>
      </c>
      <c r="G4868" s="22" t="s">
        <v>212</v>
      </c>
      <c r="H4868" s="8">
        <v>59</v>
      </c>
      <c r="I4868" s="35">
        <v>4</v>
      </c>
      <c r="J4868" s="108">
        <f t="shared" si="463"/>
        <v>236</v>
      </c>
      <c r="K4868" s="39">
        <v>6.31</v>
      </c>
      <c r="L4868" s="39">
        <f t="shared" si="464"/>
        <v>1489.1599999999999</v>
      </c>
      <c r="M4868" s="117" t="s">
        <v>323</v>
      </c>
      <c r="N4868" s="33">
        <v>45968</v>
      </c>
      <c r="O4868" s="32">
        <v>7571</v>
      </c>
      <c r="P4868" s="391">
        <f t="shared" si="465"/>
        <v>5.59</v>
      </c>
      <c r="Q4868" s="254">
        <v>5.73</v>
      </c>
      <c r="R4868" s="323">
        <f t="shared" si="466"/>
        <v>1352.2800000000002</v>
      </c>
      <c r="S4868" s="273">
        <v>590</v>
      </c>
      <c r="T4868" s="287">
        <f t="shared" si="467"/>
        <v>139240</v>
      </c>
      <c r="U4868" s="264"/>
      <c r="V4868" s="260">
        <v>120</v>
      </c>
      <c r="W4868" s="1136">
        <f t="shared" ref="W4868:W4872" si="468">(((K4868*V4868)-S4868)/(K4868*V4868))</f>
        <v>0.22081352350765973</v>
      </c>
    </row>
    <row r="4869" spans="1:23" customFormat="1" ht="18" customHeight="1">
      <c r="A4869" s="1"/>
      <c r="B4869" s="12" t="s">
        <v>302</v>
      </c>
      <c r="C4869" s="6" t="s">
        <v>5970</v>
      </c>
      <c r="D4869" s="14" t="s">
        <v>3202</v>
      </c>
      <c r="E4869" s="19" t="s">
        <v>5293</v>
      </c>
      <c r="F4869" s="107">
        <v>148</v>
      </c>
      <c r="G4869" s="22" t="s">
        <v>212</v>
      </c>
      <c r="H4869" s="8">
        <v>56</v>
      </c>
      <c r="I4869" s="35">
        <v>3</v>
      </c>
      <c r="J4869" s="108">
        <f t="shared" si="463"/>
        <v>168</v>
      </c>
      <c r="K4869" s="39">
        <v>6.31</v>
      </c>
      <c r="L4869" s="39">
        <f t="shared" si="464"/>
        <v>1060.08</v>
      </c>
      <c r="M4869" s="117" t="s">
        <v>323</v>
      </c>
      <c r="N4869" s="33">
        <v>45968</v>
      </c>
      <c r="O4869" s="32">
        <v>7571</v>
      </c>
      <c r="P4869" s="391">
        <f t="shared" si="465"/>
        <v>5.59</v>
      </c>
      <c r="Q4869" s="254">
        <v>5.73</v>
      </c>
      <c r="R4869" s="323">
        <f t="shared" si="466"/>
        <v>962.6400000000001</v>
      </c>
      <c r="S4869" s="273">
        <v>590</v>
      </c>
      <c r="T4869" s="287">
        <f t="shared" si="467"/>
        <v>99120</v>
      </c>
      <c r="U4869" s="264"/>
      <c r="V4869" s="260">
        <v>120</v>
      </c>
      <c r="W4869" s="1136">
        <f t="shared" si="468"/>
        <v>0.22081352350765973</v>
      </c>
    </row>
    <row r="4870" spans="1:23" customFormat="1" ht="18" customHeight="1">
      <c r="A4870" s="1"/>
      <c r="B4870" s="12" t="s">
        <v>302</v>
      </c>
      <c r="C4870" s="6" t="s">
        <v>5970</v>
      </c>
      <c r="D4870" s="14" t="s">
        <v>3202</v>
      </c>
      <c r="E4870" s="19" t="s">
        <v>5293</v>
      </c>
      <c r="F4870" s="107">
        <v>148</v>
      </c>
      <c r="G4870" s="22" t="s">
        <v>212</v>
      </c>
      <c r="H4870" s="8">
        <v>60</v>
      </c>
      <c r="I4870" s="35">
        <v>2</v>
      </c>
      <c r="J4870" s="108">
        <f t="shared" si="463"/>
        <v>120</v>
      </c>
      <c r="K4870" s="39">
        <v>6.31</v>
      </c>
      <c r="L4870" s="39">
        <f t="shared" si="464"/>
        <v>757.19999999999993</v>
      </c>
      <c r="M4870" s="117" t="s">
        <v>323</v>
      </c>
      <c r="N4870" s="33">
        <v>45968</v>
      </c>
      <c r="O4870" s="32">
        <v>7571</v>
      </c>
      <c r="P4870" s="391">
        <f t="shared" si="465"/>
        <v>5.59</v>
      </c>
      <c r="Q4870" s="254">
        <v>5.73</v>
      </c>
      <c r="R4870" s="323">
        <f t="shared" si="466"/>
        <v>687.6</v>
      </c>
      <c r="S4870" s="273">
        <v>590</v>
      </c>
      <c r="T4870" s="287">
        <f t="shared" si="467"/>
        <v>70800</v>
      </c>
      <c r="U4870" s="264"/>
      <c r="V4870" s="260">
        <v>120</v>
      </c>
      <c r="W4870" s="1136">
        <f t="shared" si="468"/>
        <v>0.22081352350765973</v>
      </c>
    </row>
    <row r="4871" spans="1:23" customFormat="1" ht="18" customHeight="1">
      <c r="A4871" s="1"/>
      <c r="B4871" s="12" t="s">
        <v>302</v>
      </c>
      <c r="C4871" s="6" t="s">
        <v>5970</v>
      </c>
      <c r="D4871" s="14" t="s">
        <v>3202</v>
      </c>
      <c r="E4871" s="19" t="s">
        <v>5293</v>
      </c>
      <c r="F4871" s="107">
        <v>148</v>
      </c>
      <c r="G4871" s="22" t="s">
        <v>212</v>
      </c>
      <c r="H4871" s="8">
        <v>55</v>
      </c>
      <c r="I4871" s="35">
        <v>1</v>
      </c>
      <c r="J4871" s="108">
        <f t="shared" si="463"/>
        <v>55</v>
      </c>
      <c r="K4871" s="39">
        <v>6.31</v>
      </c>
      <c r="L4871" s="39">
        <f t="shared" si="464"/>
        <v>347.04999999999995</v>
      </c>
      <c r="M4871" s="117" t="s">
        <v>323</v>
      </c>
      <c r="N4871" s="33">
        <v>45968</v>
      </c>
      <c r="O4871" s="32">
        <v>7571</v>
      </c>
      <c r="P4871" s="391">
        <f t="shared" si="465"/>
        <v>5.59</v>
      </c>
      <c r="Q4871" s="254">
        <v>5.73</v>
      </c>
      <c r="R4871" s="323">
        <f t="shared" si="466"/>
        <v>315.15000000000003</v>
      </c>
      <c r="S4871" s="273">
        <v>590</v>
      </c>
      <c r="T4871" s="287">
        <f t="shared" si="467"/>
        <v>32450</v>
      </c>
      <c r="U4871" s="264"/>
      <c r="V4871" s="260">
        <v>120</v>
      </c>
      <c r="W4871" s="1136">
        <f t="shared" si="468"/>
        <v>0.22081352350765973</v>
      </c>
    </row>
    <row r="4872" spans="1:23" customFormat="1" ht="18" customHeight="1">
      <c r="A4872" s="1"/>
      <c r="B4872" s="12" t="s">
        <v>302</v>
      </c>
      <c r="C4872" s="6" t="s">
        <v>5970</v>
      </c>
      <c r="D4872" s="14" t="s">
        <v>3202</v>
      </c>
      <c r="E4872" s="19" t="s">
        <v>5293</v>
      </c>
      <c r="F4872" s="107">
        <v>148</v>
      </c>
      <c r="G4872" s="22" t="s">
        <v>212</v>
      </c>
      <c r="H4872" s="8">
        <v>62</v>
      </c>
      <c r="I4872" s="35">
        <v>1</v>
      </c>
      <c r="J4872" s="108">
        <f t="shared" si="463"/>
        <v>62</v>
      </c>
      <c r="K4872" s="39">
        <v>6.31</v>
      </c>
      <c r="L4872" s="39">
        <f t="shared" si="464"/>
        <v>391.21999999999997</v>
      </c>
      <c r="M4872" s="117" t="s">
        <v>323</v>
      </c>
      <c r="N4872" s="33">
        <v>45968</v>
      </c>
      <c r="O4872" s="32">
        <v>7571</v>
      </c>
      <c r="P4872" s="391">
        <f t="shared" si="465"/>
        <v>5.59</v>
      </c>
      <c r="Q4872" s="254">
        <v>5.73</v>
      </c>
      <c r="R4872" s="323">
        <f t="shared" si="466"/>
        <v>355.26000000000005</v>
      </c>
      <c r="S4872" s="273">
        <v>590</v>
      </c>
      <c r="T4872" s="287">
        <f t="shared" si="467"/>
        <v>36580</v>
      </c>
      <c r="U4872" s="264"/>
      <c r="V4872" s="260">
        <v>120</v>
      </c>
      <c r="W4872" s="1136">
        <f t="shared" si="468"/>
        <v>0.22081352350765973</v>
      </c>
    </row>
    <row r="4873" spans="1:23" customFormat="1" ht="18" customHeight="1">
      <c r="A4873" s="1"/>
      <c r="B4873" s="12" t="s">
        <v>302</v>
      </c>
      <c r="C4873" s="6" t="s">
        <v>5970</v>
      </c>
      <c r="D4873" s="14" t="s">
        <v>3202</v>
      </c>
      <c r="E4873" s="19" t="s">
        <v>5293</v>
      </c>
      <c r="F4873" s="107">
        <v>148</v>
      </c>
      <c r="G4873" s="22" t="s">
        <v>212</v>
      </c>
      <c r="H4873" s="8">
        <v>53</v>
      </c>
      <c r="I4873" s="35">
        <v>1</v>
      </c>
      <c r="J4873" s="108">
        <f t="shared" si="463"/>
        <v>53</v>
      </c>
      <c r="K4873" s="39">
        <v>6.31</v>
      </c>
      <c r="L4873" s="39">
        <f t="shared" si="464"/>
        <v>334.43</v>
      </c>
      <c r="M4873" s="117" t="s">
        <v>323</v>
      </c>
      <c r="N4873" s="33">
        <v>45968</v>
      </c>
      <c r="O4873" s="32">
        <v>7571</v>
      </c>
      <c r="P4873" s="391">
        <f t="shared" si="465"/>
        <v>5.59</v>
      </c>
      <c r="Q4873" s="254">
        <v>5.73</v>
      </c>
      <c r="R4873" s="323">
        <f t="shared" si="466"/>
        <v>303.69</v>
      </c>
      <c r="S4873" s="273">
        <v>590</v>
      </c>
      <c r="T4873" s="287">
        <f t="shared" si="467"/>
        <v>31270</v>
      </c>
      <c r="U4873" s="264"/>
      <c r="V4873" s="260">
        <v>120</v>
      </c>
      <c r="W4873" s="1136">
        <f t="shared" ref="W4873" si="469">(((K4873*V4873)-S4873)/(K4873*V4873))</f>
        <v>0.22081352350765973</v>
      </c>
    </row>
    <row r="4874" spans="1:23" s="7" customFormat="1" ht="18" customHeight="1">
      <c r="B4874" s="12"/>
      <c r="C4874" s="6" t="s">
        <v>5970</v>
      </c>
      <c r="D4874" s="14" t="s">
        <v>3202</v>
      </c>
      <c r="E4874" s="22"/>
      <c r="F4874" s="102"/>
      <c r="G4874" s="22" t="s">
        <v>316</v>
      </c>
      <c r="H4874" s="8"/>
      <c r="I4874" s="35"/>
      <c r="J4874" s="38">
        <v>1</v>
      </c>
      <c r="K4874" s="39">
        <v>20</v>
      </c>
      <c r="L4874" s="39">
        <f t="shared" si="464"/>
        <v>20</v>
      </c>
      <c r="M4874" s="91"/>
      <c r="N4874" s="33">
        <v>45968</v>
      </c>
      <c r="O4874" s="32">
        <v>7571</v>
      </c>
      <c r="P4874" s="6" t="s">
        <v>3</v>
      </c>
      <c r="Q4874" s="39">
        <v>20</v>
      </c>
      <c r="R4874" s="323">
        <f t="shared" si="466"/>
        <v>20</v>
      </c>
      <c r="S4874" s="7">
        <v>0</v>
      </c>
      <c r="T4874" s="287">
        <v>0</v>
      </c>
      <c r="U4874" s="21"/>
      <c r="V4874" s="260">
        <v>120</v>
      </c>
      <c r="W4874" s="1136">
        <f t="shared" si="462"/>
        <v>1</v>
      </c>
    </row>
    <row r="4875" spans="1:23" s="191" customFormat="1" ht="15">
      <c r="B4875" s="190"/>
      <c r="C4875" s="179" t="s">
        <v>5970</v>
      </c>
      <c r="D4875" s="180" t="s">
        <v>3202</v>
      </c>
      <c r="E4875" s="181"/>
      <c r="F4875" s="182"/>
      <c r="G4875" s="182" t="s">
        <v>2738</v>
      </c>
      <c r="H4875" s="184" t="s">
        <v>251</v>
      </c>
      <c r="I4875" s="185"/>
      <c r="J4875" s="183"/>
      <c r="K4875" s="192">
        <v>0</v>
      </c>
      <c r="L4875" s="187"/>
      <c r="M4875" s="187"/>
      <c r="N4875" s="187">
        <v>45968</v>
      </c>
      <c r="O4875" s="186">
        <v>7571</v>
      </c>
      <c r="P4875" s="179"/>
      <c r="Q4875" s="203"/>
      <c r="R4875" s="203"/>
      <c r="S4875" s="203"/>
      <c r="T4875" s="203"/>
      <c r="U4875" s="271"/>
      <c r="V4875" s="260">
        <v>120</v>
      </c>
      <c r="W4875" s="1136" t="e">
        <f t="shared" si="462"/>
        <v>#DIV/0!</v>
      </c>
    </row>
    <row r="4876" spans="1:23" s="7" customFormat="1" ht="18" customHeight="1">
      <c r="B4876" s="12"/>
      <c r="C4876" s="6" t="s">
        <v>5973</v>
      </c>
      <c r="D4876" s="14" t="s">
        <v>2034</v>
      </c>
      <c r="E4876" s="19" t="s">
        <v>5974</v>
      </c>
      <c r="F4876" s="24"/>
      <c r="G4876" s="49"/>
      <c r="H4876" s="60"/>
      <c r="I4876" s="61"/>
      <c r="J4876" s="60"/>
      <c r="K4876" s="110" t="s">
        <v>5</v>
      </c>
      <c r="L4876" s="144"/>
      <c r="M4876" s="11"/>
      <c r="N4876" s="1398">
        <v>45929</v>
      </c>
      <c r="O4876" s="32">
        <v>7490</v>
      </c>
      <c r="P4876" s="6" t="s">
        <v>3</v>
      </c>
      <c r="Q4876" s="358"/>
      <c r="S4876" s="1434"/>
      <c r="U4876" s="120"/>
      <c r="V4876" s="260">
        <v>120</v>
      </c>
    </row>
    <row r="4877" spans="1:23" s="7" customFormat="1" ht="18" customHeight="1">
      <c r="B4877" s="12" t="s">
        <v>300</v>
      </c>
      <c r="C4877" s="6" t="s">
        <v>5973</v>
      </c>
      <c r="D4877" s="14" t="s">
        <v>2034</v>
      </c>
      <c r="E4877" s="22" t="s">
        <v>5975</v>
      </c>
      <c r="F4877" s="24"/>
      <c r="G4877" s="22" t="s">
        <v>5318</v>
      </c>
      <c r="H4877" s="108">
        <v>13.7</v>
      </c>
      <c r="I4877" s="109">
        <v>2</v>
      </c>
      <c r="J4877" s="131">
        <f>H4877*I4877</f>
        <v>27.4</v>
      </c>
      <c r="K4877" s="39">
        <v>10.61</v>
      </c>
      <c r="L4877" s="39">
        <f>K4877*J4877</f>
        <v>290.71399999999994</v>
      </c>
      <c r="M4877" s="117" t="s">
        <v>323</v>
      </c>
      <c r="N4877" s="33">
        <v>45929</v>
      </c>
      <c r="O4877" s="32">
        <v>7490</v>
      </c>
      <c r="P4877" s="391">
        <f>ROUNDUP(S4877/V4877/VLOOKUP(B4877,$C$2:$F$6,3,FALSE),2)</f>
        <v>8.34</v>
      </c>
      <c r="Q4877" s="322">
        <v>8.34</v>
      </c>
      <c r="R4877" s="322">
        <f>Q4877*J4877</f>
        <v>228.51599999999999</v>
      </c>
      <c r="S4877" s="7">
        <v>700</v>
      </c>
      <c r="T4877" s="7">
        <f>S4877*J4877</f>
        <v>19180</v>
      </c>
      <c r="U4877" s="14"/>
      <c r="V4877" s="260">
        <v>120</v>
      </c>
      <c r="W4877" s="1136">
        <f>(((K4877*V4877)-S4877)/(K4877*V4877))</f>
        <v>0.45020420986490722</v>
      </c>
    </row>
    <row r="4878" spans="1:23" s="7" customFormat="1" ht="18" customHeight="1">
      <c r="B4878" s="12"/>
      <c r="C4878" s="6" t="s">
        <v>5973</v>
      </c>
      <c r="D4878" s="14" t="s">
        <v>2034</v>
      </c>
      <c r="E4878" s="22"/>
      <c r="F4878" s="102"/>
      <c r="G4878" s="22" t="s">
        <v>316</v>
      </c>
      <c r="H4878" s="8"/>
      <c r="I4878" s="35"/>
      <c r="J4878" s="38">
        <v>1</v>
      </c>
      <c r="K4878" s="39">
        <v>12</v>
      </c>
      <c r="L4878" s="39">
        <f>K4878*J4878</f>
        <v>12</v>
      </c>
      <c r="M4878" s="91"/>
      <c r="N4878" s="33">
        <v>45929</v>
      </c>
      <c r="O4878" s="32">
        <v>7490</v>
      </c>
      <c r="P4878" s="6" t="s">
        <v>3</v>
      </c>
      <c r="Q4878" s="39">
        <v>12</v>
      </c>
      <c r="R4878" s="323">
        <f>Q4878*J4878</f>
        <v>12</v>
      </c>
      <c r="S4878" s="7">
        <v>0</v>
      </c>
      <c r="T4878" s="7">
        <f>S4878*J4878</f>
        <v>0</v>
      </c>
      <c r="U4878" s="21"/>
      <c r="V4878" s="260">
        <v>120</v>
      </c>
      <c r="W4878" s="1136">
        <f>(((K4878*V4878)-S4878)/(K4878*V4878))</f>
        <v>1</v>
      </c>
    </row>
    <row r="4879" spans="1:23" s="191" customFormat="1" ht="15.75">
      <c r="B4879" s="190"/>
      <c r="C4879" s="179" t="s">
        <v>5973</v>
      </c>
      <c r="D4879" s="180" t="s">
        <v>2034</v>
      </c>
      <c r="E4879" s="181"/>
      <c r="F4879" s="182"/>
      <c r="G4879" s="309" t="s">
        <v>250</v>
      </c>
      <c r="H4879" s="1561" t="s">
        <v>374</v>
      </c>
      <c r="I4879" s="185"/>
      <c r="J4879" s="183"/>
      <c r="K4879" s="203">
        <v>33</v>
      </c>
      <c r="L4879" s="203">
        <v>33</v>
      </c>
      <c r="M4879" s="1310"/>
      <c r="N4879" s="1399">
        <v>45929</v>
      </c>
      <c r="O4879" s="186">
        <v>7490</v>
      </c>
      <c r="P4879" s="179"/>
      <c r="Q4879" s="203">
        <v>33</v>
      </c>
      <c r="R4879" s="203">
        <v>33</v>
      </c>
      <c r="S4879" s="7">
        <v>3222</v>
      </c>
      <c r="T4879" s="7">
        <v>3222</v>
      </c>
      <c r="U4879" s="271"/>
      <c r="V4879" s="260">
        <v>120</v>
      </c>
      <c r="W4879" s="1136">
        <f>(((K4879*V4879)-S4879)/(K4879*V4879))</f>
        <v>0.18636363636363637</v>
      </c>
    </row>
    <row r="4880" spans="1:23" s="7" customFormat="1" ht="18" customHeight="1">
      <c r="B4880" s="12"/>
      <c r="C4880" s="6" t="s">
        <v>5977</v>
      </c>
      <c r="D4880" s="14" t="s">
        <v>5277</v>
      </c>
      <c r="E4880" s="19" t="s">
        <v>10</v>
      </c>
      <c r="F4880" s="107"/>
      <c r="G4880" s="22"/>
      <c r="H4880" s="108"/>
      <c r="I4880" s="109"/>
      <c r="J4880" s="108"/>
      <c r="K4880" s="29" t="s">
        <v>5</v>
      </c>
      <c r="L4880" s="39"/>
      <c r="M4880" s="91"/>
      <c r="N4880" s="33">
        <v>45937</v>
      </c>
      <c r="O4880" s="32">
        <v>7496</v>
      </c>
      <c r="P4880" s="14"/>
      <c r="Q4880" s="322"/>
      <c r="U4880" s="14"/>
      <c r="V4880" s="260">
        <v>120</v>
      </c>
      <c r="W4880" s="1136" t="e">
        <f>(((K4880*V4880)-S4880)/(K4880*V4880))</f>
        <v>#VALUE!</v>
      </c>
    </row>
    <row r="4881" spans="1:23" s="7" customFormat="1" ht="18" customHeight="1">
      <c r="B4881" s="12" t="s">
        <v>302</v>
      </c>
      <c r="C4881" s="6" t="s">
        <v>5979</v>
      </c>
      <c r="D4881" s="14" t="s">
        <v>5277</v>
      </c>
      <c r="E4881" s="22" t="s">
        <v>190</v>
      </c>
      <c r="F4881" s="107">
        <v>160</v>
      </c>
      <c r="G4881" s="396" t="s">
        <v>5980</v>
      </c>
      <c r="H4881" s="60"/>
      <c r="I4881" s="61"/>
      <c r="J4881" s="60">
        <v>6</v>
      </c>
      <c r="K4881" s="39">
        <v>5.28</v>
      </c>
      <c r="L4881" s="39">
        <f t="shared" ref="L4881:L4889" si="470">K4881*J4881</f>
        <v>31.68</v>
      </c>
      <c r="M4881" s="117" t="s">
        <v>323</v>
      </c>
      <c r="N4881" s="33">
        <v>45937</v>
      </c>
      <c r="O4881" s="32">
        <v>7496</v>
      </c>
      <c r="P4881" s="391">
        <f>ROUNDUP(S4881/V4881/VLOOKUP(B4881,$C$2:$F$6,3,FALSE),2)</f>
        <v>3.98</v>
      </c>
      <c r="Q4881" s="322">
        <v>3.98</v>
      </c>
      <c r="R4881" s="322">
        <f t="shared" ref="R4881:R4889" si="471">Q4881*J4881</f>
        <v>23.88</v>
      </c>
      <c r="S4881" s="7">
        <v>420</v>
      </c>
      <c r="T4881" s="7">
        <f t="shared" ref="T4881:T4888" si="472">S4881*J4881</f>
        <v>2520</v>
      </c>
      <c r="U4881" s="21"/>
      <c r="V4881" s="260">
        <v>120</v>
      </c>
      <c r="W4881" s="1136">
        <f>(((K4881*V4881)-S4881)/(K4881*V4881))</f>
        <v>0.33712121212121215</v>
      </c>
    </row>
    <row r="4882" spans="1:23" s="7" customFormat="1" ht="18" customHeight="1">
      <c r="B4882" s="12" t="s">
        <v>302</v>
      </c>
      <c r="C4882" s="6" t="s">
        <v>5979</v>
      </c>
      <c r="D4882" s="14" t="s">
        <v>5277</v>
      </c>
      <c r="E4882" s="22" t="s">
        <v>190</v>
      </c>
      <c r="F4882" s="107">
        <v>160</v>
      </c>
      <c r="G4882" s="396" t="s">
        <v>5981</v>
      </c>
      <c r="H4882" s="60"/>
      <c r="I4882" s="61"/>
      <c r="J4882" s="60">
        <v>6</v>
      </c>
      <c r="K4882" s="39">
        <v>5.28</v>
      </c>
      <c r="L4882" s="39">
        <f t="shared" si="470"/>
        <v>31.68</v>
      </c>
      <c r="M4882" s="117" t="s">
        <v>322</v>
      </c>
      <c r="N4882" s="33">
        <v>45937</v>
      </c>
      <c r="O4882" s="32">
        <v>7496</v>
      </c>
      <c r="P4882" s="391">
        <f>ROUNDUP(S4882/V4882/VLOOKUP(B4882,$C$2:$F$6,3,FALSE),2)</f>
        <v>3.98</v>
      </c>
      <c r="Q4882" s="322">
        <v>3.98</v>
      </c>
      <c r="R4882" s="322">
        <f t="shared" si="471"/>
        <v>23.88</v>
      </c>
      <c r="S4882" s="7">
        <v>420</v>
      </c>
      <c r="T4882" s="7">
        <f t="shared" si="472"/>
        <v>2520</v>
      </c>
      <c r="U4882" s="21"/>
      <c r="V4882" s="260">
        <v>120</v>
      </c>
      <c r="W4882" s="1136">
        <f t="shared" ref="W4882:W4887" si="473">(((K4882*V4882)-S4882)/(K4882*V4882))</f>
        <v>0.33712121212121215</v>
      </c>
    </row>
    <row r="4883" spans="1:23" s="7" customFormat="1" ht="18" customHeight="1">
      <c r="B4883" s="12" t="s">
        <v>302</v>
      </c>
      <c r="C4883" s="6" t="s">
        <v>5979</v>
      </c>
      <c r="D4883" s="14" t="s">
        <v>5277</v>
      </c>
      <c r="E4883" s="22" t="s">
        <v>190</v>
      </c>
      <c r="F4883" s="107">
        <v>160</v>
      </c>
      <c r="G4883" s="396" t="s">
        <v>5982</v>
      </c>
      <c r="H4883" s="60"/>
      <c r="I4883" s="61"/>
      <c r="J4883" s="60">
        <v>6</v>
      </c>
      <c r="K4883" s="39">
        <v>5.28</v>
      </c>
      <c r="L4883" s="39">
        <f t="shared" si="470"/>
        <v>31.68</v>
      </c>
      <c r="M4883" s="117" t="s">
        <v>322</v>
      </c>
      <c r="N4883" s="33">
        <v>45937</v>
      </c>
      <c r="O4883" s="32">
        <v>7496</v>
      </c>
      <c r="P4883" s="391">
        <f>ROUNDUP(S4883/V4883/VLOOKUP(B4883,$C$2:$F$6,3,FALSE),2)</f>
        <v>3.98</v>
      </c>
      <c r="Q4883" s="322">
        <v>3.98</v>
      </c>
      <c r="R4883" s="322">
        <f t="shared" si="471"/>
        <v>23.88</v>
      </c>
      <c r="S4883" s="7">
        <v>420</v>
      </c>
      <c r="T4883" s="7">
        <f t="shared" si="472"/>
        <v>2520</v>
      </c>
      <c r="U4883" s="21"/>
      <c r="V4883" s="260">
        <v>120</v>
      </c>
      <c r="W4883" s="1136">
        <f t="shared" si="473"/>
        <v>0.33712121212121215</v>
      </c>
    </row>
    <row r="4884" spans="1:23" s="7" customFormat="1" ht="18" customHeight="1">
      <c r="B4884" s="12" t="s">
        <v>302</v>
      </c>
      <c r="C4884" s="6" t="s">
        <v>5979</v>
      </c>
      <c r="D4884" s="14" t="s">
        <v>5277</v>
      </c>
      <c r="E4884" s="22" t="s">
        <v>190</v>
      </c>
      <c r="F4884" s="107">
        <v>160</v>
      </c>
      <c r="G4884" s="396" t="s">
        <v>5983</v>
      </c>
      <c r="H4884" s="60"/>
      <c r="I4884" s="61"/>
      <c r="J4884" s="60">
        <v>5</v>
      </c>
      <c r="K4884" s="39">
        <v>5.28</v>
      </c>
      <c r="L4884" s="39">
        <f t="shared" si="470"/>
        <v>26.400000000000002</v>
      </c>
      <c r="M4884" s="117" t="s">
        <v>322</v>
      </c>
      <c r="N4884" s="33">
        <v>45937</v>
      </c>
      <c r="O4884" s="32">
        <v>7496</v>
      </c>
      <c r="P4884" s="391">
        <f>ROUNDUP(S4884/V4884/VLOOKUP(B4884,$C$2:$F$6,3,FALSE),2)</f>
        <v>3.98</v>
      </c>
      <c r="Q4884" s="322">
        <v>3.98</v>
      </c>
      <c r="R4884" s="322">
        <f t="shared" si="471"/>
        <v>19.899999999999999</v>
      </c>
      <c r="S4884" s="7">
        <v>420</v>
      </c>
      <c r="T4884" s="7">
        <f t="shared" si="472"/>
        <v>2100</v>
      </c>
      <c r="U4884" s="21"/>
      <c r="V4884" s="260">
        <v>120</v>
      </c>
      <c r="W4884" s="1136">
        <f t="shared" si="473"/>
        <v>0.33712121212121215</v>
      </c>
    </row>
    <row r="4885" spans="1:23" s="7" customFormat="1" ht="18" customHeight="1">
      <c r="B4885" s="12"/>
      <c r="C4885" s="6" t="s">
        <v>5977</v>
      </c>
      <c r="D4885" s="14" t="s">
        <v>5277</v>
      </c>
      <c r="E4885" s="82"/>
      <c r="F4885" s="102"/>
      <c r="G4885" s="22" t="s">
        <v>4329</v>
      </c>
      <c r="H4885" s="8"/>
      <c r="I4885" s="35"/>
      <c r="J4885" s="38">
        <v>4</v>
      </c>
      <c r="K4885" s="39">
        <v>15</v>
      </c>
      <c r="L4885" s="39">
        <f>K4885*J4885</f>
        <v>60</v>
      </c>
      <c r="M4885" s="91"/>
      <c r="N4885" s="33">
        <v>45937</v>
      </c>
      <c r="O4885" s="32">
        <v>7496</v>
      </c>
      <c r="P4885" s="6"/>
      <c r="Q4885" s="322">
        <v>15</v>
      </c>
      <c r="R4885" s="322">
        <f>Q4885*J4885</f>
        <v>60</v>
      </c>
      <c r="S4885" s="7">
        <v>1000</v>
      </c>
      <c r="T4885" s="7">
        <f>S4885*J4885</f>
        <v>4000</v>
      </c>
      <c r="U4885" s="21"/>
      <c r="V4885" s="260">
        <v>120</v>
      </c>
    </row>
    <row r="4886" spans="1:23" s="7" customFormat="1" ht="18" customHeight="1">
      <c r="B4886" s="12"/>
      <c r="C4886" s="6" t="s">
        <v>5977</v>
      </c>
      <c r="D4886" s="14" t="s">
        <v>5277</v>
      </c>
      <c r="E4886" s="82"/>
      <c r="F4886" s="102"/>
      <c r="G4886" s="22" t="s">
        <v>316</v>
      </c>
      <c r="H4886" s="8"/>
      <c r="I4886" s="35"/>
      <c r="J4886" s="38">
        <v>1</v>
      </c>
      <c r="K4886" s="39">
        <v>15</v>
      </c>
      <c r="L4886" s="39">
        <f>K4886*J4886</f>
        <v>15</v>
      </c>
      <c r="M4886" s="91"/>
      <c r="N4886" s="33">
        <v>45937</v>
      </c>
      <c r="O4886" s="32">
        <v>7496</v>
      </c>
      <c r="P4886" s="6"/>
      <c r="Q4886" s="322">
        <v>15</v>
      </c>
      <c r="R4886" s="322">
        <f>Q4886*J4886</f>
        <v>15</v>
      </c>
      <c r="S4886" s="7">
        <v>1600</v>
      </c>
      <c r="T4886" s="7">
        <v>1600</v>
      </c>
      <c r="U4886" s="21"/>
      <c r="V4886" s="260">
        <v>120</v>
      </c>
    </row>
    <row r="4887" spans="1:23" s="7" customFormat="1" ht="18" customHeight="1">
      <c r="B4887" s="12" t="s">
        <v>302</v>
      </c>
      <c r="C4887" s="6" t="s">
        <v>5978</v>
      </c>
      <c r="D4887" s="14" t="s">
        <v>5277</v>
      </c>
      <c r="E4887" s="22" t="s">
        <v>190</v>
      </c>
      <c r="F4887" s="107">
        <v>160</v>
      </c>
      <c r="G4887" s="396" t="s">
        <v>5983</v>
      </c>
      <c r="H4887" s="60"/>
      <c r="I4887" s="61"/>
      <c r="J4887" s="60">
        <v>5</v>
      </c>
      <c r="K4887" s="39">
        <v>5.28</v>
      </c>
      <c r="L4887" s="39">
        <f t="shared" si="470"/>
        <v>26.400000000000002</v>
      </c>
      <c r="M4887" s="117" t="s">
        <v>322</v>
      </c>
      <c r="N4887" s="33">
        <v>45937</v>
      </c>
      <c r="O4887" s="32">
        <v>7497</v>
      </c>
      <c r="P4887" s="391">
        <f>ROUNDUP(S4887/V4887/VLOOKUP(B4887,$C$2:$F$6,3,FALSE),2)</f>
        <v>3.98</v>
      </c>
      <c r="Q4887" s="322">
        <v>3.98</v>
      </c>
      <c r="R4887" s="322">
        <f t="shared" si="471"/>
        <v>19.899999999999999</v>
      </c>
      <c r="S4887" s="7">
        <v>420</v>
      </c>
      <c r="T4887" s="7">
        <f t="shared" si="472"/>
        <v>2100</v>
      </c>
      <c r="U4887" s="21"/>
      <c r="V4887" s="260">
        <v>120</v>
      </c>
      <c r="W4887" s="1136">
        <f t="shared" si="473"/>
        <v>0.33712121212121215</v>
      </c>
    </row>
    <row r="4888" spans="1:23" s="7" customFormat="1" ht="18" customHeight="1">
      <c r="B4888" s="12"/>
      <c r="C4888" s="6" t="s">
        <v>5977</v>
      </c>
      <c r="D4888" s="14" t="s">
        <v>5277</v>
      </c>
      <c r="E4888" s="82"/>
      <c r="F4888" s="102"/>
      <c r="G4888" s="22" t="s">
        <v>4329</v>
      </c>
      <c r="H4888" s="8"/>
      <c r="I4888" s="35"/>
      <c r="J4888" s="38">
        <v>1</v>
      </c>
      <c r="K4888" s="39">
        <v>15</v>
      </c>
      <c r="L4888" s="39">
        <f t="shared" si="470"/>
        <v>15</v>
      </c>
      <c r="M4888" s="91"/>
      <c r="N4888" s="33">
        <v>45937</v>
      </c>
      <c r="O4888" s="32">
        <v>7497</v>
      </c>
      <c r="P4888" s="6"/>
      <c r="Q4888" s="322">
        <v>15</v>
      </c>
      <c r="R4888" s="322">
        <f t="shared" si="471"/>
        <v>15</v>
      </c>
      <c r="S4888" s="7">
        <v>1000</v>
      </c>
      <c r="T4888" s="7">
        <f t="shared" si="472"/>
        <v>1000</v>
      </c>
      <c r="U4888" s="21"/>
      <c r="V4888" s="260">
        <v>120</v>
      </c>
    </row>
    <row r="4889" spans="1:23" s="7" customFormat="1" ht="18" customHeight="1">
      <c r="B4889" s="12"/>
      <c r="C4889" s="6" t="s">
        <v>5977</v>
      </c>
      <c r="D4889" s="14" t="s">
        <v>5277</v>
      </c>
      <c r="E4889" s="82"/>
      <c r="F4889" s="102"/>
      <c r="G4889" s="22" t="s">
        <v>316</v>
      </c>
      <c r="H4889" s="8"/>
      <c r="I4889" s="35"/>
      <c r="J4889" s="38">
        <v>1</v>
      </c>
      <c r="K4889" s="39">
        <v>15</v>
      </c>
      <c r="L4889" s="39">
        <f t="shared" si="470"/>
        <v>15</v>
      </c>
      <c r="M4889" s="91"/>
      <c r="N4889" s="33">
        <v>45937</v>
      </c>
      <c r="O4889" s="32">
        <v>7497</v>
      </c>
      <c r="P4889" s="6"/>
      <c r="Q4889" s="322">
        <v>15</v>
      </c>
      <c r="R4889" s="322">
        <f t="shared" si="471"/>
        <v>15</v>
      </c>
      <c r="S4889" s="7">
        <v>1600</v>
      </c>
      <c r="T4889" s="7">
        <v>1600</v>
      </c>
      <c r="U4889" s="21"/>
      <c r="V4889" s="260">
        <v>120</v>
      </c>
    </row>
    <row r="4890" spans="1:23" s="191" customFormat="1" ht="15">
      <c r="B4890" s="190"/>
      <c r="C4890" s="179" t="s">
        <v>5976</v>
      </c>
      <c r="D4890" s="180" t="s">
        <v>5277</v>
      </c>
      <c r="E4890" s="181"/>
      <c r="F4890" s="182"/>
      <c r="G4890" s="182" t="s">
        <v>2738</v>
      </c>
      <c r="H4890" s="184" t="s">
        <v>251</v>
      </c>
      <c r="I4890" s="185"/>
      <c r="J4890" s="183"/>
      <c r="K4890" s="192">
        <v>0</v>
      </c>
      <c r="L4890" s="187"/>
      <c r="M4890" s="187"/>
      <c r="N4890" s="187">
        <v>45937</v>
      </c>
      <c r="O4890" s="186">
        <v>7497</v>
      </c>
      <c r="P4890" s="179"/>
      <c r="Q4890" s="255">
        <v>0</v>
      </c>
      <c r="S4890" s="274">
        <v>0</v>
      </c>
      <c r="T4890" s="198">
        <v>0</v>
      </c>
      <c r="U4890" s="271"/>
      <c r="V4890" s="260">
        <v>120</v>
      </c>
    </row>
    <row r="4891" spans="1:23" customFormat="1" ht="18" customHeight="1">
      <c r="A4891" s="1"/>
      <c r="B4891" s="26"/>
      <c r="C4891" s="6" t="s">
        <v>5988</v>
      </c>
      <c r="D4891" s="14" t="s">
        <v>5069</v>
      </c>
      <c r="E4891" s="19" t="s">
        <v>59</v>
      </c>
      <c r="F4891" s="107"/>
      <c r="G4891" s="22"/>
      <c r="H4891" s="108"/>
      <c r="I4891" s="109"/>
      <c r="J4891" s="108"/>
      <c r="K4891" s="110" t="s">
        <v>5</v>
      </c>
      <c r="L4891" s="33"/>
      <c r="M4891" s="33"/>
      <c r="N4891" s="33">
        <v>45936</v>
      </c>
      <c r="O4891" s="32">
        <v>7501</v>
      </c>
      <c r="P4891" s="14"/>
      <c r="Q4891" s="254"/>
      <c r="R4891" s="1"/>
      <c r="S4891" s="1300" t="s">
        <v>5986</v>
      </c>
      <c r="T4891" s="92"/>
      <c r="U4891" s="264"/>
      <c r="V4891" s="260">
        <v>120</v>
      </c>
      <c r="W4891" s="1136" t="e">
        <f>(((K4891*V4891)-S4891)/(K4891*V4891))</f>
        <v>#VALUE!</v>
      </c>
    </row>
    <row r="4892" spans="1:23" customFormat="1" ht="18" customHeight="1">
      <c r="A4892" s="1"/>
      <c r="B4892" s="12" t="s">
        <v>302</v>
      </c>
      <c r="C4892" s="6" t="s">
        <v>5988</v>
      </c>
      <c r="D4892" s="14" t="s">
        <v>5069</v>
      </c>
      <c r="E4892" s="19" t="s">
        <v>5984</v>
      </c>
      <c r="F4892" s="1573">
        <v>146</v>
      </c>
      <c r="G4892" s="22" t="s">
        <v>5985</v>
      </c>
      <c r="H4892" s="60"/>
      <c r="I4892" s="61"/>
      <c r="J4892" s="60">
        <v>10</v>
      </c>
      <c r="K4892" s="39">
        <v>18.440000000000001</v>
      </c>
      <c r="L4892" s="39">
        <f>K4892*J4892</f>
        <v>184.4</v>
      </c>
      <c r="M4892" s="117" t="s">
        <v>323</v>
      </c>
      <c r="N4892" s="1398">
        <v>45936</v>
      </c>
      <c r="O4892" s="32">
        <v>7501</v>
      </c>
      <c r="P4892" s="391">
        <f>ROUNDUP(S4892/V4892/VLOOKUP(B4892,$C$2:$F$6,3,FALSE),2)</f>
        <v>16.770000000000003</v>
      </c>
      <c r="Q4892" s="254">
        <v>16.77</v>
      </c>
      <c r="R4892" s="323">
        <f>Q4892*J4892</f>
        <v>167.7</v>
      </c>
      <c r="S4892" s="273">
        <f>1370+400</f>
        <v>1770</v>
      </c>
      <c r="T4892" s="287">
        <f>S4892*J4892</f>
        <v>17700</v>
      </c>
      <c r="U4892" s="264"/>
      <c r="V4892" s="260">
        <v>120</v>
      </c>
      <c r="W4892" s="1136">
        <f>(((K4892*V4892)-S4892)/(K4892*V4892))</f>
        <v>0.20010845986984821</v>
      </c>
    </row>
    <row r="4893" spans="1:23" s="191" customFormat="1" ht="15">
      <c r="B4893" s="190"/>
      <c r="C4893" s="179" t="s">
        <v>5988</v>
      </c>
      <c r="D4893" s="180" t="s">
        <v>5069</v>
      </c>
      <c r="E4893" s="181"/>
      <c r="F4893" s="182"/>
      <c r="G4893" s="182" t="s">
        <v>2738</v>
      </c>
      <c r="H4893" s="184" t="s">
        <v>374</v>
      </c>
      <c r="I4893" s="185"/>
      <c r="J4893" s="183"/>
      <c r="K4893" s="192">
        <v>133</v>
      </c>
      <c r="L4893" s="192">
        <v>133</v>
      </c>
      <c r="M4893" s="187"/>
      <c r="N4893" s="187">
        <v>45936</v>
      </c>
      <c r="O4893" s="186">
        <v>7501</v>
      </c>
      <c r="P4893" s="179"/>
      <c r="Q4893" s="192">
        <v>133</v>
      </c>
      <c r="R4893" s="192">
        <v>133</v>
      </c>
      <c r="S4893" s="1512">
        <f>1820+9966</f>
        <v>11786</v>
      </c>
      <c r="T4893" s="1403">
        <f>S4893</f>
        <v>11786</v>
      </c>
      <c r="U4893" s="271"/>
      <c r="V4893" s="260">
        <v>120</v>
      </c>
      <c r="W4893" s="1136">
        <f>(((K4893*V4893)-S4893)/(K4893*V4893))</f>
        <v>0.26152882205513783</v>
      </c>
    </row>
    <row r="4894" spans="1:23" s="7" customFormat="1" ht="18" customHeight="1">
      <c r="B4894" s="12"/>
      <c r="C4894" s="965" t="s">
        <v>5987</v>
      </c>
      <c r="D4894" s="14" t="s">
        <v>3112</v>
      </c>
      <c r="E4894" s="19" t="s">
        <v>4638</v>
      </c>
      <c r="F4894" s="107"/>
      <c r="G4894" s="22"/>
      <c r="H4894" s="108"/>
      <c r="I4894" s="109"/>
      <c r="J4894" s="108"/>
      <c r="K4894" s="29" t="s">
        <v>5</v>
      </c>
      <c r="L4894" s="39"/>
      <c r="M4894" s="91"/>
      <c r="N4894" s="33">
        <v>45936</v>
      </c>
      <c r="O4894" s="32">
        <v>7502</v>
      </c>
      <c r="P4894" s="14"/>
      <c r="Q4894" s="322"/>
      <c r="U4894" s="14"/>
      <c r="V4894" s="384">
        <v>120</v>
      </c>
    </row>
    <row r="4895" spans="1:23" s="7" customFormat="1" ht="18" customHeight="1">
      <c r="B4895" s="12" t="s">
        <v>302</v>
      </c>
      <c r="C4895" s="965" t="s">
        <v>5987</v>
      </c>
      <c r="D4895" s="14" t="s">
        <v>3112</v>
      </c>
      <c r="E4895" s="22" t="s">
        <v>4640</v>
      </c>
      <c r="F4895" s="133" t="s">
        <v>4641</v>
      </c>
      <c r="G4895" s="396" t="s">
        <v>4642</v>
      </c>
      <c r="H4895" s="60">
        <v>20</v>
      </c>
      <c r="I4895" s="61">
        <v>1</v>
      </c>
      <c r="J4895" s="60">
        <f>H4895*I4895</f>
        <v>20</v>
      </c>
      <c r="K4895" s="39">
        <v>9.1300000000000008</v>
      </c>
      <c r="L4895" s="39">
        <f>K4895*J4895</f>
        <v>182.60000000000002</v>
      </c>
      <c r="M4895" s="117" t="s">
        <v>323</v>
      </c>
      <c r="N4895" s="1398">
        <v>45936</v>
      </c>
      <c r="O4895" s="32">
        <v>7502</v>
      </c>
      <c r="P4895" s="391">
        <f>ROUNDUP(S4895/V4895/VLOOKUP(B4895,$C$2:$F$6,3,FALSE),2)</f>
        <v>6.92</v>
      </c>
      <c r="Q4895" s="322">
        <v>6.92</v>
      </c>
      <c r="R4895" s="322">
        <f>Q4895*J4895</f>
        <v>138.4</v>
      </c>
      <c r="S4895" s="7">
        <v>730</v>
      </c>
      <c r="T4895" s="7">
        <f>S4895*J4895</f>
        <v>14600</v>
      </c>
      <c r="U4895" s="21"/>
      <c r="V4895" s="260">
        <v>120</v>
      </c>
      <c r="W4895" s="1136">
        <f>(((K4895*V4895)-S4895)/(K4895*V4895))</f>
        <v>0.33369843008397232</v>
      </c>
    </row>
    <row r="4896" spans="1:23" s="7" customFormat="1" ht="18" customHeight="1">
      <c r="B4896" s="12"/>
      <c r="C4896" s="965" t="s">
        <v>5987</v>
      </c>
      <c r="D4896" s="14" t="s">
        <v>3112</v>
      </c>
      <c r="E4896" s="22"/>
      <c r="F4896" s="102"/>
      <c r="G4896" s="22" t="s">
        <v>4329</v>
      </c>
      <c r="H4896" s="8"/>
      <c r="I4896" s="35"/>
      <c r="J4896" s="131">
        <v>20</v>
      </c>
      <c r="K4896" s="39">
        <v>4.17</v>
      </c>
      <c r="L4896" s="39">
        <f>K4896*J4896</f>
        <v>83.4</v>
      </c>
      <c r="M4896" s="91"/>
      <c r="N4896" s="1398">
        <v>45936</v>
      </c>
      <c r="O4896" s="32">
        <v>7502</v>
      </c>
      <c r="P4896" s="6" t="s">
        <v>3</v>
      </c>
      <c r="Q4896" s="39">
        <v>4.17</v>
      </c>
      <c r="R4896" s="322">
        <f>Q4896*J4896</f>
        <v>83.4</v>
      </c>
      <c r="S4896" s="7">
        <v>400</v>
      </c>
      <c r="T4896" s="7">
        <f>S4896*J4896</f>
        <v>8000</v>
      </c>
      <c r="U4896" s="21"/>
      <c r="V4896" s="260">
        <v>120</v>
      </c>
      <c r="W4896" s="1136">
        <f>(((K4896*V4896)-S4896)/(K4896*V4896))</f>
        <v>0.20063948840927254</v>
      </c>
    </row>
    <row r="4897" spans="1:23" s="7" customFormat="1" ht="18" customHeight="1">
      <c r="B4897" s="12"/>
      <c r="C4897" s="965" t="s">
        <v>5989</v>
      </c>
      <c r="D4897" s="14" t="s">
        <v>3112</v>
      </c>
      <c r="E4897" s="19" t="s">
        <v>4645</v>
      </c>
      <c r="F4897" s="22"/>
      <c r="G4897" s="37"/>
      <c r="H4897" s="108"/>
      <c r="I4897" s="108"/>
      <c r="J4897" s="108"/>
      <c r="K4897" s="110" t="s">
        <v>5</v>
      </c>
      <c r="L4897" s="33"/>
      <c r="M4897" s="33"/>
      <c r="N4897" s="1398">
        <v>45936</v>
      </c>
      <c r="O4897" s="32">
        <v>7502</v>
      </c>
      <c r="P4897" s="6"/>
      <c r="Q4897" s="223"/>
      <c r="S4897" s="1174" t="s">
        <v>330</v>
      </c>
      <c r="T4897" s="92"/>
      <c r="U4897" s="266"/>
      <c r="V4897" s="260">
        <v>120</v>
      </c>
    </row>
    <row r="4898" spans="1:23" s="7" customFormat="1" ht="15.95" customHeight="1">
      <c r="B4898" s="12" t="s">
        <v>300</v>
      </c>
      <c r="C4898" s="965" t="s">
        <v>5989</v>
      </c>
      <c r="D4898" s="14" t="s">
        <v>3112</v>
      </c>
      <c r="E4898" s="374" t="s">
        <v>4934</v>
      </c>
      <c r="F4898" s="37">
        <v>25</v>
      </c>
      <c r="G4898" s="37" t="s">
        <v>350</v>
      </c>
      <c r="H4898" s="60">
        <v>30</v>
      </c>
      <c r="I4898" s="61">
        <v>10</v>
      </c>
      <c r="J4898" s="60">
        <f>H4898*I4898</f>
        <v>300</v>
      </c>
      <c r="K4898" s="39">
        <v>0.72</v>
      </c>
      <c r="L4898" s="39">
        <f>K4898*J4898</f>
        <v>216</v>
      </c>
      <c r="M4898" s="117" t="s">
        <v>323</v>
      </c>
      <c r="N4898" s="1398">
        <v>45936</v>
      </c>
      <c r="O4898" s="32">
        <v>7502</v>
      </c>
      <c r="P4898" s="391">
        <f>ROUNDUP(S4898/V4898/VLOOKUP(B4898,$C$2:$F$6,3,FALSE),2)</f>
        <v>0.42</v>
      </c>
      <c r="Q4898" s="254">
        <v>0.42</v>
      </c>
      <c r="R4898" s="323">
        <f>Q4898*J4898</f>
        <v>126</v>
      </c>
      <c r="S4898" s="1200">
        <v>35.17</v>
      </c>
      <c r="T4898" s="92">
        <f>S4898*J4898</f>
        <v>10551</v>
      </c>
      <c r="U4898" s="1200">
        <v>38.700000000000003</v>
      </c>
      <c r="V4898" s="260">
        <v>120</v>
      </c>
      <c r="W4898" s="1136">
        <f>(((K4898*V4898)-S4898)/(K4898*V4898))</f>
        <v>0.59293981481481473</v>
      </c>
    </row>
    <row r="4899" spans="1:23" s="7" customFormat="1" ht="15.95" customHeight="1">
      <c r="B4899" s="12" t="s">
        <v>300</v>
      </c>
      <c r="C4899" s="965" t="s">
        <v>5989</v>
      </c>
      <c r="D4899" s="14" t="s">
        <v>3112</v>
      </c>
      <c r="E4899" s="374" t="s">
        <v>4934</v>
      </c>
      <c r="F4899" s="37">
        <v>19</v>
      </c>
      <c r="G4899" s="37" t="s">
        <v>350</v>
      </c>
      <c r="H4899" s="60">
        <v>30</v>
      </c>
      <c r="I4899" s="61">
        <v>4</v>
      </c>
      <c r="J4899" s="60">
        <f>H4899*I4899</f>
        <v>120</v>
      </c>
      <c r="K4899" s="39">
        <v>0.56999999999999995</v>
      </c>
      <c r="L4899" s="39">
        <f>K4899*J4899</f>
        <v>68.399999999999991</v>
      </c>
      <c r="M4899" s="117" t="s">
        <v>323</v>
      </c>
      <c r="N4899" s="1398">
        <v>45936</v>
      </c>
      <c r="O4899" s="32">
        <v>7502</v>
      </c>
      <c r="P4899" s="391">
        <f>ROUNDUP(S4899/V4899/VLOOKUP(B4899,$C$2:$F$6,3,FALSE),2)</f>
        <v>0.33</v>
      </c>
      <c r="Q4899" s="254">
        <v>0.33</v>
      </c>
      <c r="R4899" s="323">
        <f>Q4899*J4899</f>
        <v>39.6</v>
      </c>
      <c r="S4899" s="1200">
        <v>27.566600000000001</v>
      </c>
      <c r="T4899" s="92">
        <f>S4899*J4899</f>
        <v>3307.9920000000002</v>
      </c>
      <c r="U4899" s="1200">
        <v>38.700000000000003</v>
      </c>
      <c r="V4899" s="260">
        <v>120</v>
      </c>
      <c r="W4899" s="1136">
        <f>(((K4899*V4899)-S4899)/(K4899*V4899))</f>
        <v>0.59697953216374267</v>
      </c>
    </row>
    <row r="4900" spans="1:23" s="7" customFormat="1" ht="18" customHeight="1">
      <c r="B4900" s="12"/>
      <c r="C4900" s="965" t="s">
        <v>5989</v>
      </c>
      <c r="D4900" s="14" t="s">
        <v>3112</v>
      </c>
      <c r="E4900" s="22"/>
      <c r="F4900" s="102"/>
      <c r="G4900" s="22" t="s">
        <v>316</v>
      </c>
      <c r="H4900" s="8"/>
      <c r="I4900" s="35"/>
      <c r="J4900" s="38">
        <v>1</v>
      </c>
      <c r="K4900" s="39">
        <v>12</v>
      </c>
      <c r="L4900" s="39">
        <f>K4900*J4900</f>
        <v>12</v>
      </c>
      <c r="M4900" s="91"/>
      <c r="N4900" s="33">
        <v>45936</v>
      </c>
      <c r="O4900" s="32">
        <v>7502</v>
      </c>
      <c r="P4900" s="6" t="s">
        <v>3</v>
      </c>
      <c r="Q4900" s="39">
        <v>12</v>
      </c>
      <c r="R4900" s="322">
        <f>Q4900*J4900</f>
        <v>12</v>
      </c>
      <c r="S4900" s="1388">
        <v>0</v>
      </c>
      <c r="T4900" s="92">
        <f>S4900*J4900</f>
        <v>0</v>
      </c>
      <c r="U4900" s="21"/>
      <c r="V4900" s="260">
        <v>120</v>
      </c>
      <c r="W4900" s="1136">
        <f>(((K4900*V4900)-S4900)/(K4900*V4900))</f>
        <v>1</v>
      </c>
    </row>
    <row r="4901" spans="1:23" s="191" customFormat="1" ht="15">
      <c r="B4901" s="190"/>
      <c r="C4901" s="966" t="s">
        <v>5989</v>
      </c>
      <c r="D4901" s="180" t="s">
        <v>3112</v>
      </c>
      <c r="E4901" s="181"/>
      <c r="F4901" s="182"/>
      <c r="G4901" s="182" t="s">
        <v>2738</v>
      </c>
      <c r="H4901" s="184" t="s">
        <v>251</v>
      </c>
      <c r="I4901" s="185"/>
      <c r="J4901" s="183"/>
      <c r="K4901" s="192">
        <v>0</v>
      </c>
      <c r="L4901" s="187"/>
      <c r="M4901" s="187"/>
      <c r="N4901" s="187">
        <v>45936</v>
      </c>
      <c r="O4901" s="186">
        <v>7502</v>
      </c>
      <c r="P4901" s="179"/>
      <c r="Q4901" s="203"/>
      <c r="R4901" s="203"/>
      <c r="S4901" s="203"/>
      <c r="T4901" s="203"/>
      <c r="U4901" s="271"/>
      <c r="V4901" s="260">
        <v>120</v>
      </c>
      <c r="W4901" s="1136" t="e">
        <f t="shared" ref="W4901:W4908" si="474">(((K4901*V4901)-S4901)/(K4901*V4901))</f>
        <v>#DIV/0!</v>
      </c>
    </row>
    <row r="4902" spans="1:23" s="7" customFormat="1" ht="15">
      <c r="B4902" s="12"/>
      <c r="C4902" s="965" t="s">
        <v>5991</v>
      </c>
      <c r="D4902" s="14" t="s">
        <v>2162</v>
      </c>
      <c r="E4902" s="19" t="s">
        <v>5992</v>
      </c>
      <c r="F4902" s="37"/>
      <c r="G4902" s="37"/>
      <c r="H4902" s="108"/>
      <c r="I4902" s="108"/>
      <c r="J4902" s="108"/>
      <c r="K4902" s="29" t="s">
        <v>5</v>
      </c>
      <c r="L4902" s="139"/>
      <c r="M4902" s="33"/>
      <c r="N4902" s="33">
        <v>45938</v>
      </c>
      <c r="O4902" s="32">
        <v>7519</v>
      </c>
      <c r="P4902" s="6"/>
      <c r="Q4902" s="339"/>
      <c r="U4902" s="120"/>
      <c r="V4902" s="260">
        <v>120</v>
      </c>
      <c r="W4902" s="1136" t="e">
        <f t="shared" si="474"/>
        <v>#VALUE!</v>
      </c>
    </row>
    <row r="4903" spans="1:23" s="7" customFormat="1" ht="18" customHeight="1">
      <c r="B4903" s="12" t="s">
        <v>300</v>
      </c>
      <c r="C4903" s="965" t="s">
        <v>5991</v>
      </c>
      <c r="D4903" s="14" t="s">
        <v>2162</v>
      </c>
      <c r="E4903" s="22">
        <v>5381</v>
      </c>
      <c r="F4903" s="37"/>
      <c r="G4903" s="839" t="s">
        <v>5993</v>
      </c>
      <c r="H4903" s="108">
        <v>30</v>
      </c>
      <c r="I4903" s="109">
        <v>1</v>
      </c>
      <c r="J4903" s="8">
        <f>H4903*I4903</f>
        <v>30</v>
      </c>
      <c r="K4903" s="39">
        <v>0.95</v>
      </c>
      <c r="L4903" s="39">
        <f>K4903*J4903</f>
        <v>28.5</v>
      </c>
      <c r="M4903" s="117" t="s">
        <v>349</v>
      </c>
      <c r="N4903" s="33">
        <v>45938</v>
      </c>
      <c r="O4903" s="32">
        <v>7519</v>
      </c>
      <c r="P4903" s="391">
        <f>ROUNDUP(S4903/V4903/VLOOKUP(B4903,$C$2:$F$6,3,FALSE),2)</f>
        <v>0.68</v>
      </c>
      <c r="Q4903" s="322">
        <v>0.68</v>
      </c>
      <c r="R4903" s="322">
        <f>Q4903*J4903</f>
        <v>20.400000000000002</v>
      </c>
      <c r="S4903" s="7">
        <v>57</v>
      </c>
      <c r="T4903" s="7">
        <f>S4903*J4903</f>
        <v>1710</v>
      </c>
      <c r="U4903" s="39"/>
      <c r="V4903" s="260">
        <v>120</v>
      </c>
      <c r="W4903" s="1136">
        <f t="shared" si="474"/>
        <v>0.5</v>
      </c>
    </row>
    <row r="4904" spans="1:23" s="7" customFormat="1" ht="18" customHeight="1">
      <c r="B4904" s="12" t="s">
        <v>300</v>
      </c>
      <c r="C4904" s="965" t="s">
        <v>5991</v>
      </c>
      <c r="D4904" s="14" t="s">
        <v>2162</v>
      </c>
      <c r="E4904" s="22">
        <v>5381</v>
      </c>
      <c r="F4904" s="37"/>
      <c r="G4904" s="22" t="s">
        <v>5994</v>
      </c>
      <c r="H4904" s="108">
        <v>30</v>
      </c>
      <c r="I4904" s="950">
        <v>1</v>
      </c>
      <c r="J4904" s="8">
        <f>I4904*H4904</f>
        <v>30</v>
      </c>
      <c r="K4904" s="39">
        <v>0.95</v>
      </c>
      <c r="L4904" s="39">
        <f>K4904*J4904</f>
        <v>28.5</v>
      </c>
      <c r="M4904" s="117" t="s">
        <v>349</v>
      </c>
      <c r="N4904" s="33">
        <v>45938</v>
      </c>
      <c r="O4904" s="32">
        <v>7519</v>
      </c>
      <c r="P4904" s="391">
        <f>ROUNDUP(S4904/V4904/VLOOKUP(B4904,$C$2:$F$6,3,FALSE),2)</f>
        <v>0.68</v>
      </c>
      <c r="Q4904" s="322">
        <v>0.68</v>
      </c>
      <c r="R4904" s="322">
        <f>Q4904*J4904</f>
        <v>20.400000000000002</v>
      </c>
      <c r="S4904" s="7">
        <v>57</v>
      </c>
      <c r="T4904" s="7">
        <f>S4904*J4904</f>
        <v>1710</v>
      </c>
      <c r="U4904" s="21"/>
      <c r="V4904" s="260">
        <v>120</v>
      </c>
      <c r="W4904" s="1136">
        <f t="shared" si="474"/>
        <v>0.5</v>
      </c>
    </row>
    <row r="4905" spans="1:23" s="7" customFormat="1" ht="18" customHeight="1">
      <c r="B4905" s="12" t="s">
        <v>300</v>
      </c>
      <c r="C4905" s="965" t="s">
        <v>5991</v>
      </c>
      <c r="D4905" s="14" t="s">
        <v>2162</v>
      </c>
      <c r="E4905" s="22">
        <v>5381</v>
      </c>
      <c r="F4905" s="37"/>
      <c r="G4905" s="22" t="s">
        <v>5995</v>
      </c>
      <c r="H4905" s="108">
        <v>30</v>
      </c>
      <c r="I4905" s="950">
        <v>1</v>
      </c>
      <c r="J4905" s="8">
        <f>I4905*H4905</f>
        <v>30</v>
      </c>
      <c r="K4905" s="39">
        <v>0.95</v>
      </c>
      <c r="L4905" s="39">
        <f>K4905*J4905</f>
        <v>28.5</v>
      </c>
      <c r="M4905" s="117" t="s">
        <v>349</v>
      </c>
      <c r="N4905" s="33">
        <v>45938</v>
      </c>
      <c r="O4905" s="32">
        <v>7519</v>
      </c>
      <c r="P4905" s="391">
        <f>ROUNDUP(S4905/V4905/VLOOKUP(B4905,$C$2:$F$6,3,FALSE),2)</f>
        <v>0.68</v>
      </c>
      <c r="Q4905" s="322">
        <v>0.68</v>
      </c>
      <c r="R4905" s="322">
        <f>Q4905*J4905</f>
        <v>20.400000000000002</v>
      </c>
      <c r="S4905" s="7">
        <v>57</v>
      </c>
      <c r="T4905" s="7">
        <f>S4905*J4905</f>
        <v>1710</v>
      </c>
      <c r="U4905" s="21"/>
      <c r="V4905" s="260">
        <v>120</v>
      </c>
      <c r="W4905" s="1136">
        <f>(((K4905*V4905)-S4905)/(K4905*V4905))</f>
        <v>0.5</v>
      </c>
    </row>
    <row r="4906" spans="1:23" s="7" customFormat="1" ht="18" customHeight="1">
      <c r="B4906" s="12" t="s">
        <v>300</v>
      </c>
      <c r="C4906" s="965" t="s">
        <v>5991</v>
      </c>
      <c r="D4906" s="14" t="s">
        <v>2162</v>
      </c>
      <c r="E4906" s="22">
        <v>5381</v>
      </c>
      <c r="F4906" s="37"/>
      <c r="G4906" s="22" t="s">
        <v>5996</v>
      </c>
      <c r="H4906" s="108">
        <v>30</v>
      </c>
      <c r="I4906" s="950">
        <v>1</v>
      </c>
      <c r="J4906" s="8">
        <f>I4906*H4906</f>
        <v>30</v>
      </c>
      <c r="K4906" s="39">
        <v>0.95</v>
      </c>
      <c r="L4906" s="39">
        <f>K4906*J4906</f>
        <v>28.5</v>
      </c>
      <c r="M4906" s="117" t="s">
        <v>349</v>
      </c>
      <c r="N4906" s="33">
        <v>45938</v>
      </c>
      <c r="O4906" s="32">
        <v>7519</v>
      </c>
      <c r="P4906" s="391">
        <f>ROUNDUP(S4906/V4906/VLOOKUP(B4906,$C$2:$F$6,3,FALSE),2)</f>
        <v>0.68</v>
      </c>
      <c r="Q4906" s="322">
        <v>0.68</v>
      </c>
      <c r="R4906" s="322">
        <f>Q4906*J4906</f>
        <v>20.400000000000002</v>
      </c>
      <c r="S4906" s="7">
        <v>57</v>
      </c>
      <c r="T4906" s="7">
        <f>S4906*J4906</f>
        <v>1710</v>
      </c>
      <c r="U4906" s="21"/>
      <c r="V4906" s="260">
        <v>120</v>
      </c>
      <c r="W4906" s="1136">
        <f>(((K4906*V4906)-S4906)/(K4906*V4906))</f>
        <v>0.5</v>
      </c>
    </row>
    <row r="4907" spans="1:23" customFormat="1" ht="15.95" customHeight="1">
      <c r="A4907" s="1"/>
      <c r="B4907" s="12" t="s">
        <v>306</v>
      </c>
      <c r="C4907" s="965" t="s">
        <v>5991</v>
      </c>
      <c r="D4907" s="14" t="s">
        <v>2162</v>
      </c>
      <c r="E4907" s="22"/>
      <c r="F4907" s="102"/>
      <c r="G4907" s="37" t="s">
        <v>316</v>
      </c>
      <c r="H4907" s="8"/>
      <c r="I4907" s="35"/>
      <c r="J4907" s="38">
        <v>1</v>
      </c>
      <c r="K4907" s="39">
        <v>12</v>
      </c>
      <c r="L4907" s="39">
        <f>K4907*J4907</f>
        <v>12</v>
      </c>
      <c r="M4907" s="91"/>
      <c r="N4907" s="1398">
        <v>45938</v>
      </c>
      <c r="O4907" s="32">
        <v>7519</v>
      </c>
      <c r="P4907" s="39"/>
      <c r="Q4907" s="358">
        <v>12</v>
      </c>
      <c r="R4907" s="322">
        <f>Q4907*J4907</f>
        <v>12</v>
      </c>
      <c r="S4907" s="7">
        <v>900</v>
      </c>
      <c r="T4907" s="7">
        <v>900</v>
      </c>
      <c r="U4907" s="270"/>
      <c r="V4907" s="260">
        <v>120</v>
      </c>
      <c r="W4907" s="1136">
        <f t="shared" si="474"/>
        <v>0.375</v>
      </c>
    </row>
    <row r="4908" spans="1:23" s="191" customFormat="1" ht="15.75">
      <c r="B4908" s="190"/>
      <c r="C4908" s="966" t="s">
        <v>5990</v>
      </c>
      <c r="D4908" s="180" t="s">
        <v>2162</v>
      </c>
      <c r="E4908" s="181"/>
      <c r="F4908" s="182"/>
      <c r="G4908" s="182" t="s">
        <v>250</v>
      </c>
      <c r="H4908" s="184" t="s">
        <v>251</v>
      </c>
      <c r="I4908" s="185"/>
      <c r="J4908" s="183"/>
      <c r="K4908" s="192">
        <v>0</v>
      </c>
      <c r="L4908" s="187"/>
      <c r="M4908" s="1310"/>
      <c r="N4908" s="1399">
        <v>45938</v>
      </c>
      <c r="O4908" s="186">
        <v>7519</v>
      </c>
      <c r="P4908" s="179"/>
      <c r="Q4908" s="255">
        <v>0</v>
      </c>
      <c r="R4908" s="322">
        <v>0</v>
      </c>
      <c r="S4908" s="275">
        <v>0</v>
      </c>
      <c r="T4908" s="198">
        <v>0</v>
      </c>
      <c r="U4908" s="271"/>
      <c r="V4908" s="260">
        <v>120</v>
      </c>
      <c r="W4908" s="1136" t="e">
        <f t="shared" si="474"/>
        <v>#DIV/0!</v>
      </c>
    </row>
    <row r="4909" spans="1:23" s="7" customFormat="1" ht="18" customHeight="1">
      <c r="B4909" s="12"/>
      <c r="C4909" s="6" t="s">
        <v>6006</v>
      </c>
      <c r="D4909" s="14" t="s">
        <v>3047</v>
      </c>
      <c r="E4909" s="19" t="s">
        <v>5963</v>
      </c>
      <c r="F4909" s="24"/>
      <c r="G4909" s="22"/>
      <c r="H4909" s="108"/>
      <c r="I4909" s="109"/>
      <c r="J4909" s="8"/>
      <c r="K4909" s="29" t="s">
        <v>5</v>
      </c>
      <c r="L4909" s="39"/>
      <c r="M4909" s="117"/>
      <c r="N4909" s="33">
        <v>45966</v>
      </c>
      <c r="O4909" s="32">
        <v>7611</v>
      </c>
      <c r="P4909" s="391"/>
      <c r="Q4909" s="322"/>
      <c r="R4909" s="322"/>
      <c r="U4909" s="386"/>
      <c r="V4909" s="260"/>
      <c r="W4909" s="1136"/>
    </row>
    <row r="4910" spans="1:23" s="7" customFormat="1" ht="18" customHeight="1">
      <c r="B4910" s="12" t="s">
        <v>300</v>
      </c>
      <c r="C4910" s="6" t="s">
        <v>6006</v>
      </c>
      <c r="D4910" s="14" t="s">
        <v>3047</v>
      </c>
      <c r="E4910" s="22" t="s">
        <v>5957</v>
      </c>
      <c r="F4910" s="24"/>
      <c r="G4910" s="22" t="s">
        <v>5961</v>
      </c>
      <c r="H4910" s="108"/>
      <c r="I4910" s="109"/>
      <c r="J4910" s="8">
        <v>10</v>
      </c>
      <c r="K4910" s="39">
        <v>3.56</v>
      </c>
      <c r="L4910" s="39">
        <f>K4910*J4910</f>
        <v>35.6</v>
      </c>
      <c r="M4910" s="117" t="s">
        <v>323</v>
      </c>
      <c r="N4910" s="33">
        <v>45966</v>
      </c>
      <c r="O4910" s="32">
        <v>7611</v>
      </c>
      <c r="P4910" s="391">
        <f>ROUNDUP(S4910/V4910/VLOOKUP(B4910,$C$2:$F$6,3,FALSE),2)</f>
        <v>3.05</v>
      </c>
      <c r="Q4910" s="322">
        <v>3.05</v>
      </c>
      <c r="R4910" s="322">
        <f>Q4910*J4910</f>
        <v>30.5</v>
      </c>
      <c r="S4910" s="7">
        <v>256</v>
      </c>
      <c r="T4910" s="7">
        <f>S4910*J4910</f>
        <v>2560</v>
      </c>
      <c r="U4910" s="386"/>
      <c r="V4910" s="260">
        <v>120</v>
      </c>
      <c r="W4910" s="1136">
        <f>(((K4910*V4910)-S4910)/(K4910*V4910))</f>
        <v>0.40074906367041196</v>
      </c>
    </row>
    <row r="4911" spans="1:23" s="7" customFormat="1" ht="18" customHeight="1">
      <c r="B4911" s="12"/>
      <c r="C4911" s="6" t="s">
        <v>6006</v>
      </c>
      <c r="D4911" s="14" t="s">
        <v>3047</v>
      </c>
      <c r="E4911" s="1458" t="s">
        <v>2358</v>
      </c>
      <c r="F4911" s="24"/>
      <c r="G4911" s="22"/>
      <c r="H4911" s="60"/>
      <c r="I4911" s="61"/>
      <c r="J4911" s="60"/>
      <c r="K4911" s="16"/>
      <c r="L4911" s="144"/>
      <c r="M4911" s="11"/>
      <c r="N4911" s="33">
        <v>45966</v>
      </c>
      <c r="O4911" s="32">
        <v>7611</v>
      </c>
      <c r="P4911" s="6" t="s">
        <v>3</v>
      </c>
      <c r="Q4911" s="358"/>
      <c r="S4911" s="1434"/>
      <c r="U4911" s="120"/>
      <c r="V4911" s="260">
        <v>120</v>
      </c>
    </row>
    <row r="4912" spans="1:23" s="7" customFormat="1" ht="18" customHeight="1">
      <c r="B4912" s="12" t="s">
        <v>300</v>
      </c>
      <c r="C4912" s="6" t="s">
        <v>6006</v>
      </c>
      <c r="D4912" s="14" t="s">
        <v>3047</v>
      </c>
      <c r="E4912" s="19" t="s">
        <v>6099</v>
      </c>
      <c r="F4912" s="24"/>
      <c r="G4912" s="22" t="s">
        <v>5961</v>
      </c>
      <c r="H4912" s="108"/>
      <c r="I4912" s="109"/>
      <c r="J4912" s="8">
        <v>9</v>
      </c>
      <c r="K4912" s="39">
        <v>2.9499999999999997</v>
      </c>
      <c r="L4912" s="39">
        <f>K4912*J4912</f>
        <v>26.549999999999997</v>
      </c>
      <c r="M4912" s="117" t="s">
        <v>323</v>
      </c>
      <c r="N4912" s="33">
        <v>45966</v>
      </c>
      <c r="O4912" s="32">
        <v>7611</v>
      </c>
      <c r="P4912" s="391">
        <f>ROUNDUP(S4912/V4912/VLOOKUP(B4912,$C$2:$F$6,3,FALSE),2)</f>
        <v>2.5299999999999998</v>
      </c>
      <c r="Q4912" s="322">
        <v>2.5299999999999998</v>
      </c>
      <c r="R4912" s="322">
        <f>Q4912*J4912</f>
        <v>22.77</v>
      </c>
      <c r="S4912" s="7">
        <v>212</v>
      </c>
      <c r="T4912" s="7">
        <f>S4912*J4912</f>
        <v>1908</v>
      </c>
      <c r="U4912" s="14"/>
      <c r="V4912" s="260">
        <v>120</v>
      </c>
      <c r="W4912" s="1136">
        <f t="shared" ref="W4912:W4917" si="475">(((K4912*V4912)-S4912)/(K4912*V4912))</f>
        <v>0.40112994350282477</v>
      </c>
    </row>
    <row r="4913" spans="2:23" s="7" customFormat="1" ht="18" customHeight="1">
      <c r="B4913" s="12" t="s">
        <v>300</v>
      </c>
      <c r="C4913" s="6" t="s">
        <v>6006</v>
      </c>
      <c r="D4913" s="14" t="s">
        <v>3047</v>
      </c>
      <c r="E4913" s="22" t="s">
        <v>5954</v>
      </c>
      <c r="F4913" s="24"/>
      <c r="G4913" s="22" t="s">
        <v>5961</v>
      </c>
      <c r="H4913" s="108"/>
      <c r="I4913" s="109"/>
      <c r="J4913" s="8">
        <v>10</v>
      </c>
      <c r="K4913" s="39">
        <v>3.5199999999999996</v>
      </c>
      <c r="L4913" s="39">
        <f>K4913*J4913</f>
        <v>35.199999999999996</v>
      </c>
      <c r="M4913" s="117" t="s">
        <v>323</v>
      </c>
      <c r="N4913" s="33">
        <v>45966</v>
      </c>
      <c r="O4913" s="32">
        <v>7611</v>
      </c>
      <c r="P4913" s="391">
        <f>ROUNDUP(S4913/V4913/VLOOKUP(B4913,$C$2:$F$6,3,FALSE),2)</f>
        <v>3.0199999999999996</v>
      </c>
      <c r="Q4913" s="322">
        <v>3.02</v>
      </c>
      <c r="R4913" s="322">
        <f>Q4913*J4913</f>
        <v>30.2</v>
      </c>
      <c r="S4913" s="7">
        <v>253</v>
      </c>
      <c r="T4913" s="7">
        <f>S4913*J4913</f>
        <v>2530</v>
      </c>
      <c r="U4913" s="14"/>
      <c r="V4913" s="260">
        <v>120</v>
      </c>
      <c r="W4913" s="1136">
        <f t="shared" si="475"/>
        <v>0.40104166666666663</v>
      </c>
    </row>
    <row r="4914" spans="2:23" s="7" customFormat="1" ht="15">
      <c r="B4914" s="12" t="s">
        <v>5999</v>
      </c>
      <c r="C4914" s="6" t="s">
        <v>6006</v>
      </c>
      <c r="D4914" s="14" t="s">
        <v>3047</v>
      </c>
      <c r="E4914" s="49"/>
      <c r="F4914" s="102"/>
      <c r="G4914" s="22" t="s">
        <v>5998</v>
      </c>
      <c r="H4914" s="38"/>
      <c r="I4914" s="35"/>
      <c r="J4914" s="38">
        <v>3</v>
      </c>
      <c r="K4914" s="39">
        <v>65</v>
      </c>
      <c r="L4914" s="39">
        <f>K4914*J4914</f>
        <v>195</v>
      </c>
      <c r="M4914" s="91"/>
      <c r="N4914" s="33">
        <v>45966</v>
      </c>
      <c r="O4914" s="32">
        <v>7611</v>
      </c>
      <c r="P4914" s="391">
        <f>ROUNDUP(S4914/V4914/VLOOKUP(B4914,$C$2:$F$6,3,FALSE),2)</f>
        <v>56.82</v>
      </c>
      <c r="Q4914" s="322">
        <v>56.82</v>
      </c>
      <c r="R4914" s="322">
        <f>Q4914*J4914</f>
        <v>170.46</v>
      </c>
      <c r="S4914" s="1388">
        <v>6000</v>
      </c>
      <c r="T4914" s="1388">
        <f>S4914*J4914</f>
        <v>18000</v>
      </c>
      <c r="U4914" s="21"/>
      <c r="V4914" s="260">
        <v>120</v>
      </c>
      <c r="W4914" s="1136">
        <f>(((K4914*V4914)-S4914)/(K4914*V4914))</f>
        <v>0.23076923076923078</v>
      </c>
    </row>
    <row r="4915" spans="2:23" s="7" customFormat="1" ht="15">
      <c r="B4915" s="12"/>
      <c r="C4915" s="6" t="s">
        <v>6006</v>
      </c>
      <c r="D4915" s="14" t="s">
        <v>3047</v>
      </c>
      <c r="E4915" s="49"/>
      <c r="F4915" s="102"/>
      <c r="G4915" s="22" t="s">
        <v>316</v>
      </c>
      <c r="H4915" s="38"/>
      <c r="I4915" s="35"/>
      <c r="J4915" s="38">
        <v>1</v>
      </c>
      <c r="K4915" s="39">
        <v>12</v>
      </c>
      <c r="L4915" s="39">
        <f>K4915*J4915</f>
        <v>12</v>
      </c>
      <c r="M4915" s="91"/>
      <c r="N4915" s="33">
        <v>45966</v>
      </c>
      <c r="O4915" s="32">
        <v>7611</v>
      </c>
      <c r="P4915" s="722"/>
      <c r="Q4915" s="322">
        <v>12</v>
      </c>
      <c r="R4915" s="322">
        <f>Q4915*J4915</f>
        <v>12</v>
      </c>
      <c r="S4915" s="1388">
        <v>0</v>
      </c>
      <c r="T4915" s="1388">
        <f>S4915*J4915</f>
        <v>0</v>
      </c>
      <c r="U4915" s="21"/>
      <c r="V4915" s="260">
        <v>120</v>
      </c>
      <c r="W4915" s="1136">
        <f>(((K4915*V4915)-S4915)/(K4915*V4915))</f>
        <v>1</v>
      </c>
    </row>
    <row r="4916" spans="2:23" s="7" customFormat="1" ht="18" customHeight="1">
      <c r="B4916" s="12" t="s">
        <v>300</v>
      </c>
      <c r="C4916" s="6" t="s">
        <v>6006</v>
      </c>
      <c r="D4916" s="14" t="s">
        <v>3047</v>
      </c>
      <c r="E4916" s="1106" t="s">
        <v>6141</v>
      </c>
      <c r="F4916" s="24"/>
      <c r="G4916" s="22" t="s">
        <v>5961</v>
      </c>
      <c r="H4916" s="108"/>
      <c r="I4916" s="109"/>
      <c r="J4916" s="8">
        <v>20</v>
      </c>
      <c r="K4916" s="39">
        <v>3.48</v>
      </c>
      <c r="L4916" s="39">
        <f>K4916*J4916</f>
        <v>69.599999999999994</v>
      </c>
      <c r="M4916" s="117" t="s">
        <v>323</v>
      </c>
      <c r="N4916" s="33">
        <v>45975</v>
      </c>
      <c r="O4916" s="32">
        <v>7647</v>
      </c>
      <c r="P4916" s="391">
        <f>ROUNDUP(S4916/V4916/VLOOKUP(B4916,$C$2:$F$6,3,FALSE),2)</f>
        <v>2.98</v>
      </c>
      <c r="Q4916" s="322">
        <v>2.98</v>
      </c>
      <c r="R4916" s="322">
        <f>Q4916*J4916</f>
        <v>59.6</v>
      </c>
      <c r="S4916" s="92">
        <v>250</v>
      </c>
      <c r="T4916" s="7">
        <f>S4916*J4916</f>
        <v>5000</v>
      </c>
      <c r="U4916" s="14"/>
      <c r="V4916" s="260">
        <v>120</v>
      </c>
      <c r="W4916" s="1136">
        <f t="shared" si="475"/>
        <v>0.40134099616858243</v>
      </c>
    </row>
    <row r="4917" spans="2:23" s="191" customFormat="1" ht="15.75">
      <c r="B4917" s="190"/>
      <c r="C4917" s="179" t="s">
        <v>6006</v>
      </c>
      <c r="D4917" s="180" t="s">
        <v>3047</v>
      </c>
      <c r="E4917" s="181"/>
      <c r="F4917" s="182"/>
      <c r="G4917" s="182" t="s">
        <v>2738</v>
      </c>
      <c r="H4917" s="184" t="s">
        <v>251</v>
      </c>
      <c r="I4917" s="185"/>
      <c r="J4917" s="183"/>
      <c r="K4917" s="192">
        <v>0</v>
      </c>
      <c r="L4917" s="187"/>
      <c r="M4917" s="1310"/>
      <c r="N4917" s="187"/>
      <c r="O4917" s="186"/>
      <c r="P4917" s="179"/>
      <c r="Q4917" s="255">
        <v>0</v>
      </c>
      <c r="R4917" s="322">
        <v>0</v>
      </c>
      <c r="S4917" s="275">
        <v>0</v>
      </c>
      <c r="T4917" s="198">
        <v>0</v>
      </c>
      <c r="U4917" s="271"/>
      <c r="V4917" s="260">
        <v>120</v>
      </c>
      <c r="W4917" s="1136" t="e">
        <f t="shared" si="475"/>
        <v>#DIV/0!</v>
      </c>
    </row>
    <row r="4918" spans="2:23" s="7" customFormat="1" ht="18" customHeight="1">
      <c r="B4918" s="12"/>
      <c r="C4918" s="6" t="s">
        <v>6150</v>
      </c>
      <c r="D4918" s="14" t="s">
        <v>6140</v>
      </c>
      <c r="E4918" s="19" t="s">
        <v>5963</v>
      </c>
      <c r="F4918" s="24"/>
      <c r="G4918" s="22"/>
      <c r="H4918" s="108"/>
      <c r="I4918" s="109"/>
      <c r="J4918" s="8"/>
      <c r="K4918" s="29" t="s">
        <v>5</v>
      </c>
      <c r="L4918" s="39"/>
      <c r="M4918" s="117"/>
      <c r="N4918" s="33">
        <v>45966</v>
      </c>
      <c r="O4918" s="32">
        <v>7593</v>
      </c>
      <c r="P4918" s="391"/>
      <c r="Q4918" s="322"/>
      <c r="R4918" s="322"/>
      <c r="U4918" s="386"/>
      <c r="V4918" s="260"/>
      <c r="W4918" s="1136"/>
    </row>
    <row r="4919" spans="2:23" s="7" customFormat="1" ht="18" customHeight="1">
      <c r="B4919" s="12" t="s">
        <v>300</v>
      </c>
      <c r="C4919" s="6" t="s">
        <v>6150</v>
      </c>
      <c r="D4919" s="14" t="s">
        <v>6140</v>
      </c>
      <c r="E4919" s="22" t="s">
        <v>5957</v>
      </c>
      <c r="F4919" s="24"/>
      <c r="G4919" s="22" t="s">
        <v>5961</v>
      </c>
      <c r="H4919" s="108"/>
      <c r="I4919" s="109"/>
      <c r="J4919" s="8">
        <v>44</v>
      </c>
      <c r="K4919" s="39">
        <v>3.56</v>
      </c>
      <c r="L4919" s="39">
        <f>K4919*J4919</f>
        <v>156.64000000000001</v>
      </c>
      <c r="M4919" s="117" t="s">
        <v>323</v>
      </c>
      <c r="N4919" s="33">
        <v>45966</v>
      </c>
      <c r="O4919" s="32">
        <v>7593</v>
      </c>
      <c r="P4919" s="391">
        <f>ROUNDUP(S4919/V4919/VLOOKUP(B4919,$C$2:$F$6,3,FALSE),2)</f>
        <v>3.05</v>
      </c>
      <c r="Q4919" s="322">
        <v>3.05</v>
      </c>
      <c r="R4919" s="322">
        <f>Q4919*J4919</f>
        <v>134.19999999999999</v>
      </c>
      <c r="S4919" s="7">
        <v>256</v>
      </c>
      <c r="T4919" s="7">
        <f>S4919*J4919</f>
        <v>11264</v>
      </c>
      <c r="U4919" s="386"/>
      <c r="V4919" s="260">
        <v>120</v>
      </c>
      <c r="W4919" s="1136">
        <f>(((K4919*V4919)-S4919)/(K4919*V4919))</f>
        <v>0.40074906367041196</v>
      </c>
    </row>
    <row r="4920" spans="2:23" s="7" customFormat="1" ht="18" customHeight="1">
      <c r="B4920" s="12"/>
      <c r="C4920" s="6" t="s">
        <v>6150</v>
      </c>
      <c r="D4920" s="14" t="s">
        <v>6140</v>
      </c>
      <c r="E4920" s="1458" t="s">
        <v>2358</v>
      </c>
      <c r="F4920" s="24"/>
      <c r="G4920" s="22"/>
      <c r="H4920" s="60"/>
      <c r="I4920" s="61"/>
      <c r="J4920" s="60"/>
      <c r="K4920" s="16"/>
      <c r="L4920" s="144"/>
      <c r="M4920" s="11"/>
      <c r="N4920" s="33">
        <v>45966</v>
      </c>
      <c r="O4920" s="32">
        <v>7593</v>
      </c>
      <c r="P4920" s="6" t="s">
        <v>3</v>
      </c>
      <c r="Q4920" s="358"/>
      <c r="S4920" s="1434"/>
      <c r="U4920" s="120"/>
      <c r="V4920" s="260">
        <v>120</v>
      </c>
    </row>
    <row r="4921" spans="2:23" s="7" customFormat="1" ht="18" customHeight="1">
      <c r="B4921" s="12" t="s">
        <v>300</v>
      </c>
      <c r="C4921" s="6" t="s">
        <v>6150</v>
      </c>
      <c r="D4921" s="14" t="s">
        <v>6140</v>
      </c>
      <c r="E4921" s="19" t="s">
        <v>6099</v>
      </c>
      <c r="F4921" s="24"/>
      <c r="G4921" s="22" t="s">
        <v>5961</v>
      </c>
      <c r="H4921" s="108"/>
      <c r="I4921" s="109"/>
      <c r="J4921" s="8">
        <v>85</v>
      </c>
      <c r="K4921" s="39">
        <v>2.9499999999999997</v>
      </c>
      <c r="L4921" s="39">
        <f t="shared" ref="L4921:L4926" si="476">K4921*J4921</f>
        <v>250.74999999999997</v>
      </c>
      <c r="M4921" s="117" t="s">
        <v>323</v>
      </c>
      <c r="N4921" s="33">
        <v>45966</v>
      </c>
      <c r="O4921" s="32">
        <v>7593</v>
      </c>
      <c r="P4921" s="391">
        <f t="shared" ref="P4921:P4926" si="477">ROUNDUP(S4921/V4921/VLOOKUP(B4921,$C$2:$F$6,3,FALSE),2)</f>
        <v>2.5299999999999998</v>
      </c>
      <c r="Q4921" s="322">
        <v>2.5299999999999998</v>
      </c>
      <c r="R4921" s="322">
        <f t="shared" ref="R4921:R4926" si="478">Q4921*J4921</f>
        <v>215.04999999999998</v>
      </c>
      <c r="S4921" s="7">
        <v>212</v>
      </c>
      <c r="T4921" s="7">
        <f t="shared" ref="T4921:T4926" si="479">S4921*J4921</f>
        <v>18020</v>
      </c>
      <c r="U4921" s="14"/>
      <c r="V4921" s="260">
        <v>120</v>
      </c>
      <c r="W4921" s="1136">
        <f>(((K4921*V4921)-S4921)/(K4921*V4921))</f>
        <v>0.40112994350282477</v>
      </c>
    </row>
    <row r="4922" spans="2:23" s="7" customFormat="1" ht="18" customHeight="1">
      <c r="B4922" s="12" t="s">
        <v>300</v>
      </c>
      <c r="C4922" s="6" t="s">
        <v>6150</v>
      </c>
      <c r="D4922" s="14" t="s">
        <v>6140</v>
      </c>
      <c r="E4922" s="22" t="s">
        <v>5954</v>
      </c>
      <c r="F4922" s="24"/>
      <c r="G4922" s="22" t="s">
        <v>5961</v>
      </c>
      <c r="H4922" s="108"/>
      <c r="I4922" s="109"/>
      <c r="J4922" s="8">
        <v>44</v>
      </c>
      <c r="K4922" s="39">
        <v>3.5199999999999996</v>
      </c>
      <c r="L4922" s="39">
        <f t="shared" si="476"/>
        <v>154.88</v>
      </c>
      <c r="M4922" s="117" t="s">
        <v>323</v>
      </c>
      <c r="N4922" s="33">
        <v>45966</v>
      </c>
      <c r="O4922" s="32">
        <v>7593</v>
      </c>
      <c r="P4922" s="391">
        <f t="shared" si="477"/>
        <v>3.0199999999999996</v>
      </c>
      <c r="Q4922" s="322">
        <v>3.02</v>
      </c>
      <c r="R4922" s="322">
        <f t="shared" si="478"/>
        <v>132.88</v>
      </c>
      <c r="S4922" s="7">
        <v>253</v>
      </c>
      <c r="T4922" s="7">
        <f t="shared" si="479"/>
        <v>11132</v>
      </c>
      <c r="U4922" s="14"/>
      <c r="V4922" s="260">
        <v>120</v>
      </c>
      <c r="W4922" s="1136">
        <f t="shared" ref="W4922:W4944" si="480">(((K4922*V4922)-S4922)/(K4922*V4922))</f>
        <v>0.40104166666666663</v>
      </c>
    </row>
    <row r="4923" spans="2:23" s="7" customFormat="1" ht="18" customHeight="1">
      <c r="B4923" s="12" t="s">
        <v>300</v>
      </c>
      <c r="C4923" s="6" t="s">
        <v>6150</v>
      </c>
      <c r="D4923" s="14" t="s">
        <v>6140</v>
      </c>
      <c r="E4923" s="1654" t="s">
        <v>6141</v>
      </c>
      <c r="F4923" s="24"/>
      <c r="G4923" s="22" t="s">
        <v>5961</v>
      </c>
      <c r="H4923" s="108"/>
      <c r="I4923" s="109"/>
      <c r="J4923" s="8">
        <v>10</v>
      </c>
      <c r="K4923" s="39">
        <v>3.48</v>
      </c>
      <c r="L4923" s="39">
        <f t="shared" si="476"/>
        <v>34.799999999999997</v>
      </c>
      <c r="M4923" s="117" t="s">
        <v>323</v>
      </c>
      <c r="N4923" s="1398">
        <v>45975</v>
      </c>
      <c r="O4923" s="1653">
        <v>7646</v>
      </c>
      <c r="P4923" s="391">
        <f t="shared" si="477"/>
        <v>2.98</v>
      </c>
      <c r="Q4923" s="322">
        <v>2.98</v>
      </c>
      <c r="R4923" s="322">
        <f t="shared" si="478"/>
        <v>29.8</v>
      </c>
      <c r="S4923" s="92">
        <v>250</v>
      </c>
      <c r="T4923" s="7">
        <f t="shared" si="479"/>
        <v>2500</v>
      </c>
      <c r="U4923" s="14"/>
      <c r="V4923" s="260">
        <v>120</v>
      </c>
      <c r="W4923" s="1136">
        <f t="shared" ref="W4923:W4924" si="481">(((K4923*V4923)-S4923)/(K4923*V4923))</f>
        <v>0.40134099616858243</v>
      </c>
    </row>
    <row r="4924" spans="2:23" s="7" customFormat="1" ht="18" customHeight="1">
      <c r="B4924" s="12" t="s">
        <v>300</v>
      </c>
      <c r="C4924" s="6" t="s">
        <v>6150</v>
      </c>
      <c r="D4924" s="14" t="s">
        <v>6140</v>
      </c>
      <c r="E4924" s="1106" t="s">
        <v>6141</v>
      </c>
      <c r="F4924" s="24"/>
      <c r="G4924" s="22" t="s">
        <v>5961</v>
      </c>
      <c r="H4924" s="108"/>
      <c r="I4924" s="109"/>
      <c r="J4924" s="8">
        <v>100</v>
      </c>
      <c r="K4924" s="39">
        <v>3.48</v>
      </c>
      <c r="L4924" s="39">
        <f t="shared" si="476"/>
        <v>348</v>
      </c>
      <c r="M4924" s="117" t="s">
        <v>323</v>
      </c>
      <c r="N4924" s="1398">
        <v>45975</v>
      </c>
      <c r="O4924" s="1653">
        <v>7646</v>
      </c>
      <c r="P4924" s="391">
        <f t="shared" si="477"/>
        <v>2.98</v>
      </c>
      <c r="Q4924" s="322">
        <v>2.98</v>
      </c>
      <c r="R4924" s="322">
        <f t="shared" si="478"/>
        <v>298</v>
      </c>
      <c r="S4924" s="92">
        <v>250</v>
      </c>
      <c r="T4924" s="7">
        <f t="shared" si="479"/>
        <v>25000</v>
      </c>
      <c r="U4924" s="14"/>
      <c r="V4924" s="260">
        <v>120</v>
      </c>
      <c r="W4924" s="1136">
        <f t="shared" si="481"/>
        <v>0.40134099616858243</v>
      </c>
    </row>
    <row r="4925" spans="2:23" s="7" customFormat="1" ht="18" customHeight="1">
      <c r="B4925" s="12" t="s">
        <v>300</v>
      </c>
      <c r="C4925" s="6" t="s">
        <v>6150</v>
      </c>
      <c r="D4925" s="14" t="s">
        <v>6140</v>
      </c>
      <c r="E4925" s="1106" t="s">
        <v>6141</v>
      </c>
      <c r="F4925" s="24"/>
      <c r="G4925" s="22" t="s">
        <v>5961</v>
      </c>
      <c r="H4925" s="108"/>
      <c r="I4925" s="109"/>
      <c r="J4925" s="8">
        <v>5</v>
      </c>
      <c r="K4925" s="39">
        <v>3.48</v>
      </c>
      <c r="L4925" s="39">
        <f t="shared" si="476"/>
        <v>17.399999999999999</v>
      </c>
      <c r="M4925" s="117" t="s">
        <v>323</v>
      </c>
      <c r="N4925" s="1398">
        <v>45994</v>
      </c>
      <c r="O4925" s="32">
        <v>7682</v>
      </c>
      <c r="P4925" s="391">
        <f t="shared" si="477"/>
        <v>2.98</v>
      </c>
      <c r="Q4925" s="322">
        <v>2.98</v>
      </c>
      <c r="R4925" s="322">
        <f t="shared" si="478"/>
        <v>14.9</v>
      </c>
      <c r="S4925" s="92">
        <v>250</v>
      </c>
      <c r="T4925" s="7">
        <f t="shared" si="479"/>
        <v>1250</v>
      </c>
      <c r="U4925" s="14"/>
      <c r="V4925" s="260">
        <v>120</v>
      </c>
      <c r="W4925" s="1136">
        <f t="shared" si="480"/>
        <v>0.40134099616858243</v>
      </c>
    </row>
    <row r="4926" spans="2:23" s="7" customFormat="1" ht="18" customHeight="1">
      <c r="B4926" s="12" t="s">
        <v>300</v>
      </c>
      <c r="C4926" s="6" t="s">
        <v>6150</v>
      </c>
      <c r="D4926" s="14" t="s">
        <v>6140</v>
      </c>
      <c r="E4926" s="1106" t="s">
        <v>6141</v>
      </c>
      <c r="F4926" s="24"/>
      <c r="G4926" s="22" t="s">
        <v>5961</v>
      </c>
      <c r="H4926" s="108"/>
      <c r="I4926" s="109"/>
      <c r="J4926" s="8">
        <v>4</v>
      </c>
      <c r="K4926" s="39">
        <v>3.48</v>
      </c>
      <c r="L4926" s="39">
        <f t="shared" si="476"/>
        <v>13.92</v>
      </c>
      <c r="M4926" s="117" t="s">
        <v>323</v>
      </c>
      <c r="N4926" s="1398">
        <v>45994</v>
      </c>
      <c r="O4926" s="1648" t="s">
        <v>6212</v>
      </c>
      <c r="P4926" s="391">
        <f t="shared" si="477"/>
        <v>2.98</v>
      </c>
      <c r="Q4926" s="322">
        <v>2.98</v>
      </c>
      <c r="R4926" s="322">
        <f t="shared" si="478"/>
        <v>11.92</v>
      </c>
      <c r="S4926" s="92">
        <v>250</v>
      </c>
      <c r="T4926" s="7">
        <f t="shared" si="479"/>
        <v>1000</v>
      </c>
      <c r="U4926" s="14"/>
      <c r="V4926" s="260">
        <v>120</v>
      </c>
      <c r="W4926" s="1136">
        <f t="shared" ref="W4926" si="482">(((K4926*V4926)-S4926)/(K4926*V4926))</f>
        <v>0.40134099616858243</v>
      </c>
    </row>
    <row r="4927" spans="2:23" s="191" customFormat="1" ht="15.75">
      <c r="B4927" s="190"/>
      <c r="C4927" s="179" t="s">
        <v>6150</v>
      </c>
      <c r="D4927" s="180" t="s">
        <v>6140</v>
      </c>
      <c r="E4927" s="181"/>
      <c r="F4927" s="182"/>
      <c r="G4927" s="182" t="s">
        <v>2738</v>
      </c>
      <c r="H4927" s="184" t="s">
        <v>251</v>
      </c>
      <c r="I4927" s="185"/>
      <c r="J4927" s="183"/>
      <c r="K4927" s="192">
        <v>0</v>
      </c>
      <c r="L4927" s="187"/>
      <c r="M4927" s="1310"/>
      <c r="N4927" s="1399">
        <v>45994</v>
      </c>
      <c r="O4927" s="186">
        <v>7682</v>
      </c>
      <c r="P4927" s="179"/>
      <c r="Q4927" s="255">
        <v>0</v>
      </c>
      <c r="R4927" s="322">
        <v>0</v>
      </c>
      <c r="S4927" s="275">
        <v>0</v>
      </c>
      <c r="T4927" s="198">
        <v>0</v>
      </c>
      <c r="U4927" s="271"/>
      <c r="V4927" s="260">
        <v>120</v>
      </c>
      <c r="W4927" s="1136" t="e">
        <f t="shared" si="480"/>
        <v>#DIV/0!</v>
      </c>
    </row>
    <row r="4928" spans="2:23" s="7" customFormat="1" ht="18" customHeight="1">
      <c r="B4928" s="12"/>
      <c r="C4928" s="6" t="s">
        <v>6123</v>
      </c>
      <c r="D4928" s="14" t="s">
        <v>6087</v>
      </c>
      <c r="E4928" s="19" t="s">
        <v>5963</v>
      </c>
      <c r="F4928" s="24"/>
      <c r="G4928" s="22"/>
      <c r="H4928" s="108"/>
      <c r="I4928" s="109"/>
      <c r="J4928" s="8"/>
      <c r="K4928" s="29" t="s">
        <v>5</v>
      </c>
      <c r="L4928" s="39"/>
      <c r="M4928" s="117"/>
      <c r="N4928" s="33">
        <v>45959</v>
      </c>
      <c r="O4928" s="32">
        <v>7585</v>
      </c>
      <c r="P4928" s="391"/>
      <c r="Q4928" s="322"/>
      <c r="R4928" s="322"/>
      <c r="U4928" s="386"/>
      <c r="V4928" s="260"/>
      <c r="W4928" s="1136"/>
    </row>
    <row r="4929" spans="2:23" s="7" customFormat="1" ht="18" customHeight="1">
      <c r="B4929" s="12" t="s">
        <v>300</v>
      </c>
      <c r="C4929" s="6" t="s">
        <v>6123</v>
      </c>
      <c r="D4929" s="14" t="s">
        <v>6087</v>
      </c>
      <c r="E4929" s="22" t="s">
        <v>5957</v>
      </c>
      <c r="F4929" s="24"/>
      <c r="G4929" s="22" t="s">
        <v>5961</v>
      </c>
      <c r="H4929" s="108"/>
      <c r="I4929" s="109"/>
      <c r="J4929" s="8">
        <v>6</v>
      </c>
      <c r="K4929" s="39">
        <v>3.56</v>
      </c>
      <c r="L4929" s="39">
        <f>K4929*J4929</f>
        <v>21.36</v>
      </c>
      <c r="M4929" s="117" t="s">
        <v>323</v>
      </c>
      <c r="N4929" s="33">
        <v>45959</v>
      </c>
      <c r="O4929" s="32">
        <v>7585</v>
      </c>
      <c r="P4929" s="391">
        <f>ROUNDUP(S4929/V4929/VLOOKUP(B4929,$C$2:$F$6,3,FALSE),2)</f>
        <v>3.05</v>
      </c>
      <c r="Q4929" s="322">
        <v>3.05</v>
      </c>
      <c r="R4929" s="322">
        <f>Q4929*J4929</f>
        <v>18.299999999999997</v>
      </c>
      <c r="S4929" s="7">
        <v>256</v>
      </c>
      <c r="T4929" s="7">
        <f>S4929*J4929</f>
        <v>1536</v>
      </c>
      <c r="U4929" s="386"/>
      <c r="V4929" s="260">
        <v>120</v>
      </c>
      <c r="W4929" s="1136">
        <f>(((K4929*V4929)-S4929)/(K4929*V4929))</f>
        <v>0.40074906367041196</v>
      </c>
    </row>
    <row r="4930" spans="2:23" s="7" customFormat="1" ht="18" customHeight="1">
      <c r="B4930" s="12" t="s">
        <v>300</v>
      </c>
      <c r="C4930" s="6" t="s">
        <v>6123</v>
      </c>
      <c r="D4930" s="14" t="s">
        <v>6087</v>
      </c>
      <c r="E4930" s="22" t="s">
        <v>5957</v>
      </c>
      <c r="F4930" s="24"/>
      <c r="G4930" s="22" t="s">
        <v>5318</v>
      </c>
      <c r="H4930" s="108"/>
      <c r="I4930" s="109"/>
      <c r="J4930" s="8">
        <v>6</v>
      </c>
      <c r="K4930" s="39">
        <v>2.4499999999999997</v>
      </c>
      <c r="L4930" s="39">
        <f>K4930*J4930</f>
        <v>14.7</v>
      </c>
      <c r="M4930" s="117" t="s">
        <v>323</v>
      </c>
      <c r="N4930" s="33">
        <v>45959</v>
      </c>
      <c r="O4930" s="32">
        <v>7585</v>
      </c>
      <c r="P4930" s="391">
        <f>ROUNDUP(S4930/V4930/VLOOKUP(B4930,$C$2:$F$6,3,FALSE),2)</f>
        <v>2.0999999999999996</v>
      </c>
      <c r="Q4930" s="322">
        <v>2.1</v>
      </c>
      <c r="R4930" s="322">
        <f>Q4930*J4930</f>
        <v>12.600000000000001</v>
      </c>
      <c r="S4930" s="7">
        <v>176</v>
      </c>
      <c r="T4930" s="7">
        <f>S4930*J4930</f>
        <v>1056</v>
      </c>
      <c r="U4930" s="386"/>
      <c r="V4930" s="260">
        <v>120</v>
      </c>
      <c r="W4930" s="1136">
        <f>(((K4930*V4930)-S4930)/(K4930*V4930))</f>
        <v>0.40136054421768697</v>
      </c>
    </row>
    <row r="4931" spans="2:23" s="7" customFormat="1" ht="18" customHeight="1">
      <c r="B4931" s="12"/>
      <c r="C4931" s="6" t="s">
        <v>6123</v>
      </c>
      <c r="D4931" s="14" t="s">
        <v>6087</v>
      </c>
      <c r="E4931" s="19" t="s">
        <v>2358</v>
      </c>
      <c r="F4931" s="24"/>
      <c r="G4931" s="22"/>
      <c r="H4931" s="60"/>
      <c r="I4931" s="61"/>
      <c r="J4931" s="60"/>
      <c r="K4931" s="16"/>
      <c r="L4931" s="144"/>
      <c r="M4931" s="11"/>
      <c r="N4931" s="33">
        <v>45959</v>
      </c>
      <c r="O4931" s="32">
        <v>7585</v>
      </c>
      <c r="P4931" s="6" t="s">
        <v>3</v>
      </c>
      <c r="Q4931" s="358"/>
      <c r="S4931" s="1434"/>
      <c r="U4931" s="120"/>
      <c r="V4931" s="260">
        <v>120</v>
      </c>
    </row>
    <row r="4932" spans="2:23" s="7" customFormat="1" ht="18" customHeight="1">
      <c r="B4932" s="12" t="s">
        <v>300</v>
      </c>
      <c r="C4932" s="6" t="s">
        <v>6123</v>
      </c>
      <c r="D4932" s="14" t="s">
        <v>6087</v>
      </c>
      <c r="E4932" s="19" t="s">
        <v>6099</v>
      </c>
      <c r="F4932" s="24"/>
      <c r="G4932" s="22" t="s">
        <v>5961</v>
      </c>
      <c r="H4932" s="108"/>
      <c r="I4932" s="109"/>
      <c r="J4932" s="8">
        <v>6</v>
      </c>
      <c r="K4932" s="39">
        <v>2.9499999999999997</v>
      </c>
      <c r="L4932" s="39">
        <f t="shared" ref="L4932:L4938" si="483">K4932*J4932</f>
        <v>17.7</v>
      </c>
      <c r="M4932" s="117" t="s">
        <v>323</v>
      </c>
      <c r="N4932" s="33">
        <v>45959</v>
      </c>
      <c r="O4932" s="32">
        <v>7585</v>
      </c>
      <c r="P4932" s="391">
        <f t="shared" ref="P4932:P4938" si="484">ROUNDUP(S4932/V4932/VLOOKUP(B4932,$C$2:$F$6,3,FALSE),2)</f>
        <v>2.5299999999999998</v>
      </c>
      <c r="Q4932" s="322">
        <v>2.5299999999999998</v>
      </c>
      <c r="R4932" s="322">
        <f t="shared" ref="R4932:R4938" si="485">Q4932*J4932</f>
        <v>15.18</v>
      </c>
      <c r="S4932" s="7">
        <v>212</v>
      </c>
      <c r="T4932" s="7">
        <f t="shared" ref="T4932:T4938" si="486">S4932*J4932</f>
        <v>1272</v>
      </c>
      <c r="U4932" s="14"/>
      <c r="V4932" s="260">
        <v>120</v>
      </c>
      <c r="W4932" s="1136">
        <f>(((K4932*V4932)-S4932)/(K4932*V4932))</f>
        <v>0.40112994350282477</v>
      </c>
    </row>
    <row r="4933" spans="2:23" s="7" customFormat="1" ht="18" customHeight="1">
      <c r="B4933" s="12" t="s">
        <v>300</v>
      </c>
      <c r="C4933" s="6" t="s">
        <v>6123</v>
      </c>
      <c r="D4933" s="14" t="s">
        <v>6087</v>
      </c>
      <c r="E4933" s="19" t="s">
        <v>6099</v>
      </c>
      <c r="F4933" s="24"/>
      <c r="G4933" s="22" t="s">
        <v>5318</v>
      </c>
      <c r="H4933" s="108"/>
      <c r="I4933" s="109"/>
      <c r="J4933" s="8">
        <v>6</v>
      </c>
      <c r="K4933" s="39">
        <v>1.98</v>
      </c>
      <c r="L4933" s="39">
        <f t="shared" si="483"/>
        <v>11.879999999999999</v>
      </c>
      <c r="M4933" s="117" t="s">
        <v>323</v>
      </c>
      <c r="N4933" s="33">
        <v>45959</v>
      </c>
      <c r="O4933" s="32">
        <v>7585</v>
      </c>
      <c r="P4933" s="391">
        <f t="shared" si="484"/>
        <v>1.7</v>
      </c>
      <c r="Q4933" s="322">
        <v>1.7</v>
      </c>
      <c r="R4933" s="322">
        <f t="shared" si="485"/>
        <v>10.199999999999999</v>
      </c>
      <c r="S4933" s="7">
        <v>142</v>
      </c>
      <c r="T4933" s="7">
        <f t="shared" si="486"/>
        <v>852</v>
      </c>
      <c r="U4933" s="14"/>
      <c r="V4933" s="260">
        <v>120</v>
      </c>
      <c r="W4933" s="1136">
        <f>(((K4933*V4933)-S4933)/(K4933*V4933))</f>
        <v>0.40235690235690236</v>
      </c>
    </row>
    <row r="4934" spans="2:23" s="7" customFormat="1" ht="18" customHeight="1">
      <c r="B4934" s="12" t="s">
        <v>300</v>
      </c>
      <c r="C4934" s="6" t="s">
        <v>6123</v>
      </c>
      <c r="D4934" s="14" t="s">
        <v>6087</v>
      </c>
      <c r="E4934" s="22" t="s">
        <v>5954</v>
      </c>
      <c r="F4934" s="24"/>
      <c r="G4934" s="22" t="s">
        <v>5961</v>
      </c>
      <c r="H4934" s="108"/>
      <c r="I4934" s="109"/>
      <c r="J4934" s="8">
        <v>6</v>
      </c>
      <c r="K4934" s="39">
        <v>3.5199999999999996</v>
      </c>
      <c r="L4934" s="39">
        <f t="shared" si="483"/>
        <v>21.119999999999997</v>
      </c>
      <c r="M4934" s="117" t="s">
        <v>323</v>
      </c>
      <c r="N4934" s="33">
        <v>45959</v>
      </c>
      <c r="O4934" s="32">
        <v>7585</v>
      </c>
      <c r="P4934" s="391">
        <f t="shared" si="484"/>
        <v>3.0199999999999996</v>
      </c>
      <c r="Q4934" s="322">
        <v>3.02</v>
      </c>
      <c r="R4934" s="322">
        <f t="shared" si="485"/>
        <v>18.12</v>
      </c>
      <c r="S4934" s="7">
        <v>253</v>
      </c>
      <c r="T4934" s="7">
        <f t="shared" si="486"/>
        <v>1518</v>
      </c>
      <c r="U4934" s="14"/>
      <c r="V4934" s="260">
        <v>120</v>
      </c>
      <c r="W4934" s="1136">
        <f t="shared" ref="W4934:W4939" si="487">(((K4934*V4934)-S4934)/(K4934*V4934))</f>
        <v>0.40104166666666663</v>
      </c>
    </row>
    <row r="4935" spans="2:23" s="7" customFormat="1" ht="18" customHeight="1">
      <c r="B4935" s="12" t="s">
        <v>300</v>
      </c>
      <c r="C4935" s="6" t="s">
        <v>6123</v>
      </c>
      <c r="D4935" s="14" t="s">
        <v>6087</v>
      </c>
      <c r="E4935" s="22" t="s">
        <v>5954</v>
      </c>
      <c r="F4935" s="24"/>
      <c r="G4935" s="22" t="s">
        <v>5318</v>
      </c>
      <c r="H4935" s="108"/>
      <c r="I4935" s="109"/>
      <c r="J4935" s="8">
        <v>6</v>
      </c>
      <c r="K4935" s="39">
        <v>2.5499999999999998</v>
      </c>
      <c r="L4935" s="39">
        <f t="shared" si="483"/>
        <v>15.299999999999999</v>
      </c>
      <c r="M4935" s="117" t="s">
        <v>323</v>
      </c>
      <c r="N4935" s="33">
        <v>45959</v>
      </c>
      <c r="O4935" s="32">
        <v>7585</v>
      </c>
      <c r="P4935" s="391">
        <f t="shared" si="484"/>
        <v>2.1799999999999997</v>
      </c>
      <c r="Q4935" s="322">
        <v>2.1800000000000002</v>
      </c>
      <c r="R4935" s="322">
        <f t="shared" si="485"/>
        <v>13.080000000000002</v>
      </c>
      <c r="S4935" s="7">
        <v>183</v>
      </c>
      <c r="T4935" s="7">
        <f t="shared" si="486"/>
        <v>1098</v>
      </c>
      <c r="U4935" s="14"/>
      <c r="V4935" s="260">
        <v>120</v>
      </c>
      <c r="W4935" s="1136">
        <f>(((K4935*V4935)-S4935)/(K4935*V4935))</f>
        <v>0.40196078431372551</v>
      </c>
    </row>
    <row r="4936" spans="2:23" s="143" customFormat="1" ht="15">
      <c r="B4936" s="276"/>
      <c r="C4936" s="142" t="s">
        <v>6152</v>
      </c>
      <c r="D4936" s="90" t="s">
        <v>6087</v>
      </c>
      <c r="E4936" s="153"/>
      <c r="F4936" s="116"/>
      <c r="G4936" s="153" t="s">
        <v>316</v>
      </c>
      <c r="H4936" s="36"/>
      <c r="I4936" s="141"/>
      <c r="J4936" s="36">
        <v>2</v>
      </c>
      <c r="K4936" s="154">
        <v>0</v>
      </c>
      <c r="L4936" s="154">
        <v>0</v>
      </c>
      <c r="M4936" s="366"/>
      <c r="N4936" s="33">
        <v>45959</v>
      </c>
      <c r="O4936" s="32">
        <v>7585</v>
      </c>
      <c r="P4936" s="142"/>
      <c r="Q4936" s="773">
        <v>0</v>
      </c>
      <c r="R4936" s="773">
        <f>Q4936*J4936</f>
        <v>0</v>
      </c>
      <c r="S4936" s="143">
        <f>900+900</f>
        <v>1800</v>
      </c>
      <c r="T4936" s="143">
        <f>900+900</f>
        <v>1800</v>
      </c>
      <c r="U4936" s="746"/>
      <c r="V4936" s="279">
        <v>120</v>
      </c>
      <c r="W4936" s="1199" t="e">
        <f t="shared" ref="W4936" si="488">(((K4936*V4936)-S4936)/(K4936*V4936))</f>
        <v>#DIV/0!</v>
      </c>
    </row>
    <row r="4937" spans="2:23" s="7" customFormat="1" ht="18" customHeight="1">
      <c r="B4937" s="12" t="s">
        <v>300</v>
      </c>
      <c r="C4937" s="6" t="s">
        <v>6123</v>
      </c>
      <c r="D4937" s="14" t="s">
        <v>6087</v>
      </c>
      <c r="E4937" s="1106" t="s">
        <v>6141</v>
      </c>
      <c r="F4937" s="24"/>
      <c r="G4937" s="22" t="s">
        <v>5961</v>
      </c>
      <c r="H4937" s="108"/>
      <c r="I4937" s="109"/>
      <c r="J4937" s="8">
        <v>6</v>
      </c>
      <c r="K4937" s="39">
        <v>3.48</v>
      </c>
      <c r="L4937" s="39">
        <f t="shared" si="483"/>
        <v>20.88</v>
      </c>
      <c r="M4937" s="117" t="s">
        <v>323</v>
      </c>
      <c r="N4937" s="1398">
        <v>45971</v>
      </c>
      <c r="O4937" s="32">
        <v>7629</v>
      </c>
      <c r="P4937" s="391">
        <f t="shared" si="484"/>
        <v>2.98</v>
      </c>
      <c r="Q4937" s="322">
        <v>2.98</v>
      </c>
      <c r="R4937" s="322">
        <f t="shared" si="485"/>
        <v>17.88</v>
      </c>
      <c r="S4937" s="92">
        <v>250</v>
      </c>
      <c r="T4937" s="7">
        <f t="shared" si="486"/>
        <v>1500</v>
      </c>
      <c r="U4937" s="14"/>
      <c r="V4937" s="260">
        <v>120</v>
      </c>
      <c r="W4937" s="1136">
        <f t="shared" si="487"/>
        <v>0.40134099616858243</v>
      </c>
    </row>
    <row r="4938" spans="2:23" s="7" customFormat="1" ht="18" customHeight="1">
      <c r="B4938" s="12" t="s">
        <v>300</v>
      </c>
      <c r="C4938" s="6" t="s">
        <v>6123</v>
      </c>
      <c r="D4938" s="14" t="s">
        <v>6087</v>
      </c>
      <c r="E4938" s="1106" t="s">
        <v>6141</v>
      </c>
      <c r="F4938" s="24"/>
      <c r="G4938" s="22" t="s">
        <v>5318</v>
      </c>
      <c r="H4938" s="108"/>
      <c r="I4938" s="109"/>
      <c r="J4938" s="8">
        <v>6</v>
      </c>
      <c r="K4938" s="39">
        <v>2.5</v>
      </c>
      <c r="L4938" s="39">
        <f t="shared" si="483"/>
        <v>15</v>
      </c>
      <c r="M4938" s="117" t="s">
        <v>323</v>
      </c>
      <c r="N4938" s="1398">
        <v>45971</v>
      </c>
      <c r="O4938" s="32">
        <v>7629</v>
      </c>
      <c r="P4938" s="391">
        <f t="shared" si="484"/>
        <v>2.15</v>
      </c>
      <c r="Q4938" s="322">
        <v>2.15</v>
      </c>
      <c r="R4938" s="322">
        <f t="shared" si="485"/>
        <v>12.899999999999999</v>
      </c>
      <c r="S4938" s="92">
        <v>180</v>
      </c>
      <c r="T4938" s="7">
        <f t="shared" si="486"/>
        <v>1080</v>
      </c>
      <c r="U4938" s="14"/>
      <c r="V4938" s="260">
        <v>120</v>
      </c>
      <c r="W4938" s="1615">
        <f>(((K4938*V4938)-S4938)/(K4938*V4938))</f>
        <v>0.4</v>
      </c>
    </row>
    <row r="4939" spans="2:23" s="191" customFormat="1" ht="15.75">
      <c r="B4939" s="190"/>
      <c r="C4939" s="179" t="s">
        <v>6123</v>
      </c>
      <c r="D4939" s="180" t="s">
        <v>6087</v>
      </c>
      <c r="E4939" s="181"/>
      <c r="F4939" s="182"/>
      <c r="G4939" s="182" t="s">
        <v>2738</v>
      </c>
      <c r="H4939" s="184" t="s">
        <v>251</v>
      </c>
      <c r="I4939" s="185"/>
      <c r="J4939" s="183"/>
      <c r="K4939" s="192">
        <v>0</v>
      </c>
      <c r="L4939" s="187"/>
      <c r="M4939" s="1310"/>
      <c r="N4939" s="1399">
        <v>45971</v>
      </c>
      <c r="O4939" s="186">
        <v>7629</v>
      </c>
      <c r="P4939" s="179"/>
      <c r="Q4939" s="255">
        <v>0</v>
      </c>
      <c r="R4939" s="322">
        <v>0</v>
      </c>
      <c r="S4939" s="275">
        <v>0</v>
      </c>
      <c r="T4939" s="198">
        <v>0</v>
      </c>
      <c r="U4939" s="271"/>
      <c r="V4939" s="260">
        <v>120</v>
      </c>
      <c r="W4939" s="1136" t="e">
        <f t="shared" si="487"/>
        <v>#DIV/0!</v>
      </c>
    </row>
    <row r="4940" spans="2:23" s="7" customFormat="1" ht="15">
      <c r="B4940" s="12"/>
      <c r="C4940" s="6" t="s">
        <v>6007</v>
      </c>
      <c r="D4940" s="14" t="s">
        <v>3189</v>
      </c>
      <c r="E4940" s="19" t="s">
        <v>160</v>
      </c>
      <c r="F4940" s="24"/>
      <c r="G4940" s="22"/>
      <c r="H4940" s="60"/>
      <c r="I4940" s="61"/>
      <c r="J4940" s="60"/>
      <c r="K4940" s="16" t="s">
        <v>101</v>
      </c>
      <c r="L4940" s="33"/>
      <c r="M4940" s="33"/>
      <c r="N4940" s="33">
        <v>45945</v>
      </c>
      <c r="O4940" s="32">
        <v>7532</v>
      </c>
      <c r="P4940" s="6" t="s">
        <v>8</v>
      </c>
      <c r="Q4940" s="252"/>
      <c r="S4940" s="257"/>
      <c r="T4940" s="92"/>
      <c r="U4940" s="265"/>
      <c r="V4940" s="260">
        <v>120</v>
      </c>
      <c r="W4940" s="1136" t="e">
        <f t="shared" si="480"/>
        <v>#VALUE!</v>
      </c>
    </row>
    <row r="4941" spans="2:23" s="7" customFormat="1" ht="15.75">
      <c r="B4941" s="12" t="s">
        <v>300</v>
      </c>
      <c r="C4941" s="6" t="s">
        <v>6007</v>
      </c>
      <c r="D4941" s="14" t="s">
        <v>3189</v>
      </c>
      <c r="E4941" s="22">
        <v>14552</v>
      </c>
      <c r="F4941" s="24">
        <v>10</v>
      </c>
      <c r="G4941" s="22" t="s">
        <v>6008</v>
      </c>
      <c r="H4941" s="108">
        <v>30</v>
      </c>
      <c r="I4941" s="109">
        <v>2</v>
      </c>
      <c r="J4941" s="60">
        <f>H4941*I4941</f>
        <v>60</v>
      </c>
      <c r="K4941" s="23">
        <v>0.77</v>
      </c>
      <c r="L4941" s="39">
        <f>K4941*J4941</f>
        <v>46.2</v>
      </c>
      <c r="M4941" s="117" t="s">
        <v>323</v>
      </c>
      <c r="N4941" s="33">
        <v>45945</v>
      </c>
      <c r="O4941" s="32">
        <v>7532</v>
      </c>
      <c r="P4941" s="391">
        <f>ROUNDUP(S4941/V4941/VLOOKUP(B4941,$C$2:$F$6,3,FALSE),2)</f>
        <v>0.55000000000000004</v>
      </c>
      <c r="Q4941" s="253">
        <v>0.55000000000000004</v>
      </c>
      <c r="R4941" s="323">
        <f>Q4941*J4941</f>
        <v>33</v>
      </c>
      <c r="S4941" s="257">
        <v>46</v>
      </c>
      <c r="T4941" s="287">
        <f>S4941*J4941</f>
        <v>2760</v>
      </c>
      <c r="U4941" s="265"/>
      <c r="V4941" s="260">
        <v>120</v>
      </c>
      <c r="W4941" s="1136">
        <f>(((K4941*V4941)-S4941)/(K4941*V4941))</f>
        <v>0.50216450216450215</v>
      </c>
    </row>
    <row r="4942" spans="2:23" s="7" customFormat="1" ht="15.75">
      <c r="B4942" s="12" t="s">
        <v>300</v>
      </c>
      <c r="C4942" s="6" t="s">
        <v>6007</v>
      </c>
      <c r="D4942" s="14" t="s">
        <v>3189</v>
      </c>
      <c r="E4942" s="22">
        <v>14552</v>
      </c>
      <c r="F4942" s="24">
        <v>10</v>
      </c>
      <c r="G4942" s="22" t="s">
        <v>6009</v>
      </c>
      <c r="H4942" s="108">
        <v>30</v>
      </c>
      <c r="I4942" s="109">
        <v>2</v>
      </c>
      <c r="J4942" s="60">
        <f>H4942*I4942</f>
        <v>60</v>
      </c>
      <c r="K4942" s="23">
        <v>0.77</v>
      </c>
      <c r="L4942" s="39">
        <f>K4942*J4942</f>
        <v>46.2</v>
      </c>
      <c r="M4942" s="117" t="s">
        <v>323</v>
      </c>
      <c r="N4942" s="33">
        <v>45945</v>
      </c>
      <c r="O4942" s="32">
        <v>7532</v>
      </c>
      <c r="P4942" s="391">
        <f>ROUNDUP(S4942/V4942/VLOOKUP(B4942,$C$2:$F$6,3,FALSE),2)</f>
        <v>0.55000000000000004</v>
      </c>
      <c r="Q4942" s="253">
        <v>0.55000000000000004</v>
      </c>
      <c r="R4942" s="323">
        <f>Q4942*J4942</f>
        <v>33</v>
      </c>
      <c r="S4942" s="257">
        <v>46</v>
      </c>
      <c r="T4942" s="287">
        <f>S4942*J4942</f>
        <v>2760</v>
      </c>
      <c r="U4942" s="265"/>
      <c r="V4942" s="260">
        <v>120</v>
      </c>
      <c r="W4942" s="1136">
        <f t="shared" si="480"/>
        <v>0.50216450216450215</v>
      </c>
    </row>
    <row r="4943" spans="2:23" s="7" customFormat="1" ht="15.95" customHeight="1">
      <c r="B4943" s="12"/>
      <c r="C4943" s="6" t="s">
        <v>6007</v>
      </c>
      <c r="D4943" s="14" t="s">
        <v>3189</v>
      </c>
      <c r="E4943" s="22"/>
      <c r="F4943" s="102"/>
      <c r="G4943" s="37" t="s">
        <v>316</v>
      </c>
      <c r="H4943" s="8"/>
      <c r="I4943" s="35"/>
      <c r="J4943" s="38">
        <v>1</v>
      </c>
      <c r="K4943" s="39">
        <v>12</v>
      </c>
      <c r="L4943" s="39">
        <f>K4943*J4943</f>
        <v>12</v>
      </c>
      <c r="M4943" s="33"/>
      <c r="N4943" s="33">
        <v>45945</v>
      </c>
      <c r="O4943" s="32">
        <v>7532</v>
      </c>
      <c r="P4943" s="6"/>
      <c r="Q4943" s="254">
        <v>12</v>
      </c>
      <c r="R4943" s="323">
        <f>Q4943*J4943</f>
        <v>12</v>
      </c>
      <c r="S4943" s="257">
        <v>0</v>
      </c>
      <c r="T4943" s="92">
        <f>S4943*J4943</f>
        <v>0</v>
      </c>
      <c r="U4943" s="266"/>
      <c r="V4943" s="260">
        <v>120</v>
      </c>
      <c r="W4943" s="1136">
        <f t="shared" si="480"/>
        <v>1</v>
      </c>
    </row>
    <row r="4944" spans="2:23" s="191" customFormat="1" ht="15.75">
      <c r="B4944" s="190"/>
      <c r="C4944" s="179" t="s">
        <v>6007</v>
      </c>
      <c r="D4944" s="180" t="s">
        <v>3189</v>
      </c>
      <c r="E4944" s="181"/>
      <c r="F4944" s="182"/>
      <c r="G4944" s="309" t="s">
        <v>324</v>
      </c>
      <c r="H4944" s="184" t="s">
        <v>251</v>
      </c>
      <c r="I4944" s="185"/>
      <c r="J4944" s="183"/>
      <c r="K4944" s="192">
        <v>0</v>
      </c>
      <c r="L4944" s="188"/>
      <c r="M4944" s="187"/>
      <c r="N4944" s="187">
        <v>45945</v>
      </c>
      <c r="O4944" s="186">
        <v>7532</v>
      </c>
      <c r="P4944" s="179"/>
      <c r="Q4944" s="725">
        <v>0</v>
      </c>
      <c r="S4944" s="197">
        <v>0</v>
      </c>
      <c r="T4944" s="198">
        <v>0</v>
      </c>
      <c r="U4944" s="335"/>
      <c r="V4944" s="260">
        <v>120</v>
      </c>
      <c r="W4944" s="1136" t="e">
        <f t="shared" si="480"/>
        <v>#DIV/0!</v>
      </c>
    </row>
    <row r="4945" spans="2:23" s="7" customFormat="1" ht="15" customHeight="1">
      <c r="B4945" s="12"/>
      <c r="C4945" s="6" t="s">
        <v>6010</v>
      </c>
      <c r="D4945" s="14" t="s">
        <v>5608</v>
      </c>
      <c r="E4945" s="19" t="s">
        <v>4809</v>
      </c>
      <c r="F4945" s="107"/>
      <c r="G4945" s="22"/>
      <c r="H4945" s="108"/>
      <c r="I4945" s="109"/>
      <c r="J4945" s="108"/>
      <c r="K4945" s="29" t="s">
        <v>5</v>
      </c>
      <c r="L4945" s="39"/>
      <c r="M4945" s="91"/>
      <c r="N4945" s="33">
        <v>45951</v>
      </c>
      <c r="O4945" s="32">
        <v>7535</v>
      </c>
      <c r="P4945" s="14"/>
      <c r="Q4945" s="322"/>
      <c r="U4945" s="14"/>
      <c r="V4945" s="384">
        <v>120</v>
      </c>
    </row>
    <row r="4946" spans="2:23" s="7" customFormat="1" ht="18" customHeight="1">
      <c r="B4946" s="12" t="s">
        <v>302</v>
      </c>
      <c r="C4946" s="6" t="s">
        <v>6010</v>
      </c>
      <c r="D4946" s="14" t="s">
        <v>5608</v>
      </c>
      <c r="E4946" s="374" t="s">
        <v>4808</v>
      </c>
      <c r="F4946" s="107">
        <v>140</v>
      </c>
      <c r="G4946" s="396" t="s">
        <v>4483</v>
      </c>
      <c r="H4946" s="108">
        <v>48.5</v>
      </c>
      <c r="I4946" s="109">
        <v>2</v>
      </c>
      <c r="J4946" s="18">
        <f>H4946*I4946</f>
        <v>97</v>
      </c>
      <c r="K4946" s="39">
        <v>14.64</v>
      </c>
      <c r="L4946" s="39">
        <f>K4946*J4946</f>
        <v>1420.0800000000002</v>
      </c>
      <c r="M4946" s="117" t="s">
        <v>323</v>
      </c>
      <c r="N4946" s="1398">
        <v>45951</v>
      </c>
      <c r="O4946" s="32">
        <v>7535</v>
      </c>
      <c r="P4946" s="391">
        <f>ROUNDUP(S4946/V4946/VLOOKUP(B4946,$C$2:$F$6,3,FALSE),2)</f>
        <v>11.94</v>
      </c>
      <c r="Q4946" s="322">
        <v>11.94</v>
      </c>
      <c r="R4946" s="322">
        <f>Q4946*J4946</f>
        <v>1158.18</v>
      </c>
      <c r="S4946" s="92">
        <v>1260</v>
      </c>
      <c r="T4946" s="7">
        <f>S4946*J4946</f>
        <v>122220</v>
      </c>
      <c r="U4946" s="21"/>
      <c r="V4946" s="260">
        <v>120</v>
      </c>
      <c r="W4946" s="1136">
        <f t="shared" ref="W4946:W4951" si="489">(((K4946*V4946)-S4946)/(K4946*V4946))</f>
        <v>0.28278688524590173</v>
      </c>
    </row>
    <row r="4947" spans="2:23" s="7" customFormat="1" ht="18" customHeight="1">
      <c r="B4947" s="12" t="s">
        <v>302</v>
      </c>
      <c r="C4947" s="6" t="s">
        <v>6010</v>
      </c>
      <c r="D4947" s="14" t="s">
        <v>5608</v>
      </c>
      <c r="E4947" s="374" t="s">
        <v>4808</v>
      </c>
      <c r="F4947" s="107">
        <v>140</v>
      </c>
      <c r="G4947" s="396" t="s">
        <v>4483</v>
      </c>
      <c r="H4947" s="108">
        <v>47.8</v>
      </c>
      <c r="I4947" s="109">
        <v>1</v>
      </c>
      <c r="J4947" s="18">
        <f>H4947*I4947</f>
        <v>47.8</v>
      </c>
      <c r="K4947" s="39">
        <v>14.64</v>
      </c>
      <c r="L4947" s="39">
        <f>K4947*J4947</f>
        <v>699.79200000000003</v>
      </c>
      <c r="M4947" s="117" t="s">
        <v>323</v>
      </c>
      <c r="N4947" s="1398">
        <v>45951</v>
      </c>
      <c r="O4947" s="32">
        <v>7535</v>
      </c>
      <c r="P4947" s="391">
        <f>ROUNDUP(S4947/V4947/VLOOKUP(B4947,$C$2:$F$6,3,FALSE),2)</f>
        <v>11.94</v>
      </c>
      <c r="Q4947" s="322">
        <v>11.94</v>
      </c>
      <c r="R4947" s="322">
        <f>Q4947*J4947</f>
        <v>570.73199999999997</v>
      </c>
      <c r="S4947" s="92">
        <v>1260</v>
      </c>
      <c r="T4947" s="7">
        <f>S4947*J4947</f>
        <v>60228</v>
      </c>
      <c r="U4947" s="21"/>
      <c r="V4947" s="260">
        <v>120</v>
      </c>
      <c r="W4947" s="1136">
        <f t="shared" si="489"/>
        <v>0.28278688524590173</v>
      </c>
    </row>
    <row r="4948" spans="2:23" s="7" customFormat="1" ht="18" customHeight="1">
      <c r="B4948" s="12" t="s">
        <v>302</v>
      </c>
      <c r="C4948" s="6" t="s">
        <v>6010</v>
      </c>
      <c r="D4948" s="14" t="s">
        <v>5608</v>
      </c>
      <c r="E4948" s="374" t="s">
        <v>4808</v>
      </c>
      <c r="F4948" s="107">
        <v>140</v>
      </c>
      <c r="G4948" s="396" t="s">
        <v>4483</v>
      </c>
      <c r="H4948" s="108">
        <v>46.2</v>
      </c>
      <c r="I4948" s="109">
        <v>1</v>
      </c>
      <c r="J4948" s="18">
        <f>H4948*I4948</f>
        <v>46.2</v>
      </c>
      <c r="K4948" s="39">
        <v>14.64</v>
      </c>
      <c r="L4948" s="39">
        <f>K4948*J4948</f>
        <v>676.36800000000005</v>
      </c>
      <c r="M4948" s="117" t="s">
        <v>323</v>
      </c>
      <c r="N4948" s="1398">
        <v>45951</v>
      </c>
      <c r="O4948" s="32">
        <v>7535</v>
      </c>
      <c r="P4948" s="391">
        <f>ROUNDUP(S4948/V4948/VLOOKUP(B4948,$C$2:$F$6,3,FALSE),2)</f>
        <v>11.94</v>
      </c>
      <c r="Q4948" s="322">
        <v>11.94</v>
      </c>
      <c r="R4948" s="322">
        <f>Q4948*J4948</f>
        <v>551.62800000000004</v>
      </c>
      <c r="S4948" s="92">
        <v>1260</v>
      </c>
      <c r="T4948" s="7">
        <f>S4948*J4948</f>
        <v>58212</v>
      </c>
      <c r="U4948" s="21"/>
      <c r="V4948" s="260">
        <v>120</v>
      </c>
      <c r="W4948" s="1136">
        <f t="shared" si="489"/>
        <v>0.28278688524590173</v>
      </c>
    </row>
    <row r="4949" spans="2:23" s="191" customFormat="1" ht="18" customHeight="1">
      <c r="B4949" s="190"/>
      <c r="C4949" s="179" t="s">
        <v>6010</v>
      </c>
      <c r="D4949" s="180" t="s">
        <v>5608</v>
      </c>
      <c r="E4949" s="181"/>
      <c r="F4949" s="622"/>
      <c r="G4949" s="182" t="s">
        <v>250</v>
      </c>
      <c r="H4949" s="184" t="s">
        <v>374</v>
      </c>
      <c r="I4949" s="185"/>
      <c r="J4949" s="183"/>
      <c r="K4949" s="192">
        <v>410</v>
      </c>
      <c r="L4949" s="192">
        <v>410</v>
      </c>
      <c r="M4949" s="187"/>
      <c r="N4949" s="187">
        <v>45951</v>
      </c>
      <c r="O4949" s="186">
        <v>7535</v>
      </c>
      <c r="P4949" s="179"/>
      <c r="Q4949" s="255">
        <v>410</v>
      </c>
      <c r="R4949" s="322">
        <v>410</v>
      </c>
      <c r="S4949" s="1649">
        <f>1820+36088</f>
        <v>37908</v>
      </c>
      <c r="T4949" s="1650">
        <f>S4949</f>
        <v>37908</v>
      </c>
      <c r="U4949" s="271"/>
      <c r="V4949" s="260">
        <v>120</v>
      </c>
      <c r="W4949" s="1136">
        <f t="shared" si="489"/>
        <v>0.22951219512195123</v>
      </c>
    </row>
    <row r="4950" spans="2:23" s="7" customFormat="1" ht="18" customHeight="1">
      <c r="B4950" s="12"/>
      <c r="C4950" s="6" t="s">
        <v>6085</v>
      </c>
      <c r="D4950" s="14" t="s">
        <v>5277</v>
      </c>
      <c r="E4950" s="19" t="s">
        <v>10</v>
      </c>
      <c r="F4950" s="107"/>
      <c r="G4950" s="22"/>
      <c r="H4950" s="108"/>
      <c r="I4950" s="109"/>
      <c r="J4950" s="108"/>
      <c r="K4950" s="29" t="s">
        <v>5</v>
      </c>
      <c r="L4950" s="39"/>
      <c r="M4950" s="91"/>
      <c r="N4950" s="33">
        <v>45951</v>
      </c>
      <c r="O4950" s="32">
        <v>7561</v>
      </c>
      <c r="P4950" s="14"/>
      <c r="Q4950" s="322"/>
      <c r="U4950" s="14"/>
      <c r="V4950" s="260">
        <v>120</v>
      </c>
      <c r="W4950" s="1136" t="e">
        <f t="shared" si="489"/>
        <v>#VALUE!</v>
      </c>
    </row>
    <row r="4951" spans="2:23" s="7" customFormat="1" ht="18" customHeight="1">
      <c r="B4951" s="12" t="s">
        <v>302</v>
      </c>
      <c r="C4951" s="6" t="s">
        <v>6085</v>
      </c>
      <c r="D4951" s="14" t="s">
        <v>5277</v>
      </c>
      <c r="E4951" s="22" t="s">
        <v>190</v>
      </c>
      <c r="F4951" s="107">
        <v>160</v>
      </c>
      <c r="G4951" s="396" t="s">
        <v>6086</v>
      </c>
      <c r="H4951" s="60"/>
      <c r="I4951" s="61"/>
      <c r="J4951" s="60">
        <v>2</v>
      </c>
      <c r="K4951" s="39">
        <v>5.28</v>
      </c>
      <c r="L4951" s="39">
        <f t="shared" ref="L4951" si="490">K4951*J4951</f>
        <v>10.56</v>
      </c>
      <c r="M4951" s="117" t="s">
        <v>322</v>
      </c>
      <c r="N4951" s="33">
        <v>45951</v>
      </c>
      <c r="O4951" s="32">
        <v>7561</v>
      </c>
      <c r="P4951" s="391">
        <f>ROUNDUP(S4951/V4951/VLOOKUP(B4951,$C$2:$F$6,3,FALSE),2)</f>
        <v>3.98</v>
      </c>
      <c r="Q4951" s="322">
        <v>3.98</v>
      </c>
      <c r="R4951" s="322">
        <f t="shared" ref="R4951" si="491">Q4951*J4951</f>
        <v>7.96</v>
      </c>
      <c r="S4951" s="7">
        <v>420</v>
      </c>
      <c r="T4951" s="7">
        <f t="shared" ref="T4951" si="492">S4951*J4951</f>
        <v>840</v>
      </c>
      <c r="U4951" s="21"/>
      <c r="V4951" s="260">
        <v>120</v>
      </c>
      <c r="W4951" s="1136">
        <f t="shared" si="489"/>
        <v>0.33712121212121215</v>
      </c>
    </row>
    <row r="4952" spans="2:23" s="7" customFormat="1" ht="18" customHeight="1">
      <c r="B4952" s="12"/>
      <c r="C4952" s="6" t="s">
        <v>6085</v>
      </c>
      <c r="D4952" s="14" t="s">
        <v>5277</v>
      </c>
      <c r="E4952" s="82"/>
      <c r="F4952" s="102"/>
      <c r="G4952" s="22" t="s">
        <v>4329</v>
      </c>
      <c r="H4952" s="8"/>
      <c r="I4952" s="35"/>
      <c r="J4952" s="38">
        <v>1</v>
      </c>
      <c r="K4952" s="39">
        <v>15</v>
      </c>
      <c r="L4952" s="39">
        <f>K4952*J4952</f>
        <v>15</v>
      </c>
      <c r="M4952" s="91"/>
      <c r="N4952" s="33">
        <v>45951</v>
      </c>
      <c r="O4952" s="32">
        <v>7561</v>
      </c>
      <c r="P4952" s="6"/>
      <c r="Q4952" s="322">
        <v>15</v>
      </c>
      <c r="R4952" s="322">
        <f>Q4952*J4952</f>
        <v>15</v>
      </c>
      <c r="S4952" s="7">
        <v>1000</v>
      </c>
      <c r="T4952" s="7">
        <f>S4952*J4952</f>
        <v>1000</v>
      </c>
      <c r="U4952" s="21"/>
      <c r="V4952" s="260">
        <v>120</v>
      </c>
    </row>
    <row r="4953" spans="2:23" s="7" customFormat="1" ht="18" customHeight="1">
      <c r="B4953" s="12"/>
      <c r="C4953" s="6" t="s">
        <v>6085</v>
      </c>
      <c r="D4953" s="14" t="s">
        <v>5277</v>
      </c>
      <c r="E4953" s="82"/>
      <c r="F4953" s="102"/>
      <c r="G4953" s="22" t="s">
        <v>316</v>
      </c>
      <c r="H4953" s="8"/>
      <c r="I4953" s="35"/>
      <c r="J4953" s="38">
        <v>1</v>
      </c>
      <c r="K4953" s="39">
        <v>15</v>
      </c>
      <c r="L4953" s="39">
        <f>K4953*J4953</f>
        <v>15</v>
      </c>
      <c r="M4953" s="91"/>
      <c r="N4953" s="33">
        <v>45951</v>
      </c>
      <c r="O4953" s="32">
        <v>7561</v>
      </c>
      <c r="P4953" s="6"/>
      <c r="Q4953" s="322">
        <v>15</v>
      </c>
      <c r="R4953" s="322">
        <f>Q4953*J4953</f>
        <v>15</v>
      </c>
      <c r="S4953" s="7">
        <v>1600</v>
      </c>
      <c r="T4953" s="7">
        <v>1600</v>
      </c>
      <c r="U4953" s="21"/>
      <c r="V4953" s="260">
        <v>120</v>
      </c>
    </row>
    <row r="4954" spans="2:23" s="191" customFormat="1" ht="15">
      <c r="B4954" s="190"/>
      <c r="C4954" s="179" t="s">
        <v>6085</v>
      </c>
      <c r="D4954" s="180" t="s">
        <v>5277</v>
      </c>
      <c r="E4954" s="181"/>
      <c r="F4954" s="182"/>
      <c r="G4954" s="182" t="s">
        <v>2738</v>
      </c>
      <c r="H4954" s="184" t="s">
        <v>251</v>
      </c>
      <c r="I4954" s="185"/>
      <c r="J4954" s="183"/>
      <c r="K4954" s="192">
        <v>0</v>
      </c>
      <c r="L4954" s="187"/>
      <c r="M4954" s="187"/>
      <c r="N4954" s="187">
        <v>45951</v>
      </c>
      <c r="O4954" s="186">
        <v>7561</v>
      </c>
      <c r="P4954" s="179"/>
      <c r="Q4954" s="255">
        <v>0</v>
      </c>
      <c r="S4954" s="274">
        <v>0</v>
      </c>
      <c r="T4954" s="198">
        <v>0</v>
      </c>
      <c r="U4954" s="271"/>
      <c r="V4954" s="260">
        <v>120</v>
      </c>
    </row>
    <row r="4955" spans="2:23" s="7" customFormat="1" ht="18" customHeight="1">
      <c r="B4955" s="12"/>
      <c r="C4955" s="6" t="s">
        <v>6139</v>
      </c>
      <c r="D4955" s="14" t="s">
        <v>6140</v>
      </c>
      <c r="E4955" s="19" t="s">
        <v>5963</v>
      </c>
      <c r="F4955" s="24"/>
      <c r="G4955" s="22"/>
      <c r="H4955" s="108"/>
      <c r="I4955" s="109"/>
      <c r="J4955" s="8"/>
      <c r="K4955" s="29" t="s">
        <v>5</v>
      </c>
      <c r="L4955" s="39"/>
      <c r="M4955" s="117"/>
      <c r="N4955" s="33">
        <v>45966</v>
      </c>
      <c r="O4955" s="32">
        <v>7593</v>
      </c>
      <c r="P4955" s="391"/>
      <c r="Q4955" s="322"/>
      <c r="R4955" s="322"/>
      <c r="U4955" s="386"/>
      <c r="V4955" s="260"/>
      <c r="W4955" s="1136"/>
    </row>
    <row r="4956" spans="2:23" s="7" customFormat="1" ht="18" customHeight="1">
      <c r="B4956" s="12" t="s">
        <v>300</v>
      </c>
      <c r="C4956" s="6" t="s">
        <v>6139</v>
      </c>
      <c r="D4956" s="14" t="s">
        <v>6140</v>
      </c>
      <c r="E4956" s="22" t="s">
        <v>5957</v>
      </c>
      <c r="F4956" s="24"/>
      <c r="G4956" s="22" t="s">
        <v>5318</v>
      </c>
      <c r="H4956" s="108"/>
      <c r="I4956" s="109"/>
      <c r="J4956" s="8">
        <v>194</v>
      </c>
      <c r="K4956" s="39">
        <v>2.4499999999999997</v>
      </c>
      <c r="L4956" s="39">
        <f>K4956*J4956</f>
        <v>475.29999999999995</v>
      </c>
      <c r="M4956" s="117" t="s">
        <v>323</v>
      </c>
      <c r="N4956" s="33">
        <v>45966</v>
      </c>
      <c r="O4956" s="32">
        <v>7593</v>
      </c>
      <c r="P4956" s="391">
        <f>ROUNDUP(S4956/V4956/VLOOKUP(B4956,$C$2:$F$6,3,FALSE),2)</f>
        <v>2.0999999999999996</v>
      </c>
      <c r="Q4956" s="322">
        <v>2.1</v>
      </c>
      <c r="R4956" s="322">
        <f>Q4956*J4956</f>
        <v>407.40000000000003</v>
      </c>
      <c r="S4956" s="7">
        <v>176</v>
      </c>
      <c r="T4956" s="7">
        <f>S4956*J4956</f>
        <v>34144</v>
      </c>
      <c r="U4956" s="386"/>
      <c r="V4956" s="260">
        <v>120</v>
      </c>
      <c r="W4956" s="1136">
        <f>(((K4956*V4956)-S4956)/(K4956*V4956))</f>
        <v>0.40136054421768697</v>
      </c>
    </row>
    <row r="4957" spans="2:23" s="7" customFormat="1" ht="18" customHeight="1">
      <c r="B4957" s="12"/>
      <c r="C4957" s="6" t="s">
        <v>6139</v>
      </c>
      <c r="D4957" s="14" t="s">
        <v>6140</v>
      </c>
      <c r="E4957" s="1458" t="s">
        <v>2358</v>
      </c>
      <c r="F4957" s="24"/>
      <c r="G4957" s="22"/>
      <c r="H4957" s="60"/>
      <c r="I4957" s="61"/>
      <c r="J4957" s="60"/>
      <c r="K4957" s="16"/>
      <c r="L4957" s="144"/>
      <c r="M4957" s="11"/>
      <c r="N4957" s="33">
        <v>45966</v>
      </c>
      <c r="O4957" s="32">
        <v>7593</v>
      </c>
      <c r="P4957" s="6" t="s">
        <v>3</v>
      </c>
      <c r="Q4957" s="358"/>
      <c r="S4957" s="1434"/>
      <c r="U4957" s="120"/>
      <c r="V4957" s="260">
        <v>120</v>
      </c>
    </row>
    <row r="4958" spans="2:23" s="7" customFormat="1" ht="18" customHeight="1">
      <c r="B4958" s="12" t="s">
        <v>300</v>
      </c>
      <c r="C4958" s="6" t="s">
        <v>6139</v>
      </c>
      <c r="D4958" s="14" t="s">
        <v>6140</v>
      </c>
      <c r="E4958" s="19" t="s">
        <v>6099</v>
      </c>
      <c r="F4958" s="24"/>
      <c r="G4958" s="22" t="s">
        <v>5318</v>
      </c>
      <c r="H4958" s="108"/>
      <c r="I4958" s="109"/>
      <c r="J4958" s="8">
        <v>390</v>
      </c>
      <c r="K4958" s="39">
        <v>1.98</v>
      </c>
      <c r="L4958" s="39">
        <f>K4958*J4958</f>
        <v>772.2</v>
      </c>
      <c r="M4958" s="117" t="s">
        <v>323</v>
      </c>
      <c r="N4958" s="33">
        <v>45966</v>
      </c>
      <c r="O4958" s="32">
        <v>7593</v>
      </c>
      <c r="P4958" s="391">
        <f>ROUNDUP(S4958/V4958/VLOOKUP(B4958,$C$2:$F$6,3,FALSE),2)</f>
        <v>1.7</v>
      </c>
      <c r="Q4958" s="322">
        <v>1.7</v>
      </c>
      <c r="R4958" s="322">
        <f>Q4958*J4958</f>
        <v>663</v>
      </c>
      <c r="S4958" s="7">
        <v>142</v>
      </c>
      <c r="T4958" s="7">
        <f>S4958*J4958</f>
        <v>55380</v>
      </c>
      <c r="U4958" s="14"/>
      <c r="V4958" s="260">
        <v>120</v>
      </c>
      <c r="W4958" s="1136">
        <f>(((K4958*V4958)-S4958)/(K4958*V4958))</f>
        <v>0.40235690235690236</v>
      </c>
    </row>
    <row r="4959" spans="2:23" s="7" customFormat="1" ht="18" customHeight="1">
      <c r="B4959" s="12" t="s">
        <v>300</v>
      </c>
      <c r="C4959" s="6" t="s">
        <v>6139</v>
      </c>
      <c r="D4959" s="14" t="s">
        <v>6140</v>
      </c>
      <c r="E4959" s="22" t="s">
        <v>5954</v>
      </c>
      <c r="F4959" s="24"/>
      <c r="G4959" s="22" t="s">
        <v>5318</v>
      </c>
      <c r="H4959" s="108"/>
      <c r="I4959" s="109"/>
      <c r="J4959" s="8">
        <v>166</v>
      </c>
      <c r="K4959" s="39">
        <v>2.5499999999999998</v>
      </c>
      <c r="L4959" s="39">
        <f>K4959*J4959</f>
        <v>423.29999999999995</v>
      </c>
      <c r="M4959" s="117" t="s">
        <v>323</v>
      </c>
      <c r="N4959" s="33">
        <v>45966</v>
      </c>
      <c r="O4959" s="32">
        <v>7593</v>
      </c>
      <c r="P4959" s="391">
        <f>ROUNDUP(S4959/V4959/VLOOKUP(B4959,$C$2:$F$6,3,FALSE),2)</f>
        <v>2.1799999999999997</v>
      </c>
      <c r="Q4959" s="322">
        <v>2.1800000000000002</v>
      </c>
      <c r="R4959" s="322">
        <f>Q4959*J4959</f>
        <v>361.88000000000005</v>
      </c>
      <c r="S4959" s="7">
        <v>183</v>
      </c>
      <c r="T4959" s="7">
        <f>S4959*J4959</f>
        <v>30378</v>
      </c>
      <c r="U4959" s="14"/>
      <c r="V4959" s="260">
        <v>120</v>
      </c>
      <c r="W4959" s="1136">
        <f>(((K4959*V4959)-S4959)/(K4959*V4959))</f>
        <v>0.40196078431372551</v>
      </c>
    </row>
    <row r="4960" spans="2:23" s="7" customFormat="1" ht="18" customHeight="1">
      <c r="B4960" s="12" t="s">
        <v>300</v>
      </c>
      <c r="C4960" s="6" t="s">
        <v>6139</v>
      </c>
      <c r="D4960" s="14" t="s">
        <v>6140</v>
      </c>
      <c r="E4960" s="1106" t="s">
        <v>6141</v>
      </c>
      <c r="F4960" s="24"/>
      <c r="G4960" s="22" t="s">
        <v>5318</v>
      </c>
      <c r="H4960" s="108"/>
      <c r="I4960" s="109"/>
      <c r="J4960" s="8">
        <v>221</v>
      </c>
      <c r="K4960" s="39">
        <v>2.5</v>
      </c>
      <c r="L4960" s="39">
        <f t="shared" ref="L4960" si="493">K4960*J4960</f>
        <v>552.5</v>
      </c>
      <c r="M4960" s="117" t="s">
        <v>323</v>
      </c>
      <c r="N4960" s="1398">
        <v>45975</v>
      </c>
      <c r="O4960" s="32">
        <v>7646</v>
      </c>
      <c r="P4960" s="391">
        <f t="shared" ref="P4960" si="494">ROUNDUP(S4960/V4960/VLOOKUP(B4960,$C$2:$F$6,3,FALSE),2)</f>
        <v>2.15</v>
      </c>
      <c r="Q4960" s="322">
        <v>2.15</v>
      </c>
      <c r="R4960" s="322">
        <f t="shared" ref="R4960" si="495">Q4960*J4960</f>
        <v>475.15</v>
      </c>
      <c r="S4960" s="92">
        <v>180</v>
      </c>
      <c r="T4960" s="7">
        <f t="shared" ref="T4960" si="496">S4960*J4960</f>
        <v>39780</v>
      </c>
      <c r="U4960" s="14"/>
      <c r="V4960" s="260">
        <v>120</v>
      </c>
      <c r="W4960" s="1615">
        <f>(((K4960*V4960)-S4960)/(K4960*V4960))</f>
        <v>0.4</v>
      </c>
    </row>
    <row r="4961" spans="2:23" s="7" customFormat="1" ht="18" customHeight="1">
      <c r="B4961" s="12" t="s">
        <v>300</v>
      </c>
      <c r="C4961" s="6" t="s">
        <v>6139</v>
      </c>
      <c r="D4961" s="14" t="s">
        <v>6140</v>
      </c>
      <c r="E4961" s="1106" t="s">
        <v>6141</v>
      </c>
      <c r="F4961" s="24"/>
      <c r="G4961" s="22" t="s">
        <v>5318</v>
      </c>
      <c r="H4961" s="108"/>
      <c r="I4961" s="109"/>
      <c r="J4961" s="8">
        <v>306</v>
      </c>
      <c r="K4961" s="39">
        <v>2.5</v>
      </c>
      <c r="L4961" s="39">
        <f t="shared" ref="L4961" si="497">K4961*J4961</f>
        <v>765</v>
      </c>
      <c r="M4961" s="117" t="s">
        <v>323</v>
      </c>
      <c r="N4961" s="33">
        <v>45994</v>
      </c>
      <c r="O4961" s="32">
        <v>7682</v>
      </c>
      <c r="P4961" s="391">
        <f t="shared" ref="P4961" si="498">ROUNDUP(S4961/V4961/VLOOKUP(B4961,$C$2:$F$6,3,FALSE),2)</f>
        <v>2.15</v>
      </c>
      <c r="Q4961" s="322">
        <v>2.15</v>
      </c>
      <c r="R4961" s="322">
        <f t="shared" ref="R4961" si="499">Q4961*J4961</f>
        <v>657.9</v>
      </c>
      <c r="S4961" s="92">
        <v>180</v>
      </c>
      <c r="T4961" s="7">
        <f t="shared" ref="T4961" si="500">S4961*J4961</f>
        <v>55080</v>
      </c>
      <c r="U4961" s="14"/>
      <c r="V4961" s="260">
        <v>120</v>
      </c>
      <c r="W4961" s="1615">
        <f>(((K4961*V4961)-S4961)/(K4961*V4961))</f>
        <v>0.4</v>
      </c>
    </row>
    <row r="4962" spans="2:23" s="191" customFormat="1" ht="15.75">
      <c r="B4962" s="190"/>
      <c r="C4962" s="179" t="s">
        <v>6139</v>
      </c>
      <c r="D4962" s="180" t="s">
        <v>6140</v>
      </c>
      <c r="E4962" s="181"/>
      <c r="F4962" s="182"/>
      <c r="G4962" s="182" t="s">
        <v>2738</v>
      </c>
      <c r="H4962" s="184" t="s">
        <v>251</v>
      </c>
      <c r="I4962" s="185"/>
      <c r="J4962" s="183"/>
      <c r="K4962" s="192">
        <v>0</v>
      </c>
      <c r="L4962" s="187"/>
      <c r="M4962" s="1310"/>
      <c r="N4962" s="187">
        <v>45994</v>
      </c>
      <c r="O4962" s="186">
        <v>7682</v>
      </c>
      <c r="P4962" s="179"/>
      <c r="Q4962" s="255">
        <v>0</v>
      </c>
      <c r="R4962" s="322">
        <v>0</v>
      </c>
      <c r="S4962" s="275">
        <v>0</v>
      </c>
      <c r="T4962" s="198">
        <v>0</v>
      </c>
      <c r="U4962" s="271"/>
      <c r="V4962" s="260">
        <v>120</v>
      </c>
      <c r="W4962" s="1136" t="e">
        <f t="shared" ref="W4962" si="501">(((K4962*V4962)-S4962)/(K4962*V4962))</f>
        <v>#DIV/0!</v>
      </c>
    </row>
    <row r="4963" spans="2:23" s="7" customFormat="1" ht="18" customHeight="1">
      <c r="B4963" s="12"/>
      <c r="C4963" s="6" t="s">
        <v>6151</v>
      </c>
      <c r="D4963" s="14" t="s">
        <v>5801</v>
      </c>
      <c r="E4963" s="19" t="s">
        <v>2358</v>
      </c>
      <c r="F4963" s="24"/>
      <c r="G4963" s="22"/>
      <c r="H4963" s="60"/>
      <c r="I4963" s="61"/>
      <c r="J4963" s="60"/>
      <c r="K4963" s="16" t="s">
        <v>5</v>
      </c>
      <c r="L4963" s="139"/>
      <c r="M4963" s="33"/>
      <c r="N4963" s="33">
        <v>45965</v>
      </c>
      <c r="O4963" s="32">
        <v>7594</v>
      </c>
      <c r="P4963" s="6" t="s">
        <v>3</v>
      </c>
      <c r="Q4963" s="358"/>
      <c r="S4963" s="1434"/>
      <c r="U4963" s="120"/>
      <c r="V4963" s="260">
        <v>120</v>
      </c>
    </row>
    <row r="4964" spans="2:23" s="7" customFormat="1" ht="18" customHeight="1">
      <c r="B4964" s="12" t="s">
        <v>300</v>
      </c>
      <c r="C4964" s="6" t="s">
        <v>6151</v>
      </c>
      <c r="D4964" s="14" t="s">
        <v>5801</v>
      </c>
      <c r="E4964" s="22" t="s">
        <v>5802</v>
      </c>
      <c r="F4964" s="24"/>
      <c r="G4964" s="22" t="s">
        <v>5318</v>
      </c>
      <c r="H4964" s="108"/>
      <c r="I4964" s="109"/>
      <c r="J4964" s="8">
        <v>50</v>
      </c>
      <c r="K4964" s="39">
        <v>1.85</v>
      </c>
      <c r="L4964" s="39">
        <f>K4964*J4964</f>
        <v>92.5</v>
      </c>
      <c r="M4964" s="117" t="s">
        <v>323</v>
      </c>
      <c r="N4964" s="1398">
        <v>45965</v>
      </c>
      <c r="O4964" s="32">
        <v>7594</v>
      </c>
      <c r="P4964" s="391">
        <f>ROUNDUP(S4964/V4964/VLOOKUP(B4964,$C$2:$F$6,3,FALSE),2)</f>
        <v>1.2</v>
      </c>
      <c r="Q4964" s="322">
        <v>1.2</v>
      </c>
      <c r="R4964" s="322">
        <f>Q4964*J4964</f>
        <v>60</v>
      </c>
      <c r="S4964" s="7">
        <v>100</v>
      </c>
      <c r="T4964" s="7">
        <f>S4964*J4964</f>
        <v>5000</v>
      </c>
      <c r="U4964" s="386"/>
      <c r="V4964" s="260">
        <v>120</v>
      </c>
      <c r="W4964" s="1136">
        <f t="shared" ref="W4964:W4967" si="502">(((K4964*V4964)-S4964)/(K4964*V4964))</f>
        <v>0.5495495495495496</v>
      </c>
    </row>
    <row r="4965" spans="2:23" s="7" customFormat="1" ht="18" customHeight="1">
      <c r="B4965" s="12"/>
      <c r="C4965" s="6" t="s">
        <v>6151</v>
      </c>
      <c r="D4965" s="14" t="s">
        <v>5801</v>
      </c>
      <c r="E4965" s="49"/>
      <c r="F4965" s="102"/>
      <c r="G4965" s="22" t="s">
        <v>316</v>
      </c>
      <c r="H4965" s="8"/>
      <c r="I4965" s="35"/>
      <c r="J4965" s="38">
        <v>1</v>
      </c>
      <c r="K4965" s="39">
        <v>12</v>
      </c>
      <c r="L4965" s="39">
        <f>K4965*J4965</f>
        <v>12</v>
      </c>
      <c r="M4965" s="91"/>
      <c r="N4965" s="33">
        <v>45965</v>
      </c>
      <c r="O4965" s="32">
        <v>7594</v>
      </c>
      <c r="P4965" s="6" t="s">
        <v>3</v>
      </c>
      <c r="Q4965" s="39">
        <v>12</v>
      </c>
      <c r="R4965" s="322">
        <f>Q4965*J4965</f>
        <v>12</v>
      </c>
      <c r="S4965" s="7">
        <v>900</v>
      </c>
      <c r="T4965" s="7">
        <f>S4965*J4965</f>
        <v>900</v>
      </c>
      <c r="U4965" s="21"/>
      <c r="V4965" s="260">
        <v>120</v>
      </c>
      <c r="W4965" s="1136">
        <f t="shared" si="502"/>
        <v>0.375</v>
      </c>
    </row>
    <row r="4966" spans="2:23" s="191" customFormat="1" ht="18" customHeight="1">
      <c r="B4966" s="190"/>
      <c r="C4966" s="179" t="s">
        <v>6151</v>
      </c>
      <c r="D4966" s="180" t="s">
        <v>5801</v>
      </c>
      <c r="E4966" s="217"/>
      <c r="F4966" s="182"/>
      <c r="G4966" s="182" t="s">
        <v>250</v>
      </c>
      <c r="H4966" s="184" t="s">
        <v>374</v>
      </c>
      <c r="I4966" s="185"/>
      <c r="J4966" s="183"/>
      <c r="K4966" s="192">
        <v>37</v>
      </c>
      <c r="L4966" s="192">
        <v>37</v>
      </c>
      <c r="M4966" s="1310"/>
      <c r="N4966" s="187">
        <v>45965</v>
      </c>
      <c r="O4966" s="186">
        <v>7594</v>
      </c>
      <c r="P4966" s="179"/>
      <c r="Q4966" s="192">
        <v>37</v>
      </c>
      <c r="R4966" s="192">
        <v>37</v>
      </c>
      <c r="S4966" s="7">
        <v>4004</v>
      </c>
      <c r="T4966" s="7">
        <v>4004</v>
      </c>
      <c r="U4966" s="271"/>
      <c r="V4966" s="260">
        <v>120</v>
      </c>
      <c r="W4966" s="1136">
        <f t="shared" si="502"/>
        <v>9.8198198198198194E-2</v>
      </c>
    </row>
    <row r="4967" spans="2:23" s="7" customFormat="1" ht="15">
      <c r="B4967" s="12"/>
      <c r="C4967" s="6" t="s">
        <v>6169</v>
      </c>
      <c r="D4967" s="14" t="s">
        <v>6170</v>
      </c>
      <c r="E4967" s="19" t="s">
        <v>6171</v>
      </c>
      <c r="F4967" s="24"/>
      <c r="G4967" s="22"/>
      <c r="H4967" s="60"/>
      <c r="I4967" s="61"/>
      <c r="J4967" s="60"/>
      <c r="K4967" s="16" t="s">
        <v>101</v>
      </c>
      <c r="L4967" s="33"/>
      <c r="M4967" s="33"/>
      <c r="N4967" s="33">
        <v>45967</v>
      </c>
      <c r="O4967" s="32">
        <v>7608</v>
      </c>
      <c r="P4967" s="6" t="s">
        <v>8</v>
      </c>
      <c r="Q4967" s="252"/>
      <c r="S4967" s="257"/>
      <c r="T4967" s="92"/>
      <c r="U4967" s="265"/>
      <c r="V4967" s="260">
        <v>120</v>
      </c>
      <c r="W4967" s="1136" t="e">
        <f t="shared" si="502"/>
        <v>#VALUE!</v>
      </c>
    </row>
    <row r="4968" spans="2:23" s="7" customFormat="1" ht="15.75">
      <c r="B4968" s="12" t="s">
        <v>300</v>
      </c>
      <c r="C4968" s="6" t="s">
        <v>6169</v>
      </c>
      <c r="D4968" s="14" t="s">
        <v>6170</v>
      </c>
      <c r="E4968" s="22" t="s">
        <v>6172</v>
      </c>
      <c r="F4968" s="24">
        <v>25</v>
      </c>
      <c r="G4968" s="22" t="s">
        <v>6173</v>
      </c>
      <c r="H4968" s="108">
        <v>50</v>
      </c>
      <c r="I4968" s="109">
        <v>1</v>
      </c>
      <c r="J4968" s="60">
        <f>H4968*I4968</f>
        <v>50</v>
      </c>
      <c r="K4968" s="23">
        <v>1.68</v>
      </c>
      <c r="L4968" s="39">
        <f>K4968*J4968</f>
        <v>84</v>
      </c>
      <c r="M4968" s="117" t="s">
        <v>323</v>
      </c>
      <c r="N4968" s="33">
        <v>45967</v>
      </c>
      <c r="O4968" s="32">
        <v>7608</v>
      </c>
      <c r="P4968" s="391">
        <f>ROUNDUP(S4968/V4968/VLOOKUP(B4968,$C$2:$F$6,3,FALSE),2)</f>
        <v>1.32</v>
      </c>
      <c r="Q4968" s="253">
        <v>1.32</v>
      </c>
      <c r="R4968" s="323">
        <f>Q4968*J4968</f>
        <v>66</v>
      </c>
      <c r="S4968" s="257">
        <v>110.6</v>
      </c>
      <c r="T4968" s="287">
        <f>S4968*J4968</f>
        <v>5530</v>
      </c>
      <c r="U4968" s="265"/>
      <c r="V4968" s="260">
        <v>120</v>
      </c>
      <c r="W4968" s="1136">
        <f>(((K4968*V4968)-S4968)/(K4968*V4968))</f>
        <v>0.4513888888888889</v>
      </c>
    </row>
    <row r="4969" spans="2:23" s="7" customFormat="1" ht="15">
      <c r="B4969" s="12"/>
      <c r="C4969" s="6" t="s">
        <v>6169</v>
      </c>
      <c r="D4969" s="14" t="s">
        <v>6170</v>
      </c>
      <c r="E4969" s="19" t="s">
        <v>6175</v>
      </c>
      <c r="F4969" s="24"/>
      <c r="G4969" s="22"/>
      <c r="H4969" s="60"/>
      <c r="I4969" s="61"/>
      <c r="J4969" s="60"/>
      <c r="K4969" s="16"/>
      <c r="L4969" s="33"/>
      <c r="M4969" s="33"/>
      <c r="N4969" s="33">
        <v>45967</v>
      </c>
      <c r="O4969" s="32">
        <v>7608</v>
      </c>
      <c r="P4969" s="6" t="s">
        <v>8</v>
      </c>
      <c r="Q4969" s="252"/>
      <c r="S4969" s="257"/>
      <c r="T4969" s="92"/>
      <c r="U4969" s="265"/>
      <c r="V4969" s="260">
        <v>120</v>
      </c>
      <c r="W4969" s="1136" t="e">
        <f t="shared" ref="W4969" si="503">(((K4969*V4969)-S4969)/(K4969*V4969))</f>
        <v>#DIV/0!</v>
      </c>
    </row>
    <row r="4970" spans="2:23" s="7" customFormat="1" ht="15.75">
      <c r="B4970" s="12" t="s">
        <v>300</v>
      </c>
      <c r="C4970" s="6" t="s">
        <v>6169</v>
      </c>
      <c r="D4970" s="14" t="s">
        <v>6170</v>
      </c>
      <c r="E4970" s="22" t="s">
        <v>6176</v>
      </c>
      <c r="F4970" s="24">
        <v>10</v>
      </c>
      <c r="G4970" s="22" t="s">
        <v>267</v>
      </c>
      <c r="H4970" s="108">
        <v>30</v>
      </c>
      <c r="I4970" s="109">
        <v>1</v>
      </c>
      <c r="J4970" s="60">
        <f>H4970*I4970</f>
        <v>30</v>
      </c>
      <c r="K4970" s="23">
        <v>0.99</v>
      </c>
      <c r="L4970" s="39">
        <f>K4970*J4970</f>
        <v>29.7</v>
      </c>
      <c r="M4970" s="117" t="s">
        <v>323</v>
      </c>
      <c r="N4970" s="33">
        <v>45967</v>
      </c>
      <c r="O4970" s="32">
        <v>7608</v>
      </c>
      <c r="P4970" s="391">
        <f>ROUNDUP(S4970/V4970/VLOOKUP(B4970,$C$2:$F$6,3,FALSE),2)</f>
        <v>0.78</v>
      </c>
      <c r="Q4970" s="253">
        <v>0.78</v>
      </c>
      <c r="R4970" s="323">
        <f>Q4970*J4970</f>
        <v>23.400000000000002</v>
      </c>
      <c r="S4970" s="257">
        <v>65</v>
      </c>
      <c r="T4970" s="287">
        <f>S4970*J4970</f>
        <v>1950</v>
      </c>
      <c r="U4970" s="265"/>
      <c r="V4970" s="260">
        <v>120</v>
      </c>
      <c r="W4970" s="1136">
        <f>(((K4970*V4970)-S4970)/(K4970*V4970))</f>
        <v>0.45286195286195285</v>
      </c>
    </row>
    <row r="4971" spans="2:23" s="7" customFormat="1" ht="15">
      <c r="B4971" s="12"/>
      <c r="C4971" s="6" t="s">
        <v>6169</v>
      </c>
      <c r="D4971" s="14" t="s">
        <v>6170</v>
      </c>
      <c r="E4971" s="19" t="s">
        <v>6177</v>
      </c>
      <c r="F4971" s="24"/>
      <c r="G4971" s="22"/>
      <c r="H4971" s="60"/>
      <c r="I4971" s="61"/>
      <c r="J4971" s="60"/>
      <c r="K4971" s="16"/>
      <c r="L4971" s="33"/>
      <c r="M4971" s="33"/>
      <c r="N4971" s="33">
        <v>45967</v>
      </c>
      <c r="O4971" s="32">
        <v>7608</v>
      </c>
      <c r="P4971" s="6" t="s">
        <v>8</v>
      </c>
      <c r="Q4971" s="252"/>
      <c r="S4971" s="257"/>
      <c r="T4971" s="92"/>
      <c r="U4971" s="265"/>
      <c r="V4971" s="260">
        <v>120</v>
      </c>
      <c r="W4971" s="1136" t="e">
        <f t="shared" ref="W4971" si="504">(((K4971*V4971)-S4971)/(K4971*V4971))</f>
        <v>#DIV/0!</v>
      </c>
    </row>
    <row r="4972" spans="2:23" s="7" customFormat="1" ht="15.75">
      <c r="B4972" s="12" t="s">
        <v>300</v>
      </c>
      <c r="C4972" s="6" t="s">
        <v>6169</v>
      </c>
      <c r="D4972" s="14" t="s">
        <v>6170</v>
      </c>
      <c r="E4972" s="22" t="s">
        <v>6176</v>
      </c>
      <c r="F4972" s="24">
        <v>20</v>
      </c>
      <c r="G4972" s="22" t="s">
        <v>267</v>
      </c>
      <c r="H4972" s="108">
        <v>30</v>
      </c>
      <c r="I4972" s="109">
        <v>1</v>
      </c>
      <c r="J4972" s="60">
        <f>H4972*I4972</f>
        <v>30</v>
      </c>
      <c r="K4972" s="23">
        <v>1.37</v>
      </c>
      <c r="L4972" s="39">
        <f>K4972*J4972</f>
        <v>41.1</v>
      </c>
      <c r="M4972" s="117" t="s">
        <v>323</v>
      </c>
      <c r="N4972" s="33">
        <v>45967</v>
      </c>
      <c r="O4972" s="32">
        <v>7608</v>
      </c>
      <c r="P4972" s="391">
        <f>ROUNDUP(S4972/V4972/VLOOKUP(B4972,$C$2:$F$6,3,FALSE),2)</f>
        <v>1.08</v>
      </c>
      <c r="Q4972" s="253">
        <v>1.08</v>
      </c>
      <c r="R4972" s="323">
        <f>Q4972*J4972</f>
        <v>32.400000000000006</v>
      </c>
      <c r="S4972" s="257">
        <v>90</v>
      </c>
      <c r="T4972" s="287">
        <f>S4972*J4972</f>
        <v>2700</v>
      </c>
      <c r="U4972" s="265"/>
      <c r="V4972" s="260">
        <v>120</v>
      </c>
      <c r="W4972" s="1136">
        <f>(((K4972*V4972)-S4972)/(K4972*V4972))</f>
        <v>0.45255474452554745</v>
      </c>
    </row>
    <row r="4973" spans="2:23" s="7" customFormat="1" ht="15">
      <c r="B4973" s="12"/>
      <c r="C4973" s="6" t="s">
        <v>6169</v>
      </c>
      <c r="D4973" s="14" t="s">
        <v>6170</v>
      </c>
      <c r="E4973" s="19" t="s">
        <v>6178</v>
      </c>
      <c r="F4973" s="24"/>
      <c r="G4973" s="22"/>
      <c r="H4973" s="60"/>
      <c r="I4973" s="61"/>
      <c r="J4973" s="60"/>
      <c r="K4973" s="16"/>
      <c r="L4973" s="33"/>
      <c r="M4973" s="33"/>
      <c r="N4973" s="33">
        <v>45967</v>
      </c>
      <c r="O4973" s="32">
        <v>7608</v>
      </c>
      <c r="P4973" s="6" t="s">
        <v>8</v>
      </c>
      <c r="Q4973" s="252"/>
      <c r="S4973" s="257"/>
      <c r="T4973" s="92"/>
      <c r="U4973" s="265"/>
      <c r="V4973" s="260">
        <v>120</v>
      </c>
      <c r="W4973" s="1136" t="e">
        <f t="shared" ref="W4973" si="505">(((K4973*V4973)-S4973)/(K4973*V4973))</f>
        <v>#DIV/0!</v>
      </c>
    </row>
    <row r="4974" spans="2:23" s="7" customFormat="1" ht="15.75">
      <c r="B4974" s="12" t="s">
        <v>300</v>
      </c>
      <c r="C4974" s="6" t="s">
        <v>6169</v>
      </c>
      <c r="D4974" s="14" t="s">
        <v>6170</v>
      </c>
      <c r="E4974" s="22" t="s">
        <v>6176</v>
      </c>
      <c r="F4974" s="1634">
        <v>7.5</v>
      </c>
      <c r="G4974" s="22" t="s">
        <v>267</v>
      </c>
      <c r="H4974" s="108">
        <v>30</v>
      </c>
      <c r="I4974" s="109">
        <v>1</v>
      </c>
      <c r="J4974" s="60">
        <f>H4974*I4974</f>
        <v>30</v>
      </c>
      <c r="K4974" s="23">
        <v>1.1399999999999999</v>
      </c>
      <c r="L4974" s="39">
        <f>K4974*J4974</f>
        <v>34.199999999999996</v>
      </c>
      <c r="M4974" s="117" t="s">
        <v>323</v>
      </c>
      <c r="N4974" s="33">
        <v>45967</v>
      </c>
      <c r="O4974" s="32">
        <v>7608</v>
      </c>
      <c r="P4974" s="391">
        <f>ROUNDUP(S4974/V4974/VLOOKUP(B4974,$C$2:$F$6,3,FALSE),2)</f>
        <v>0.9</v>
      </c>
      <c r="Q4974" s="253">
        <v>0.9</v>
      </c>
      <c r="R4974" s="323">
        <f>Q4974*J4974</f>
        <v>27</v>
      </c>
      <c r="S4974" s="257">
        <v>75</v>
      </c>
      <c r="T4974" s="287">
        <f>S4974*J4974</f>
        <v>2250</v>
      </c>
      <c r="U4974" s="265"/>
      <c r="V4974" s="260">
        <v>120</v>
      </c>
      <c r="W4974" s="1136">
        <f>(((K4974*V4974)-S4974)/(K4974*V4974))</f>
        <v>0.45175438596491219</v>
      </c>
    </row>
    <row r="4975" spans="2:23" s="7" customFormat="1" ht="15">
      <c r="B4975" s="12"/>
      <c r="C4975" s="6" t="s">
        <v>6169</v>
      </c>
      <c r="D4975" s="14" t="s">
        <v>6170</v>
      </c>
      <c r="E4975" s="19" t="s">
        <v>6179</v>
      </c>
      <c r="F4975" s="24"/>
      <c r="G4975" s="22"/>
      <c r="H4975" s="60"/>
      <c r="I4975" s="61"/>
      <c r="J4975" s="60"/>
      <c r="K4975" s="16"/>
      <c r="L4975" s="33"/>
      <c r="M4975" s="33"/>
      <c r="N4975" s="33">
        <v>45967</v>
      </c>
      <c r="O4975" s="32">
        <v>7608</v>
      </c>
      <c r="P4975" s="6" t="s">
        <v>8</v>
      </c>
      <c r="Q4975" s="252"/>
      <c r="S4975" s="257"/>
      <c r="T4975" s="92"/>
      <c r="U4975" s="265"/>
      <c r="V4975" s="260">
        <v>120</v>
      </c>
      <c r="W4975" s="1136" t="e">
        <f t="shared" ref="W4975" si="506">(((K4975*V4975)-S4975)/(K4975*V4975))</f>
        <v>#DIV/0!</v>
      </c>
    </row>
    <row r="4976" spans="2:23" s="7" customFormat="1" ht="15.75">
      <c r="B4976" s="12" t="s">
        <v>300</v>
      </c>
      <c r="C4976" s="6" t="s">
        <v>6169</v>
      </c>
      <c r="D4976" s="14" t="s">
        <v>6170</v>
      </c>
      <c r="E4976" s="22" t="s">
        <v>6176</v>
      </c>
      <c r="F4976" s="1635">
        <v>10</v>
      </c>
      <c r="G4976" s="22" t="s">
        <v>267</v>
      </c>
      <c r="H4976" s="108">
        <v>30</v>
      </c>
      <c r="I4976" s="109">
        <v>1</v>
      </c>
      <c r="J4976" s="60">
        <f>H4976*I4976</f>
        <v>30</v>
      </c>
      <c r="K4976" s="23">
        <v>1.37</v>
      </c>
      <c r="L4976" s="39">
        <f>K4976*J4976</f>
        <v>41.1</v>
      </c>
      <c r="M4976" s="117" t="s">
        <v>323</v>
      </c>
      <c r="N4976" s="33">
        <v>45967</v>
      </c>
      <c r="O4976" s="32">
        <v>7608</v>
      </c>
      <c r="P4976" s="391">
        <f>ROUNDUP(S4976/V4976/VLOOKUP(B4976,$C$2:$F$6,3,FALSE),2)</f>
        <v>1.08</v>
      </c>
      <c r="Q4976" s="253">
        <v>1.08</v>
      </c>
      <c r="R4976" s="323">
        <f>Q4976*J4976</f>
        <v>32.400000000000006</v>
      </c>
      <c r="S4976" s="257">
        <v>90</v>
      </c>
      <c r="T4976" s="287">
        <f>S4976*J4976</f>
        <v>2700</v>
      </c>
      <c r="U4976" s="265"/>
      <c r="V4976" s="260">
        <v>120</v>
      </c>
      <c r="W4976" s="1136">
        <f>(((K4976*V4976)-S4976)/(K4976*V4976))</f>
        <v>0.45255474452554745</v>
      </c>
    </row>
    <row r="4977" spans="2:23" s="7" customFormat="1" ht="15">
      <c r="B4977" s="12"/>
      <c r="C4977" s="6" t="s">
        <v>6169</v>
      </c>
      <c r="D4977" s="14" t="s">
        <v>6170</v>
      </c>
      <c r="E4977" s="19" t="s">
        <v>6181</v>
      </c>
      <c r="F4977" s="24"/>
      <c r="G4977" s="22"/>
      <c r="H4977" s="60"/>
      <c r="I4977" s="61"/>
      <c r="J4977" s="60"/>
      <c r="K4977" s="16"/>
      <c r="L4977" s="33"/>
      <c r="M4977" s="33"/>
      <c r="N4977" s="33">
        <v>45967</v>
      </c>
      <c r="O4977" s="32">
        <v>7608</v>
      </c>
      <c r="P4977" s="6" t="s">
        <v>8</v>
      </c>
      <c r="Q4977" s="252"/>
      <c r="S4977" s="257"/>
      <c r="T4977" s="92"/>
      <c r="U4977" s="265"/>
      <c r="V4977" s="260">
        <v>120</v>
      </c>
      <c r="W4977" s="1136" t="e">
        <f t="shared" ref="W4977" si="507">(((K4977*V4977)-S4977)/(K4977*V4977))</f>
        <v>#DIV/0!</v>
      </c>
    </row>
    <row r="4978" spans="2:23" s="7" customFormat="1" ht="15.75">
      <c r="B4978" s="12" t="s">
        <v>300</v>
      </c>
      <c r="C4978" s="6" t="s">
        <v>6169</v>
      </c>
      <c r="D4978" s="14" t="s">
        <v>6170</v>
      </c>
      <c r="E4978" s="22" t="s">
        <v>6180</v>
      </c>
      <c r="F4978" s="24">
        <v>10</v>
      </c>
      <c r="G4978" s="22" t="s">
        <v>267</v>
      </c>
      <c r="H4978" s="108">
        <v>30</v>
      </c>
      <c r="I4978" s="109">
        <v>1</v>
      </c>
      <c r="J4978" s="60">
        <f>H4978*I4978</f>
        <v>30</v>
      </c>
      <c r="K4978" s="23">
        <v>1.04</v>
      </c>
      <c r="L4978" s="39">
        <f>K4978*J4978</f>
        <v>31.200000000000003</v>
      </c>
      <c r="M4978" s="117" t="s">
        <v>323</v>
      </c>
      <c r="N4978" s="33">
        <v>45967</v>
      </c>
      <c r="O4978" s="32">
        <v>7608</v>
      </c>
      <c r="P4978" s="391">
        <f>ROUNDUP(S4978/V4978/VLOOKUP(B4978,$C$2:$F$6,3,FALSE),2)</f>
        <v>0.81</v>
      </c>
      <c r="Q4978" s="253">
        <v>0.81</v>
      </c>
      <c r="R4978" s="323">
        <f>Q4978*J4978</f>
        <v>24.3</v>
      </c>
      <c r="S4978" s="257">
        <v>68</v>
      </c>
      <c r="T4978" s="287">
        <f>S4978*J4978</f>
        <v>2040</v>
      </c>
      <c r="U4978" s="265"/>
      <c r="V4978" s="260">
        <v>120</v>
      </c>
      <c r="W4978" s="1136">
        <f>(((K4978*V4978)-S4978)/(K4978*V4978))</f>
        <v>0.45512820512820518</v>
      </c>
    </row>
    <row r="4979" spans="2:23" s="7" customFormat="1" ht="15">
      <c r="B4979" s="12"/>
      <c r="C4979" s="6" t="s">
        <v>6169</v>
      </c>
      <c r="D4979" s="14" t="s">
        <v>6170</v>
      </c>
      <c r="E4979" s="19" t="s">
        <v>6182</v>
      </c>
      <c r="F4979" s="24"/>
      <c r="G4979" s="22"/>
      <c r="H4979" s="60"/>
      <c r="I4979" s="61"/>
      <c r="J4979" s="60"/>
      <c r="K4979" s="16"/>
      <c r="L4979" s="33"/>
      <c r="M4979" s="33"/>
      <c r="N4979" s="33">
        <v>45967</v>
      </c>
      <c r="O4979" s="32">
        <v>7608</v>
      </c>
      <c r="P4979" s="6" t="s">
        <v>8</v>
      </c>
      <c r="Q4979" s="252"/>
      <c r="S4979" s="257"/>
      <c r="T4979" s="92"/>
      <c r="U4979" s="265"/>
      <c r="V4979" s="260">
        <v>120</v>
      </c>
      <c r="W4979" s="1136" t="e">
        <f t="shared" ref="W4979" si="508">(((K4979*V4979)-S4979)/(K4979*V4979))</f>
        <v>#DIV/0!</v>
      </c>
    </row>
    <row r="4980" spans="2:23" s="7" customFormat="1" ht="15.75">
      <c r="B4980" s="12" t="s">
        <v>300</v>
      </c>
      <c r="C4980" s="6" t="s">
        <v>6169</v>
      </c>
      <c r="D4980" s="14" t="s">
        <v>6170</v>
      </c>
      <c r="E4980" s="22" t="s">
        <v>6180</v>
      </c>
      <c r="F4980" s="24">
        <v>20</v>
      </c>
      <c r="G4980" s="22" t="s">
        <v>267</v>
      </c>
      <c r="H4980" s="108">
        <v>30</v>
      </c>
      <c r="I4980" s="109">
        <v>1</v>
      </c>
      <c r="J4980" s="60">
        <f>H4980*I4980</f>
        <v>30</v>
      </c>
      <c r="K4980" s="23">
        <v>1.22</v>
      </c>
      <c r="L4980" s="39">
        <f>K4980*J4980</f>
        <v>36.6</v>
      </c>
      <c r="M4980" s="117" t="s">
        <v>323</v>
      </c>
      <c r="N4980" s="33">
        <v>45967</v>
      </c>
      <c r="O4980" s="32">
        <v>7608</v>
      </c>
      <c r="P4980" s="391">
        <f>ROUNDUP(S4980/V4980/VLOOKUP(B4980,$C$2:$F$6,3,FALSE),2)</f>
        <v>0.96</v>
      </c>
      <c r="Q4980" s="253">
        <v>0.96</v>
      </c>
      <c r="R4980" s="323">
        <f>Q4980*J4980</f>
        <v>28.799999999999997</v>
      </c>
      <c r="S4980" s="257">
        <v>80</v>
      </c>
      <c r="T4980" s="287">
        <f>S4980*J4980</f>
        <v>2400</v>
      </c>
      <c r="U4980" s="265"/>
      <c r="V4980" s="260">
        <v>120</v>
      </c>
      <c r="W4980" s="1136">
        <f>(((K4980*V4980)-S4980)/(K4980*V4980))</f>
        <v>0.45355191256830601</v>
      </c>
    </row>
    <row r="4981" spans="2:23" s="7" customFormat="1" ht="18" customHeight="1">
      <c r="B4981" s="12"/>
      <c r="C4981" s="6" t="s">
        <v>6169</v>
      </c>
      <c r="D4981" s="14" t="s">
        <v>6170</v>
      </c>
      <c r="E4981" s="49"/>
      <c r="F4981" s="102"/>
      <c r="G4981" s="22" t="s">
        <v>316</v>
      </c>
      <c r="H4981" s="8"/>
      <c r="I4981" s="35"/>
      <c r="J4981" s="38">
        <v>1</v>
      </c>
      <c r="K4981" s="39">
        <v>12</v>
      </c>
      <c r="L4981" s="39">
        <f>K4981*J4981</f>
        <v>12</v>
      </c>
      <c r="M4981" s="91"/>
      <c r="N4981" s="33">
        <v>45967</v>
      </c>
      <c r="O4981" s="32">
        <v>7608</v>
      </c>
      <c r="P4981" s="6" t="s">
        <v>3</v>
      </c>
      <c r="Q4981" s="39">
        <v>12</v>
      </c>
      <c r="R4981" s="322">
        <f>Q4981*J4981</f>
        <v>12</v>
      </c>
      <c r="S4981" s="7">
        <v>0</v>
      </c>
      <c r="T4981" s="7">
        <f>S4981*J4981</f>
        <v>0</v>
      </c>
      <c r="U4981" s="21"/>
      <c r="V4981" s="260">
        <v>120</v>
      </c>
      <c r="W4981" s="1136">
        <f t="shared" ref="W4981" si="509">(((K4981*V4981)-S4981)/(K4981*V4981))</f>
        <v>1</v>
      </c>
    </row>
    <row r="4982" spans="2:23" s="191" customFormat="1" ht="15.75">
      <c r="B4982" s="190"/>
      <c r="C4982" s="179" t="s">
        <v>6169</v>
      </c>
      <c r="D4982" s="180" t="s">
        <v>6170</v>
      </c>
      <c r="E4982" s="181"/>
      <c r="F4982" s="182"/>
      <c r="G4982" s="309" t="s">
        <v>324</v>
      </c>
      <c r="H4982" s="184" t="s">
        <v>251</v>
      </c>
      <c r="I4982" s="185"/>
      <c r="J4982" s="183"/>
      <c r="K4982" s="192">
        <v>0</v>
      </c>
      <c r="L4982" s="188"/>
      <c r="M4982" s="187"/>
      <c r="N4982" s="187">
        <v>45967</v>
      </c>
      <c r="O4982" s="186">
        <v>7608</v>
      </c>
      <c r="P4982" s="179"/>
      <c r="Q4982" s="725">
        <v>0</v>
      </c>
      <c r="S4982" s="197">
        <v>0</v>
      </c>
      <c r="T4982" s="198">
        <v>0</v>
      </c>
      <c r="U4982" s="335"/>
      <c r="V4982" s="260">
        <v>120</v>
      </c>
      <c r="W4982" s="1136" t="e">
        <f t="shared" ref="W4982" si="510">(((K4982*V4982)-S4982)/(K4982*V4982))</f>
        <v>#DIV/0!</v>
      </c>
    </row>
    <row r="4983" spans="2:23" s="7" customFormat="1" ht="18" customHeight="1">
      <c r="B4983" s="12"/>
      <c r="C4983" s="6" t="s">
        <v>6187</v>
      </c>
      <c r="D4983" s="14" t="s">
        <v>2171</v>
      </c>
      <c r="E4983" s="19" t="s">
        <v>10</v>
      </c>
      <c r="F4983" s="107"/>
      <c r="G4983" s="1256"/>
      <c r="H4983" s="108"/>
      <c r="I4983" s="109"/>
      <c r="J4983" s="108"/>
      <c r="K4983" s="29" t="s">
        <v>5</v>
      </c>
      <c r="L4983" s="139"/>
      <c r="M4983" s="33"/>
      <c r="N4983" s="33">
        <v>45967</v>
      </c>
      <c r="O4983" s="32">
        <v>7617</v>
      </c>
      <c r="P4983" s="14"/>
      <c r="Q4983" s="322"/>
      <c r="U4983" s="14"/>
      <c r="V4983" s="260">
        <v>120</v>
      </c>
      <c r="W4983" s="1136" t="e">
        <f t="shared" ref="W4983" si="511">(((K4983*V4983)-S4983)/(K4983*V4983))</f>
        <v>#VALUE!</v>
      </c>
    </row>
    <row r="4984" spans="2:23" s="7" customFormat="1" ht="15.75">
      <c r="B4984" s="12" t="s">
        <v>302</v>
      </c>
      <c r="C4984" s="6" t="s">
        <v>6187</v>
      </c>
      <c r="D4984" s="14" t="s">
        <v>2171</v>
      </c>
      <c r="E4984" s="22" t="s">
        <v>207</v>
      </c>
      <c r="F4984" s="107">
        <v>152</v>
      </c>
      <c r="G4984" s="22" t="s">
        <v>6183</v>
      </c>
      <c r="H4984" s="1255"/>
      <c r="I4984" s="109"/>
      <c r="J4984" s="8">
        <v>20</v>
      </c>
      <c r="K4984" s="39">
        <v>4.7300000000000004</v>
      </c>
      <c r="L4984" s="39">
        <f t="shared" ref="L4984" si="512">K4984*J4984</f>
        <v>94.600000000000009</v>
      </c>
      <c r="M4984" s="403" t="s">
        <v>322</v>
      </c>
      <c r="N4984" s="33">
        <v>45967</v>
      </c>
      <c r="O4984" s="32">
        <v>7617</v>
      </c>
      <c r="P4984" s="391">
        <f t="shared" ref="P4984:P4990" si="513">ROUNDUP(S4984/V4984/VLOOKUP(B4984,$C$2:$F$6,3,FALSE),2)</f>
        <v>3.4099999999999997</v>
      </c>
      <c r="Q4984" s="322">
        <v>3.41</v>
      </c>
      <c r="R4984" s="322">
        <f t="shared" ref="R4984" si="514">Q4984*J4984</f>
        <v>68.2</v>
      </c>
      <c r="S4984" s="7">
        <v>360</v>
      </c>
      <c r="T4984" s="7">
        <f t="shared" ref="T4984:T4990" si="515">S4984*J4984</f>
        <v>7200</v>
      </c>
      <c r="U4984" s="21"/>
      <c r="V4984" s="260">
        <v>120</v>
      </c>
      <c r="W4984" s="1136">
        <f t="shared" ref="W4984:W4996" si="516">(((K4984*V4984)-S4984)/(K4984*V4984))</f>
        <v>0.36575052854122625</v>
      </c>
    </row>
    <row r="4985" spans="2:23" s="7" customFormat="1" ht="18" customHeight="1">
      <c r="B4985" s="12"/>
      <c r="C4985" s="6" t="s">
        <v>6187</v>
      </c>
      <c r="D4985" s="14" t="s">
        <v>2171</v>
      </c>
      <c r="E4985" s="22"/>
      <c r="F4985" s="102"/>
      <c r="G4985" s="22" t="s">
        <v>236</v>
      </c>
      <c r="H4985" s="8"/>
      <c r="I4985" s="35"/>
      <c r="J4985" s="38">
        <v>1</v>
      </c>
      <c r="K4985" s="39">
        <v>15</v>
      </c>
      <c r="L4985" s="39">
        <f>K4985*J4985</f>
        <v>15</v>
      </c>
      <c r="M4985" s="91"/>
      <c r="N4985" s="33">
        <v>45967</v>
      </c>
      <c r="O4985" s="32">
        <v>7617</v>
      </c>
      <c r="P4985" s="6" t="s">
        <v>3</v>
      </c>
      <c r="Q4985" s="39">
        <v>15</v>
      </c>
      <c r="R4985" s="322">
        <f>Q4985*J4985</f>
        <v>15</v>
      </c>
      <c r="S4985" s="1388">
        <v>1000</v>
      </c>
      <c r="T4985" s="7">
        <f>S4985*J4985</f>
        <v>1000</v>
      </c>
      <c r="U4985" s="21"/>
      <c r="V4985" s="260">
        <v>120</v>
      </c>
      <c r="W4985" s="1136">
        <f t="shared" ref="W4985:W4988" si="517">(((K4985*V4985)-S4985)/(K4985*V4985))</f>
        <v>0.44444444444444442</v>
      </c>
    </row>
    <row r="4986" spans="2:23" s="7" customFormat="1" ht="18" customHeight="1">
      <c r="B4986" s="12"/>
      <c r="C4986" s="6" t="s">
        <v>6187</v>
      </c>
      <c r="D4986" s="14" t="s">
        <v>2171</v>
      </c>
      <c r="E4986" s="22"/>
      <c r="F4986" s="102"/>
      <c r="G4986" s="22" t="s">
        <v>316</v>
      </c>
      <c r="H4986" s="8"/>
      <c r="I4986" s="35"/>
      <c r="J4986" s="38">
        <v>1</v>
      </c>
      <c r="K4986" s="39">
        <v>15</v>
      </c>
      <c r="L4986" s="39">
        <f>K4986*J4986</f>
        <v>15</v>
      </c>
      <c r="M4986" s="91"/>
      <c r="N4986" s="33">
        <v>45967</v>
      </c>
      <c r="O4986" s="32">
        <v>7617</v>
      </c>
      <c r="P4986" s="6" t="s">
        <v>3</v>
      </c>
      <c r="Q4986" s="39">
        <v>15</v>
      </c>
      <c r="R4986" s="322">
        <f>Q4986*J4986</f>
        <v>15</v>
      </c>
      <c r="S4986" s="7">
        <v>1600</v>
      </c>
      <c r="T4986" s="7">
        <f>S4986*J4986</f>
        <v>1600</v>
      </c>
      <c r="U4986" s="21"/>
      <c r="V4986" s="260">
        <v>120</v>
      </c>
      <c r="W4986" s="1136">
        <f t="shared" si="517"/>
        <v>0.1111111111111111</v>
      </c>
    </row>
    <row r="4987" spans="2:23" s="191" customFormat="1" ht="15.75">
      <c r="B4987" s="190"/>
      <c r="C4987" s="179" t="s">
        <v>6187</v>
      </c>
      <c r="D4987" s="180" t="s">
        <v>2171</v>
      </c>
      <c r="E4987" s="181"/>
      <c r="F4987" s="182"/>
      <c r="G4987" s="309" t="s">
        <v>324</v>
      </c>
      <c r="H4987" s="184" t="s">
        <v>252</v>
      </c>
      <c r="I4987" s="185"/>
      <c r="J4987" s="183"/>
      <c r="K4987" s="203">
        <v>181</v>
      </c>
      <c r="L4987" s="203">
        <v>181</v>
      </c>
      <c r="M4987" s="187"/>
      <c r="N4987" s="187">
        <v>45967</v>
      </c>
      <c r="O4987" s="186">
        <v>7617</v>
      </c>
      <c r="P4987" s="179"/>
      <c r="Q4987" s="203">
        <v>181</v>
      </c>
      <c r="R4987" s="203">
        <v>181</v>
      </c>
      <c r="S4987" s="1201">
        <v>18017</v>
      </c>
      <c r="T4987" s="1201">
        <v>18017</v>
      </c>
      <c r="U4987" s="271"/>
      <c r="V4987" s="260">
        <v>120</v>
      </c>
      <c r="W4987" s="1136">
        <f t="shared" si="517"/>
        <v>0.17048802946593003</v>
      </c>
    </row>
    <row r="4988" spans="2:23" s="7" customFormat="1" ht="18" customHeight="1">
      <c r="B4988" s="12"/>
      <c r="C4988" s="6" t="s">
        <v>6188</v>
      </c>
      <c r="D4988" s="14" t="s">
        <v>2171</v>
      </c>
      <c r="E4988" s="19" t="s">
        <v>10</v>
      </c>
      <c r="F4988" s="107"/>
      <c r="G4988" s="1256"/>
      <c r="H4988" s="108"/>
      <c r="I4988" s="109"/>
      <c r="J4988" s="108"/>
      <c r="K4988" s="29" t="s">
        <v>5</v>
      </c>
      <c r="L4988" s="139"/>
      <c r="M4988" s="33"/>
      <c r="N4988" s="33">
        <v>45975</v>
      </c>
      <c r="O4988" s="32">
        <v>7618</v>
      </c>
      <c r="P4988" s="14"/>
      <c r="Q4988" s="322"/>
      <c r="U4988" s="14"/>
      <c r="V4988" s="260">
        <v>120</v>
      </c>
      <c r="W4988" s="1136" t="e">
        <f t="shared" si="517"/>
        <v>#VALUE!</v>
      </c>
    </row>
    <row r="4989" spans="2:23" s="7" customFormat="1" ht="18" customHeight="1">
      <c r="B4989" s="12" t="s">
        <v>302</v>
      </c>
      <c r="C4989" s="6" t="s">
        <v>6188</v>
      </c>
      <c r="D4989" s="14" t="s">
        <v>2171</v>
      </c>
      <c r="E4989" s="22" t="s">
        <v>207</v>
      </c>
      <c r="F4989" s="107">
        <v>152</v>
      </c>
      <c r="G4989" s="22" t="s">
        <v>6184</v>
      </c>
      <c r="H4989" s="1255">
        <v>50</v>
      </c>
      <c r="I4989" s="109">
        <v>1</v>
      </c>
      <c r="J4989" s="8">
        <f t="shared" ref="J4989:J4990" si="518">I4989*H4989</f>
        <v>50</v>
      </c>
      <c r="K4989" s="39">
        <v>4.26</v>
      </c>
      <c r="L4989" s="39">
        <f t="shared" ref="L4989:L4990" si="519">K4989*J4989</f>
        <v>213</v>
      </c>
      <c r="M4989" s="403" t="s">
        <v>322</v>
      </c>
      <c r="N4989" s="33">
        <v>45975</v>
      </c>
      <c r="O4989" s="32">
        <v>7618</v>
      </c>
      <c r="P4989" s="391">
        <f t="shared" si="513"/>
        <v>3.4099999999999997</v>
      </c>
      <c r="Q4989" s="322">
        <v>3.41</v>
      </c>
      <c r="R4989" s="322">
        <f t="shared" ref="R4989:R4990" si="520">Q4989*J4989</f>
        <v>170.5</v>
      </c>
      <c r="S4989" s="7">
        <v>360</v>
      </c>
      <c r="T4989" s="7">
        <f t="shared" si="515"/>
        <v>18000</v>
      </c>
      <c r="U4989" s="21"/>
      <c r="V4989" s="260">
        <v>120</v>
      </c>
      <c r="W4989" s="1136">
        <f t="shared" si="516"/>
        <v>0.29577464788732394</v>
      </c>
    </row>
    <row r="4990" spans="2:23" s="7" customFormat="1" ht="18" customHeight="1">
      <c r="B4990" s="12" t="s">
        <v>302</v>
      </c>
      <c r="C4990" s="6" t="s">
        <v>6188</v>
      </c>
      <c r="D4990" s="14" t="s">
        <v>2171</v>
      </c>
      <c r="E4990" s="22" t="s">
        <v>207</v>
      </c>
      <c r="F4990" s="107">
        <v>152</v>
      </c>
      <c r="G4990" s="22" t="s">
        <v>4928</v>
      </c>
      <c r="H4990" s="1255">
        <v>50</v>
      </c>
      <c r="I4990" s="109">
        <v>2</v>
      </c>
      <c r="J4990" s="8">
        <f t="shared" si="518"/>
        <v>100</v>
      </c>
      <c r="K4990" s="39">
        <v>4.26</v>
      </c>
      <c r="L4990" s="39">
        <f t="shared" si="519"/>
        <v>426</v>
      </c>
      <c r="M4990" s="403" t="s">
        <v>322</v>
      </c>
      <c r="N4990" s="33">
        <v>45975</v>
      </c>
      <c r="O4990" s="32">
        <v>7618</v>
      </c>
      <c r="P4990" s="391">
        <f t="shared" si="513"/>
        <v>3.4099999999999997</v>
      </c>
      <c r="Q4990" s="322">
        <v>3.41</v>
      </c>
      <c r="R4990" s="322">
        <f t="shared" si="520"/>
        <v>341</v>
      </c>
      <c r="S4990" s="7">
        <v>360</v>
      </c>
      <c r="T4990" s="7">
        <f t="shared" si="515"/>
        <v>36000</v>
      </c>
      <c r="U4990" s="21"/>
      <c r="V4990" s="260">
        <v>120</v>
      </c>
      <c r="W4990" s="1136">
        <f t="shared" si="516"/>
        <v>0.29577464788732394</v>
      </c>
    </row>
    <row r="4991" spans="2:23" s="7" customFormat="1" ht="18" customHeight="1">
      <c r="B4991" s="12" t="s">
        <v>302</v>
      </c>
      <c r="C4991" s="6" t="s">
        <v>6188</v>
      </c>
      <c r="D4991" s="14" t="s">
        <v>2171</v>
      </c>
      <c r="E4991" s="22" t="s">
        <v>207</v>
      </c>
      <c r="F4991" s="107">
        <v>152</v>
      </c>
      <c r="G4991" s="22" t="s">
        <v>6185</v>
      </c>
      <c r="H4991" s="1255">
        <v>50</v>
      </c>
      <c r="I4991" s="109">
        <v>1</v>
      </c>
      <c r="J4991" s="8">
        <f t="shared" ref="J4991:J4992" si="521">I4991*H4991</f>
        <v>50</v>
      </c>
      <c r="K4991" s="39">
        <v>4.26</v>
      </c>
      <c r="L4991" s="39">
        <f>K4991*J4991</f>
        <v>213</v>
      </c>
      <c r="M4991" s="403" t="s">
        <v>322</v>
      </c>
      <c r="N4991" s="33">
        <v>45975</v>
      </c>
      <c r="O4991" s="32">
        <v>7618</v>
      </c>
      <c r="P4991" s="391">
        <f>ROUNDUP(S4991/V4991/VLOOKUP(B4991,$C$2:$F$6,3,FALSE),2)</f>
        <v>3.4099999999999997</v>
      </c>
      <c r="Q4991" s="322">
        <v>3.41</v>
      </c>
      <c r="R4991" s="322">
        <f>Q4991*J4991</f>
        <v>170.5</v>
      </c>
      <c r="S4991" s="7">
        <v>360</v>
      </c>
      <c r="T4991" s="7">
        <f>S4991*J4991</f>
        <v>18000</v>
      </c>
      <c r="U4991" s="21"/>
      <c r="V4991" s="260">
        <v>120</v>
      </c>
      <c r="W4991" s="1136">
        <f t="shared" si="516"/>
        <v>0.29577464788732394</v>
      </c>
    </row>
    <row r="4992" spans="2:23" s="7" customFormat="1" ht="18" customHeight="1">
      <c r="B4992" s="12" t="s">
        <v>302</v>
      </c>
      <c r="C4992" s="6" t="s">
        <v>6188</v>
      </c>
      <c r="D4992" s="14" t="s">
        <v>2171</v>
      </c>
      <c r="E4992" s="22" t="s">
        <v>207</v>
      </c>
      <c r="F4992" s="107">
        <v>152</v>
      </c>
      <c r="G4992" s="22" t="s">
        <v>6186</v>
      </c>
      <c r="H4992" s="1255">
        <v>50</v>
      </c>
      <c r="I4992" s="109">
        <v>1</v>
      </c>
      <c r="J4992" s="8">
        <f t="shared" si="521"/>
        <v>50</v>
      </c>
      <c r="K4992" s="39">
        <v>4.26</v>
      </c>
      <c r="L4992" s="39">
        <f>K4992*J4992</f>
        <v>213</v>
      </c>
      <c r="M4992" s="403" t="s">
        <v>322</v>
      </c>
      <c r="N4992" s="33">
        <v>45975</v>
      </c>
      <c r="O4992" s="32">
        <v>7618</v>
      </c>
      <c r="P4992" s="391">
        <f>ROUNDUP(S4992/V4992/VLOOKUP(B4992,$C$2:$F$6,3,FALSE),2)</f>
        <v>3.4099999999999997</v>
      </c>
      <c r="Q4992" s="322">
        <v>3.41</v>
      </c>
      <c r="R4992" s="322">
        <f>Q4992*J4992</f>
        <v>170.5</v>
      </c>
      <c r="S4992" s="7">
        <v>360</v>
      </c>
      <c r="T4992" s="7">
        <f>S4992*J4992</f>
        <v>18000</v>
      </c>
      <c r="U4992" s="21"/>
      <c r="V4992" s="260">
        <v>120</v>
      </c>
      <c r="W4992" s="1136">
        <f t="shared" ref="W4992" si="522">(((K4992*V4992)-S4992)/(K4992*V4992))</f>
        <v>0.29577464788732394</v>
      </c>
    </row>
    <row r="4993" spans="1:24" s="7" customFormat="1" ht="18" customHeight="1">
      <c r="B4993" s="12"/>
      <c r="C4993" s="6" t="s">
        <v>6188</v>
      </c>
      <c r="D4993" s="14" t="s">
        <v>2171</v>
      </c>
      <c r="E4993" s="22"/>
      <c r="F4993" s="102"/>
      <c r="G4993" s="22" t="s">
        <v>316</v>
      </c>
      <c r="H4993" s="8"/>
      <c r="I4993" s="35"/>
      <c r="J4993" s="38">
        <v>1</v>
      </c>
      <c r="K4993" s="39">
        <v>25</v>
      </c>
      <c r="L4993" s="39">
        <f>K4993*J4993</f>
        <v>25</v>
      </c>
      <c r="M4993" s="91"/>
      <c r="N4993" s="33">
        <v>45975</v>
      </c>
      <c r="O4993" s="32">
        <v>7618</v>
      </c>
      <c r="P4993" s="6" t="s">
        <v>3</v>
      </c>
      <c r="Q4993" s="39">
        <v>25</v>
      </c>
      <c r="R4993" s="322">
        <f>Q4993*J4993</f>
        <v>25</v>
      </c>
      <c r="S4993" s="7">
        <v>2500</v>
      </c>
      <c r="T4993" s="7">
        <f>S4993*J4993</f>
        <v>2500</v>
      </c>
      <c r="U4993" s="21"/>
      <c r="V4993" s="260">
        <v>120</v>
      </c>
      <c r="W4993" s="1136">
        <f t="shared" si="516"/>
        <v>0.16666666666666666</v>
      </c>
    </row>
    <row r="4994" spans="1:24" s="191" customFormat="1" ht="15.75">
      <c r="B4994" s="190"/>
      <c r="C4994" s="179" t="s">
        <v>6188</v>
      </c>
      <c r="D4994" s="180" t="s">
        <v>2171</v>
      </c>
      <c r="E4994" s="181"/>
      <c r="F4994" s="182"/>
      <c r="G4994" s="309" t="s">
        <v>324</v>
      </c>
      <c r="H4994" s="184" t="s">
        <v>252</v>
      </c>
      <c r="I4994" s="185"/>
      <c r="J4994" s="183"/>
      <c r="K4994" s="203">
        <v>450</v>
      </c>
      <c r="L4994" s="203">
        <v>450</v>
      </c>
      <c r="M4994" s="187"/>
      <c r="N4994" s="187">
        <v>45975</v>
      </c>
      <c r="O4994" s="186">
        <v>7618</v>
      </c>
      <c r="P4994" s="179"/>
      <c r="Q4994" s="203">
        <v>450</v>
      </c>
      <c r="R4994" s="203">
        <v>450</v>
      </c>
      <c r="S4994" s="1201">
        <v>41081</v>
      </c>
      <c r="T4994" s="1201">
        <v>41081</v>
      </c>
      <c r="U4994" s="271"/>
      <c r="V4994" s="260">
        <v>120</v>
      </c>
      <c r="W4994" s="1136">
        <f t="shared" si="516"/>
        <v>0.23924074074074075</v>
      </c>
    </row>
    <row r="4995" spans="1:24" s="7" customFormat="1" ht="18" customHeight="1">
      <c r="B4995" s="12"/>
      <c r="C4995" s="6" t="s">
        <v>6189</v>
      </c>
      <c r="D4995" s="14" t="s">
        <v>5277</v>
      </c>
      <c r="E4995" s="19" t="s">
        <v>10</v>
      </c>
      <c r="F4995" s="107"/>
      <c r="G4995" s="22"/>
      <c r="H4995" s="108"/>
      <c r="I4995" s="109"/>
      <c r="J4995" s="108"/>
      <c r="K4995" s="29" t="s">
        <v>5</v>
      </c>
      <c r="L4995" s="39"/>
      <c r="M4995" s="91"/>
      <c r="N4995" s="33">
        <v>45971</v>
      </c>
      <c r="O4995" s="32">
        <v>7623</v>
      </c>
      <c r="P4995" s="14"/>
      <c r="Q4995" s="322"/>
      <c r="U4995" s="14"/>
      <c r="V4995" s="260">
        <v>120</v>
      </c>
      <c r="W4995" s="1136" t="e">
        <f t="shared" si="516"/>
        <v>#VALUE!</v>
      </c>
    </row>
    <row r="4996" spans="1:24" s="7" customFormat="1" ht="18" customHeight="1">
      <c r="B4996" s="12" t="s">
        <v>302</v>
      </c>
      <c r="C4996" s="6" t="s">
        <v>6189</v>
      </c>
      <c r="D4996" s="14" t="s">
        <v>5277</v>
      </c>
      <c r="E4996" s="22" t="s">
        <v>190</v>
      </c>
      <c r="F4996" s="107">
        <v>160</v>
      </c>
      <c r="G4996" s="396" t="s">
        <v>6190</v>
      </c>
      <c r="H4996" s="60"/>
      <c r="I4996" s="61"/>
      <c r="J4996" s="60">
        <v>2</v>
      </c>
      <c r="K4996" s="39">
        <v>5.28</v>
      </c>
      <c r="L4996" s="39">
        <f t="shared" ref="L4996" si="523">K4996*J4996</f>
        <v>10.56</v>
      </c>
      <c r="M4996" s="117" t="s">
        <v>322</v>
      </c>
      <c r="N4996" s="1398">
        <v>45971</v>
      </c>
      <c r="O4996" s="32">
        <v>7623</v>
      </c>
      <c r="P4996" s="391">
        <f>ROUNDUP(S4996/V4996/VLOOKUP(B4996,$C$2:$F$6,3,FALSE),2)</f>
        <v>3.98</v>
      </c>
      <c r="Q4996" s="322">
        <v>3.98</v>
      </c>
      <c r="R4996" s="322">
        <f t="shared" ref="R4996" si="524">Q4996*J4996</f>
        <v>7.96</v>
      </c>
      <c r="S4996" s="7">
        <v>420</v>
      </c>
      <c r="T4996" s="7">
        <f t="shared" ref="T4996" si="525">S4996*J4996</f>
        <v>840</v>
      </c>
      <c r="U4996" s="21"/>
      <c r="V4996" s="260">
        <v>120</v>
      </c>
      <c r="W4996" s="1136">
        <f t="shared" si="516"/>
        <v>0.33712121212121215</v>
      </c>
    </row>
    <row r="4997" spans="1:24" s="7" customFormat="1" ht="18" customHeight="1">
      <c r="B4997" s="12"/>
      <c r="C4997" s="6" t="s">
        <v>6189</v>
      </c>
      <c r="D4997" s="14" t="s">
        <v>5277</v>
      </c>
      <c r="E4997" s="82"/>
      <c r="F4997" s="102"/>
      <c r="G4997" s="22" t="s">
        <v>4329</v>
      </c>
      <c r="H4997" s="8"/>
      <c r="I4997" s="35"/>
      <c r="J4997" s="38">
        <v>1</v>
      </c>
      <c r="K4997" s="39">
        <v>15</v>
      </c>
      <c r="L4997" s="39">
        <f>K4997*J4997</f>
        <v>15</v>
      </c>
      <c r="M4997" s="91"/>
      <c r="N4997" s="33">
        <v>45971</v>
      </c>
      <c r="O4997" s="32">
        <v>7623</v>
      </c>
      <c r="P4997" s="6"/>
      <c r="Q4997" s="322">
        <v>15</v>
      </c>
      <c r="R4997" s="322">
        <f>Q4997*J4997</f>
        <v>15</v>
      </c>
      <c r="S4997" s="7">
        <v>1000</v>
      </c>
      <c r="T4997" s="7">
        <f>S4997*J4997</f>
        <v>1000</v>
      </c>
      <c r="U4997" s="21"/>
      <c r="V4997" s="260">
        <v>120</v>
      </c>
    </row>
    <row r="4998" spans="1:24" s="7" customFormat="1" ht="18" customHeight="1">
      <c r="B4998" s="12"/>
      <c r="C4998" s="6" t="s">
        <v>6189</v>
      </c>
      <c r="D4998" s="14" t="s">
        <v>5277</v>
      </c>
      <c r="E4998" s="82"/>
      <c r="F4998" s="102"/>
      <c r="G4998" s="22" t="s">
        <v>316</v>
      </c>
      <c r="H4998" s="8"/>
      <c r="I4998" s="35"/>
      <c r="J4998" s="38">
        <v>1</v>
      </c>
      <c r="K4998" s="39">
        <v>15</v>
      </c>
      <c r="L4998" s="39">
        <f>K4998*J4998</f>
        <v>15</v>
      </c>
      <c r="M4998" s="91"/>
      <c r="N4998" s="33">
        <v>45971</v>
      </c>
      <c r="O4998" s="32">
        <v>7623</v>
      </c>
      <c r="P4998" s="6"/>
      <c r="Q4998" s="322">
        <v>15</v>
      </c>
      <c r="R4998" s="322">
        <f>Q4998*J4998</f>
        <v>15</v>
      </c>
      <c r="S4998" s="7">
        <v>1600</v>
      </c>
      <c r="T4998" s="7">
        <v>1600</v>
      </c>
      <c r="U4998" s="21"/>
      <c r="V4998" s="260">
        <v>120</v>
      </c>
    </row>
    <row r="4999" spans="1:24" s="191" customFormat="1" ht="15">
      <c r="B4999" s="190"/>
      <c r="C4999" s="179" t="s">
        <v>6189</v>
      </c>
      <c r="D4999" s="180" t="s">
        <v>5277</v>
      </c>
      <c r="E4999" s="181"/>
      <c r="F4999" s="182"/>
      <c r="G4999" s="182" t="s">
        <v>2738</v>
      </c>
      <c r="H4999" s="184" t="s">
        <v>251</v>
      </c>
      <c r="I4999" s="185"/>
      <c r="J4999" s="183"/>
      <c r="K4999" s="192">
        <v>0</v>
      </c>
      <c r="L4999" s="187"/>
      <c r="M4999" s="187"/>
      <c r="N4999" s="187">
        <v>45971</v>
      </c>
      <c r="O4999" s="186">
        <v>7623</v>
      </c>
      <c r="P4999" s="179"/>
      <c r="Q4999" s="255">
        <v>0</v>
      </c>
      <c r="S4999" s="274">
        <v>0</v>
      </c>
      <c r="T4999" s="198">
        <v>0</v>
      </c>
      <c r="U4999" s="271"/>
      <c r="V4999" s="260">
        <v>120</v>
      </c>
    </row>
    <row r="5000" spans="1:24" s="7" customFormat="1" ht="15">
      <c r="B5000" s="12"/>
      <c r="C5000" s="6" t="s">
        <v>6196</v>
      </c>
      <c r="D5000" s="14" t="s">
        <v>2034</v>
      </c>
      <c r="E5000" s="19" t="s">
        <v>4420</v>
      </c>
      <c r="F5000" s="24"/>
      <c r="G5000" s="22"/>
      <c r="H5000" s="60"/>
      <c r="I5000" s="61"/>
      <c r="J5000" s="60"/>
      <c r="K5000" s="16" t="s">
        <v>101</v>
      </c>
      <c r="L5000" s="33"/>
      <c r="M5000" s="33"/>
      <c r="N5000" s="1398">
        <v>45973</v>
      </c>
      <c r="O5000" s="32">
        <v>7630</v>
      </c>
      <c r="P5000" s="6"/>
      <c r="Q5000" s="252"/>
      <c r="S5000" s="257"/>
      <c r="T5000" s="92"/>
      <c r="U5000" s="265"/>
      <c r="V5000" s="260"/>
    </row>
    <row r="5001" spans="1:24" s="7" customFormat="1" ht="16.899999999999999" customHeight="1">
      <c r="B5001" s="12" t="s">
        <v>302</v>
      </c>
      <c r="C5001" s="6" t="s">
        <v>6196</v>
      </c>
      <c r="D5001" s="14" t="s">
        <v>2034</v>
      </c>
      <c r="E5001" s="22" t="s">
        <v>4411</v>
      </c>
      <c r="F5001" s="37" t="s">
        <v>4421</v>
      </c>
      <c r="G5001" s="37" t="s">
        <v>4409</v>
      </c>
      <c r="H5001" s="1401">
        <v>55</v>
      </c>
      <c r="I5001" s="61">
        <v>2</v>
      </c>
      <c r="J5001" s="1402">
        <f>H5001*I5001</f>
        <v>110</v>
      </c>
      <c r="K5001" s="39">
        <v>3.34</v>
      </c>
      <c r="L5001" s="39">
        <f>K5001*J5001</f>
        <v>367.4</v>
      </c>
      <c r="M5001" s="117" t="s">
        <v>349</v>
      </c>
      <c r="N5001" s="1398">
        <v>45973</v>
      </c>
      <c r="O5001" s="32">
        <v>7630</v>
      </c>
      <c r="P5001" s="391">
        <f>ROUNDUP(S5001/V5001/VLOOKUP(B5001,$C$2:$F$6,3,FALSE),2)</f>
        <v>2.2799999999999998</v>
      </c>
      <c r="Q5001" s="358">
        <v>2.2799999999999998</v>
      </c>
      <c r="R5001" s="322">
        <f>Q5001*J5001</f>
        <v>250.79999999999998</v>
      </c>
      <c r="S5001" s="7">
        <v>240</v>
      </c>
      <c r="T5001" s="7">
        <f>S5001*J5001</f>
        <v>26400</v>
      </c>
      <c r="U5001" s="267"/>
      <c r="V5001" s="260">
        <v>120</v>
      </c>
      <c r="W5001" s="1136">
        <f t="shared" ref="W5001:W5005" si="526">(((K5001*V5001)-S5001)/(K5001*V5001))</f>
        <v>0.4011976047904191</v>
      </c>
    </row>
    <row r="5002" spans="1:24" s="7" customFormat="1" ht="16.899999999999999" customHeight="1">
      <c r="B5002" s="12" t="s">
        <v>302</v>
      </c>
      <c r="C5002" s="6" t="s">
        <v>6196</v>
      </c>
      <c r="D5002" s="14" t="s">
        <v>2034</v>
      </c>
      <c r="E5002" s="22" t="s">
        <v>4411</v>
      </c>
      <c r="F5002" s="37" t="s">
        <v>4421</v>
      </c>
      <c r="G5002" s="37" t="s">
        <v>4409</v>
      </c>
      <c r="H5002" s="1401">
        <v>54</v>
      </c>
      <c r="I5002" s="61">
        <v>1</v>
      </c>
      <c r="J5002" s="1402">
        <f>H5002*I5002</f>
        <v>54</v>
      </c>
      <c r="K5002" s="39">
        <v>3.34</v>
      </c>
      <c r="L5002" s="39">
        <f>K5002*J5002</f>
        <v>180.35999999999999</v>
      </c>
      <c r="M5002" s="117" t="s">
        <v>349</v>
      </c>
      <c r="N5002" s="1398">
        <v>45973</v>
      </c>
      <c r="O5002" s="32">
        <v>7630</v>
      </c>
      <c r="P5002" s="391">
        <f>ROUNDUP(S5002/V5002/VLOOKUP(B5002,$C$2:$F$6,3,FALSE),2)</f>
        <v>2.2799999999999998</v>
      </c>
      <c r="Q5002" s="358">
        <v>2.2799999999999998</v>
      </c>
      <c r="R5002" s="322">
        <f>Q5002*J5002</f>
        <v>123.11999999999999</v>
      </c>
      <c r="S5002" s="7">
        <v>240</v>
      </c>
      <c r="T5002" s="7">
        <f>S5002*J5002</f>
        <v>12960</v>
      </c>
      <c r="U5002" s="267"/>
      <c r="V5002" s="260">
        <v>120</v>
      </c>
      <c r="W5002" s="1136">
        <f t="shared" ref="W5002:W5003" si="527">(((K5002*V5002)-S5002)/(K5002*V5002))</f>
        <v>0.4011976047904191</v>
      </c>
    </row>
    <row r="5003" spans="1:24" s="7" customFormat="1" ht="16.899999999999999" customHeight="1">
      <c r="B5003" s="12" t="s">
        <v>302</v>
      </c>
      <c r="C5003" s="6" t="s">
        <v>6196</v>
      </c>
      <c r="D5003" s="14" t="s">
        <v>2034</v>
      </c>
      <c r="E5003" s="22" t="s">
        <v>4411</v>
      </c>
      <c r="F5003" s="37" t="s">
        <v>4421</v>
      </c>
      <c r="G5003" s="37" t="s">
        <v>4409</v>
      </c>
      <c r="H5003" s="1401">
        <v>55.5</v>
      </c>
      <c r="I5003" s="61">
        <v>1</v>
      </c>
      <c r="J5003" s="1402">
        <f>H5003*I5003</f>
        <v>55.5</v>
      </c>
      <c r="K5003" s="39">
        <v>3.34</v>
      </c>
      <c r="L5003" s="39">
        <f>K5003*J5003</f>
        <v>185.37</v>
      </c>
      <c r="M5003" s="117" t="s">
        <v>349</v>
      </c>
      <c r="N5003" s="1398">
        <v>45973</v>
      </c>
      <c r="O5003" s="32">
        <v>7630</v>
      </c>
      <c r="P5003" s="391">
        <f>ROUNDUP(S5003/V5003/VLOOKUP(B5003,$C$2:$F$6,3,FALSE),2)</f>
        <v>2.2799999999999998</v>
      </c>
      <c r="Q5003" s="358">
        <v>2.2799999999999998</v>
      </c>
      <c r="R5003" s="322">
        <f>Q5003*J5003</f>
        <v>126.53999999999999</v>
      </c>
      <c r="S5003" s="7">
        <v>240</v>
      </c>
      <c r="T5003" s="7">
        <f>S5003*J5003</f>
        <v>13320</v>
      </c>
      <c r="U5003" s="267"/>
      <c r="V5003" s="260">
        <v>120</v>
      </c>
      <c r="W5003" s="1136">
        <f t="shared" si="527"/>
        <v>0.4011976047904191</v>
      </c>
    </row>
    <row r="5004" spans="1:24" s="7" customFormat="1" ht="18" customHeight="1">
      <c r="B5004" s="12"/>
      <c r="C5004" s="6" t="s">
        <v>6196</v>
      </c>
      <c r="D5004" s="14" t="s">
        <v>2034</v>
      </c>
      <c r="E5004" s="22"/>
      <c r="F5004" s="102"/>
      <c r="G5004" s="22" t="s">
        <v>316</v>
      </c>
      <c r="H5004" s="8"/>
      <c r="I5004" s="35"/>
      <c r="J5004" s="38">
        <v>1</v>
      </c>
      <c r="K5004" s="39">
        <v>20</v>
      </c>
      <c r="L5004" s="39">
        <f>K5004*J5004</f>
        <v>20</v>
      </c>
      <c r="M5004" s="91"/>
      <c r="N5004" s="1398">
        <v>45973</v>
      </c>
      <c r="O5004" s="32">
        <v>7630</v>
      </c>
      <c r="P5004" s="6"/>
      <c r="Q5004" s="322">
        <v>20</v>
      </c>
      <c r="R5004" s="322">
        <f>Q5004*J5004</f>
        <v>20</v>
      </c>
      <c r="S5004" s="7">
        <v>2500</v>
      </c>
      <c r="T5004" s="7">
        <f>S5004*J5004</f>
        <v>2500</v>
      </c>
      <c r="U5004" s="21"/>
      <c r="V5004" s="260">
        <v>120</v>
      </c>
      <c r="W5004" s="1136">
        <f t="shared" si="526"/>
        <v>-4.1666666666666664E-2</v>
      </c>
    </row>
    <row r="5005" spans="1:24" s="191" customFormat="1" ht="18" customHeight="1">
      <c r="B5005" s="190"/>
      <c r="C5005" s="179" t="s">
        <v>6196</v>
      </c>
      <c r="D5005" s="180" t="s">
        <v>2034</v>
      </c>
      <c r="E5005" s="181"/>
      <c r="F5005" s="182"/>
      <c r="G5005" s="182" t="s">
        <v>250</v>
      </c>
      <c r="H5005" s="184" t="s">
        <v>252</v>
      </c>
      <c r="I5005" s="185"/>
      <c r="J5005" s="183"/>
      <c r="K5005" s="203">
        <v>273</v>
      </c>
      <c r="L5005" s="203">
        <v>273</v>
      </c>
      <c r="M5005" s="947"/>
      <c r="N5005" s="187">
        <v>45973</v>
      </c>
      <c r="O5005" s="186">
        <v>7630</v>
      </c>
      <c r="P5005" s="179"/>
      <c r="Q5005" s="203">
        <v>273</v>
      </c>
      <c r="R5005" s="203">
        <v>273</v>
      </c>
      <c r="S5005" s="1651">
        <v>28218</v>
      </c>
      <c r="T5005" s="1651">
        <f>S5005</f>
        <v>28218</v>
      </c>
      <c r="U5005" s="335"/>
      <c r="V5005" s="260">
        <v>120</v>
      </c>
      <c r="W5005" s="1136">
        <f t="shared" si="526"/>
        <v>0.13864468864468865</v>
      </c>
      <c r="X5005" s="218"/>
    </row>
    <row r="5006" spans="1:24" customFormat="1" ht="18" customHeight="1">
      <c r="A5006" s="1"/>
      <c r="B5006" s="26"/>
      <c r="C5006" s="6" t="s">
        <v>6193</v>
      </c>
      <c r="D5006" s="14" t="s">
        <v>4840</v>
      </c>
      <c r="E5006" s="19" t="s">
        <v>4847</v>
      </c>
      <c r="F5006" s="107"/>
      <c r="G5006" s="22"/>
      <c r="H5006" s="108"/>
      <c r="I5006" s="109"/>
      <c r="J5006" s="108"/>
      <c r="K5006" s="110" t="s">
        <v>5</v>
      </c>
      <c r="L5006" s="33"/>
      <c r="M5006" s="33"/>
      <c r="N5006" s="33">
        <v>45972</v>
      </c>
      <c r="O5006" s="32">
        <v>7627</v>
      </c>
      <c r="P5006" s="14"/>
      <c r="Q5006" s="254"/>
      <c r="R5006" s="1"/>
      <c r="S5006" s="261"/>
      <c r="T5006" s="92"/>
      <c r="U5006" s="264"/>
      <c r="V5006" s="260">
        <v>120</v>
      </c>
    </row>
    <row r="5007" spans="1:24" customFormat="1" ht="18" customHeight="1">
      <c r="B5007" s="12" t="s">
        <v>302</v>
      </c>
      <c r="C5007" s="6" t="s">
        <v>6193</v>
      </c>
      <c r="D5007" s="14" t="s">
        <v>4840</v>
      </c>
      <c r="E5007" s="19" t="s">
        <v>4841</v>
      </c>
      <c r="F5007" s="107" t="s">
        <v>3340</v>
      </c>
      <c r="G5007" s="22" t="s">
        <v>4842</v>
      </c>
      <c r="H5007" s="18">
        <v>60.5</v>
      </c>
      <c r="I5007" s="61">
        <v>1</v>
      </c>
      <c r="J5007" s="18">
        <f>H5007*I5007</f>
        <v>60.5</v>
      </c>
      <c r="K5007" s="39">
        <v>17.75</v>
      </c>
      <c r="L5007" s="39">
        <f>K5007*J5007</f>
        <v>1073.875</v>
      </c>
      <c r="M5007" s="117" t="s">
        <v>323</v>
      </c>
      <c r="N5007" s="1398">
        <v>45972</v>
      </c>
      <c r="O5007" s="32">
        <v>7627</v>
      </c>
      <c r="P5007" s="391">
        <f>ROUNDUP(S5007/V5007/VLOOKUP(B5007,$C$2:$F$6,3,FALSE),2)</f>
        <v>13.45</v>
      </c>
      <c r="Q5007" s="254">
        <v>13.45</v>
      </c>
      <c r="R5007" s="323">
        <f>Q5007*J5007</f>
        <v>813.72499999999991</v>
      </c>
      <c r="S5007" s="273">
        <v>1420</v>
      </c>
      <c r="T5007" s="287">
        <f>S5007*J5007</f>
        <v>85910</v>
      </c>
      <c r="U5007" s="264"/>
      <c r="V5007" s="260">
        <v>120</v>
      </c>
      <c r="W5007" s="1136">
        <f>(((K5007*V5007)-S5007)/(K5007*V5007))</f>
        <v>0.33333333333333331</v>
      </c>
    </row>
    <row r="5008" spans="1:24" customFormat="1" ht="18" customHeight="1">
      <c r="B5008" s="12" t="s">
        <v>302</v>
      </c>
      <c r="C5008" s="6" t="s">
        <v>6193</v>
      </c>
      <c r="D5008" s="14" t="s">
        <v>4840</v>
      </c>
      <c r="E5008" s="19" t="s">
        <v>4841</v>
      </c>
      <c r="F5008" s="107" t="s">
        <v>3340</v>
      </c>
      <c r="G5008" s="22" t="s">
        <v>6192</v>
      </c>
      <c r="H5008" s="18">
        <v>62.5</v>
      </c>
      <c r="I5008" s="61">
        <v>1</v>
      </c>
      <c r="J5008" s="18">
        <f>H5008*I5008</f>
        <v>62.5</v>
      </c>
      <c r="K5008" s="39">
        <v>17.75</v>
      </c>
      <c r="L5008" s="39">
        <f>K5008*J5008</f>
        <v>1109.375</v>
      </c>
      <c r="M5008" s="117" t="s">
        <v>323</v>
      </c>
      <c r="N5008" s="1398">
        <v>45972</v>
      </c>
      <c r="O5008" s="32">
        <v>7627</v>
      </c>
      <c r="P5008" s="391">
        <f>ROUNDUP(S5008/V5008/VLOOKUP(B5008,$C$2:$F$6,3,FALSE),2)</f>
        <v>13.45</v>
      </c>
      <c r="Q5008" s="254">
        <v>13.45</v>
      </c>
      <c r="R5008" s="323">
        <f>Q5008*J5008</f>
        <v>840.625</v>
      </c>
      <c r="S5008" s="273">
        <v>1420</v>
      </c>
      <c r="T5008" s="287">
        <f>S5008*J5008</f>
        <v>88750</v>
      </c>
      <c r="U5008" s="264"/>
      <c r="V5008" s="260">
        <v>120</v>
      </c>
      <c r="W5008" s="1136">
        <f>(((K5008*V5008)-S5008)/(K5008*V5008))</f>
        <v>0.33333333333333331</v>
      </c>
    </row>
    <row r="5009" spans="1:23" s="191" customFormat="1" ht="15.75">
      <c r="B5009" s="190"/>
      <c r="C5009" s="179" t="s">
        <v>6193</v>
      </c>
      <c r="D5009" s="180" t="s">
        <v>4840</v>
      </c>
      <c r="E5009" s="181"/>
      <c r="F5009" s="182"/>
      <c r="G5009" s="309" t="s">
        <v>324</v>
      </c>
      <c r="H5009" s="184" t="s">
        <v>374</v>
      </c>
      <c r="I5009" s="185"/>
      <c r="J5009" s="183"/>
      <c r="K5009" s="1535">
        <v>430</v>
      </c>
      <c r="L5009" s="1535">
        <v>430</v>
      </c>
      <c r="M5009" s="187"/>
      <c r="N5009" s="187">
        <v>45972</v>
      </c>
      <c r="O5009" s="186">
        <v>7627</v>
      </c>
      <c r="P5009" s="179"/>
      <c r="Q5009" s="1535">
        <v>430</v>
      </c>
      <c r="R5009" s="1535">
        <v>430</v>
      </c>
      <c r="S5009" s="1651">
        <v>42974</v>
      </c>
      <c r="T5009" s="1651">
        <f>S5009</f>
        <v>42974</v>
      </c>
      <c r="U5009" s="271"/>
      <c r="V5009" s="260">
        <v>120</v>
      </c>
      <c r="W5009" s="1136">
        <f t="shared" ref="W5009" si="528">(((K5009*V5009)-S5009)/(K5009*V5009))</f>
        <v>0.16717054263565892</v>
      </c>
    </row>
    <row r="5010" spans="1:23" s="7" customFormat="1" ht="15">
      <c r="B5010" s="12"/>
      <c r="C5010" s="965" t="s">
        <v>6194</v>
      </c>
      <c r="D5010" s="14" t="s">
        <v>2162</v>
      </c>
      <c r="E5010" s="19" t="s">
        <v>200</v>
      </c>
      <c r="F5010" s="37"/>
      <c r="G5010" s="37"/>
      <c r="H5010" s="108"/>
      <c r="I5010" s="108"/>
      <c r="J5010" s="108"/>
      <c r="K5010" s="29" t="s">
        <v>5</v>
      </c>
      <c r="L5010" s="139"/>
      <c r="M5010" s="33"/>
      <c r="N5010" s="33">
        <v>45975</v>
      </c>
      <c r="O5010" s="32">
        <v>7645</v>
      </c>
      <c r="P5010" s="6"/>
      <c r="Q5010" s="339"/>
      <c r="U5010" s="120"/>
      <c r="V5010" s="260">
        <v>120</v>
      </c>
      <c r="W5010" s="1136" t="e">
        <f t="shared" ref="W5010:W5015" si="529">(((K5010*V5010)-S5010)/(K5010*V5010))</f>
        <v>#VALUE!</v>
      </c>
    </row>
    <row r="5011" spans="1:23" s="7" customFormat="1" ht="18" customHeight="1">
      <c r="B5011" s="12" t="s">
        <v>300</v>
      </c>
      <c r="C5011" s="965" t="s">
        <v>6194</v>
      </c>
      <c r="D5011" s="14" t="s">
        <v>2162</v>
      </c>
      <c r="E5011" s="374" t="s">
        <v>2950</v>
      </c>
      <c r="F5011" s="37"/>
      <c r="G5011" s="839" t="s">
        <v>4795</v>
      </c>
      <c r="H5011" s="108">
        <v>30</v>
      </c>
      <c r="I5011" s="109">
        <v>1</v>
      </c>
      <c r="J5011" s="8">
        <f>H5011*I5011</f>
        <v>30</v>
      </c>
      <c r="K5011" s="39">
        <v>1.04</v>
      </c>
      <c r="L5011" s="39">
        <f>K5011*J5011</f>
        <v>31.200000000000003</v>
      </c>
      <c r="M5011" s="117" t="s">
        <v>349</v>
      </c>
      <c r="N5011" s="1398">
        <v>45975</v>
      </c>
      <c r="O5011" s="32">
        <v>7645</v>
      </c>
      <c r="P5011" s="391">
        <f>ROUNDUP(S5011/V5011/VLOOKUP(B5011,$C$2:$F$6,3,FALSE),2)</f>
        <v>0.67</v>
      </c>
      <c r="Q5011" s="322">
        <v>0.67</v>
      </c>
      <c r="R5011" s="322">
        <f>Q5011*J5011</f>
        <v>20.100000000000001</v>
      </c>
      <c r="S5011" s="7">
        <v>56</v>
      </c>
      <c r="T5011" s="7">
        <f>S5011*J5011</f>
        <v>1680</v>
      </c>
      <c r="U5011" s="39"/>
      <c r="V5011" s="260">
        <v>120</v>
      </c>
      <c r="W5011" s="1136">
        <f t="shared" si="529"/>
        <v>0.55128205128205132</v>
      </c>
    </row>
    <row r="5012" spans="1:23" customFormat="1" ht="15.95" customHeight="1">
      <c r="A5012" s="1"/>
      <c r="B5012" s="12" t="s">
        <v>306</v>
      </c>
      <c r="C5012" s="965" t="s">
        <v>6194</v>
      </c>
      <c r="D5012" s="14" t="s">
        <v>2162</v>
      </c>
      <c r="E5012" s="22"/>
      <c r="F5012" s="102"/>
      <c r="G5012" s="37" t="s">
        <v>316</v>
      </c>
      <c r="H5012" s="8"/>
      <c r="I5012" s="35"/>
      <c r="J5012" s="38">
        <v>1</v>
      </c>
      <c r="K5012" s="39">
        <v>12</v>
      </c>
      <c r="L5012" s="39">
        <f>K5012*J5012</f>
        <v>12</v>
      </c>
      <c r="M5012" s="91"/>
      <c r="N5012" s="1398">
        <v>45975</v>
      </c>
      <c r="O5012" s="32">
        <v>7645</v>
      </c>
      <c r="P5012" s="39"/>
      <c r="Q5012" s="358">
        <v>12</v>
      </c>
      <c r="R5012" s="322">
        <f>Q5012*J5012</f>
        <v>12</v>
      </c>
      <c r="S5012" s="7">
        <v>900</v>
      </c>
      <c r="T5012" s="7">
        <v>900</v>
      </c>
      <c r="U5012" s="270"/>
      <c r="V5012" s="260">
        <v>120</v>
      </c>
      <c r="W5012" s="1136">
        <f t="shared" si="529"/>
        <v>0.375</v>
      </c>
    </row>
    <row r="5013" spans="1:23" s="7" customFormat="1" ht="18" customHeight="1">
      <c r="B5013" s="12" t="s">
        <v>300</v>
      </c>
      <c r="C5013" s="965" t="s">
        <v>6194</v>
      </c>
      <c r="D5013" s="14" t="s">
        <v>2162</v>
      </c>
      <c r="E5013" s="22" t="s">
        <v>6195</v>
      </c>
      <c r="F5013" s="37"/>
      <c r="G5013" s="839" t="s">
        <v>4795</v>
      </c>
      <c r="H5013" s="108">
        <v>30</v>
      </c>
      <c r="I5013" s="109">
        <v>1</v>
      </c>
      <c r="J5013" s="8">
        <f>H5013*I5013</f>
        <v>30</v>
      </c>
      <c r="K5013" s="39">
        <v>0.6</v>
      </c>
      <c r="L5013" s="39">
        <f>K5013*J5013</f>
        <v>18</v>
      </c>
      <c r="M5013" s="117" t="s">
        <v>349</v>
      </c>
      <c r="N5013" s="1398">
        <v>45973</v>
      </c>
      <c r="O5013" s="32">
        <v>7625</v>
      </c>
      <c r="P5013" s="391">
        <f>ROUNDUP(S5013/V5013/VLOOKUP(B5013,$C$2:$F$6,3,FALSE),2)</f>
        <v>0.39</v>
      </c>
      <c r="Q5013" s="322">
        <v>0.39</v>
      </c>
      <c r="R5013" s="322">
        <f>Q5013*J5013</f>
        <v>11.700000000000001</v>
      </c>
      <c r="S5013" s="7">
        <v>32</v>
      </c>
      <c r="T5013" s="7">
        <f>S5013*J5013</f>
        <v>960</v>
      </c>
      <c r="U5013" s="39"/>
      <c r="V5013" s="260">
        <v>120</v>
      </c>
      <c r="W5013" s="1136">
        <f t="shared" si="529"/>
        <v>0.55555555555555558</v>
      </c>
    </row>
    <row r="5014" spans="1:23" customFormat="1" ht="15.95" customHeight="1">
      <c r="A5014" s="1"/>
      <c r="B5014" s="12" t="s">
        <v>306</v>
      </c>
      <c r="C5014" s="965" t="s">
        <v>6194</v>
      </c>
      <c r="D5014" s="14" t="s">
        <v>2162</v>
      </c>
      <c r="E5014" s="22"/>
      <c r="F5014" s="102"/>
      <c r="G5014" s="37" t="s">
        <v>316</v>
      </c>
      <c r="H5014" s="8"/>
      <c r="I5014" s="35"/>
      <c r="J5014" s="38">
        <v>1</v>
      </c>
      <c r="K5014" s="39">
        <v>12</v>
      </c>
      <c r="L5014" s="39">
        <f>K5014*J5014</f>
        <v>12</v>
      </c>
      <c r="M5014" s="91"/>
      <c r="N5014" s="1398">
        <v>45973</v>
      </c>
      <c r="O5014" s="32">
        <v>7625</v>
      </c>
      <c r="P5014" s="39"/>
      <c r="Q5014" s="358">
        <v>12</v>
      </c>
      <c r="R5014" s="322">
        <f>Q5014*J5014</f>
        <v>12</v>
      </c>
      <c r="S5014" s="1388">
        <v>900</v>
      </c>
      <c r="T5014" s="1388">
        <v>900</v>
      </c>
      <c r="U5014" s="270"/>
      <c r="V5014" s="260">
        <v>120</v>
      </c>
      <c r="W5014" s="1136">
        <f t="shared" si="529"/>
        <v>0.375</v>
      </c>
    </row>
    <row r="5015" spans="1:23" s="191" customFormat="1" ht="15.75">
      <c r="B5015" s="190"/>
      <c r="C5015" s="966" t="s">
        <v>6194</v>
      </c>
      <c r="D5015" s="180" t="s">
        <v>2162</v>
      </c>
      <c r="E5015" s="181"/>
      <c r="F5015" s="182"/>
      <c r="G5015" s="182" t="s">
        <v>250</v>
      </c>
      <c r="H5015" s="184" t="s">
        <v>251</v>
      </c>
      <c r="I5015" s="185"/>
      <c r="J5015" s="183"/>
      <c r="K5015" s="192">
        <v>0</v>
      </c>
      <c r="L5015" s="187"/>
      <c r="M5015" s="1310"/>
      <c r="N5015" s="1399">
        <v>45973</v>
      </c>
      <c r="O5015" s="186">
        <v>7625</v>
      </c>
      <c r="P5015" s="179"/>
      <c r="Q5015" s="255">
        <v>0</v>
      </c>
      <c r="R5015" s="322">
        <v>0</v>
      </c>
      <c r="S5015" s="275">
        <v>0</v>
      </c>
      <c r="T5015" s="198">
        <v>0</v>
      </c>
      <c r="U5015" s="271"/>
      <c r="V5015" s="260">
        <v>120</v>
      </c>
      <c r="W5015" s="1136" t="e">
        <f t="shared" si="529"/>
        <v>#DIV/0!</v>
      </c>
    </row>
    <row r="5016" spans="1:23" s="7" customFormat="1" ht="15">
      <c r="B5016" s="12"/>
      <c r="C5016" s="965" t="s">
        <v>6224</v>
      </c>
      <c r="D5016" s="14" t="s">
        <v>2162</v>
      </c>
      <c r="E5016" s="19" t="s">
        <v>6225</v>
      </c>
      <c r="F5016" s="37"/>
      <c r="G5016" s="37"/>
      <c r="H5016" s="108"/>
      <c r="I5016" s="108"/>
      <c r="J5016" s="108"/>
      <c r="K5016" s="29" t="s">
        <v>5</v>
      </c>
      <c r="L5016" s="139"/>
      <c r="M5016" s="33"/>
      <c r="N5016" s="33">
        <v>45986</v>
      </c>
      <c r="O5016" s="32">
        <v>7663</v>
      </c>
      <c r="P5016" s="6"/>
      <c r="Q5016" s="339"/>
      <c r="U5016" s="120"/>
      <c r="V5016" s="260">
        <v>120</v>
      </c>
      <c r="W5016" s="1136" t="e">
        <f t="shared" ref="W5016:W5022" si="530">(((K5016*V5016)-S5016)/(K5016*V5016))</f>
        <v>#VALUE!</v>
      </c>
    </row>
    <row r="5017" spans="1:23" s="7" customFormat="1" ht="18" customHeight="1">
      <c r="B5017" s="12" t="s">
        <v>300</v>
      </c>
      <c r="C5017" s="965" t="s">
        <v>6224</v>
      </c>
      <c r="D5017" s="14" t="s">
        <v>2162</v>
      </c>
      <c r="E5017" s="22">
        <v>3844</v>
      </c>
      <c r="F5017" s="37">
        <v>4</v>
      </c>
      <c r="G5017" s="839" t="s">
        <v>6226</v>
      </c>
      <c r="H5017" s="108">
        <v>30</v>
      </c>
      <c r="I5017" s="109">
        <v>1</v>
      </c>
      <c r="J5017" s="8">
        <f>H5017*I5017</f>
        <v>30</v>
      </c>
      <c r="K5017" s="39">
        <v>0.74</v>
      </c>
      <c r="L5017" s="39">
        <f>K5017*J5017</f>
        <v>22.2</v>
      </c>
      <c r="M5017" s="117" t="s">
        <v>349</v>
      </c>
      <c r="N5017" s="1398">
        <v>45986</v>
      </c>
      <c r="O5017" s="32">
        <v>7663</v>
      </c>
      <c r="P5017" s="391">
        <f>ROUNDUP(S5017/V5017/VLOOKUP(B5017,$C$2:$F$6,3,FALSE),2)</f>
        <v>0.53</v>
      </c>
      <c r="Q5017" s="322">
        <v>0.53</v>
      </c>
      <c r="R5017" s="322">
        <f>Q5017*J5017</f>
        <v>15.9</v>
      </c>
      <c r="S5017" s="7">
        <v>44</v>
      </c>
      <c r="T5017" s="7">
        <f>S5017*J5017</f>
        <v>1320</v>
      </c>
      <c r="U5017" s="39"/>
      <c r="V5017" s="260">
        <v>120</v>
      </c>
      <c r="W5017" s="1136">
        <f t="shared" si="530"/>
        <v>0.50450450450450446</v>
      </c>
    </row>
    <row r="5018" spans="1:23" s="7" customFormat="1" ht="18" customHeight="1">
      <c r="B5018" s="12" t="s">
        <v>300</v>
      </c>
      <c r="C5018" s="965" t="s">
        <v>6224</v>
      </c>
      <c r="D5018" s="14" t="s">
        <v>2162</v>
      </c>
      <c r="E5018" s="22">
        <v>3844</v>
      </c>
      <c r="F5018" s="37">
        <v>4</v>
      </c>
      <c r="G5018" s="839" t="s">
        <v>6227</v>
      </c>
      <c r="H5018" s="108">
        <v>30</v>
      </c>
      <c r="I5018" s="109">
        <v>1</v>
      </c>
      <c r="J5018" s="8">
        <f>H5018*I5018</f>
        <v>30</v>
      </c>
      <c r="K5018" s="39">
        <v>0.74</v>
      </c>
      <c r="L5018" s="39">
        <f>K5018*J5018</f>
        <v>22.2</v>
      </c>
      <c r="M5018" s="117" t="s">
        <v>349</v>
      </c>
      <c r="N5018" s="1398">
        <v>45986</v>
      </c>
      <c r="O5018" s="32">
        <v>7663</v>
      </c>
      <c r="P5018" s="391">
        <f>ROUNDUP(S5018/V5018/VLOOKUP(B5018,$C$2:$F$6,3,FALSE),2)</f>
        <v>0.53</v>
      </c>
      <c r="Q5018" s="322">
        <v>0.53</v>
      </c>
      <c r="R5018" s="322">
        <f>Q5018*J5018</f>
        <v>15.9</v>
      </c>
      <c r="S5018" s="7">
        <v>44</v>
      </c>
      <c r="T5018" s="7">
        <f>S5018*J5018</f>
        <v>1320</v>
      </c>
      <c r="U5018" s="39"/>
      <c r="V5018" s="260">
        <v>120</v>
      </c>
      <c r="W5018" s="1136">
        <f t="shared" ref="W5018" si="531">(((K5018*V5018)-S5018)/(K5018*V5018))</f>
        <v>0.50450450450450446</v>
      </c>
    </row>
    <row r="5019" spans="1:23" s="7" customFormat="1" ht="18" customHeight="1">
      <c r="B5019" s="12"/>
      <c r="C5019" s="965" t="s">
        <v>6224</v>
      </c>
      <c r="D5019" s="14" t="s">
        <v>2162</v>
      </c>
      <c r="E5019" s="17" t="s">
        <v>6228</v>
      </c>
      <c r="F5019" s="319"/>
      <c r="G5019" s="299"/>
      <c r="H5019" s="300"/>
      <c r="I5019" s="320"/>
      <c r="J5019" s="321"/>
      <c r="K5019" s="110" t="s">
        <v>5</v>
      </c>
      <c r="L5019" s="139"/>
      <c r="M5019" s="33"/>
      <c r="N5019" s="33">
        <v>45986</v>
      </c>
      <c r="O5019" s="32">
        <v>7663</v>
      </c>
      <c r="P5019" s="6"/>
      <c r="Q5019" s="322"/>
      <c r="U5019" s="39"/>
      <c r="V5019" s="260">
        <v>120</v>
      </c>
    </row>
    <row r="5020" spans="1:23" s="7" customFormat="1" ht="18" customHeight="1">
      <c r="B5020" s="12" t="s">
        <v>300</v>
      </c>
      <c r="C5020" s="965" t="s">
        <v>6224</v>
      </c>
      <c r="D5020" s="14" t="s">
        <v>2162</v>
      </c>
      <c r="E5020" s="22">
        <v>5637</v>
      </c>
      <c r="F5020" s="37" t="s">
        <v>6229</v>
      </c>
      <c r="G5020" s="839" t="s">
        <v>6230</v>
      </c>
      <c r="H5020" s="108">
        <v>50</v>
      </c>
      <c r="I5020" s="109">
        <v>1</v>
      </c>
      <c r="J5020" s="8">
        <f>H5020*I5020</f>
        <v>50</v>
      </c>
      <c r="K5020" s="39">
        <v>0.3</v>
      </c>
      <c r="L5020" s="39">
        <f>K5020*J5020</f>
        <v>15</v>
      </c>
      <c r="M5020" s="117" t="s">
        <v>349</v>
      </c>
      <c r="N5020" s="1398">
        <v>45986</v>
      </c>
      <c r="O5020" s="32">
        <v>7663</v>
      </c>
      <c r="P5020" s="391">
        <f>ROUNDUP(S5020/V5020/VLOOKUP(B5020,$C$2:$F$6,3,FALSE),2)</f>
        <v>0.17</v>
      </c>
      <c r="Q5020" s="322">
        <v>0.17</v>
      </c>
      <c r="R5020" s="322">
        <f>Q5020*J5020</f>
        <v>8.5</v>
      </c>
      <c r="S5020" s="7">
        <v>14</v>
      </c>
      <c r="T5020" s="7">
        <f>S5020*J5020</f>
        <v>700</v>
      </c>
      <c r="U5020" s="39"/>
      <c r="V5020" s="260">
        <v>120</v>
      </c>
      <c r="W5020" s="1136">
        <f t="shared" si="530"/>
        <v>0.61111111111111116</v>
      </c>
    </row>
    <row r="5021" spans="1:23" customFormat="1" ht="15.95" customHeight="1">
      <c r="A5021" s="1"/>
      <c r="B5021" s="12" t="s">
        <v>306</v>
      </c>
      <c r="C5021" s="965" t="s">
        <v>6224</v>
      </c>
      <c r="D5021" s="14" t="s">
        <v>2162</v>
      </c>
      <c r="E5021" s="22"/>
      <c r="F5021" s="102"/>
      <c r="G5021" s="37" t="s">
        <v>316</v>
      </c>
      <c r="H5021" s="8"/>
      <c r="I5021" s="35"/>
      <c r="J5021" s="38">
        <v>1</v>
      </c>
      <c r="K5021" s="39">
        <v>24</v>
      </c>
      <c r="L5021" s="39">
        <f>K5021*J5021</f>
        <v>24</v>
      </c>
      <c r="M5021" s="91"/>
      <c r="N5021" s="1398">
        <v>45986</v>
      </c>
      <c r="O5021" s="32">
        <v>7663</v>
      </c>
      <c r="P5021" s="39"/>
      <c r="Q5021" s="358">
        <v>24</v>
      </c>
      <c r="R5021" s="322">
        <f>Q5021*J5021</f>
        <v>24</v>
      </c>
      <c r="S5021" s="7">
        <f>1000</f>
        <v>1000</v>
      </c>
      <c r="T5021" s="7">
        <f>S5021*J5021</f>
        <v>1000</v>
      </c>
      <c r="U5021" s="270"/>
      <c r="V5021" s="260">
        <v>120</v>
      </c>
      <c r="W5021" s="1136">
        <f t="shared" si="530"/>
        <v>0.65277777777777779</v>
      </c>
    </row>
    <row r="5022" spans="1:23" s="191" customFormat="1" ht="15.75">
      <c r="B5022" s="190"/>
      <c r="C5022" s="966" t="s">
        <v>6224</v>
      </c>
      <c r="D5022" s="180" t="s">
        <v>2162</v>
      </c>
      <c r="E5022" s="181"/>
      <c r="F5022" s="182"/>
      <c r="G5022" s="182" t="s">
        <v>250</v>
      </c>
      <c r="H5022" s="184" t="s">
        <v>251</v>
      </c>
      <c r="I5022" s="185"/>
      <c r="J5022" s="183"/>
      <c r="K5022" s="192">
        <v>0</v>
      </c>
      <c r="L5022" s="187"/>
      <c r="M5022" s="1310"/>
      <c r="N5022" s="1399">
        <v>45986</v>
      </c>
      <c r="O5022" s="186">
        <v>7663</v>
      </c>
      <c r="P5022" s="179"/>
      <c r="Q5022" s="255">
        <v>0</v>
      </c>
      <c r="R5022" s="322">
        <v>0</v>
      </c>
      <c r="S5022" s="275">
        <v>0</v>
      </c>
      <c r="T5022" s="198">
        <v>0</v>
      </c>
      <c r="U5022" s="271"/>
      <c r="V5022" s="260">
        <v>120</v>
      </c>
      <c r="W5022" s="1136" t="e">
        <f t="shared" si="530"/>
        <v>#DIV/0!</v>
      </c>
    </row>
    <row r="5023" spans="1:23" s="7" customFormat="1" ht="15" customHeight="1">
      <c r="B5023" s="12"/>
      <c r="C5023" s="6" t="s">
        <v>6232</v>
      </c>
      <c r="D5023" s="6" t="s">
        <v>3112</v>
      </c>
      <c r="E5023" s="19" t="s">
        <v>4639</v>
      </c>
      <c r="F5023" s="107"/>
      <c r="G5023" s="22"/>
      <c r="H5023" s="108"/>
      <c r="I5023" s="109"/>
      <c r="J5023" s="108"/>
      <c r="K5023" s="29" t="s">
        <v>5</v>
      </c>
      <c r="L5023" s="39"/>
      <c r="M5023" s="91"/>
      <c r="N5023" s="33">
        <v>45987</v>
      </c>
      <c r="O5023" s="32">
        <v>7664</v>
      </c>
      <c r="P5023" s="14"/>
      <c r="Q5023" s="322"/>
      <c r="U5023" s="14"/>
      <c r="V5023" s="384">
        <v>120</v>
      </c>
    </row>
    <row r="5024" spans="1:23" s="7" customFormat="1" ht="18" customHeight="1">
      <c r="B5024" s="12" t="s">
        <v>302</v>
      </c>
      <c r="C5024" s="6" t="s">
        <v>6232</v>
      </c>
      <c r="D5024" s="6" t="s">
        <v>3112</v>
      </c>
      <c r="E5024" s="374" t="s">
        <v>4633</v>
      </c>
      <c r="F5024" s="112">
        <v>145</v>
      </c>
      <c r="G5024" s="396" t="s">
        <v>4634</v>
      </c>
      <c r="H5024" s="131">
        <v>57.8</v>
      </c>
      <c r="I5024" s="109">
        <v>1</v>
      </c>
      <c r="J5024" s="131">
        <f>I5024*H5024</f>
        <v>57.8</v>
      </c>
      <c r="K5024" s="39">
        <v>9.8699999999999992</v>
      </c>
      <c r="L5024" s="39">
        <f>K5024*J5024</f>
        <v>570.48599999999988</v>
      </c>
      <c r="M5024" s="117" t="s">
        <v>323</v>
      </c>
      <c r="N5024" s="1398">
        <v>45987</v>
      </c>
      <c r="O5024" s="32">
        <v>7664</v>
      </c>
      <c r="P5024" s="391">
        <f>ROUNDUP(S5024/V5024/VLOOKUP(B5024,$C$2:$F$6,3,FALSE),2)</f>
        <v>7.01</v>
      </c>
      <c r="Q5024" s="322">
        <v>7.01</v>
      </c>
      <c r="R5024" s="322">
        <f>Q5024*J5024</f>
        <v>405.17799999999994</v>
      </c>
      <c r="S5024" s="92">
        <v>740</v>
      </c>
      <c r="T5024" s="7">
        <f>S5024*J5024</f>
        <v>42772</v>
      </c>
      <c r="U5024" s="21"/>
      <c r="V5024" s="260">
        <v>120</v>
      </c>
      <c r="W5024" s="1136">
        <f t="shared" ref="W5024:W5033" si="532">(((K5024*V5024)-S5024)/(K5024*V5024))</f>
        <v>0.37521107733873682</v>
      </c>
    </row>
    <row r="5025" spans="1:51" s="191" customFormat="1" ht="18" customHeight="1">
      <c r="B5025" s="190"/>
      <c r="C5025" s="179" t="s">
        <v>6232</v>
      </c>
      <c r="D5025" s="179" t="s">
        <v>3112</v>
      </c>
      <c r="E5025" s="217"/>
      <c r="F5025" s="182"/>
      <c r="G5025" s="182" t="s">
        <v>250</v>
      </c>
      <c r="H5025" s="184" t="s">
        <v>251</v>
      </c>
      <c r="I5025" s="185"/>
      <c r="J5025" s="183"/>
      <c r="K5025" s="192">
        <v>0</v>
      </c>
      <c r="L5025" s="192">
        <v>0</v>
      </c>
      <c r="M5025" s="187"/>
      <c r="N5025" s="187">
        <v>45987</v>
      </c>
      <c r="O5025" s="186">
        <v>7664</v>
      </c>
      <c r="P5025" s="179"/>
      <c r="Q5025" s="334">
        <v>0</v>
      </c>
      <c r="R5025" s="334">
        <v>0</v>
      </c>
      <c r="S5025" s="197">
        <v>0</v>
      </c>
      <c r="T5025" s="197">
        <v>0</v>
      </c>
      <c r="U5025" s="335"/>
      <c r="V5025" s="260">
        <v>120</v>
      </c>
      <c r="W5025" s="1136" t="e">
        <f t="shared" si="532"/>
        <v>#DIV/0!</v>
      </c>
    </row>
    <row r="5026" spans="1:51" customFormat="1" ht="18" customHeight="1">
      <c r="A5026" s="1"/>
      <c r="B5026" s="26"/>
      <c r="C5026" s="6" t="s">
        <v>6237</v>
      </c>
      <c r="D5026" s="14" t="s">
        <v>3067</v>
      </c>
      <c r="E5026" s="19" t="s">
        <v>59</v>
      </c>
      <c r="F5026" s="107"/>
      <c r="G5026" s="22"/>
      <c r="H5026" s="108"/>
      <c r="I5026" s="109"/>
      <c r="J5026" s="108"/>
      <c r="K5026" s="110" t="s">
        <v>5</v>
      </c>
      <c r="L5026" s="33"/>
      <c r="M5026" s="33"/>
      <c r="N5026" s="1398">
        <v>45988</v>
      </c>
      <c r="O5026" s="32">
        <v>7670</v>
      </c>
      <c r="P5026" s="14"/>
      <c r="Q5026" s="254"/>
      <c r="R5026" s="1"/>
      <c r="S5026" s="261"/>
      <c r="T5026" s="92"/>
      <c r="U5026" s="264"/>
      <c r="V5026" s="260">
        <v>120</v>
      </c>
      <c r="W5026" s="1136" t="e">
        <f t="shared" si="532"/>
        <v>#VALUE!</v>
      </c>
      <c r="X5026" s="1"/>
      <c r="Y5026" s="1"/>
      <c r="Z5026" s="1"/>
      <c r="AA5026" s="1"/>
      <c r="AB5026" s="1"/>
      <c r="AC5026" s="1"/>
      <c r="AD5026" s="1"/>
      <c r="AE5026" s="1"/>
      <c r="AF5026" s="1"/>
      <c r="AG5026" s="1"/>
      <c r="AH5026" s="1"/>
      <c r="AI5026" s="1"/>
      <c r="AJ5026" s="1"/>
      <c r="AK5026" s="1"/>
      <c r="AL5026" s="1"/>
      <c r="AM5026" s="1"/>
      <c r="AN5026" s="1"/>
      <c r="AO5026" s="1"/>
      <c r="AP5026" s="1"/>
      <c r="AQ5026" s="1"/>
      <c r="AR5026" s="1"/>
      <c r="AS5026" s="1"/>
      <c r="AT5026" s="1"/>
      <c r="AU5026" s="1"/>
      <c r="AV5026" s="1"/>
      <c r="AW5026" s="1"/>
      <c r="AX5026" s="1"/>
      <c r="AY5026" s="1"/>
    </row>
    <row r="5027" spans="1:51" customFormat="1" ht="18" customHeight="1">
      <c r="B5027" s="12" t="s">
        <v>302</v>
      </c>
      <c r="C5027" s="6" t="s">
        <v>6237</v>
      </c>
      <c r="D5027" s="14" t="s">
        <v>3067</v>
      </c>
      <c r="E5027" s="22" t="s">
        <v>5747</v>
      </c>
      <c r="F5027" s="107">
        <v>152</v>
      </c>
      <c r="G5027" s="22" t="s">
        <v>6238</v>
      </c>
      <c r="H5027" s="108">
        <v>52</v>
      </c>
      <c r="I5027" s="109">
        <v>1</v>
      </c>
      <c r="J5027" s="8">
        <v>52</v>
      </c>
      <c r="K5027" s="39">
        <v>3.88</v>
      </c>
      <c r="L5027" s="39">
        <f>K5027*J5027</f>
        <v>201.76</v>
      </c>
      <c r="M5027" s="117" t="s">
        <v>323</v>
      </c>
      <c r="N5027" s="33">
        <v>45988</v>
      </c>
      <c r="O5027" s="32">
        <v>7670</v>
      </c>
      <c r="P5027" s="391">
        <f>ROUNDUP(S5027/V5027/VLOOKUP(B5027,$C$2:$F$6,3,FALSE),2)</f>
        <v>2.94</v>
      </c>
      <c r="Q5027" s="254">
        <v>2.94</v>
      </c>
      <c r="R5027" s="323">
        <f>Q5027*J5027</f>
        <v>152.88</v>
      </c>
      <c r="S5027" s="257">
        <v>310</v>
      </c>
      <c r="T5027" s="287">
        <f>S5027*J5027</f>
        <v>16120</v>
      </c>
      <c r="U5027" s="264"/>
      <c r="V5027" s="260">
        <v>120</v>
      </c>
      <c r="W5027" s="1136">
        <f t="shared" si="532"/>
        <v>0.33419243986254293</v>
      </c>
      <c r="X5027" s="1"/>
      <c r="Y5027" s="1"/>
      <c r="Z5027" s="1"/>
      <c r="AA5027" s="1"/>
      <c r="AB5027" s="1"/>
      <c r="AC5027" s="1"/>
      <c r="AD5027" s="1"/>
      <c r="AE5027" s="1"/>
      <c r="AF5027" s="1"/>
      <c r="AG5027" s="1"/>
      <c r="AH5027" s="1"/>
      <c r="AI5027" s="1"/>
      <c r="AJ5027" s="1"/>
      <c r="AK5027" s="1"/>
      <c r="AL5027" s="1"/>
      <c r="AM5027" s="1"/>
      <c r="AN5027" s="1"/>
      <c r="AO5027" s="1"/>
      <c r="AP5027" s="1"/>
      <c r="AQ5027" s="1"/>
      <c r="AR5027" s="1"/>
      <c r="AS5027" s="1"/>
      <c r="AT5027" s="1"/>
      <c r="AU5027" s="1"/>
      <c r="AV5027" s="1"/>
      <c r="AW5027" s="1"/>
      <c r="AX5027" s="1"/>
      <c r="AY5027" s="1"/>
    </row>
    <row r="5028" spans="1:51" customFormat="1" ht="18" customHeight="1">
      <c r="B5028" s="12" t="s">
        <v>302</v>
      </c>
      <c r="C5028" s="6" t="s">
        <v>6237</v>
      </c>
      <c r="D5028" s="14" t="s">
        <v>3067</v>
      </c>
      <c r="E5028" s="22" t="s">
        <v>5747</v>
      </c>
      <c r="F5028" s="107">
        <v>152</v>
      </c>
      <c r="G5028" s="22" t="s">
        <v>6238</v>
      </c>
      <c r="H5028" s="108">
        <v>58</v>
      </c>
      <c r="I5028" s="109">
        <v>5</v>
      </c>
      <c r="J5028" s="8">
        <f>H5028*I5028</f>
        <v>290</v>
      </c>
      <c r="K5028" s="39">
        <v>3.88</v>
      </c>
      <c r="L5028" s="39">
        <f>K5028*J5028</f>
        <v>1125.2</v>
      </c>
      <c r="M5028" s="117" t="s">
        <v>323</v>
      </c>
      <c r="N5028" s="33">
        <v>45988</v>
      </c>
      <c r="O5028" s="32">
        <v>7670</v>
      </c>
      <c r="P5028" s="391">
        <f>ROUNDUP(S5028/V5028/VLOOKUP(B5028,$C$2:$F$6,3,FALSE),2)</f>
        <v>2.94</v>
      </c>
      <c r="Q5028" s="254">
        <v>2.94</v>
      </c>
      <c r="R5028" s="323">
        <f>Q5028*J5028</f>
        <v>852.6</v>
      </c>
      <c r="S5028" s="257">
        <v>310</v>
      </c>
      <c r="T5028" s="287">
        <f>S5028*J5028</f>
        <v>89900</v>
      </c>
      <c r="U5028" s="264"/>
      <c r="V5028" s="260">
        <v>120</v>
      </c>
      <c r="W5028" s="1136">
        <f t="shared" ref="W5028" si="533">(((K5028*V5028)-S5028)/(K5028*V5028))</f>
        <v>0.33419243986254293</v>
      </c>
      <c r="X5028" s="1"/>
      <c r="Y5028" s="1"/>
      <c r="Z5028" s="1"/>
      <c r="AA5028" s="1"/>
      <c r="AB5028" s="1"/>
      <c r="AC5028" s="1"/>
      <c r="AD5028" s="1"/>
      <c r="AE5028" s="1"/>
      <c r="AF5028" s="1"/>
      <c r="AG5028" s="1"/>
      <c r="AH5028" s="1"/>
      <c r="AI5028" s="1"/>
      <c r="AJ5028" s="1"/>
      <c r="AK5028" s="1"/>
      <c r="AL5028" s="1"/>
      <c r="AM5028" s="1"/>
      <c r="AN5028" s="1"/>
      <c r="AO5028" s="1"/>
      <c r="AP5028" s="1"/>
      <c r="AQ5028" s="1"/>
      <c r="AR5028" s="1"/>
      <c r="AS5028" s="1"/>
      <c r="AT5028" s="1"/>
      <c r="AU5028" s="1"/>
      <c r="AV5028" s="1"/>
      <c r="AW5028" s="1"/>
      <c r="AX5028" s="1"/>
      <c r="AY5028" s="1"/>
    </row>
    <row r="5029" spans="1:51" s="7" customFormat="1" ht="15">
      <c r="B5029" s="12"/>
      <c r="C5029" s="6" t="s">
        <v>6237</v>
      </c>
      <c r="D5029" s="14" t="s">
        <v>3067</v>
      </c>
      <c r="E5029" s="49"/>
      <c r="F5029" s="102"/>
      <c r="G5029" s="22" t="s">
        <v>316</v>
      </c>
      <c r="H5029" s="38"/>
      <c r="I5029" s="35"/>
      <c r="J5029" s="38">
        <v>1</v>
      </c>
      <c r="K5029" s="39">
        <v>20</v>
      </c>
      <c r="L5029" s="39">
        <f>K5029*J5029</f>
        <v>20</v>
      </c>
      <c r="M5029" s="91"/>
      <c r="N5029" s="1398">
        <v>45988</v>
      </c>
      <c r="O5029" s="32">
        <v>7670</v>
      </c>
      <c r="P5029" s="722"/>
      <c r="Q5029" s="322">
        <v>20</v>
      </c>
      <c r="R5029" s="322">
        <f>Q5029*J5029</f>
        <v>20</v>
      </c>
      <c r="S5029" s="7">
        <v>2500</v>
      </c>
      <c r="T5029" s="7">
        <f>S5029*J5029</f>
        <v>2500</v>
      </c>
      <c r="U5029" s="21"/>
      <c r="V5029" s="260">
        <v>120</v>
      </c>
      <c r="W5029" s="1136">
        <f>(((K5029*V5029)-S5029)/(K5029*V5029))</f>
        <v>-4.1666666666666664E-2</v>
      </c>
    </row>
    <row r="5030" spans="1:51" customFormat="1" ht="18" customHeight="1">
      <c r="B5030" s="12" t="s">
        <v>302</v>
      </c>
      <c r="C5030" s="6" t="s">
        <v>6237</v>
      </c>
      <c r="D5030" s="14" t="s">
        <v>3067</v>
      </c>
      <c r="E5030" s="22" t="s">
        <v>5747</v>
      </c>
      <c r="F5030" s="107">
        <v>152</v>
      </c>
      <c r="G5030" s="22" t="s">
        <v>6238</v>
      </c>
      <c r="H5030" s="108">
        <v>58</v>
      </c>
      <c r="I5030" s="109">
        <v>5</v>
      </c>
      <c r="J5030" s="8">
        <f>H5030*I5030</f>
        <v>290</v>
      </c>
      <c r="K5030" s="39">
        <v>3.88</v>
      </c>
      <c r="L5030" s="39">
        <f>K5030*J5030</f>
        <v>1125.2</v>
      </c>
      <c r="M5030" s="117" t="s">
        <v>323</v>
      </c>
      <c r="N5030" s="33">
        <v>46027</v>
      </c>
      <c r="O5030" s="32">
        <v>7751</v>
      </c>
      <c r="P5030" s="391">
        <f>ROUNDUP(S5030/V5030/VLOOKUP(B5030,$C$2:$F$6,3,FALSE),2)</f>
        <v>2.94</v>
      </c>
      <c r="Q5030" s="254">
        <v>2.94</v>
      </c>
      <c r="R5030" s="323">
        <f>Q5030*J5030</f>
        <v>852.6</v>
      </c>
      <c r="S5030" s="257">
        <v>310</v>
      </c>
      <c r="T5030" s="287">
        <f>S5030*J5030</f>
        <v>89900</v>
      </c>
      <c r="U5030" s="264"/>
      <c r="V5030" s="260">
        <v>120</v>
      </c>
      <c r="W5030" s="1136">
        <f t="shared" ref="W5030" si="534">(((K5030*V5030)-S5030)/(K5030*V5030))</f>
        <v>0.33419243986254293</v>
      </c>
      <c r="X5030" s="1"/>
      <c r="Y5030" s="1"/>
      <c r="Z5030" s="1"/>
      <c r="AA5030" s="1"/>
      <c r="AB5030" s="1"/>
      <c r="AC5030" s="1"/>
      <c r="AD5030" s="1"/>
      <c r="AE5030" s="1"/>
      <c r="AF5030" s="1"/>
      <c r="AG5030" s="1"/>
      <c r="AH5030" s="1"/>
      <c r="AI5030" s="1"/>
      <c r="AJ5030" s="1"/>
      <c r="AK5030" s="1"/>
      <c r="AL5030" s="1"/>
      <c r="AM5030" s="1"/>
      <c r="AN5030" s="1"/>
      <c r="AO5030" s="1"/>
      <c r="AP5030" s="1"/>
      <c r="AQ5030" s="1"/>
      <c r="AR5030" s="1"/>
      <c r="AS5030" s="1"/>
      <c r="AT5030" s="1"/>
      <c r="AU5030" s="1"/>
      <c r="AV5030" s="1"/>
      <c r="AW5030" s="1"/>
      <c r="AX5030" s="1"/>
      <c r="AY5030" s="1"/>
    </row>
    <row r="5031" spans="1:51" s="7" customFormat="1" ht="15">
      <c r="B5031" s="12"/>
      <c r="C5031" s="6" t="s">
        <v>6237</v>
      </c>
      <c r="D5031" s="14" t="s">
        <v>3067</v>
      </c>
      <c r="E5031" s="49"/>
      <c r="F5031" s="102"/>
      <c r="G5031" s="22" t="s">
        <v>316</v>
      </c>
      <c r="H5031" s="38"/>
      <c r="I5031" s="35"/>
      <c r="J5031" s="38">
        <v>1</v>
      </c>
      <c r="K5031" s="39">
        <v>20</v>
      </c>
      <c r="L5031" s="39">
        <f>K5031*J5031</f>
        <v>20</v>
      </c>
      <c r="M5031" s="91"/>
      <c r="N5031" s="1398">
        <v>46027</v>
      </c>
      <c r="O5031" s="32">
        <v>7751</v>
      </c>
      <c r="P5031" s="722"/>
      <c r="Q5031" s="322">
        <v>20</v>
      </c>
      <c r="R5031" s="322">
        <f>Q5031*J5031</f>
        <v>20</v>
      </c>
      <c r="S5031" s="7">
        <v>2500</v>
      </c>
      <c r="T5031" s="7">
        <f>S5031*J5031</f>
        <v>2500</v>
      </c>
      <c r="U5031" s="21"/>
      <c r="V5031" s="260">
        <v>120</v>
      </c>
      <c r="W5031" s="1136">
        <f t="shared" si="532"/>
        <v>-4.1666666666666664E-2</v>
      </c>
    </row>
    <row r="5032" spans="1:51" s="191" customFormat="1" ht="15.75">
      <c r="B5032" s="190"/>
      <c r="C5032" s="179" t="s">
        <v>6237</v>
      </c>
      <c r="D5032" s="180" t="s">
        <v>3067</v>
      </c>
      <c r="E5032" s="181"/>
      <c r="F5032" s="182"/>
      <c r="G5032" s="182" t="s">
        <v>2738</v>
      </c>
      <c r="H5032" s="184" t="s">
        <v>251</v>
      </c>
      <c r="I5032" s="185"/>
      <c r="J5032" s="183"/>
      <c r="K5032" s="192">
        <v>0</v>
      </c>
      <c r="L5032" s="187"/>
      <c r="M5032" s="1310"/>
      <c r="N5032" s="1399">
        <v>46027</v>
      </c>
      <c r="O5032" s="186">
        <v>7751</v>
      </c>
      <c r="P5032" s="179"/>
      <c r="Q5032" s="255">
        <v>0</v>
      </c>
      <c r="R5032" s="322">
        <v>0</v>
      </c>
      <c r="S5032" s="275">
        <v>0</v>
      </c>
      <c r="T5032" s="198">
        <v>0</v>
      </c>
      <c r="U5032" s="271"/>
      <c r="V5032" s="260">
        <v>120</v>
      </c>
      <c r="W5032" s="1136" t="e">
        <f t="shared" si="532"/>
        <v>#DIV/0!</v>
      </c>
    </row>
    <row r="5033" spans="1:51" s="7" customFormat="1" ht="18" customHeight="1">
      <c r="B5033" s="12"/>
      <c r="C5033" s="6" t="s">
        <v>6239</v>
      </c>
      <c r="D5033" s="14" t="s">
        <v>2059</v>
      </c>
      <c r="E5033" s="19" t="s">
        <v>5992</v>
      </c>
      <c r="F5033" s="24"/>
      <c r="G5033" s="22"/>
      <c r="H5033" s="60"/>
      <c r="I5033" s="61"/>
      <c r="J5033" s="60"/>
      <c r="K5033" s="16" t="s">
        <v>5</v>
      </c>
      <c r="L5033" s="139"/>
      <c r="M5033" s="33"/>
      <c r="N5033" s="33">
        <v>45999</v>
      </c>
      <c r="O5033" s="32">
        <v>7689</v>
      </c>
      <c r="P5033" s="6" t="s">
        <v>3</v>
      </c>
      <c r="Q5033" s="358"/>
      <c r="U5033" s="120"/>
      <c r="V5033" s="260">
        <v>120</v>
      </c>
      <c r="W5033" s="1136" t="e">
        <f t="shared" si="532"/>
        <v>#VALUE!</v>
      </c>
    </row>
    <row r="5034" spans="1:51" s="7" customFormat="1" ht="18" customHeight="1">
      <c r="B5034" s="12" t="s">
        <v>300</v>
      </c>
      <c r="C5034" s="6" t="s">
        <v>6239</v>
      </c>
      <c r="D5034" s="14" t="s">
        <v>2059</v>
      </c>
      <c r="E5034" s="22" t="s">
        <v>6241</v>
      </c>
      <c r="F5034" s="1670" t="s">
        <v>6240</v>
      </c>
      <c r="G5034" s="22" t="s">
        <v>6242</v>
      </c>
      <c r="H5034" s="108">
        <v>50</v>
      </c>
      <c r="I5034" s="109">
        <v>3</v>
      </c>
      <c r="J5034" s="8">
        <f>H5034*I5034</f>
        <v>150</v>
      </c>
      <c r="K5034" s="39">
        <v>0.5</v>
      </c>
      <c r="L5034" s="39">
        <f>K5034*J5034</f>
        <v>75</v>
      </c>
      <c r="M5034" s="117" t="s">
        <v>323</v>
      </c>
      <c r="N5034" s="33">
        <v>45999</v>
      </c>
      <c r="O5034" s="32">
        <v>7689</v>
      </c>
      <c r="P5034" s="391">
        <f>ROUNDUP(S5034/V5034/VLOOKUP(B5034,$C$2:$F$6,3,FALSE),2)</f>
        <v>0.35000000000000003</v>
      </c>
      <c r="Q5034" s="322">
        <v>0.35</v>
      </c>
      <c r="R5034" s="322">
        <f>Q5034*J5034</f>
        <v>52.5</v>
      </c>
      <c r="S5034" s="1671">
        <v>29.3</v>
      </c>
      <c r="T5034" s="7">
        <f>S5034*J5034</f>
        <v>4395</v>
      </c>
      <c r="U5034" s="386"/>
      <c r="V5034" s="260">
        <v>120</v>
      </c>
      <c r="W5034" s="1136">
        <f>(((K5034*V5034)-S5034)/(K5034*V5034))</f>
        <v>0.5116666666666666</v>
      </c>
    </row>
    <row r="5035" spans="1:51" s="7" customFormat="1" ht="18" customHeight="1">
      <c r="B5035" s="12" t="s">
        <v>300</v>
      </c>
      <c r="C5035" s="6" t="s">
        <v>6239</v>
      </c>
      <c r="D5035" s="14" t="s">
        <v>2059</v>
      </c>
      <c r="E5035" s="22" t="s">
        <v>6241</v>
      </c>
      <c r="F5035" s="1670" t="s">
        <v>6240</v>
      </c>
      <c r="G5035" s="22" t="s">
        <v>6243</v>
      </c>
      <c r="H5035" s="108">
        <v>50</v>
      </c>
      <c r="I5035" s="109">
        <v>4</v>
      </c>
      <c r="J5035" s="8">
        <f>H5035*I5035</f>
        <v>200</v>
      </c>
      <c r="K5035" s="39">
        <v>0.5</v>
      </c>
      <c r="L5035" s="39">
        <f>K5035*J5035</f>
        <v>100</v>
      </c>
      <c r="M5035" s="117" t="s">
        <v>323</v>
      </c>
      <c r="N5035" s="33">
        <v>45999</v>
      </c>
      <c r="O5035" s="32">
        <v>7689</v>
      </c>
      <c r="P5035" s="391">
        <f>ROUNDUP(S5035/V5035/VLOOKUP(B5035,$C$2:$F$6,3,FALSE),2)</f>
        <v>0.35000000000000003</v>
      </c>
      <c r="Q5035" s="322">
        <v>0.35</v>
      </c>
      <c r="R5035" s="322">
        <f>Q5035*J5035</f>
        <v>70</v>
      </c>
      <c r="S5035" s="1671">
        <v>29.3</v>
      </c>
      <c r="T5035" s="7">
        <f>S5035*J5035</f>
        <v>5860</v>
      </c>
      <c r="U5035" s="386"/>
      <c r="V5035" s="260">
        <v>120</v>
      </c>
      <c r="W5035" s="1136">
        <f>(((K5035*V5035)-S5035)/(K5035*V5035))</f>
        <v>0.5116666666666666</v>
      </c>
    </row>
    <row r="5036" spans="1:51" s="7" customFormat="1" ht="18" customHeight="1">
      <c r="B5036" s="12" t="s">
        <v>300</v>
      </c>
      <c r="C5036" s="6" t="s">
        <v>6239</v>
      </c>
      <c r="D5036" s="14" t="s">
        <v>2059</v>
      </c>
      <c r="E5036" s="22" t="s">
        <v>6241</v>
      </c>
      <c r="F5036" s="1670" t="s">
        <v>6240</v>
      </c>
      <c r="G5036" s="22" t="s">
        <v>6244</v>
      </c>
      <c r="H5036" s="108">
        <v>50</v>
      </c>
      <c r="I5036" s="109">
        <v>4</v>
      </c>
      <c r="J5036" s="8">
        <f>H5036*I5036</f>
        <v>200</v>
      </c>
      <c r="K5036" s="39">
        <v>0.5</v>
      </c>
      <c r="L5036" s="39">
        <f>K5036*J5036</f>
        <v>100</v>
      </c>
      <c r="M5036" s="117" t="s">
        <v>323</v>
      </c>
      <c r="N5036" s="33">
        <v>45999</v>
      </c>
      <c r="O5036" s="32">
        <v>7689</v>
      </c>
      <c r="P5036" s="391">
        <f>ROUNDUP(S5036/V5036/VLOOKUP(B5036,$C$2:$F$6,3,FALSE),2)</f>
        <v>0.35000000000000003</v>
      </c>
      <c r="Q5036" s="322">
        <v>0.35</v>
      </c>
      <c r="R5036" s="322">
        <f>Q5036*J5036</f>
        <v>70</v>
      </c>
      <c r="S5036" s="1671">
        <v>29.3</v>
      </c>
      <c r="T5036" s="7">
        <f>S5036*J5036</f>
        <v>5860</v>
      </c>
      <c r="U5036" s="386"/>
      <c r="V5036" s="260">
        <v>120</v>
      </c>
      <c r="W5036" s="1136">
        <f>(((K5036*V5036)-S5036)/(K5036*V5036))</f>
        <v>0.5116666666666666</v>
      </c>
    </row>
    <row r="5037" spans="1:51" s="7" customFormat="1" ht="18" customHeight="1">
      <c r="B5037" s="12"/>
      <c r="C5037" s="6" t="s">
        <v>6239</v>
      </c>
      <c r="D5037" s="14" t="s">
        <v>2059</v>
      </c>
      <c r="E5037" s="22"/>
      <c r="F5037" s="102"/>
      <c r="G5037" s="22" t="s">
        <v>316</v>
      </c>
      <c r="H5037" s="8"/>
      <c r="I5037" s="35"/>
      <c r="J5037" s="38">
        <v>1</v>
      </c>
      <c r="K5037" s="39">
        <v>12</v>
      </c>
      <c r="L5037" s="39">
        <f>K5037*J5037</f>
        <v>12</v>
      </c>
      <c r="M5037" s="91"/>
      <c r="N5037" s="33">
        <v>45999</v>
      </c>
      <c r="O5037" s="32">
        <v>7689</v>
      </c>
      <c r="P5037" s="6" t="s">
        <v>3</v>
      </c>
      <c r="Q5037" s="322">
        <v>12</v>
      </c>
      <c r="R5037" s="322">
        <v>12</v>
      </c>
      <c r="S5037" s="1388">
        <v>1000</v>
      </c>
      <c r="T5037" s="1388">
        <f>S5037*J5037</f>
        <v>1000</v>
      </c>
      <c r="U5037" s="21"/>
      <c r="V5037" s="260">
        <v>120</v>
      </c>
      <c r="W5037" s="1136">
        <f t="shared" ref="W5037:W5038" si="535">(((K5037*V5037)-S5037)/(K5037*V5037))</f>
        <v>0.30555555555555558</v>
      </c>
    </row>
    <row r="5038" spans="1:51" s="191" customFormat="1" ht="18" customHeight="1">
      <c r="B5038" s="190"/>
      <c r="C5038" s="179" t="s">
        <v>6239</v>
      </c>
      <c r="D5038" s="180" t="s">
        <v>2059</v>
      </c>
      <c r="E5038" s="217"/>
      <c r="F5038" s="182"/>
      <c r="G5038" s="182" t="s">
        <v>250</v>
      </c>
      <c r="H5038" s="184" t="s">
        <v>251</v>
      </c>
      <c r="I5038" s="185"/>
      <c r="J5038" s="183"/>
      <c r="K5038" s="192">
        <v>0</v>
      </c>
      <c r="L5038" s="187"/>
      <c r="M5038" s="187"/>
      <c r="N5038" s="187">
        <v>45999</v>
      </c>
      <c r="O5038" s="186">
        <v>7689</v>
      </c>
      <c r="P5038" s="179"/>
      <c r="Q5038" s="255">
        <v>0</v>
      </c>
      <c r="R5038" s="322">
        <v>0</v>
      </c>
      <c r="S5038" s="275">
        <v>0</v>
      </c>
      <c r="T5038" s="198">
        <v>0</v>
      </c>
      <c r="U5038" s="271"/>
      <c r="V5038" s="260">
        <v>120</v>
      </c>
      <c r="W5038" s="1136" t="e">
        <f t="shared" si="535"/>
        <v>#DIV/0!</v>
      </c>
    </row>
    <row r="5039" spans="1:51" s="7" customFormat="1" ht="18" customHeight="1">
      <c r="B5039" s="12"/>
      <c r="C5039" s="965" t="s">
        <v>6245</v>
      </c>
      <c r="D5039" s="14" t="s">
        <v>3112</v>
      </c>
      <c r="E5039" s="19" t="s">
        <v>4645</v>
      </c>
      <c r="F5039" s="22"/>
      <c r="G5039" s="37"/>
      <c r="H5039" s="108"/>
      <c r="I5039" s="108"/>
      <c r="J5039" s="108"/>
      <c r="K5039" s="110" t="s">
        <v>5</v>
      </c>
      <c r="L5039" s="33"/>
      <c r="M5039" s="33"/>
      <c r="N5039" s="1398">
        <v>46000</v>
      </c>
      <c r="O5039" s="32">
        <v>7699</v>
      </c>
      <c r="P5039" s="6"/>
      <c r="Q5039" s="223"/>
      <c r="S5039" s="1174" t="s">
        <v>330</v>
      </c>
      <c r="T5039" s="92"/>
      <c r="U5039" s="266"/>
      <c r="V5039" s="260">
        <v>120</v>
      </c>
    </row>
    <row r="5040" spans="1:51" s="7" customFormat="1" ht="15.95" customHeight="1">
      <c r="B5040" s="12" t="s">
        <v>300</v>
      </c>
      <c r="C5040" s="965" t="s">
        <v>6245</v>
      </c>
      <c r="D5040" s="14" t="s">
        <v>3112</v>
      </c>
      <c r="E5040" s="22" t="s">
        <v>4934</v>
      </c>
      <c r="F5040" s="37">
        <v>25</v>
      </c>
      <c r="G5040" s="37" t="s">
        <v>350</v>
      </c>
      <c r="H5040" s="60">
        <v>30</v>
      </c>
      <c r="I5040" s="61">
        <v>10</v>
      </c>
      <c r="J5040" s="60">
        <f>H5040*I5040</f>
        <v>300</v>
      </c>
      <c r="K5040" s="39">
        <v>0.72</v>
      </c>
      <c r="L5040" s="39">
        <f>K5040*J5040</f>
        <v>216</v>
      </c>
      <c r="M5040" s="117" t="s">
        <v>323</v>
      </c>
      <c r="N5040" s="1398">
        <v>46000</v>
      </c>
      <c r="O5040" s="32">
        <v>7699</v>
      </c>
      <c r="P5040" s="391">
        <f>ROUNDUP(S5040/V5040/VLOOKUP(B5040,$C$2:$F$6,3,FALSE),2)</f>
        <v>0.42</v>
      </c>
      <c r="Q5040" s="254">
        <v>0.42</v>
      </c>
      <c r="R5040" s="323">
        <f>Q5040*J5040</f>
        <v>126</v>
      </c>
      <c r="S5040" s="1200">
        <v>35.17</v>
      </c>
      <c r="T5040" s="92">
        <f>S5040*J5040</f>
        <v>10551</v>
      </c>
      <c r="U5040" s="1200">
        <v>38.700000000000003</v>
      </c>
      <c r="V5040" s="260">
        <v>120</v>
      </c>
      <c r="W5040" s="1136">
        <f>(((K5040*V5040)-S5040)/(K5040*V5040))</f>
        <v>0.59293981481481473</v>
      </c>
    </row>
    <row r="5041" spans="1:23" s="7" customFormat="1" ht="15.95" customHeight="1">
      <c r="B5041" s="12" t="s">
        <v>300</v>
      </c>
      <c r="C5041" s="965" t="s">
        <v>6245</v>
      </c>
      <c r="D5041" s="14" t="s">
        <v>3112</v>
      </c>
      <c r="E5041" s="22" t="s">
        <v>4934</v>
      </c>
      <c r="F5041" s="37">
        <v>6</v>
      </c>
      <c r="G5041" s="37" t="s">
        <v>350</v>
      </c>
      <c r="H5041" s="60">
        <v>30</v>
      </c>
      <c r="I5041" s="61">
        <v>5</v>
      </c>
      <c r="J5041" s="60">
        <f>H5041*I5041</f>
        <v>150</v>
      </c>
      <c r="K5041" s="39">
        <v>0.34</v>
      </c>
      <c r="L5041" s="39">
        <f>K5041*J5041</f>
        <v>51.000000000000007</v>
      </c>
      <c r="M5041" s="117" t="s">
        <v>323</v>
      </c>
      <c r="N5041" s="1398">
        <v>46000</v>
      </c>
      <c r="O5041" s="32">
        <v>7699</v>
      </c>
      <c r="P5041" s="391">
        <f>ROUNDUP(S5041/V5041/VLOOKUP(B5041,$C$2:$F$6,3,FALSE),2)</f>
        <v>0.2</v>
      </c>
      <c r="Q5041" s="254">
        <v>0.2</v>
      </c>
      <c r="R5041" s="323">
        <f>Q5041*J5041</f>
        <v>30</v>
      </c>
      <c r="S5041" s="1200">
        <v>16.7</v>
      </c>
      <c r="T5041" s="92">
        <f>S5041*J5041</f>
        <v>2505</v>
      </c>
      <c r="U5041" s="1200">
        <v>38.700000000000003</v>
      </c>
      <c r="V5041" s="260">
        <v>120</v>
      </c>
      <c r="W5041" s="1136">
        <f>(((K5041*V5041)-S5041)/(K5041*V5041))</f>
        <v>0.59068627450980393</v>
      </c>
    </row>
    <row r="5042" spans="1:23" s="7" customFormat="1" ht="18" customHeight="1">
      <c r="B5042" s="12"/>
      <c r="C5042" s="965" t="s">
        <v>6245</v>
      </c>
      <c r="D5042" s="14" t="s">
        <v>3112</v>
      </c>
      <c r="E5042" s="22"/>
      <c r="F5042" s="102"/>
      <c r="G5042" s="22" t="s">
        <v>316</v>
      </c>
      <c r="H5042" s="8"/>
      <c r="I5042" s="35"/>
      <c r="J5042" s="38">
        <v>1</v>
      </c>
      <c r="K5042" s="39">
        <v>12</v>
      </c>
      <c r="L5042" s="39">
        <f>K5042*J5042</f>
        <v>12</v>
      </c>
      <c r="M5042" s="91"/>
      <c r="N5042" s="1398">
        <v>46000</v>
      </c>
      <c r="O5042" s="32">
        <v>7699</v>
      </c>
      <c r="P5042" s="6" t="s">
        <v>3</v>
      </c>
      <c r="Q5042" s="39">
        <v>12</v>
      </c>
      <c r="R5042" s="322">
        <f>Q5042*J5042</f>
        <v>12</v>
      </c>
      <c r="S5042" s="1388">
        <v>0</v>
      </c>
      <c r="T5042" s="92">
        <f>S5042*J5042</f>
        <v>0</v>
      </c>
      <c r="U5042" s="21"/>
      <c r="V5042" s="260">
        <v>120</v>
      </c>
      <c r="W5042" s="1136">
        <f>(((K5042*V5042)-S5042)/(K5042*V5042))</f>
        <v>1</v>
      </c>
    </row>
    <row r="5043" spans="1:23" s="191" customFormat="1" ht="15">
      <c r="B5043" s="190"/>
      <c r="C5043" s="966" t="s">
        <v>6245</v>
      </c>
      <c r="D5043" s="180" t="s">
        <v>3112</v>
      </c>
      <c r="E5043" s="181"/>
      <c r="F5043" s="182"/>
      <c r="G5043" s="182" t="s">
        <v>2738</v>
      </c>
      <c r="H5043" s="184" t="s">
        <v>251</v>
      </c>
      <c r="I5043" s="185"/>
      <c r="J5043" s="183"/>
      <c r="K5043" s="192">
        <v>0</v>
      </c>
      <c r="L5043" s="187"/>
      <c r="M5043" s="187"/>
      <c r="N5043" s="1399">
        <v>46000</v>
      </c>
      <c r="O5043" s="186">
        <v>7699</v>
      </c>
      <c r="P5043" s="179"/>
      <c r="Q5043" s="203"/>
      <c r="R5043" s="203"/>
      <c r="S5043" s="203"/>
      <c r="T5043" s="203"/>
      <c r="U5043" s="271"/>
      <c r="V5043" s="260">
        <v>120</v>
      </c>
      <c r="W5043" s="1136" t="e">
        <f t="shared" ref="W5043" si="536">(((K5043*V5043)-S5043)/(K5043*V5043))</f>
        <v>#DIV/0!</v>
      </c>
    </row>
    <row r="5044" spans="1:23" s="7" customFormat="1" ht="18" customHeight="1">
      <c r="B5044" s="12"/>
      <c r="C5044" s="6" t="s">
        <v>6246</v>
      </c>
      <c r="D5044" s="14" t="s">
        <v>5277</v>
      </c>
      <c r="E5044" s="19" t="s">
        <v>10</v>
      </c>
      <c r="F5044" s="107"/>
      <c r="G5044" s="22"/>
      <c r="H5044" s="108"/>
      <c r="I5044" s="109"/>
      <c r="J5044" s="108"/>
      <c r="K5044" s="29" t="s">
        <v>5</v>
      </c>
      <c r="L5044" s="39"/>
      <c r="M5044" s="91"/>
      <c r="N5044" s="33">
        <v>46001</v>
      </c>
      <c r="O5044" s="32">
        <v>7697</v>
      </c>
      <c r="P5044" s="14"/>
      <c r="Q5044" s="322"/>
      <c r="U5044" s="14"/>
      <c r="V5044" s="260">
        <v>120</v>
      </c>
      <c r="W5044" s="1136" t="e">
        <f>(((K5044*V5044)-S5044)/(K5044*V5044))</f>
        <v>#VALUE!</v>
      </c>
    </row>
    <row r="5045" spans="1:23" s="7" customFormat="1" ht="18" customHeight="1">
      <c r="B5045" s="12" t="s">
        <v>302</v>
      </c>
      <c r="C5045" s="6" t="s">
        <v>6247</v>
      </c>
      <c r="D5045" s="14" t="s">
        <v>5277</v>
      </c>
      <c r="E5045" s="22" t="s">
        <v>190</v>
      </c>
      <c r="F5045" s="107">
        <v>160</v>
      </c>
      <c r="G5045" s="396" t="s">
        <v>6248</v>
      </c>
      <c r="H5045" s="60"/>
      <c r="I5045" s="61"/>
      <c r="J5045" s="60">
        <v>10</v>
      </c>
      <c r="K5045" s="39">
        <v>5.28</v>
      </c>
      <c r="L5045" s="39">
        <f t="shared" ref="L5045:L5047" si="537">K5045*J5045</f>
        <v>52.800000000000004</v>
      </c>
      <c r="M5045" s="117" t="s">
        <v>322</v>
      </c>
      <c r="N5045" s="1398">
        <v>46001</v>
      </c>
      <c r="O5045" s="32">
        <v>7697</v>
      </c>
      <c r="P5045" s="391">
        <f>ROUNDUP(S5045/V5045/VLOOKUP(B5045,$C$2:$F$6,3,FALSE),2)</f>
        <v>3.98</v>
      </c>
      <c r="Q5045" s="322">
        <v>3.98</v>
      </c>
      <c r="R5045" s="322">
        <f t="shared" ref="R5045:R5047" si="538">Q5045*J5045</f>
        <v>39.799999999999997</v>
      </c>
      <c r="S5045" s="7">
        <v>420</v>
      </c>
      <c r="T5045" s="7">
        <f t="shared" ref="T5045:T5047" si="539">S5045*J5045</f>
        <v>4200</v>
      </c>
      <c r="U5045" s="21"/>
      <c r="V5045" s="260">
        <v>120</v>
      </c>
      <c r="W5045" s="1136">
        <f>(((K5045*V5045)-S5045)/(K5045*V5045))</f>
        <v>0.33712121212121215</v>
      </c>
    </row>
    <row r="5046" spans="1:23" s="7" customFormat="1" ht="18" customHeight="1">
      <c r="B5046" s="12"/>
      <c r="C5046" s="6" t="s">
        <v>6247</v>
      </c>
      <c r="D5046" s="14" t="s">
        <v>5277</v>
      </c>
      <c r="E5046" s="82"/>
      <c r="F5046" s="102"/>
      <c r="G5046" s="22" t="s">
        <v>4329</v>
      </c>
      <c r="H5046" s="8"/>
      <c r="I5046" s="35"/>
      <c r="J5046" s="38">
        <v>1</v>
      </c>
      <c r="K5046" s="39">
        <v>15</v>
      </c>
      <c r="L5046" s="39">
        <f t="shared" si="537"/>
        <v>15</v>
      </c>
      <c r="M5046" s="91"/>
      <c r="N5046" s="1398">
        <v>46001</v>
      </c>
      <c r="O5046" s="32">
        <v>7697</v>
      </c>
      <c r="P5046" s="6"/>
      <c r="Q5046" s="322">
        <v>15</v>
      </c>
      <c r="R5046" s="322">
        <f t="shared" si="538"/>
        <v>15</v>
      </c>
      <c r="S5046" s="7">
        <v>1000</v>
      </c>
      <c r="T5046" s="7">
        <f t="shared" si="539"/>
        <v>1000</v>
      </c>
      <c r="U5046" s="21"/>
      <c r="V5046" s="260">
        <v>120</v>
      </c>
    </row>
    <row r="5047" spans="1:23" s="7" customFormat="1" ht="18" customHeight="1">
      <c r="B5047" s="12" t="s">
        <v>302</v>
      </c>
      <c r="C5047" s="6" t="s">
        <v>6250</v>
      </c>
      <c r="D5047" s="14" t="s">
        <v>5277</v>
      </c>
      <c r="E5047" s="22" t="s">
        <v>190</v>
      </c>
      <c r="F5047" s="107">
        <v>160</v>
      </c>
      <c r="G5047" s="396" t="s">
        <v>6249</v>
      </c>
      <c r="H5047" s="60"/>
      <c r="I5047" s="61"/>
      <c r="J5047" s="60">
        <v>10</v>
      </c>
      <c r="K5047" s="39">
        <v>5.28</v>
      </c>
      <c r="L5047" s="39">
        <f t="shared" si="537"/>
        <v>52.800000000000004</v>
      </c>
      <c r="M5047" s="117" t="s">
        <v>322</v>
      </c>
      <c r="N5047" s="1398">
        <v>46001</v>
      </c>
      <c r="O5047" s="32">
        <v>7698</v>
      </c>
      <c r="P5047" s="391">
        <f>ROUNDUP(S5047/V5047/VLOOKUP(B5047,$C$2:$F$6,3,FALSE),2)</f>
        <v>3.98</v>
      </c>
      <c r="Q5047" s="322">
        <v>3.98</v>
      </c>
      <c r="R5047" s="322">
        <f t="shared" si="538"/>
        <v>39.799999999999997</v>
      </c>
      <c r="S5047" s="7">
        <v>420</v>
      </c>
      <c r="T5047" s="7">
        <f t="shared" si="539"/>
        <v>4200</v>
      </c>
      <c r="U5047" s="21"/>
      <c r="V5047" s="260">
        <v>120</v>
      </c>
      <c r="W5047" s="1136">
        <f t="shared" ref="W5047" si="540">(((K5047*V5047)-S5047)/(K5047*V5047))</f>
        <v>0.33712121212121215</v>
      </c>
    </row>
    <row r="5048" spans="1:23" s="7" customFormat="1" ht="18" customHeight="1">
      <c r="B5048" s="12"/>
      <c r="C5048" s="6" t="s">
        <v>6250</v>
      </c>
      <c r="D5048" s="14" t="s">
        <v>5277</v>
      </c>
      <c r="E5048" s="82"/>
      <c r="F5048" s="102"/>
      <c r="G5048" s="22" t="s">
        <v>4329</v>
      </c>
      <c r="H5048" s="8"/>
      <c r="I5048" s="35"/>
      <c r="J5048" s="38">
        <v>1</v>
      </c>
      <c r="K5048" s="39">
        <v>15</v>
      </c>
      <c r="L5048" s="39">
        <f t="shared" ref="L5048:L5049" si="541">K5048*J5048</f>
        <v>15</v>
      </c>
      <c r="M5048" s="91"/>
      <c r="N5048" s="33">
        <v>46001</v>
      </c>
      <c r="O5048" s="32">
        <v>7698</v>
      </c>
      <c r="P5048" s="6"/>
      <c r="Q5048" s="322">
        <v>15</v>
      </c>
      <c r="R5048" s="322">
        <f t="shared" ref="R5048:R5049" si="542">Q5048*J5048</f>
        <v>15</v>
      </c>
      <c r="S5048" s="7">
        <v>1000</v>
      </c>
      <c r="T5048" s="7">
        <f t="shared" ref="T5048" si="543">S5048*J5048</f>
        <v>1000</v>
      </c>
      <c r="U5048" s="21"/>
      <c r="V5048" s="260">
        <v>120</v>
      </c>
    </row>
    <row r="5049" spans="1:23" s="7" customFormat="1" ht="18" customHeight="1">
      <c r="B5049" s="12"/>
      <c r="C5049" s="6" t="s">
        <v>6250</v>
      </c>
      <c r="D5049" s="14" t="s">
        <v>5277</v>
      </c>
      <c r="E5049" s="82"/>
      <c r="F5049" s="102"/>
      <c r="G5049" s="22" t="s">
        <v>316</v>
      </c>
      <c r="H5049" s="8"/>
      <c r="I5049" s="35"/>
      <c r="J5049" s="38">
        <v>1</v>
      </c>
      <c r="K5049" s="39">
        <v>15</v>
      </c>
      <c r="L5049" s="39">
        <f t="shared" si="541"/>
        <v>15</v>
      </c>
      <c r="M5049" s="91"/>
      <c r="N5049" s="33">
        <v>46001</v>
      </c>
      <c r="O5049" s="32">
        <v>7698</v>
      </c>
      <c r="P5049" s="6"/>
      <c r="Q5049" s="322">
        <v>15</v>
      </c>
      <c r="R5049" s="322">
        <f t="shared" si="542"/>
        <v>15</v>
      </c>
      <c r="S5049" s="7">
        <f>1600*2</f>
        <v>3200</v>
      </c>
      <c r="T5049" s="7">
        <f>1600*2</f>
        <v>3200</v>
      </c>
      <c r="U5049" s="21"/>
      <c r="V5049" s="260">
        <v>120</v>
      </c>
    </row>
    <row r="5050" spans="1:23" s="191" customFormat="1" ht="15">
      <c r="B5050" s="190"/>
      <c r="C5050" s="179" t="s">
        <v>6251</v>
      </c>
      <c r="D5050" s="180" t="s">
        <v>5277</v>
      </c>
      <c r="E5050" s="181"/>
      <c r="F5050" s="182"/>
      <c r="G5050" s="182" t="s">
        <v>2738</v>
      </c>
      <c r="H5050" s="184" t="s">
        <v>251</v>
      </c>
      <c r="I5050" s="185"/>
      <c r="J5050" s="183"/>
      <c r="K5050" s="192">
        <v>0</v>
      </c>
      <c r="L5050" s="187"/>
      <c r="M5050" s="187"/>
      <c r="N5050" s="187">
        <v>46001</v>
      </c>
      <c r="O5050" s="186">
        <v>7698</v>
      </c>
      <c r="P5050" s="179"/>
      <c r="Q5050" s="255">
        <v>0</v>
      </c>
      <c r="S5050" s="274">
        <v>0</v>
      </c>
      <c r="T5050" s="198">
        <v>0</v>
      </c>
      <c r="U5050" s="271"/>
      <c r="V5050" s="260">
        <v>120</v>
      </c>
    </row>
    <row r="5051" spans="1:23" s="7" customFormat="1" ht="15">
      <c r="B5051" s="12"/>
      <c r="C5051" s="965" t="s">
        <v>6300</v>
      </c>
      <c r="D5051" s="14" t="s">
        <v>5480</v>
      </c>
      <c r="E5051" s="19" t="s">
        <v>5479</v>
      </c>
      <c r="F5051" s="24"/>
      <c r="G5051" s="22"/>
      <c r="H5051" s="60"/>
      <c r="I5051" s="61"/>
      <c r="J5051" s="8"/>
      <c r="K5051" s="110" t="s">
        <v>5</v>
      </c>
      <c r="L5051" s="139"/>
      <c r="M5051" s="33"/>
      <c r="N5051" s="33">
        <v>46013</v>
      </c>
      <c r="O5051" s="32">
        <v>7737</v>
      </c>
      <c r="P5051" s="6" t="s">
        <v>8</v>
      </c>
      <c r="Q5051" s="358"/>
      <c r="U5051" s="120"/>
      <c r="V5051" s="260">
        <v>120</v>
      </c>
      <c r="W5051" s="1136" t="e">
        <f t="shared" ref="W5051:W5056" si="544">(((K5051*V5051)-S5051)/(K5051*V5051))</f>
        <v>#VALUE!</v>
      </c>
    </row>
    <row r="5052" spans="1:23" s="7" customFormat="1" ht="18" customHeight="1">
      <c r="B5052" s="12" t="s">
        <v>300</v>
      </c>
      <c r="C5052" s="965" t="s">
        <v>6300</v>
      </c>
      <c r="D5052" s="14" t="s">
        <v>5480</v>
      </c>
      <c r="E5052" s="22">
        <v>3534</v>
      </c>
      <c r="F5052" s="37">
        <v>40</v>
      </c>
      <c r="G5052" s="22" t="s">
        <v>4436</v>
      </c>
      <c r="H5052" s="8">
        <v>30</v>
      </c>
      <c r="I5052" s="35">
        <v>2</v>
      </c>
      <c r="J5052" s="108">
        <f>H5052*I5052</f>
        <v>60</v>
      </c>
      <c r="K5052" s="958">
        <v>1.3</v>
      </c>
      <c r="L5052" s="39">
        <f>K5052*J5052</f>
        <v>78</v>
      </c>
      <c r="M5052" s="117" t="s">
        <v>349</v>
      </c>
      <c r="N5052" s="33">
        <v>46013</v>
      </c>
      <c r="O5052" s="32">
        <v>7737</v>
      </c>
      <c r="P5052" s="391">
        <f>ROUNDUP(S5052/V5052/VLOOKUP(B5052,$C$2:$F$6,3,FALSE),2)</f>
        <v>0.74</v>
      </c>
      <c r="Q5052" s="322">
        <v>0.74</v>
      </c>
      <c r="R5052" s="322">
        <f>Q5052*J5052</f>
        <v>44.4</v>
      </c>
      <c r="S5052" s="1388">
        <v>62</v>
      </c>
      <c r="T5052" s="7">
        <f>S5052*J5052</f>
        <v>3720</v>
      </c>
      <c r="U5052" s="39"/>
      <c r="V5052" s="260">
        <v>120</v>
      </c>
      <c r="W5052" s="1136">
        <f t="shared" si="544"/>
        <v>0.60256410256410253</v>
      </c>
    </row>
    <row r="5053" spans="1:23" customFormat="1" ht="15.95" customHeight="1">
      <c r="A5053" s="1"/>
      <c r="B5053" s="12" t="s">
        <v>306</v>
      </c>
      <c r="C5053" s="965" t="s">
        <v>6300</v>
      </c>
      <c r="D5053" s="14" t="s">
        <v>5480</v>
      </c>
      <c r="E5053" s="22"/>
      <c r="F5053" s="102"/>
      <c r="G5053" s="37" t="s">
        <v>316</v>
      </c>
      <c r="H5053" s="8"/>
      <c r="I5053" s="35"/>
      <c r="J5053" s="38">
        <v>1</v>
      </c>
      <c r="K5053" s="39">
        <v>12</v>
      </c>
      <c r="L5053" s="39">
        <f>K5053*J5053</f>
        <v>12</v>
      </c>
      <c r="M5053" s="91"/>
      <c r="N5053" s="33">
        <v>46013</v>
      </c>
      <c r="O5053" s="32">
        <v>7737</v>
      </c>
      <c r="P5053" s="39"/>
      <c r="Q5053" s="322">
        <v>12</v>
      </c>
      <c r="R5053" s="323">
        <v>12</v>
      </c>
      <c r="S5053" s="1704">
        <v>1100</v>
      </c>
      <c r="T5053" s="1705">
        <f>S5053*J5053</f>
        <v>1100</v>
      </c>
      <c r="U5053" s="270"/>
      <c r="V5053" s="260">
        <v>120</v>
      </c>
      <c r="W5053" s="1136">
        <f t="shared" si="544"/>
        <v>0.2361111111111111</v>
      </c>
    </row>
    <row r="5054" spans="1:23" s="191" customFormat="1" ht="15.75">
      <c r="B5054" s="190"/>
      <c r="C5054" s="966" t="s">
        <v>6300</v>
      </c>
      <c r="D5054" s="180" t="s">
        <v>5480</v>
      </c>
      <c r="E5054" s="181"/>
      <c r="F5054" s="182"/>
      <c r="G5054" s="309" t="s">
        <v>324</v>
      </c>
      <c r="H5054" s="184" t="s">
        <v>374</v>
      </c>
      <c r="I5054" s="185"/>
      <c r="J5054" s="183"/>
      <c r="K5054" s="203">
        <v>86</v>
      </c>
      <c r="L5054" s="203">
        <v>86</v>
      </c>
      <c r="M5054" s="187"/>
      <c r="N5054" s="187">
        <v>46013</v>
      </c>
      <c r="O5054" s="186">
        <v>7737</v>
      </c>
      <c r="P5054" s="179"/>
      <c r="Q5054" s="203">
        <v>86</v>
      </c>
      <c r="R5054" s="203">
        <v>86</v>
      </c>
      <c r="S5054" s="14">
        <v>10062</v>
      </c>
      <c r="T5054" s="14">
        <v>10062</v>
      </c>
      <c r="U5054" s="1706"/>
      <c r="V5054" s="260">
        <v>120</v>
      </c>
      <c r="W5054" s="1136">
        <f>(((K5054*V5054)-S5054)/(K5054*V5054))</f>
        <v>2.5000000000000001E-2</v>
      </c>
    </row>
    <row r="5055" spans="1:23" s="7" customFormat="1" ht="18" customHeight="1">
      <c r="B5055" s="12"/>
      <c r="C5055" s="6" t="s">
        <v>6316</v>
      </c>
      <c r="D5055" s="14" t="s">
        <v>3202</v>
      </c>
      <c r="E5055" s="19" t="s">
        <v>269</v>
      </c>
      <c r="F5055" s="107"/>
      <c r="G5055" s="22"/>
      <c r="H5055" s="108"/>
      <c r="I5055" s="109"/>
      <c r="J5055" s="108"/>
      <c r="K5055" s="29" t="s">
        <v>5</v>
      </c>
      <c r="L5055" s="33"/>
      <c r="M5055" s="33"/>
      <c r="N5055" s="33">
        <v>46016</v>
      </c>
      <c r="O5055" s="32">
        <v>7742</v>
      </c>
      <c r="P5055" s="14"/>
      <c r="Q5055" s="254"/>
      <c r="S5055" s="257"/>
      <c r="T5055" s="92"/>
      <c r="U5055" s="268"/>
      <c r="V5055" s="260">
        <v>120</v>
      </c>
      <c r="W5055" s="1136" t="e">
        <f t="shared" si="544"/>
        <v>#VALUE!</v>
      </c>
    </row>
    <row r="5056" spans="1:23" s="7" customFormat="1" ht="18" customHeight="1">
      <c r="B5056" s="12" t="s">
        <v>302</v>
      </c>
      <c r="C5056" s="6" t="s">
        <v>6316</v>
      </c>
      <c r="D5056" s="14" t="s">
        <v>3202</v>
      </c>
      <c r="E5056" s="22" t="s">
        <v>3342</v>
      </c>
      <c r="F5056" s="102">
        <v>132</v>
      </c>
      <c r="G5056" s="22" t="s">
        <v>6317</v>
      </c>
      <c r="H5056" s="108"/>
      <c r="I5056" s="109"/>
      <c r="J5056" s="8">
        <v>4</v>
      </c>
      <c r="K5056" s="39">
        <v>5.53</v>
      </c>
      <c r="L5056" s="39">
        <f>K5056*J5056</f>
        <v>22.12</v>
      </c>
      <c r="M5056" s="117" t="s">
        <v>349</v>
      </c>
      <c r="N5056" s="33">
        <v>46016</v>
      </c>
      <c r="O5056" s="32">
        <v>7742</v>
      </c>
      <c r="P5056" s="391">
        <f>ROUNDUP(S5056/V5056/VLOOKUP(B5056,$C$2:$F$6,3,FALSE),2)</f>
        <v>4.74</v>
      </c>
      <c r="Q5056" s="322">
        <v>4.74</v>
      </c>
      <c r="R5056" s="322">
        <f>Q5056*J5056</f>
        <v>18.96</v>
      </c>
      <c r="S5056" s="7">
        <v>500</v>
      </c>
      <c r="T5056" s="7">
        <f>S5056*J5056</f>
        <v>2000</v>
      </c>
      <c r="U5056" s="21"/>
      <c r="V5056" s="260">
        <v>120</v>
      </c>
      <c r="W5056" s="1136">
        <f t="shared" si="544"/>
        <v>0.24653405666063896</v>
      </c>
    </row>
    <row r="5057" spans="2:23" s="7" customFormat="1" ht="18" customHeight="1">
      <c r="B5057" s="12"/>
      <c r="C5057" s="6" t="s">
        <v>6316</v>
      </c>
      <c r="D5057" s="14" t="s">
        <v>3202</v>
      </c>
      <c r="E5057" s="19" t="s">
        <v>6320</v>
      </c>
      <c r="F5057" s="107"/>
      <c r="G5057" s="22"/>
      <c r="H5057" s="108"/>
      <c r="I5057" s="109"/>
      <c r="J5057" s="108"/>
      <c r="K5057" s="29"/>
      <c r="L5057" s="33"/>
      <c r="M5057" s="33"/>
      <c r="N5057" s="33">
        <v>46016</v>
      </c>
      <c r="O5057" s="32">
        <v>7742</v>
      </c>
      <c r="P5057" s="14"/>
      <c r="Q5057" s="254"/>
      <c r="S5057" s="1445"/>
      <c r="T5057" s="92"/>
      <c r="U5057" s="268"/>
      <c r="V5057" s="260">
        <v>120</v>
      </c>
      <c r="W5057" s="1136" t="e">
        <f t="shared" ref="W5057:W5058" si="545">(((K5057*V5057)-S5057)/(K5057*V5057))</f>
        <v>#DIV/0!</v>
      </c>
    </row>
    <row r="5058" spans="2:23" s="7" customFormat="1" ht="18" customHeight="1">
      <c r="B5058" s="12" t="s">
        <v>302</v>
      </c>
      <c r="C5058" s="6" t="s">
        <v>6316</v>
      </c>
      <c r="D5058" s="14" t="s">
        <v>3202</v>
      </c>
      <c r="E5058" s="1708" t="s">
        <v>6318</v>
      </c>
      <c r="F5058" s="1697" t="s">
        <v>6319</v>
      </c>
      <c r="G5058" s="22" t="s">
        <v>6323</v>
      </c>
      <c r="H5058" s="108"/>
      <c r="I5058" s="109"/>
      <c r="J5058" s="8">
        <v>4</v>
      </c>
      <c r="K5058" s="39">
        <v>16.29</v>
      </c>
      <c r="L5058" s="39">
        <f>K5058*J5058</f>
        <v>65.16</v>
      </c>
      <c r="M5058" s="117" t="s">
        <v>349</v>
      </c>
      <c r="N5058" s="33">
        <v>46016</v>
      </c>
      <c r="O5058" s="32">
        <v>7742</v>
      </c>
      <c r="P5058" s="391">
        <f>ROUNDUP(S5058/V5058/VLOOKUP(B5058,$C$2:$F$6,3,FALSE),2)</f>
        <v>14.49</v>
      </c>
      <c r="Q5058" s="322">
        <v>14.49</v>
      </c>
      <c r="R5058" s="322">
        <f>Q5058*J5058</f>
        <v>57.96</v>
      </c>
      <c r="S5058" s="7">
        <f>1130+400</f>
        <v>1530</v>
      </c>
      <c r="T5058" s="7">
        <f>S5058*J5058</f>
        <v>6120</v>
      </c>
      <c r="U5058" s="21"/>
      <c r="V5058" s="260">
        <v>120</v>
      </c>
      <c r="W5058" s="1136">
        <f t="shared" si="545"/>
        <v>0.21731123388581949</v>
      </c>
    </row>
    <row r="5059" spans="2:23" s="7" customFormat="1" ht="18" customHeight="1">
      <c r="B5059" s="12" t="s">
        <v>302</v>
      </c>
      <c r="C5059" s="6" t="s">
        <v>6316</v>
      </c>
      <c r="D5059" s="14" t="s">
        <v>3202</v>
      </c>
      <c r="E5059" s="1709" t="s">
        <v>6321</v>
      </c>
      <c r="F5059" s="1698" t="s">
        <v>6324</v>
      </c>
      <c r="G5059" s="22" t="s">
        <v>6322</v>
      </c>
      <c r="H5059" s="108"/>
      <c r="I5059" s="109"/>
      <c r="J5059" s="8">
        <v>2</v>
      </c>
      <c r="K5059" s="39">
        <v>10.73</v>
      </c>
      <c r="L5059" s="39">
        <f>K5059*J5059</f>
        <v>21.46</v>
      </c>
      <c r="M5059" s="117" t="s">
        <v>349</v>
      </c>
      <c r="N5059" s="33">
        <v>46016</v>
      </c>
      <c r="O5059" s="32">
        <v>7742</v>
      </c>
      <c r="P5059" s="391">
        <f>ROUNDUP(S5059/V5059/VLOOKUP(B5059,$C$2:$F$6,3,FALSE),2)</f>
        <v>9.4700000000000006</v>
      </c>
      <c r="Q5059" s="322">
        <v>9.4700000000000006</v>
      </c>
      <c r="R5059" s="322">
        <f>Q5059*J5059</f>
        <v>18.940000000000001</v>
      </c>
      <c r="S5059" s="7">
        <v>1000</v>
      </c>
      <c r="T5059" s="7">
        <f>S5059*J5059</f>
        <v>2000</v>
      </c>
      <c r="U5059" s="21"/>
      <c r="V5059" s="260">
        <v>120</v>
      </c>
      <c r="W5059" s="1136">
        <f t="shared" ref="W5059" si="546">(((K5059*V5059)-S5059)/(K5059*V5059))</f>
        <v>0.22336129232680965</v>
      </c>
    </row>
    <row r="5060" spans="2:23" s="7" customFormat="1" ht="18" customHeight="1">
      <c r="B5060" s="12" t="s">
        <v>302</v>
      </c>
      <c r="C5060" s="6" t="s">
        <v>6316</v>
      </c>
      <c r="D5060" s="14" t="s">
        <v>3202</v>
      </c>
      <c r="E5060" s="1709" t="s">
        <v>4816</v>
      </c>
      <c r="F5060" s="1698" t="s">
        <v>6325</v>
      </c>
      <c r="G5060" s="22" t="s">
        <v>6326</v>
      </c>
      <c r="H5060" s="108"/>
      <c r="I5060" s="109"/>
      <c r="J5060" s="8">
        <v>2</v>
      </c>
      <c r="K5060" s="39">
        <v>7.09</v>
      </c>
      <c r="L5060" s="39">
        <f>K5060*J5060</f>
        <v>14.18</v>
      </c>
      <c r="M5060" s="117" t="s">
        <v>349</v>
      </c>
      <c r="N5060" s="33">
        <v>46016</v>
      </c>
      <c r="O5060" s="32">
        <v>7742</v>
      </c>
      <c r="P5060" s="391">
        <f>ROUNDUP(S5060/V5060/VLOOKUP(B5060,$C$2:$F$6,3,FALSE),2)</f>
        <v>6.16</v>
      </c>
      <c r="Q5060" s="322">
        <v>6.16</v>
      </c>
      <c r="R5060" s="322">
        <f>Q5060*J5060</f>
        <v>12.32</v>
      </c>
      <c r="S5060" s="7">
        <v>650</v>
      </c>
      <c r="T5060" s="7">
        <f>S5060*J5060</f>
        <v>1300</v>
      </c>
      <c r="U5060" s="21"/>
      <c r="V5060" s="260">
        <v>120</v>
      </c>
      <c r="W5060" s="1136">
        <f t="shared" ref="W5060" si="547">(((K5060*V5060)-S5060)/(K5060*V5060))</f>
        <v>0.23601316408086503</v>
      </c>
    </row>
    <row r="5061" spans="2:23" s="7" customFormat="1" ht="18" customHeight="1">
      <c r="B5061" s="12"/>
      <c r="C5061" s="6" t="s">
        <v>6316</v>
      </c>
      <c r="D5061" s="14" t="s">
        <v>3202</v>
      </c>
      <c r="E5061" s="82"/>
      <c r="F5061" s="340"/>
      <c r="G5061" s="22" t="s">
        <v>4329</v>
      </c>
      <c r="H5061" s="8"/>
      <c r="I5061" s="109" ph="1"/>
      <c r="J5061" s="38">
        <v>3</v>
      </c>
      <c r="K5061" s="39">
        <v>15</v>
      </c>
      <c r="L5061" s="39">
        <f>K5061*J5061</f>
        <v>45</v>
      </c>
      <c r="M5061" s="91"/>
      <c r="N5061" s="33">
        <v>46016</v>
      </c>
      <c r="O5061" s="32">
        <v>7742</v>
      </c>
      <c r="P5061" s="391" t="e">
        <f>ROUNDUP(S5061/V5061/VLOOKUP(B5061,$C$2:$F$6,3,FALSE),2)</f>
        <v>#N/A</v>
      </c>
      <c r="Q5061" s="322">
        <v>15</v>
      </c>
      <c r="R5061" s="322">
        <f>Q5061*J5061</f>
        <v>45</v>
      </c>
      <c r="S5061" s="7">
        <f>1000+1500+1500</f>
        <v>4000</v>
      </c>
      <c r="T5061" s="7">
        <f>1000+1500+1500</f>
        <v>4000</v>
      </c>
      <c r="U5061" s="21"/>
      <c r="V5061" s="260">
        <v>120</v>
      </c>
      <c r="W5061" s="1136">
        <f t="shared" ref="W5061:W5062" si="548">(((K5061*V5061)-S5061)/(K5061*V5061))</f>
        <v>-1.2222222222222223</v>
      </c>
    </row>
    <row r="5062" spans="2:23" s="7" customFormat="1" ht="18" customHeight="1">
      <c r="B5062" s="12"/>
      <c r="C5062" s="6" t="s">
        <v>6316</v>
      </c>
      <c r="D5062" s="14" t="s">
        <v>3202</v>
      </c>
      <c r="E5062" s="82"/>
      <c r="F5062" s="340"/>
      <c r="G5062" s="22" t="s">
        <v>316</v>
      </c>
      <c r="H5062" s="8"/>
      <c r="I5062" s="109" ph="1"/>
      <c r="J5062" s="38">
        <v>1</v>
      </c>
      <c r="K5062" s="39">
        <v>15</v>
      </c>
      <c r="L5062" s="39">
        <f>K5062*J5062</f>
        <v>15</v>
      </c>
      <c r="M5062" s="91"/>
      <c r="N5062" s="33">
        <v>46016</v>
      </c>
      <c r="O5062" s="32">
        <v>7742</v>
      </c>
      <c r="P5062" s="391" t="e">
        <f>ROUNDUP(S5062/V5062/VLOOKUP(B5062,$C$2:$F$6,3,FALSE),2)</f>
        <v>#N/A</v>
      </c>
      <c r="Q5062" s="322">
        <v>15</v>
      </c>
      <c r="R5062" s="322">
        <f>Q5062*J5062</f>
        <v>15</v>
      </c>
      <c r="S5062" s="7">
        <v>1600</v>
      </c>
      <c r="T5062" s="7">
        <f>S5062*J5062</f>
        <v>1600</v>
      </c>
      <c r="U5062" s="21"/>
      <c r="V5062" s="260">
        <v>120</v>
      </c>
      <c r="W5062" s="1136">
        <f t="shared" si="548"/>
        <v>0.1111111111111111</v>
      </c>
    </row>
    <row r="5063" spans="2:23" s="191" customFormat="1" ht="18" customHeight="1">
      <c r="B5063" s="190"/>
      <c r="C5063" s="179" t="s">
        <v>6316</v>
      </c>
      <c r="D5063" s="180" t="s">
        <v>3202</v>
      </c>
      <c r="E5063" s="181"/>
      <c r="F5063" s="182"/>
      <c r="G5063" s="182" t="s">
        <v>250</v>
      </c>
      <c r="H5063" s="184" t="s">
        <v>251</v>
      </c>
      <c r="I5063" s="185"/>
      <c r="J5063" s="183"/>
      <c r="K5063" s="333">
        <v>0</v>
      </c>
      <c r="L5063" s="333">
        <v>0</v>
      </c>
      <c r="M5063" s="187"/>
      <c r="N5063" s="187">
        <v>46016</v>
      </c>
      <c r="O5063" s="186">
        <v>7742</v>
      </c>
      <c r="P5063" s="179"/>
      <c r="Q5063" s="333">
        <v>0</v>
      </c>
      <c r="R5063" s="333">
        <v>0</v>
      </c>
      <c r="S5063" s="197">
        <v>0</v>
      </c>
      <c r="T5063" s="197">
        <v>0</v>
      </c>
      <c r="U5063" s="335"/>
      <c r="V5063" s="260">
        <v>120</v>
      </c>
      <c r="W5063" s="1136" t="e">
        <f t="shared" ref="W5063" si="549">(((K5063*V5063)-S5063)/(K5063*V5063))</f>
        <v>#DIV/0!</v>
      </c>
    </row>
    <row r="5064" spans="2:23" s="7" customFormat="1" ht="15">
      <c r="B5064" s="12"/>
      <c r="C5064" s="6" t="s">
        <v>6332</v>
      </c>
      <c r="D5064" s="14" t="s">
        <v>3189</v>
      </c>
      <c r="E5064" s="19" t="s">
        <v>160</v>
      </c>
      <c r="F5064" s="24"/>
      <c r="G5064" s="22"/>
      <c r="H5064" s="60"/>
      <c r="I5064" s="61"/>
      <c r="J5064" s="60"/>
      <c r="K5064" s="16" t="s">
        <v>101</v>
      </c>
      <c r="L5064" s="33"/>
      <c r="M5064" s="33"/>
      <c r="N5064" s="33">
        <v>46015</v>
      </c>
      <c r="O5064" s="32">
        <v>7741</v>
      </c>
      <c r="P5064" s="6" t="s">
        <v>8</v>
      </c>
      <c r="Q5064" s="252"/>
      <c r="S5064" s="257"/>
      <c r="T5064" s="92"/>
      <c r="U5064" s="265"/>
      <c r="V5064" s="260">
        <v>120</v>
      </c>
      <c r="W5064" s="1136" t="e">
        <f t="shared" ref="W5064" si="550">(((K5064*V5064)-S5064)/(K5064*V5064))</f>
        <v>#VALUE!</v>
      </c>
    </row>
    <row r="5065" spans="2:23" s="7" customFormat="1" ht="15.75">
      <c r="B5065" s="12" t="s">
        <v>300</v>
      </c>
      <c r="C5065" s="6" t="s">
        <v>6332</v>
      </c>
      <c r="D5065" s="14" t="s">
        <v>3189</v>
      </c>
      <c r="E5065" s="374">
        <v>14552</v>
      </c>
      <c r="F5065" s="24">
        <v>25</v>
      </c>
      <c r="G5065" s="22" t="s">
        <v>319</v>
      </c>
      <c r="H5065" s="108">
        <v>30</v>
      </c>
      <c r="I5065" s="109">
        <v>1</v>
      </c>
      <c r="J5065" s="60">
        <f>H5065*I5065</f>
        <v>30</v>
      </c>
      <c r="K5065" s="23">
        <v>1.34</v>
      </c>
      <c r="L5065" s="39">
        <f>K5065*J5065</f>
        <v>40.200000000000003</v>
      </c>
      <c r="M5065" s="117" t="s">
        <v>323</v>
      </c>
      <c r="N5065" s="33">
        <v>46015</v>
      </c>
      <c r="O5065" s="32">
        <v>7741</v>
      </c>
      <c r="P5065" s="391">
        <f>ROUNDUP(S5065/V5065/VLOOKUP(B5065,$C$2:$F$6,3,FALSE),2)</f>
        <v>0.96</v>
      </c>
      <c r="Q5065" s="253">
        <v>0.96</v>
      </c>
      <c r="R5065" s="323">
        <f>Q5065*J5065</f>
        <v>28.799999999999997</v>
      </c>
      <c r="S5065" s="257">
        <v>80</v>
      </c>
      <c r="T5065" s="287">
        <f>S5065*J5065</f>
        <v>2400</v>
      </c>
      <c r="U5065" s="265"/>
      <c r="V5065" s="260">
        <v>120</v>
      </c>
      <c r="W5065" s="1136">
        <f>(((K5065*V5065)-S5065)/(K5065*V5065))</f>
        <v>0.50248756218905477</v>
      </c>
    </row>
    <row r="5066" spans="2:23" s="7" customFormat="1" ht="15.75">
      <c r="B5066" s="12" t="s">
        <v>300</v>
      </c>
      <c r="C5066" s="6" t="s">
        <v>6332</v>
      </c>
      <c r="D5066" s="14" t="s">
        <v>3189</v>
      </c>
      <c r="E5066" s="374">
        <v>14552</v>
      </c>
      <c r="F5066" s="24">
        <v>25</v>
      </c>
      <c r="G5066" s="22" t="s">
        <v>6333</v>
      </c>
      <c r="H5066" s="108">
        <v>30</v>
      </c>
      <c r="I5066" s="109">
        <v>1</v>
      </c>
      <c r="J5066" s="60">
        <f>H5066*I5066</f>
        <v>30</v>
      </c>
      <c r="K5066" s="23">
        <v>1.34</v>
      </c>
      <c r="L5066" s="39">
        <f>K5066*J5066</f>
        <v>40.200000000000003</v>
      </c>
      <c r="M5066" s="117" t="s">
        <v>323</v>
      </c>
      <c r="N5066" s="33">
        <v>46015</v>
      </c>
      <c r="O5066" s="32">
        <v>7741</v>
      </c>
      <c r="P5066" s="391">
        <f>ROUNDUP(S5066/V5066/VLOOKUP(B5066,$C$2:$F$6,3,FALSE),2)</f>
        <v>0.96</v>
      </c>
      <c r="Q5066" s="253">
        <v>0.96</v>
      </c>
      <c r="R5066" s="323">
        <f>Q5066*J5066</f>
        <v>28.799999999999997</v>
      </c>
      <c r="S5066" s="257">
        <v>80</v>
      </c>
      <c r="T5066" s="287">
        <f>S5066*J5066</f>
        <v>2400</v>
      </c>
      <c r="U5066" s="265"/>
      <c r="V5066" s="260">
        <v>120</v>
      </c>
      <c r="W5066" s="1136">
        <f>(((K5066*V5066)-S5066)/(K5066*V5066))</f>
        <v>0.50248756218905477</v>
      </c>
    </row>
    <row r="5067" spans="2:23" s="7" customFormat="1" ht="15.75">
      <c r="B5067" s="12" t="s">
        <v>300</v>
      </c>
      <c r="C5067" s="6" t="s">
        <v>6332</v>
      </c>
      <c r="D5067" s="14" t="s">
        <v>3189</v>
      </c>
      <c r="E5067" s="374">
        <v>14552</v>
      </c>
      <c r="F5067" s="24">
        <v>25</v>
      </c>
      <c r="G5067" s="22" t="s">
        <v>6334</v>
      </c>
      <c r="H5067" s="108">
        <v>30</v>
      </c>
      <c r="I5067" s="109">
        <v>1</v>
      </c>
      <c r="J5067" s="60">
        <f>H5067*I5067</f>
        <v>30</v>
      </c>
      <c r="K5067" s="23">
        <v>1.34</v>
      </c>
      <c r="L5067" s="39">
        <f>K5067*J5067</f>
        <v>40.200000000000003</v>
      </c>
      <c r="M5067" s="117" t="s">
        <v>323</v>
      </c>
      <c r="N5067" s="33">
        <v>46015</v>
      </c>
      <c r="O5067" s="32">
        <v>7741</v>
      </c>
      <c r="P5067" s="391">
        <f>ROUNDUP(S5067/V5067/VLOOKUP(B5067,$C$2:$F$6,3,FALSE),2)</f>
        <v>0.96</v>
      </c>
      <c r="Q5067" s="253">
        <v>0.96</v>
      </c>
      <c r="R5067" s="323">
        <f>Q5067*J5067</f>
        <v>28.799999999999997</v>
      </c>
      <c r="S5067" s="257">
        <v>80</v>
      </c>
      <c r="T5067" s="287">
        <f>S5067*J5067</f>
        <v>2400</v>
      </c>
      <c r="U5067" s="265"/>
      <c r="V5067" s="260">
        <v>120</v>
      </c>
      <c r="W5067" s="1136">
        <f>(((K5067*V5067)-S5067)/(K5067*V5067))</f>
        <v>0.50248756218905477</v>
      </c>
    </row>
    <row r="5068" spans="2:23" s="7" customFormat="1" ht="15.95" customHeight="1">
      <c r="B5068" s="12"/>
      <c r="C5068" s="6" t="s">
        <v>6332</v>
      </c>
      <c r="D5068" s="14" t="s">
        <v>3189</v>
      </c>
      <c r="E5068" s="22"/>
      <c r="F5068" s="102"/>
      <c r="G5068" s="37" t="s">
        <v>316</v>
      </c>
      <c r="H5068" s="8"/>
      <c r="I5068" s="35"/>
      <c r="J5068" s="38">
        <v>1</v>
      </c>
      <c r="K5068" s="39">
        <v>12</v>
      </c>
      <c r="L5068" s="39">
        <f>K5068*J5068</f>
        <v>12</v>
      </c>
      <c r="M5068" s="33"/>
      <c r="N5068" s="33">
        <v>46015</v>
      </c>
      <c r="O5068" s="32">
        <v>7741</v>
      </c>
      <c r="P5068" s="6"/>
      <c r="Q5068" s="254">
        <v>12</v>
      </c>
      <c r="R5068" s="323">
        <f>Q5068*J5068</f>
        <v>12</v>
      </c>
      <c r="S5068" s="257">
        <v>1300</v>
      </c>
      <c r="T5068" s="92">
        <f>S5068*J5068</f>
        <v>1300</v>
      </c>
      <c r="U5068" s="266"/>
      <c r="V5068" s="260">
        <v>120</v>
      </c>
      <c r="W5068" s="1136">
        <f t="shared" ref="W5068:W5069" si="551">(((K5068*V5068)-S5068)/(K5068*V5068))</f>
        <v>9.7222222222222224E-2</v>
      </c>
    </row>
    <row r="5069" spans="2:23" s="191" customFormat="1" ht="15.75">
      <c r="B5069" s="190"/>
      <c r="C5069" s="179" t="s">
        <v>6332</v>
      </c>
      <c r="D5069" s="180" t="s">
        <v>3189</v>
      </c>
      <c r="E5069" s="181"/>
      <c r="F5069" s="182"/>
      <c r="G5069" s="309" t="s">
        <v>324</v>
      </c>
      <c r="H5069" s="184" t="s">
        <v>251</v>
      </c>
      <c r="I5069" s="185"/>
      <c r="J5069" s="183"/>
      <c r="K5069" s="192">
        <v>0</v>
      </c>
      <c r="L5069" s="188"/>
      <c r="M5069" s="187"/>
      <c r="N5069" s="1399">
        <v>46015</v>
      </c>
      <c r="O5069" s="1707">
        <v>7741</v>
      </c>
      <c r="P5069" s="179"/>
      <c r="Q5069" s="725">
        <v>0</v>
      </c>
      <c r="S5069" s="197">
        <v>0</v>
      </c>
      <c r="T5069" s="198">
        <v>0</v>
      </c>
      <c r="U5069" s="335"/>
      <c r="V5069" s="260">
        <v>120</v>
      </c>
      <c r="W5069" s="1136" t="e">
        <f t="shared" si="551"/>
        <v>#DIV/0!</v>
      </c>
    </row>
    <row r="5070" spans="2:23" s="7" customFormat="1" ht="18" customHeight="1">
      <c r="B5070" s="12"/>
      <c r="C5070" s="6" t="s">
        <v>6329</v>
      </c>
      <c r="D5070" s="14" t="s">
        <v>5277</v>
      </c>
      <c r="E5070" s="19" t="s">
        <v>10</v>
      </c>
      <c r="F5070" s="107"/>
      <c r="G5070" s="22"/>
      <c r="H5070" s="108"/>
      <c r="I5070" s="109"/>
      <c r="J5070" s="108"/>
      <c r="K5070" s="29" t="s">
        <v>5</v>
      </c>
      <c r="L5070" s="39"/>
      <c r="M5070" s="91"/>
      <c r="N5070" s="33">
        <v>46030</v>
      </c>
      <c r="O5070" s="32">
        <v>7765</v>
      </c>
      <c r="P5070" s="14"/>
      <c r="Q5070" s="322"/>
      <c r="U5070" s="14"/>
      <c r="V5070" s="260">
        <v>120</v>
      </c>
      <c r="W5070" s="1136" t="e">
        <f>(((K5070*V5070)-S5070)/(K5070*V5070))</f>
        <v>#VALUE!</v>
      </c>
    </row>
    <row r="5071" spans="2:23" s="7" customFormat="1" ht="18" customHeight="1">
      <c r="B5071" s="12" t="s">
        <v>302</v>
      </c>
      <c r="C5071" s="6" t="s">
        <v>6329</v>
      </c>
      <c r="D5071" s="14" t="s">
        <v>5277</v>
      </c>
      <c r="E5071" s="374" t="s">
        <v>190</v>
      </c>
      <c r="F5071" s="107">
        <v>160</v>
      </c>
      <c r="G5071" s="396" t="s">
        <v>4746</v>
      </c>
      <c r="H5071" s="8">
        <v>50</v>
      </c>
      <c r="I5071" s="35">
        <v>2</v>
      </c>
      <c r="J5071" s="108">
        <f>H5071*I5071</f>
        <v>100</v>
      </c>
      <c r="K5071" s="39">
        <v>5.28</v>
      </c>
      <c r="L5071" s="39">
        <f t="shared" ref="L5071:L5079" si="552">K5071*J5071</f>
        <v>528</v>
      </c>
      <c r="M5071" s="117" t="s">
        <v>322</v>
      </c>
      <c r="N5071" s="33">
        <v>46030</v>
      </c>
      <c r="O5071" s="32">
        <v>7765</v>
      </c>
      <c r="P5071" s="391">
        <f t="shared" ref="P5071:P5077" si="553">ROUNDUP(S5071/V5071/VLOOKUP(B5071,$C$2:$F$6,3,FALSE),2)</f>
        <v>3.98</v>
      </c>
      <c r="Q5071" s="322">
        <v>3.98</v>
      </c>
      <c r="R5071" s="322">
        <f t="shared" ref="R5071:R5079" si="554">Q5071*J5071</f>
        <v>398</v>
      </c>
      <c r="S5071" s="7">
        <v>420</v>
      </c>
      <c r="T5071" s="7">
        <f t="shared" ref="T5071:T5079" si="555">S5071*J5071</f>
        <v>42000</v>
      </c>
      <c r="U5071" s="21"/>
      <c r="V5071" s="260">
        <v>120</v>
      </c>
      <c r="W5071" s="1136">
        <f>(((K5071*V5071)-S5071)/(K5071*V5071))</f>
        <v>0.33712121212121215</v>
      </c>
    </row>
    <row r="5072" spans="2:23" s="7" customFormat="1" ht="18" customHeight="1">
      <c r="B5072" s="12" t="s">
        <v>302</v>
      </c>
      <c r="C5072" s="6" t="s">
        <v>6329</v>
      </c>
      <c r="D5072" s="14" t="s">
        <v>5277</v>
      </c>
      <c r="E5072" s="374" t="s">
        <v>190</v>
      </c>
      <c r="F5072" s="107">
        <v>160</v>
      </c>
      <c r="G5072" s="396" t="s">
        <v>6330</v>
      </c>
      <c r="H5072" s="8">
        <v>50</v>
      </c>
      <c r="I5072" s="35">
        <v>1</v>
      </c>
      <c r="J5072" s="108">
        <f>H5072*I5072</f>
        <v>50</v>
      </c>
      <c r="K5072" s="39">
        <v>5.28</v>
      </c>
      <c r="L5072" s="39">
        <f t="shared" ref="L5072" si="556">K5072*J5072</f>
        <v>264</v>
      </c>
      <c r="M5072" s="117" t="s">
        <v>322</v>
      </c>
      <c r="N5072" s="33">
        <v>46030</v>
      </c>
      <c r="O5072" s="32">
        <v>7765</v>
      </c>
      <c r="P5072" s="391">
        <f t="shared" si="553"/>
        <v>3.98</v>
      </c>
      <c r="Q5072" s="322">
        <v>3.98</v>
      </c>
      <c r="R5072" s="322">
        <f t="shared" ref="R5072" si="557">Q5072*J5072</f>
        <v>199</v>
      </c>
      <c r="S5072" s="7">
        <v>420</v>
      </c>
      <c r="T5072" s="7">
        <f t="shared" ref="T5072" si="558">S5072*J5072</f>
        <v>21000</v>
      </c>
      <c r="U5072" s="21"/>
      <c r="V5072" s="260">
        <v>120</v>
      </c>
      <c r="W5072" s="1136">
        <f>(((K5072*V5072)-S5072)/(K5072*V5072))</f>
        <v>0.33712121212121215</v>
      </c>
    </row>
    <row r="5073" spans="2:23" s="7" customFormat="1" ht="18" customHeight="1">
      <c r="B5073" s="12" t="s">
        <v>302</v>
      </c>
      <c r="C5073" s="6" t="s">
        <v>6329</v>
      </c>
      <c r="D5073" s="14" t="s">
        <v>5277</v>
      </c>
      <c r="E5073" s="374" t="s">
        <v>190</v>
      </c>
      <c r="F5073" s="107">
        <v>160</v>
      </c>
      <c r="G5073" s="396" t="s">
        <v>6337</v>
      </c>
      <c r="H5073" s="8"/>
      <c r="I5073" s="35"/>
      <c r="J5073" s="108">
        <v>10</v>
      </c>
      <c r="K5073" s="39">
        <v>5.28</v>
      </c>
      <c r="L5073" s="39">
        <f t="shared" ref="L5073" si="559">K5073*J5073</f>
        <v>52.800000000000004</v>
      </c>
      <c r="M5073" s="117" t="s">
        <v>322</v>
      </c>
      <c r="N5073" s="33">
        <v>46030</v>
      </c>
      <c r="O5073" s="32">
        <v>7765</v>
      </c>
      <c r="P5073" s="391">
        <f t="shared" si="553"/>
        <v>3.98</v>
      </c>
      <c r="Q5073" s="322">
        <v>3.98</v>
      </c>
      <c r="R5073" s="322">
        <f t="shared" ref="R5073" si="560">Q5073*J5073</f>
        <v>39.799999999999997</v>
      </c>
      <c r="S5073" s="7">
        <v>420</v>
      </c>
      <c r="T5073" s="7">
        <f t="shared" ref="T5073" si="561">S5073*J5073</f>
        <v>4200</v>
      </c>
      <c r="U5073" s="21"/>
      <c r="V5073" s="260">
        <v>120</v>
      </c>
      <c r="W5073" s="1136">
        <f t="shared" ref="W5073" si="562">(((K5073*V5073)-S5073)/(K5073*V5073))</f>
        <v>0.33712121212121215</v>
      </c>
    </row>
    <row r="5074" spans="2:23" s="7" customFormat="1" ht="18" customHeight="1">
      <c r="B5074" s="12" t="s">
        <v>302</v>
      </c>
      <c r="C5074" s="6" t="s">
        <v>6329</v>
      </c>
      <c r="D5074" s="14" t="s">
        <v>5277</v>
      </c>
      <c r="E5074" s="374" t="s">
        <v>190</v>
      </c>
      <c r="F5074" s="107">
        <v>160</v>
      </c>
      <c r="G5074" s="396" t="s">
        <v>6338</v>
      </c>
      <c r="H5074" s="8"/>
      <c r="I5074" s="35"/>
      <c r="J5074" s="108">
        <v>5</v>
      </c>
      <c r="K5074" s="39">
        <v>5.28</v>
      </c>
      <c r="L5074" s="39">
        <f t="shared" ref="L5074:L5075" si="563">K5074*J5074</f>
        <v>26.400000000000002</v>
      </c>
      <c r="M5074" s="117" t="s">
        <v>322</v>
      </c>
      <c r="N5074" s="33">
        <v>46030</v>
      </c>
      <c r="O5074" s="32">
        <v>7765</v>
      </c>
      <c r="P5074" s="391">
        <f t="shared" si="553"/>
        <v>3.98</v>
      </c>
      <c r="Q5074" s="322">
        <v>3.98</v>
      </c>
      <c r="R5074" s="322">
        <f t="shared" ref="R5074:R5075" si="564">Q5074*J5074</f>
        <v>19.899999999999999</v>
      </c>
      <c r="S5074" s="7">
        <v>420</v>
      </c>
      <c r="T5074" s="7">
        <f t="shared" ref="T5074:T5075" si="565">S5074*J5074</f>
        <v>2100</v>
      </c>
      <c r="U5074" s="21"/>
      <c r="V5074" s="260">
        <v>120</v>
      </c>
      <c r="W5074" s="1136">
        <f>(((K5074*V5074)-S5074)/(K5074*V5074))</f>
        <v>0.33712121212121215</v>
      </c>
    </row>
    <row r="5075" spans="2:23" s="7" customFormat="1" ht="18" customHeight="1">
      <c r="B5075" s="12" t="s">
        <v>302</v>
      </c>
      <c r="C5075" s="6" t="s">
        <v>6329</v>
      </c>
      <c r="D5075" s="14" t="s">
        <v>5277</v>
      </c>
      <c r="E5075" s="374" t="s">
        <v>190</v>
      </c>
      <c r="F5075" s="107">
        <v>160</v>
      </c>
      <c r="G5075" s="396" t="s">
        <v>6339</v>
      </c>
      <c r="H5075" s="8"/>
      <c r="I5075" s="35"/>
      <c r="J5075" s="108">
        <v>20</v>
      </c>
      <c r="K5075" s="39">
        <v>5.28</v>
      </c>
      <c r="L5075" s="39">
        <f t="shared" si="563"/>
        <v>105.60000000000001</v>
      </c>
      <c r="M5075" s="117" t="s">
        <v>322</v>
      </c>
      <c r="N5075" s="33">
        <v>46030</v>
      </c>
      <c r="O5075" s="32">
        <v>7765</v>
      </c>
      <c r="P5075" s="391">
        <f t="shared" si="553"/>
        <v>3.98</v>
      </c>
      <c r="Q5075" s="322">
        <v>3.98</v>
      </c>
      <c r="R5075" s="322">
        <f t="shared" si="564"/>
        <v>79.599999999999994</v>
      </c>
      <c r="S5075" s="7">
        <v>420</v>
      </c>
      <c r="T5075" s="7">
        <f t="shared" si="565"/>
        <v>8400</v>
      </c>
      <c r="U5075" s="21"/>
      <c r="V5075" s="260">
        <v>120</v>
      </c>
      <c r="W5075" s="1136">
        <f>(((K5075*V5075)-S5075)/(K5075*V5075))</f>
        <v>0.33712121212121215</v>
      </c>
    </row>
    <row r="5076" spans="2:23" s="7" customFormat="1" ht="18" customHeight="1">
      <c r="B5076" s="12" t="s">
        <v>302</v>
      </c>
      <c r="C5076" s="6" t="s">
        <v>6329</v>
      </c>
      <c r="D5076" s="14" t="s">
        <v>5277</v>
      </c>
      <c r="E5076" s="374" t="s">
        <v>190</v>
      </c>
      <c r="F5076" s="107">
        <v>160</v>
      </c>
      <c r="G5076" s="396" t="s">
        <v>6331</v>
      </c>
      <c r="H5076" s="8">
        <v>41</v>
      </c>
      <c r="I5076" s="35">
        <v>1</v>
      </c>
      <c r="J5076" s="108">
        <f>H5076*I5076</f>
        <v>41</v>
      </c>
      <c r="K5076" s="39">
        <v>5.28</v>
      </c>
      <c r="L5076" s="39">
        <f t="shared" ref="L5076" si="566">K5076*J5076</f>
        <v>216.48000000000002</v>
      </c>
      <c r="M5076" s="117" t="s">
        <v>322</v>
      </c>
      <c r="N5076" s="33">
        <v>46030</v>
      </c>
      <c r="O5076" s="32">
        <v>7765</v>
      </c>
      <c r="P5076" s="391">
        <f t="shared" si="553"/>
        <v>3.98</v>
      </c>
      <c r="Q5076" s="322">
        <v>3.98</v>
      </c>
      <c r="R5076" s="322">
        <f t="shared" ref="R5076" si="567">Q5076*J5076</f>
        <v>163.18</v>
      </c>
      <c r="S5076" s="7">
        <v>420</v>
      </c>
      <c r="T5076" s="7">
        <f t="shared" ref="T5076" si="568">S5076*J5076</f>
        <v>17220</v>
      </c>
      <c r="U5076" s="21"/>
      <c r="V5076" s="260">
        <v>120</v>
      </c>
      <c r="W5076" s="1136">
        <f>(((K5076*V5076)-S5076)/(K5076*V5076))</f>
        <v>0.33712121212121215</v>
      </c>
    </row>
    <row r="5077" spans="2:23" s="7" customFormat="1" ht="18" customHeight="1">
      <c r="B5077" s="12" t="s">
        <v>302</v>
      </c>
      <c r="C5077" s="6" t="s">
        <v>6329</v>
      </c>
      <c r="D5077" s="14" t="s">
        <v>5277</v>
      </c>
      <c r="E5077" s="374" t="s">
        <v>190</v>
      </c>
      <c r="F5077" s="107">
        <v>160</v>
      </c>
      <c r="G5077" s="396" t="s">
        <v>6331</v>
      </c>
      <c r="H5077" s="8">
        <v>50</v>
      </c>
      <c r="I5077" s="35">
        <v>1</v>
      </c>
      <c r="J5077" s="108">
        <f>H5077*I5077</f>
        <v>50</v>
      </c>
      <c r="K5077" s="39">
        <v>5.28</v>
      </c>
      <c r="L5077" s="39">
        <f t="shared" ref="L5077" si="569">K5077*J5077</f>
        <v>264</v>
      </c>
      <c r="M5077" s="117" t="s">
        <v>322</v>
      </c>
      <c r="N5077" s="33">
        <v>46030</v>
      </c>
      <c r="O5077" s="32">
        <v>7765</v>
      </c>
      <c r="P5077" s="391">
        <f t="shared" si="553"/>
        <v>3.98</v>
      </c>
      <c r="Q5077" s="322">
        <v>3.98</v>
      </c>
      <c r="R5077" s="322">
        <f t="shared" ref="R5077" si="570">Q5077*J5077</f>
        <v>199</v>
      </c>
      <c r="S5077" s="7">
        <v>420</v>
      </c>
      <c r="T5077" s="7">
        <f t="shared" ref="T5077" si="571">S5077*J5077</f>
        <v>21000</v>
      </c>
      <c r="U5077" s="21"/>
      <c r="V5077" s="260">
        <v>120</v>
      </c>
      <c r="W5077" s="1136">
        <f t="shared" ref="W5077" si="572">(((K5077*V5077)-S5077)/(K5077*V5077))</f>
        <v>0.33712121212121215</v>
      </c>
    </row>
    <row r="5078" spans="2:23" s="7" customFormat="1" ht="18" customHeight="1">
      <c r="B5078" s="12"/>
      <c r="C5078" s="6" t="s">
        <v>6329</v>
      </c>
      <c r="D5078" s="14" t="s">
        <v>5277</v>
      </c>
      <c r="E5078" s="82"/>
      <c r="F5078" s="102"/>
      <c r="G5078" s="22" t="s">
        <v>4329</v>
      </c>
      <c r="H5078" s="8"/>
      <c r="I5078" s="35"/>
      <c r="J5078" s="38">
        <v>3</v>
      </c>
      <c r="K5078" s="39">
        <v>15</v>
      </c>
      <c r="L5078" s="39">
        <f t="shared" si="552"/>
        <v>45</v>
      </c>
      <c r="M5078" s="91"/>
      <c r="N5078" s="33">
        <v>46030</v>
      </c>
      <c r="O5078" s="32">
        <v>7765</v>
      </c>
      <c r="P5078" s="6"/>
      <c r="Q5078" s="322">
        <v>15</v>
      </c>
      <c r="R5078" s="322">
        <f t="shared" si="554"/>
        <v>45</v>
      </c>
      <c r="S5078" s="7">
        <v>1000</v>
      </c>
      <c r="T5078" s="7">
        <f t="shared" si="555"/>
        <v>3000</v>
      </c>
      <c r="U5078" s="21"/>
      <c r="V5078" s="260">
        <v>120</v>
      </c>
      <c r="W5078" s="1136">
        <f>(((K5078*V5078)-S5078)/(K5078*V5078))</f>
        <v>0.44444444444444442</v>
      </c>
    </row>
    <row r="5079" spans="2:23" s="7" customFormat="1" ht="18" customHeight="1">
      <c r="B5079" s="12"/>
      <c r="C5079" s="6" t="s">
        <v>6329</v>
      </c>
      <c r="D5079" s="14" t="s">
        <v>5277</v>
      </c>
      <c r="E5079" s="82"/>
      <c r="F5079" s="102"/>
      <c r="G5079" s="22" t="s">
        <v>316</v>
      </c>
      <c r="H5079" s="8"/>
      <c r="I5079" s="35"/>
      <c r="J5079" s="38">
        <v>1</v>
      </c>
      <c r="K5079" s="39">
        <v>25</v>
      </c>
      <c r="L5079" s="39">
        <f t="shared" si="552"/>
        <v>25</v>
      </c>
      <c r="M5079" s="91"/>
      <c r="N5079" s="33">
        <v>46030</v>
      </c>
      <c r="O5079" s="32">
        <v>7765</v>
      </c>
      <c r="P5079" s="6"/>
      <c r="Q5079" s="322">
        <v>25</v>
      </c>
      <c r="R5079" s="322">
        <f t="shared" si="554"/>
        <v>25</v>
      </c>
      <c r="S5079" s="1388">
        <v>2500</v>
      </c>
      <c r="T5079" s="1388">
        <f t="shared" si="555"/>
        <v>2500</v>
      </c>
      <c r="U5079" s="21"/>
      <c r="V5079" s="260">
        <v>120</v>
      </c>
      <c r="W5079" s="1136">
        <f>(((K5079*V5079)-S5079)/(K5079*V5079))</f>
        <v>0.16666666666666666</v>
      </c>
    </row>
    <row r="5080" spans="2:23" s="191" customFormat="1" ht="15">
      <c r="B5080" s="190"/>
      <c r="C5080" s="179" t="s">
        <v>6329</v>
      </c>
      <c r="D5080" s="180" t="s">
        <v>5277</v>
      </c>
      <c r="E5080" s="181"/>
      <c r="F5080" s="182"/>
      <c r="G5080" s="182" t="s">
        <v>2738</v>
      </c>
      <c r="H5080" s="184" t="s">
        <v>251</v>
      </c>
      <c r="I5080" s="185"/>
      <c r="J5080" s="183"/>
      <c r="K5080" s="192">
        <v>0</v>
      </c>
      <c r="L5080" s="187"/>
      <c r="M5080" s="187"/>
      <c r="N5080" s="187">
        <v>46030</v>
      </c>
      <c r="O5080" s="186">
        <v>7765</v>
      </c>
      <c r="P5080" s="179"/>
      <c r="Q5080" s="255">
        <v>0</v>
      </c>
      <c r="S5080" s="274">
        <v>0</v>
      </c>
      <c r="T5080" s="198">
        <v>0</v>
      </c>
      <c r="U5080" s="271"/>
      <c r="V5080" s="260">
        <v>120</v>
      </c>
    </row>
    <row r="5081" spans="2:23" s="7" customFormat="1" ht="18" customHeight="1">
      <c r="B5081" s="12"/>
      <c r="C5081" s="6" t="s">
        <v>6340</v>
      </c>
      <c r="D5081" s="14" t="s">
        <v>2171</v>
      </c>
      <c r="E5081" s="19" t="s">
        <v>10</v>
      </c>
      <c r="F5081" s="107"/>
      <c r="G5081" s="1256"/>
      <c r="H5081" s="108"/>
      <c r="I5081" s="109"/>
      <c r="J5081" s="108"/>
      <c r="K5081" s="29" t="s">
        <v>5</v>
      </c>
      <c r="L5081" s="139"/>
      <c r="M5081" s="33"/>
      <c r="N5081" s="33">
        <v>46044</v>
      </c>
      <c r="O5081" s="32">
        <v>7803</v>
      </c>
      <c r="P5081" s="14"/>
      <c r="Q5081" s="322"/>
      <c r="U5081" s="14"/>
      <c r="V5081" s="260">
        <v>120</v>
      </c>
      <c r="W5081" s="1136" t="e">
        <f t="shared" ref="W5081:W5088" si="573">(((K5081*V5081)-S5081)/(K5081*V5081))</f>
        <v>#VALUE!</v>
      </c>
    </row>
    <row r="5082" spans="2:23" s="7" customFormat="1" ht="18" customHeight="1">
      <c r="B5082" s="12" t="s">
        <v>302</v>
      </c>
      <c r="C5082" s="6" t="s">
        <v>6340</v>
      </c>
      <c r="D5082" s="14" t="s">
        <v>2171</v>
      </c>
      <c r="E5082" s="22" t="s">
        <v>207</v>
      </c>
      <c r="F5082" s="107">
        <v>152</v>
      </c>
      <c r="G5082" s="22" t="s">
        <v>4928</v>
      </c>
      <c r="H5082" s="1255">
        <v>50</v>
      </c>
      <c r="I5082" s="109">
        <v>4</v>
      </c>
      <c r="J5082" s="8">
        <f>I5082*H5082</f>
        <v>200</v>
      </c>
      <c r="K5082" s="39">
        <v>4.7300000000000004</v>
      </c>
      <c r="L5082" s="39">
        <f>K5082*J5082</f>
        <v>946.00000000000011</v>
      </c>
      <c r="M5082" s="403" t="s">
        <v>322</v>
      </c>
      <c r="N5082" s="1398">
        <v>46044</v>
      </c>
      <c r="O5082" s="32">
        <v>7803</v>
      </c>
      <c r="P5082" s="391">
        <f>ROUNDUP(S5082/V5082/VLOOKUP(B5082,$C$2:$F$6,3,FALSE),2)</f>
        <v>3.4099999999999997</v>
      </c>
      <c r="Q5082" s="322">
        <v>3.41</v>
      </c>
      <c r="R5082" s="322">
        <f>Q5082*J5082</f>
        <v>682</v>
      </c>
      <c r="S5082" s="7">
        <v>360</v>
      </c>
      <c r="T5082" s="7">
        <f>S5082*J5082</f>
        <v>72000</v>
      </c>
      <c r="U5082" s="21"/>
      <c r="V5082" s="260">
        <v>120</v>
      </c>
      <c r="W5082" s="1136">
        <f>(((K5082*V5082)-S5082)/(K5082*V5082))</f>
        <v>0.36575052854122625</v>
      </c>
    </row>
    <row r="5083" spans="2:23" s="7" customFormat="1" ht="18" customHeight="1">
      <c r="B5083" s="12" t="s">
        <v>302</v>
      </c>
      <c r="C5083" s="6" t="s">
        <v>6340</v>
      </c>
      <c r="D5083" s="14" t="s">
        <v>2171</v>
      </c>
      <c r="E5083" s="22" t="s">
        <v>207</v>
      </c>
      <c r="F5083" s="107">
        <v>152</v>
      </c>
      <c r="G5083" s="22" t="s">
        <v>6185</v>
      </c>
      <c r="H5083" s="1255">
        <v>50</v>
      </c>
      <c r="I5083" s="109">
        <v>1</v>
      </c>
      <c r="J5083" s="8">
        <f>I5083*H5083</f>
        <v>50</v>
      </c>
      <c r="K5083" s="39">
        <v>4.7300000000000004</v>
      </c>
      <c r="L5083" s="39">
        <f>K5083*J5083</f>
        <v>236.50000000000003</v>
      </c>
      <c r="M5083" s="403" t="s">
        <v>322</v>
      </c>
      <c r="N5083" s="1398">
        <v>46044</v>
      </c>
      <c r="O5083" s="32">
        <v>7803</v>
      </c>
      <c r="P5083" s="391">
        <f>ROUNDUP(S5083/V5083/VLOOKUP(B5083,$C$2:$F$6,3,FALSE),2)</f>
        <v>3.4099999999999997</v>
      </c>
      <c r="Q5083" s="322">
        <v>3.41</v>
      </c>
      <c r="R5083" s="322">
        <f>Q5083*J5083</f>
        <v>170.5</v>
      </c>
      <c r="S5083" s="7">
        <v>360</v>
      </c>
      <c r="T5083" s="7">
        <f>S5083*J5083</f>
        <v>18000</v>
      </c>
      <c r="U5083" s="21"/>
      <c r="V5083" s="260">
        <v>120</v>
      </c>
      <c r="W5083" s="1136">
        <f>(((K5083*V5083)-S5083)/(K5083*V5083))</f>
        <v>0.36575052854122625</v>
      </c>
    </row>
    <row r="5084" spans="2:23" s="7" customFormat="1" ht="18" customHeight="1">
      <c r="B5084" s="12" t="s">
        <v>302</v>
      </c>
      <c r="C5084" s="6" t="s">
        <v>6340</v>
      </c>
      <c r="D5084" s="14" t="s">
        <v>2171</v>
      </c>
      <c r="E5084" s="22" t="s">
        <v>207</v>
      </c>
      <c r="F5084" s="107">
        <v>152</v>
      </c>
      <c r="G5084" s="22" t="s">
        <v>4927</v>
      </c>
      <c r="H5084" s="1255">
        <v>50</v>
      </c>
      <c r="I5084" s="109">
        <v>2</v>
      </c>
      <c r="J5084" s="8">
        <f t="shared" ref="J5084:J5085" si="574">I5084*H5084</f>
        <v>100</v>
      </c>
      <c r="K5084" s="39">
        <v>4.7300000000000004</v>
      </c>
      <c r="L5084" s="39">
        <f t="shared" ref="L5084" si="575">K5084*J5084</f>
        <v>473.00000000000006</v>
      </c>
      <c r="M5084" s="403" t="s">
        <v>322</v>
      </c>
      <c r="N5084" s="1398">
        <v>46044</v>
      </c>
      <c r="O5084" s="32">
        <v>7803</v>
      </c>
      <c r="P5084" s="391">
        <f t="shared" ref="P5084" si="576">ROUNDUP(S5084/V5084/VLOOKUP(B5084,$C$2:$F$6,3,FALSE),2)</f>
        <v>3.4099999999999997</v>
      </c>
      <c r="Q5084" s="322">
        <v>3.41</v>
      </c>
      <c r="R5084" s="322">
        <f t="shared" ref="R5084" si="577">Q5084*J5084</f>
        <v>341</v>
      </c>
      <c r="S5084" s="7">
        <v>360</v>
      </c>
      <c r="T5084" s="7">
        <f t="shared" ref="T5084" si="578">S5084*J5084</f>
        <v>36000</v>
      </c>
      <c r="U5084" s="21"/>
      <c r="V5084" s="260">
        <v>120</v>
      </c>
      <c r="W5084" s="1136">
        <f t="shared" si="573"/>
        <v>0.36575052854122625</v>
      </c>
    </row>
    <row r="5085" spans="2:23" s="7" customFormat="1" ht="18" customHeight="1">
      <c r="B5085" s="12" t="s">
        <v>302</v>
      </c>
      <c r="C5085" s="6" t="s">
        <v>6340</v>
      </c>
      <c r="D5085" s="14" t="s">
        <v>2171</v>
      </c>
      <c r="E5085" s="22" t="s">
        <v>207</v>
      </c>
      <c r="F5085" s="107">
        <v>152</v>
      </c>
      <c r="G5085" s="22" t="s">
        <v>6390</v>
      </c>
      <c r="H5085" s="1255">
        <v>50</v>
      </c>
      <c r="I5085" s="109">
        <v>2</v>
      </c>
      <c r="J5085" s="8">
        <f t="shared" si="574"/>
        <v>100</v>
      </c>
      <c r="K5085" s="39">
        <v>4.7300000000000004</v>
      </c>
      <c r="L5085" s="39">
        <f>K5085*J5085</f>
        <v>473.00000000000006</v>
      </c>
      <c r="M5085" s="403" t="s">
        <v>322</v>
      </c>
      <c r="N5085" s="1398">
        <v>46044</v>
      </c>
      <c r="O5085" s="32">
        <v>7803</v>
      </c>
      <c r="P5085" s="391">
        <f>ROUNDUP(S5085/V5085/VLOOKUP(B5085,$C$2:$F$6,3,FALSE),2)</f>
        <v>3.4099999999999997</v>
      </c>
      <c r="Q5085" s="322">
        <v>3.41</v>
      </c>
      <c r="R5085" s="322">
        <f>Q5085*J5085</f>
        <v>341</v>
      </c>
      <c r="S5085" s="7">
        <v>360</v>
      </c>
      <c r="T5085" s="7">
        <f>S5085*J5085</f>
        <v>36000</v>
      </c>
      <c r="U5085" s="21"/>
      <c r="V5085" s="260">
        <v>120</v>
      </c>
      <c r="W5085" s="1136">
        <f t="shared" si="573"/>
        <v>0.36575052854122625</v>
      </c>
    </row>
    <row r="5086" spans="2:23" s="7" customFormat="1" ht="18" customHeight="1">
      <c r="B5086" s="12" t="s">
        <v>302</v>
      </c>
      <c r="C5086" s="6" t="s">
        <v>6340</v>
      </c>
      <c r="D5086" s="14" t="s">
        <v>2171</v>
      </c>
      <c r="E5086" s="22" t="s">
        <v>207</v>
      </c>
      <c r="F5086" s="107">
        <v>152</v>
      </c>
      <c r="G5086" s="22" t="s">
        <v>6341</v>
      </c>
      <c r="H5086" s="1255">
        <v>50</v>
      </c>
      <c r="I5086" s="109">
        <v>2</v>
      </c>
      <c r="J5086" s="8">
        <f t="shared" ref="J5086" si="579">I5086*H5086</f>
        <v>100</v>
      </c>
      <c r="K5086" s="39">
        <v>4.7300000000000004</v>
      </c>
      <c r="L5086" s="39">
        <f>K5086*J5086</f>
        <v>473.00000000000006</v>
      </c>
      <c r="M5086" s="403" t="s">
        <v>322</v>
      </c>
      <c r="N5086" s="1398">
        <v>46044</v>
      </c>
      <c r="O5086" s="32">
        <v>7803</v>
      </c>
      <c r="P5086" s="391">
        <f>ROUNDUP(S5086/V5086/VLOOKUP(B5086,$C$2:$F$6,3,FALSE),2)</f>
        <v>3.4099999999999997</v>
      </c>
      <c r="Q5086" s="322">
        <v>3.41</v>
      </c>
      <c r="R5086" s="322">
        <f>Q5086*J5086</f>
        <v>341</v>
      </c>
      <c r="S5086" s="7">
        <v>360</v>
      </c>
      <c r="T5086" s="7">
        <f>S5086*J5086</f>
        <v>36000</v>
      </c>
      <c r="U5086" s="21"/>
      <c r="V5086" s="260">
        <v>120</v>
      </c>
      <c r="W5086" s="1136">
        <f t="shared" ref="W5086" si="580">(((K5086*V5086)-S5086)/(K5086*V5086))</f>
        <v>0.36575052854122625</v>
      </c>
    </row>
    <row r="5087" spans="2:23" s="7" customFormat="1" ht="18" customHeight="1">
      <c r="B5087" s="12"/>
      <c r="C5087" s="6" t="s">
        <v>6340</v>
      </c>
      <c r="D5087" s="14" t="s">
        <v>2171</v>
      </c>
      <c r="E5087" s="22"/>
      <c r="F5087" s="102"/>
      <c r="G5087" s="22" t="s">
        <v>316</v>
      </c>
      <c r="H5087" s="8"/>
      <c r="I5087" s="35"/>
      <c r="J5087" s="38">
        <v>1</v>
      </c>
      <c r="K5087" s="39">
        <v>25</v>
      </c>
      <c r="L5087" s="39">
        <f>K5087*J5087</f>
        <v>25</v>
      </c>
      <c r="M5087" s="91"/>
      <c r="N5087" s="33">
        <v>46044</v>
      </c>
      <c r="O5087" s="32">
        <v>7803</v>
      </c>
      <c r="P5087" s="6" t="s">
        <v>3</v>
      </c>
      <c r="Q5087" s="39">
        <v>25</v>
      </c>
      <c r="R5087" s="322">
        <f>Q5087*J5087</f>
        <v>25</v>
      </c>
      <c r="S5087" s="7">
        <v>2500</v>
      </c>
      <c r="T5087" s="7">
        <f>S5087*J5087</f>
        <v>2500</v>
      </c>
      <c r="U5087" s="21"/>
      <c r="V5087" s="260">
        <v>120</v>
      </c>
      <c r="W5087" s="1136">
        <f t="shared" si="573"/>
        <v>0.16666666666666666</v>
      </c>
    </row>
    <row r="5088" spans="2:23" s="191" customFormat="1" ht="15.75">
      <c r="B5088" s="190"/>
      <c r="C5088" s="179" t="s">
        <v>6340</v>
      </c>
      <c r="D5088" s="180" t="s">
        <v>2171</v>
      </c>
      <c r="E5088" s="181"/>
      <c r="F5088" s="182"/>
      <c r="G5088" s="309" t="s">
        <v>324</v>
      </c>
      <c r="H5088" s="184" t="s">
        <v>252</v>
      </c>
      <c r="I5088" s="185"/>
      <c r="J5088" s="183"/>
      <c r="K5088" s="1535">
        <v>1280</v>
      </c>
      <c r="L5088" s="1535">
        <v>1280</v>
      </c>
      <c r="M5088" s="187"/>
      <c r="N5088" s="187">
        <v>46044</v>
      </c>
      <c r="O5088" s="186">
        <v>7803</v>
      </c>
      <c r="P5088" s="179"/>
      <c r="Q5088" s="1535">
        <v>1280</v>
      </c>
      <c r="R5088" s="1535">
        <v>1280</v>
      </c>
      <c r="S5088" s="7">
        <f>10000+120452</f>
        <v>130452</v>
      </c>
      <c r="T5088" s="7">
        <f>S5088</f>
        <v>130452</v>
      </c>
      <c r="U5088" s="271"/>
      <c r="V5088" s="260">
        <v>120</v>
      </c>
      <c r="W5088" s="1136">
        <f t="shared" si="573"/>
        <v>0.15070312499999999</v>
      </c>
    </row>
    <row r="5089" spans="1:51" customFormat="1" ht="18" customHeight="1">
      <c r="A5089" s="1"/>
      <c r="B5089" s="26"/>
      <c r="C5089" s="6" t="s">
        <v>6346</v>
      </c>
      <c r="D5089" s="14" t="s">
        <v>6342</v>
      </c>
      <c r="E5089" s="19" t="s">
        <v>4847</v>
      </c>
      <c r="F5089" s="107"/>
      <c r="G5089" s="22"/>
      <c r="H5089" s="108"/>
      <c r="I5089" s="109"/>
      <c r="J5089" s="108"/>
      <c r="K5089" s="110" t="s">
        <v>5</v>
      </c>
      <c r="L5089" s="33"/>
      <c r="M5089" s="33"/>
      <c r="N5089" s="33">
        <v>46059</v>
      </c>
      <c r="O5089" s="32">
        <v>7796</v>
      </c>
      <c r="P5089" s="14"/>
      <c r="Q5089" s="254"/>
      <c r="R5089" s="1"/>
      <c r="S5089" s="261"/>
      <c r="T5089" s="92"/>
      <c r="U5089" s="264"/>
      <c r="V5089" s="260">
        <v>120</v>
      </c>
    </row>
    <row r="5090" spans="1:51" customFormat="1" ht="18" customHeight="1">
      <c r="B5090" s="12" t="s">
        <v>302</v>
      </c>
      <c r="C5090" s="6" t="s">
        <v>6346</v>
      </c>
      <c r="D5090" s="14" t="s">
        <v>6342</v>
      </c>
      <c r="E5090" s="1458" t="s">
        <v>5516</v>
      </c>
      <c r="F5090" s="107" t="s">
        <v>3340</v>
      </c>
      <c r="G5090" s="22" t="s">
        <v>6344</v>
      </c>
      <c r="H5090" s="18"/>
      <c r="I5090" s="61"/>
      <c r="J5090" s="18">
        <v>10</v>
      </c>
      <c r="K5090" s="39">
        <v>18.96</v>
      </c>
      <c r="L5090" s="39">
        <f>K5090*J5090</f>
        <v>189.60000000000002</v>
      </c>
      <c r="M5090" s="117" t="s">
        <v>323</v>
      </c>
      <c r="N5090" s="1398">
        <v>46059</v>
      </c>
      <c r="O5090" s="32">
        <v>7796</v>
      </c>
      <c r="P5090" s="391">
        <f>ROUNDUP(S5090/V5090/VLOOKUP(B5090,$C$2:$F$6,3,FALSE),2)</f>
        <v>17.240000000000002</v>
      </c>
      <c r="Q5090" s="254">
        <v>17.239999999999998</v>
      </c>
      <c r="R5090" s="323">
        <f>Q5090*J5090</f>
        <v>172.39999999999998</v>
      </c>
      <c r="S5090" s="273">
        <f>1420+400</f>
        <v>1820</v>
      </c>
      <c r="T5090" s="287">
        <f>S5090*J5090</f>
        <v>18200</v>
      </c>
      <c r="U5090" s="264"/>
      <c r="V5090" s="260">
        <v>120</v>
      </c>
      <c r="W5090" s="1136">
        <f>(((K5090*V5090)-S5090)/(K5090*V5090))</f>
        <v>0.2000703234880451</v>
      </c>
    </row>
    <row r="5091" spans="1:51" customFormat="1" ht="18" customHeight="1">
      <c r="B5091" s="12" t="s">
        <v>302</v>
      </c>
      <c r="C5091" s="6" t="s">
        <v>6346</v>
      </c>
      <c r="D5091" s="14" t="s">
        <v>6342</v>
      </c>
      <c r="E5091" s="1458" t="s">
        <v>5516</v>
      </c>
      <c r="F5091" s="107" t="s">
        <v>3340</v>
      </c>
      <c r="G5091" s="22" t="s">
        <v>6354</v>
      </c>
      <c r="H5091" s="18"/>
      <c r="I5091" s="61"/>
      <c r="J5091" s="18">
        <v>10</v>
      </c>
      <c r="K5091" s="39">
        <v>18.96</v>
      </c>
      <c r="L5091" s="39">
        <f>K5091*J5091</f>
        <v>189.60000000000002</v>
      </c>
      <c r="M5091" s="117" t="s">
        <v>323</v>
      </c>
      <c r="N5091" s="1398">
        <v>46059</v>
      </c>
      <c r="O5091" s="32">
        <v>7796</v>
      </c>
      <c r="P5091" s="391">
        <f>ROUNDUP(S5091/V5091/VLOOKUP(B5091,$C$2:$F$6,3,FALSE),2)</f>
        <v>17.240000000000002</v>
      </c>
      <c r="Q5091" s="254">
        <v>17.239999999999998</v>
      </c>
      <c r="R5091" s="323">
        <f>Q5091*J5091</f>
        <v>172.39999999999998</v>
      </c>
      <c r="S5091" s="1512">
        <f>1420+400</f>
        <v>1820</v>
      </c>
      <c r="T5091" s="1403">
        <f>S5091*J5091</f>
        <v>18200</v>
      </c>
      <c r="U5091" s="264"/>
      <c r="V5091" s="260">
        <v>120</v>
      </c>
      <c r="W5091" s="1136">
        <f>(((K5091*V5091)-S5091)/(K5091*V5091))</f>
        <v>0.2000703234880451</v>
      </c>
    </row>
    <row r="5092" spans="1:51" s="191" customFormat="1" ht="15.75">
      <c r="B5092" s="190"/>
      <c r="C5092" s="179" t="s">
        <v>6346</v>
      </c>
      <c r="D5092" s="180" t="s">
        <v>6342</v>
      </c>
      <c r="E5092" s="181"/>
      <c r="F5092" s="182"/>
      <c r="G5092" s="309" t="s">
        <v>324</v>
      </c>
      <c r="H5092" s="184" t="s">
        <v>374</v>
      </c>
      <c r="I5092" s="185"/>
      <c r="J5092" s="183"/>
      <c r="K5092" s="192">
        <v>115</v>
      </c>
      <c r="L5092" s="192">
        <v>115</v>
      </c>
      <c r="M5092" s="1310"/>
      <c r="N5092" s="1399">
        <v>46059</v>
      </c>
      <c r="O5092" s="186">
        <v>7796</v>
      </c>
      <c r="P5092" s="179"/>
      <c r="Q5092" s="255">
        <v>115</v>
      </c>
      <c r="R5092" s="322">
        <v>115</v>
      </c>
      <c r="S5092" s="275">
        <v>11825</v>
      </c>
      <c r="T5092" s="275">
        <v>11825</v>
      </c>
      <c r="U5092" s="271"/>
      <c r="V5092" s="260">
        <v>120</v>
      </c>
      <c r="W5092" s="1136">
        <f t="shared" ref="W5092" si="581">(((K5092*V5092)-S5092)/(K5092*V5092))</f>
        <v>0.1431159420289855</v>
      </c>
    </row>
    <row r="5093" spans="1:51" s="7" customFormat="1" ht="15" customHeight="1">
      <c r="B5093" s="12"/>
      <c r="C5093" s="6" t="s">
        <v>6347</v>
      </c>
      <c r="D5093" s="14" t="s">
        <v>6342</v>
      </c>
      <c r="E5093" s="19" t="s">
        <v>4809</v>
      </c>
      <c r="F5093" s="107"/>
      <c r="G5093" s="22"/>
      <c r="H5093" s="108"/>
      <c r="I5093" s="109"/>
      <c r="J5093" s="108"/>
      <c r="K5093" s="29" t="s">
        <v>5</v>
      </c>
      <c r="L5093" s="39"/>
      <c r="M5093" s="91"/>
      <c r="N5093" s="33">
        <v>46045</v>
      </c>
      <c r="O5093" s="32">
        <v>7795</v>
      </c>
      <c r="P5093" s="14"/>
      <c r="Q5093" s="322"/>
      <c r="U5093" s="14"/>
      <c r="V5093" s="384">
        <v>120</v>
      </c>
    </row>
    <row r="5094" spans="1:51" s="7" customFormat="1" ht="18" customHeight="1">
      <c r="B5094" s="12" t="s">
        <v>302</v>
      </c>
      <c r="C5094" s="6" t="s">
        <v>6347</v>
      </c>
      <c r="D5094" s="14" t="s">
        <v>6342</v>
      </c>
      <c r="E5094" s="374" t="s">
        <v>4808</v>
      </c>
      <c r="F5094" s="107">
        <v>140</v>
      </c>
      <c r="G5094" s="396" t="s">
        <v>4483</v>
      </c>
      <c r="H5094" s="108">
        <v>51.2</v>
      </c>
      <c r="I5094" s="109">
        <v>1</v>
      </c>
      <c r="J5094" s="18">
        <f>H5094*I5094</f>
        <v>51.2</v>
      </c>
      <c r="K5094" s="39">
        <v>14.64</v>
      </c>
      <c r="L5094" s="39">
        <f>K5094*J5094</f>
        <v>749.5680000000001</v>
      </c>
      <c r="M5094" s="117" t="s">
        <v>323</v>
      </c>
      <c r="N5094" s="1398">
        <v>46045</v>
      </c>
      <c r="O5094" s="32">
        <v>7795</v>
      </c>
      <c r="P5094" s="391">
        <f>ROUNDUP(S5094/V5094/VLOOKUP(B5094,$C$2:$F$6,3,FALSE),2)</f>
        <v>11.94</v>
      </c>
      <c r="Q5094" s="322">
        <v>11.94</v>
      </c>
      <c r="R5094" s="322">
        <f>Q5094*J5094</f>
        <v>611.32799999999997</v>
      </c>
      <c r="S5094" s="92">
        <v>1260</v>
      </c>
      <c r="T5094" s="7">
        <f>S5094*J5094</f>
        <v>64512</v>
      </c>
      <c r="U5094" s="21"/>
      <c r="V5094" s="260">
        <v>120</v>
      </c>
      <c r="W5094" s="1136">
        <f t="shared" ref="W5094:W5119" si="582">(((K5094*V5094)-S5094)/(K5094*V5094))</f>
        <v>0.28278688524590173</v>
      </c>
    </row>
    <row r="5095" spans="1:51" s="7" customFormat="1" ht="18" customHeight="1">
      <c r="B5095" s="12" t="s">
        <v>302</v>
      </c>
      <c r="C5095" s="6" t="s">
        <v>6347</v>
      </c>
      <c r="D5095" s="14" t="s">
        <v>6342</v>
      </c>
      <c r="E5095" s="374" t="s">
        <v>4808</v>
      </c>
      <c r="F5095" s="107">
        <v>140</v>
      </c>
      <c r="G5095" s="396" t="s">
        <v>4483</v>
      </c>
      <c r="H5095" s="108">
        <v>51</v>
      </c>
      <c r="I5095" s="109">
        <v>1</v>
      </c>
      <c r="J5095" s="18">
        <f>H5095*I5095</f>
        <v>51</v>
      </c>
      <c r="K5095" s="39">
        <v>14.64</v>
      </c>
      <c r="L5095" s="39">
        <f>K5095*J5095</f>
        <v>746.64</v>
      </c>
      <c r="M5095" s="117" t="s">
        <v>323</v>
      </c>
      <c r="N5095" s="1398">
        <v>46045</v>
      </c>
      <c r="O5095" s="32">
        <v>7795</v>
      </c>
      <c r="P5095" s="391">
        <f>ROUNDUP(S5095/V5095/VLOOKUP(B5095,$C$2:$F$6,3,FALSE),2)</f>
        <v>11.94</v>
      </c>
      <c r="Q5095" s="322">
        <v>11.94</v>
      </c>
      <c r="R5095" s="322">
        <f>Q5095*J5095</f>
        <v>608.93999999999994</v>
      </c>
      <c r="S5095" s="92">
        <v>1260</v>
      </c>
      <c r="T5095" s="7">
        <f>S5095*J5095</f>
        <v>64260</v>
      </c>
      <c r="U5095" s="21"/>
      <c r="V5095" s="260">
        <v>120</v>
      </c>
      <c r="W5095" s="1136">
        <f t="shared" ref="W5095:W5097" si="583">(((K5095*V5095)-S5095)/(K5095*V5095))</f>
        <v>0.28278688524590173</v>
      </c>
    </row>
    <row r="5096" spans="1:51" s="7" customFormat="1" ht="18" customHeight="1">
      <c r="B5096" s="12" t="s">
        <v>302</v>
      </c>
      <c r="C5096" s="6" t="s">
        <v>6347</v>
      </c>
      <c r="D5096" s="14" t="s">
        <v>6342</v>
      </c>
      <c r="E5096" s="374" t="s">
        <v>4808</v>
      </c>
      <c r="F5096" s="107">
        <v>140</v>
      </c>
      <c r="G5096" s="396" t="s">
        <v>4483</v>
      </c>
      <c r="H5096" s="108">
        <v>51.6</v>
      </c>
      <c r="I5096" s="109">
        <v>1</v>
      </c>
      <c r="J5096" s="18">
        <f>H5096*I5096</f>
        <v>51.6</v>
      </c>
      <c r="K5096" s="39">
        <v>14.64</v>
      </c>
      <c r="L5096" s="39">
        <f>K5096*J5096</f>
        <v>755.42400000000009</v>
      </c>
      <c r="M5096" s="117" t="s">
        <v>323</v>
      </c>
      <c r="N5096" s="1398">
        <v>46045</v>
      </c>
      <c r="O5096" s="32">
        <v>7795</v>
      </c>
      <c r="P5096" s="391">
        <f>ROUNDUP(S5096/V5096/VLOOKUP(B5096,$C$2:$F$6,3,FALSE),2)</f>
        <v>11.94</v>
      </c>
      <c r="Q5096" s="322">
        <v>11.94</v>
      </c>
      <c r="R5096" s="322">
        <f>Q5096*J5096</f>
        <v>616.10400000000004</v>
      </c>
      <c r="S5096" s="92">
        <v>1260</v>
      </c>
      <c r="T5096" s="7">
        <f>S5096*J5096</f>
        <v>65016</v>
      </c>
      <c r="U5096" s="21"/>
      <c r="V5096" s="260">
        <v>120</v>
      </c>
      <c r="W5096" s="1136">
        <f t="shared" si="583"/>
        <v>0.28278688524590173</v>
      </c>
    </row>
    <row r="5097" spans="1:51" s="7" customFormat="1" ht="18" customHeight="1">
      <c r="B5097" s="12" t="s">
        <v>302</v>
      </c>
      <c r="C5097" s="6" t="s">
        <v>6347</v>
      </c>
      <c r="D5097" s="14" t="s">
        <v>6342</v>
      </c>
      <c r="E5097" s="374" t="s">
        <v>4808</v>
      </c>
      <c r="F5097" s="107">
        <v>140</v>
      </c>
      <c r="G5097" s="396" t="s">
        <v>4483</v>
      </c>
      <c r="H5097" s="108">
        <v>47.8</v>
      </c>
      <c r="I5097" s="109">
        <v>1</v>
      </c>
      <c r="J5097" s="18">
        <f>H5097*I5097</f>
        <v>47.8</v>
      </c>
      <c r="K5097" s="39">
        <v>14.64</v>
      </c>
      <c r="L5097" s="39">
        <f>K5097*J5097</f>
        <v>699.79200000000003</v>
      </c>
      <c r="M5097" s="117" t="s">
        <v>323</v>
      </c>
      <c r="N5097" s="1398">
        <v>46045</v>
      </c>
      <c r="O5097" s="32">
        <v>7795</v>
      </c>
      <c r="P5097" s="391">
        <f>ROUNDUP(S5097/V5097/VLOOKUP(B5097,$C$2:$F$6,3,FALSE),2)</f>
        <v>11.94</v>
      </c>
      <c r="Q5097" s="322">
        <v>11.94</v>
      </c>
      <c r="R5097" s="322">
        <f>Q5097*J5097</f>
        <v>570.73199999999997</v>
      </c>
      <c r="S5097" s="92">
        <v>1260</v>
      </c>
      <c r="T5097" s="7">
        <f>S5097*J5097</f>
        <v>60228</v>
      </c>
      <c r="U5097" s="21"/>
      <c r="V5097" s="260">
        <v>120</v>
      </c>
      <c r="W5097" s="1136">
        <f t="shared" si="583"/>
        <v>0.28278688524590173</v>
      </c>
    </row>
    <row r="5098" spans="1:51" customFormat="1" ht="18" customHeight="1">
      <c r="A5098" s="1"/>
      <c r="B5098" s="26"/>
      <c r="C5098" s="6" t="s">
        <v>6347</v>
      </c>
      <c r="D5098" s="14" t="s">
        <v>6342</v>
      </c>
      <c r="E5098" s="19" t="s">
        <v>6343</v>
      </c>
      <c r="F5098" s="107"/>
      <c r="G5098" s="22"/>
      <c r="H5098" s="108"/>
      <c r="I5098" s="109"/>
      <c r="J5098" s="108"/>
      <c r="K5098" s="110" t="s">
        <v>5</v>
      </c>
      <c r="L5098" s="33"/>
      <c r="M5098" s="33"/>
      <c r="N5098" s="1398">
        <v>46045</v>
      </c>
      <c r="O5098" s="32">
        <v>7795</v>
      </c>
      <c r="P5098" s="14"/>
      <c r="Q5098" s="254"/>
      <c r="R5098" s="1"/>
      <c r="S5098" s="261"/>
      <c r="T5098" s="92"/>
      <c r="U5098" s="264"/>
      <c r="V5098" s="260">
        <v>120</v>
      </c>
      <c r="W5098" s="1136" t="e">
        <f t="shared" si="582"/>
        <v>#VALUE!</v>
      </c>
      <c r="X5098" s="1"/>
      <c r="Y5098" s="1"/>
      <c r="Z5098" s="1"/>
      <c r="AA5098" s="1"/>
      <c r="AB5098" s="1"/>
      <c r="AC5098" s="1"/>
      <c r="AD5098" s="1"/>
      <c r="AE5098" s="1"/>
      <c r="AF5098" s="1"/>
      <c r="AG5098" s="1"/>
      <c r="AH5098" s="1"/>
      <c r="AI5098" s="1"/>
      <c r="AJ5098" s="1"/>
      <c r="AK5098" s="1"/>
      <c r="AL5098" s="1"/>
      <c r="AM5098" s="1"/>
      <c r="AN5098" s="1"/>
      <c r="AO5098" s="1"/>
      <c r="AP5098" s="1"/>
      <c r="AQ5098" s="1"/>
      <c r="AR5098" s="1"/>
      <c r="AS5098" s="1"/>
      <c r="AT5098" s="1"/>
      <c r="AU5098" s="1"/>
      <c r="AV5098" s="1"/>
      <c r="AW5098" s="1"/>
      <c r="AX5098" s="1"/>
      <c r="AY5098" s="1"/>
    </row>
    <row r="5099" spans="1:51" customFormat="1" ht="18" customHeight="1">
      <c r="B5099" s="12" t="s">
        <v>302</v>
      </c>
      <c r="C5099" s="6" t="s">
        <v>6347</v>
      </c>
      <c r="D5099" s="14" t="s">
        <v>6342</v>
      </c>
      <c r="E5099" s="22" t="s">
        <v>5747</v>
      </c>
      <c r="F5099" s="107">
        <v>152</v>
      </c>
      <c r="G5099" s="22" t="s">
        <v>380</v>
      </c>
      <c r="H5099" s="108">
        <v>60</v>
      </c>
      <c r="I5099" s="109">
        <v>1</v>
      </c>
      <c r="J5099" s="18">
        <f>H5099*I5099</f>
        <v>60</v>
      </c>
      <c r="K5099" s="39">
        <v>3.88</v>
      </c>
      <c r="L5099" s="39">
        <f>K5099*J5099</f>
        <v>232.79999999999998</v>
      </c>
      <c r="M5099" s="117" t="s">
        <v>323</v>
      </c>
      <c r="N5099" s="1398">
        <v>46045</v>
      </c>
      <c r="O5099" s="32">
        <v>7795</v>
      </c>
      <c r="P5099" s="391">
        <f>ROUNDUP(S5099/V5099/VLOOKUP(B5099,$C$2:$F$6,3,FALSE),2)</f>
        <v>2.94</v>
      </c>
      <c r="Q5099" s="254">
        <v>2.94</v>
      </c>
      <c r="R5099" s="323">
        <f>Q5099*J5099</f>
        <v>176.4</v>
      </c>
      <c r="S5099" s="257">
        <v>310</v>
      </c>
      <c r="T5099" s="287">
        <f>S5099*J5099</f>
        <v>18600</v>
      </c>
      <c r="U5099" s="264"/>
      <c r="V5099" s="260">
        <v>120</v>
      </c>
      <c r="W5099" s="1136">
        <f t="shared" si="582"/>
        <v>0.33419243986254293</v>
      </c>
      <c r="X5099" s="1"/>
      <c r="Y5099" s="1"/>
      <c r="Z5099" s="1"/>
      <c r="AA5099" s="1"/>
      <c r="AB5099" s="1"/>
      <c r="AC5099" s="1"/>
      <c r="AD5099" s="1"/>
      <c r="AE5099" s="1"/>
      <c r="AF5099" s="1"/>
      <c r="AG5099" s="1"/>
      <c r="AH5099" s="1"/>
      <c r="AI5099" s="1"/>
      <c r="AJ5099" s="1"/>
      <c r="AK5099" s="1"/>
      <c r="AL5099" s="1"/>
      <c r="AM5099" s="1"/>
      <c r="AN5099" s="1"/>
      <c r="AO5099" s="1"/>
      <c r="AP5099" s="1"/>
      <c r="AQ5099" s="1"/>
      <c r="AR5099" s="1"/>
      <c r="AS5099" s="1"/>
      <c r="AT5099" s="1"/>
      <c r="AU5099" s="1"/>
      <c r="AV5099" s="1"/>
      <c r="AW5099" s="1"/>
      <c r="AX5099" s="1"/>
      <c r="AY5099" s="1"/>
    </row>
    <row r="5100" spans="1:51" s="7" customFormat="1" ht="15">
      <c r="B5100" s="12"/>
      <c r="C5100" s="6" t="s">
        <v>6347</v>
      </c>
      <c r="D5100" s="14" t="s">
        <v>6342</v>
      </c>
      <c r="E5100" s="49"/>
      <c r="F5100" s="102"/>
      <c r="G5100" s="22" t="s">
        <v>316</v>
      </c>
      <c r="H5100" s="38"/>
      <c r="I5100" s="35"/>
      <c r="J5100" s="38">
        <v>1</v>
      </c>
      <c r="K5100" s="39">
        <v>20</v>
      </c>
      <c r="L5100" s="39">
        <f>K5100*J5100</f>
        <v>20</v>
      </c>
      <c r="M5100" s="91"/>
      <c r="N5100" s="1398">
        <v>46045</v>
      </c>
      <c r="O5100" s="32">
        <v>7795</v>
      </c>
      <c r="P5100" s="722"/>
      <c r="Q5100" s="322">
        <v>20</v>
      </c>
      <c r="R5100" s="322">
        <f>Q5100*J5100</f>
        <v>20</v>
      </c>
      <c r="S5100" s="7">
        <v>2500</v>
      </c>
      <c r="T5100" s="7">
        <f>S5100*J5100</f>
        <v>2500</v>
      </c>
      <c r="U5100" s="21"/>
      <c r="V5100" s="260">
        <v>120</v>
      </c>
      <c r="W5100" s="1136">
        <f t="shared" si="582"/>
        <v>-4.1666666666666664E-2</v>
      </c>
    </row>
    <row r="5101" spans="1:51" s="191" customFormat="1" ht="18" customHeight="1">
      <c r="B5101" s="190"/>
      <c r="C5101" s="179" t="s">
        <v>6347</v>
      </c>
      <c r="D5101" s="180" t="s">
        <v>6342</v>
      </c>
      <c r="E5101" s="181"/>
      <c r="F5101" s="622"/>
      <c r="G5101" s="182" t="s">
        <v>250</v>
      </c>
      <c r="H5101" s="184" t="s">
        <v>251</v>
      </c>
      <c r="I5101" s="185"/>
      <c r="J5101" s="183"/>
      <c r="K5101" s="192">
        <v>0</v>
      </c>
      <c r="L5101" s="187"/>
      <c r="M5101" s="1310"/>
      <c r="N5101" s="1399">
        <v>46045</v>
      </c>
      <c r="O5101" s="186">
        <v>7795</v>
      </c>
      <c r="P5101" s="179"/>
      <c r="Q5101" s="255">
        <v>0</v>
      </c>
      <c r="R5101" s="322">
        <v>0</v>
      </c>
      <c r="S5101" s="275">
        <v>0</v>
      </c>
      <c r="T5101" s="198">
        <v>0</v>
      </c>
      <c r="U5101" s="271"/>
      <c r="V5101" s="260">
        <v>120</v>
      </c>
      <c r="W5101" s="1136" t="e">
        <f t="shared" si="582"/>
        <v>#DIV/0!</v>
      </c>
    </row>
    <row r="5102" spans="1:51" customFormat="1" ht="18" customHeight="1">
      <c r="A5102" s="1"/>
      <c r="B5102" s="26"/>
      <c r="C5102" s="6" t="s">
        <v>6355</v>
      </c>
      <c r="D5102" s="14" t="s">
        <v>3202</v>
      </c>
      <c r="E5102" s="19" t="s">
        <v>59</v>
      </c>
      <c r="F5102" s="107"/>
      <c r="G5102" s="22"/>
      <c r="H5102" s="108"/>
      <c r="I5102" s="109"/>
      <c r="J5102" s="108"/>
      <c r="K5102" s="110" t="s">
        <v>5</v>
      </c>
      <c r="L5102" s="33"/>
      <c r="M5102" s="33"/>
      <c r="N5102" s="33">
        <v>46043</v>
      </c>
      <c r="O5102" s="32">
        <v>7775</v>
      </c>
      <c r="P5102" s="14"/>
      <c r="Q5102" s="254"/>
      <c r="R5102" s="1"/>
      <c r="S5102" s="1300" t="s">
        <v>6363</v>
      </c>
      <c r="T5102" s="92"/>
      <c r="U5102" s="264"/>
      <c r="V5102" s="260">
        <v>120</v>
      </c>
      <c r="W5102" s="1136" t="e">
        <f t="shared" si="582"/>
        <v>#VALUE!</v>
      </c>
    </row>
    <row r="5103" spans="1:51" customFormat="1" ht="18" customHeight="1">
      <c r="A5103" s="1"/>
      <c r="B5103" s="12" t="s">
        <v>302</v>
      </c>
      <c r="C5103" s="6" t="s">
        <v>6355</v>
      </c>
      <c r="D5103" s="14" t="s">
        <v>3202</v>
      </c>
      <c r="E5103" s="22" t="s">
        <v>5292</v>
      </c>
      <c r="F5103" s="107">
        <v>148</v>
      </c>
      <c r="G5103" s="22" t="s">
        <v>212</v>
      </c>
      <c r="H5103" s="60">
        <v>58</v>
      </c>
      <c r="I5103" s="61">
        <v>9</v>
      </c>
      <c r="J5103" s="60">
        <f t="shared" ref="J5103" si="584">H5103*I5103</f>
        <v>522</v>
      </c>
      <c r="K5103" s="39">
        <v>6.67</v>
      </c>
      <c r="L5103" s="39">
        <f t="shared" ref="L5103" si="585">K5103*J5103</f>
        <v>3481.74</v>
      </c>
      <c r="M5103" s="117" t="s">
        <v>323</v>
      </c>
      <c r="N5103" s="33">
        <v>46043</v>
      </c>
      <c r="O5103" s="32">
        <v>7775</v>
      </c>
      <c r="P5103" s="391">
        <f t="shared" ref="P5103" si="586">ROUNDUP(S5103/V5103/VLOOKUP(B5103,$C$2:$F$6,3,FALSE),2)</f>
        <v>6.21</v>
      </c>
      <c r="Q5103" s="254">
        <v>6.07</v>
      </c>
      <c r="R5103" s="323">
        <f t="shared" ref="R5103" si="587">Q5103*J5103</f>
        <v>3168.54</v>
      </c>
      <c r="S5103" s="273">
        <f>640+15</f>
        <v>655</v>
      </c>
      <c r="T5103" s="287">
        <f t="shared" ref="T5103" si="588">S5103*J5103</f>
        <v>341910</v>
      </c>
      <c r="U5103" s="264"/>
      <c r="V5103" s="260">
        <v>120</v>
      </c>
      <c r="W5103" s="1136">
        <f t="shared" si="582"/>
        <v>0.18165917041479257</v>
      </c>
    </row>
    <row r="5104" spans="1:51" customFormat="1" ht="18" customHeight="1">
      <c r="A5104" s="1"/>
      <c r="B5104" s="12" t="s">
        <v>302</v>
      </c>
      <c r="C5104" s="6" t="s">
        <v>6355</v>
      </c>
      <c r="D5104" s="14" t="s">
        <v>3202</v>
      </c>
      <c r="E5104" s="22" t="s">
        <v>5292</v>
      </c>
      <c r="F5104" s="107">
        <v>148</v>
      </c>
      <c r="G5104" s="22" t="s">
        <v>212</v>
      </c>
      <c r="H5104" s="60">
        <v>60</v>
      </c>
      <c r="I5104" s="61">
        <v>1</v>
      </c>
      <c r="J5104" s="60">
        <f t="shared" ref="J5104:J5107" si="589">H5104*I5104</f>
        <v>60</v>
      </c>
      <c r="K5104" s="39">
        <v>6.67</v>
      </c>
      <c r="L5104" s="39">
        <f t="shared" ref="L5104:L5107" si="590">K5104*J5104</f>
        <v>400.2</v>
      </c>
      <c r="M5104" s="117" t="s">
        <v>323</v>
      </c>
      <c r="N5104" s="33">
        <v>46043</v>
      </c>
      <c r="O5104" s="32">
        <v>7775</v>
      </c>
      <c r="P5104" s="391">
        <f t="shared" ref="P5104:P5107" si="591">ROUNDUP(S5104/V5104/VLOOKUP(B5104,$C$2:$F$6,3,FALSE),2)</f>
        <v>6.21</v>
      </c>
      <c r="Q5104" s="254">
        <v>6.07</v>
      </c>
      <c r="R5104" s="323">
        <f t="shared" ref="R5104:R5107" si="592">Q5104*J5104</f>
        <v>364.20000000000005</v>
      </c>
      <c r="S5104" s="273">
        <f>640+15</f>
        <v>655</v>
      </c>
      <c r="T5104" s="287">
        <f t="shared" ref="T5104:T5107" si="593">S5104*J5104</f>
        <v>39300</v>
      </c>
      <c r="U5104" s="264"/>
      <c r="V5104" s="260">
        <v>120</v>
      </c>
      <c r="W5104" s="1136">
        <f t="shared" ref="W5104:W5107" si="594">(((K5104*V5104)-S5104)/(K5104*V5104))</f>
        <v>0.18165917041479257</v>
      </c>
    </row>
    <row r="5105" spans="1:51" customFormat="1" ht="18" customHeight="1">
      <c r="A5105" s="1"/>
      <c r="B5105" s="12" t="s">
        <v>302</v>
      </c>
      <c r="C5105" s="6" t="s">
        <v>6355</v>
      </c>
      <c r="D5105" s="14" t="s">
        <v>3202</v>
      </c>
      <c r="E5105" s="22" t="s">
        <v>5292</v>
      </c>
      <c r="F5105" s="107">
        <v>148</v>
      </c>
      <c r="G5105" s="22" t="s">
        <v>212</v>
      </c>
      <c r="H5105" s="60">
        <v>59</v>
      </c>
      <c r="I5105" s="61">
        <v>2</v>
      </c>
      <c r="J5105" s="60">
        <f t="shared" si="589"/>
        <v>118</v>
      </c>
      <c r="K5105" s="39">
        <v>6.67</v>
      </c>
      <c r="L5105" s="39">
        <f t="shared" si="590"/>
        <v>787.06</v>
      </c>
      <c r="M5105" s="117" t="s">
        <v>323</v>
      </c>
      <c r="N5105" s="33">
        <v>46043</v>
      </c>
      <c r="O5105" s="32">
        <v>7775</v>
      </c>
      <c r="P5105" s="391">
        <f t="shared" si="591"/>
        <v>6.21</v>
      </c>
      <c r="Q5105" s="254">
        <v>6.07</v>
      </c>
      <c r="R5105" s="323">
        <f t="shared" si="592"/>
        <v>716.26</v>
      </c>
      <c r="S5105" s="273">
        <f>640+15</f>
        <v>655</v>
      </c>
      <c r="T5105" s="287">
        <f t="shared" si="593"/>
        <v>77290</v>
      </c>
      <c r="U5105" s="264"/>
      <c r="V5105" s="260">
        <v>120</v>
      </c>
      <c r="W5105" s="1136">
        <f t="shared" si="594"/>
        <v>0.18165917041479257</v>
      </c>
    </row>
    <row r="5106" spans="1:51" customFormat="1" ht="18" customHeight="1">
      <c r="A5106" s="1"/>
      <c r="B5106" s="12" t="s">
        <v>302</v>
      </c>
      <c r="C5106" s="6" t="s">
        <v>6355</v>
      </c>
      <c r="D5106" s="14" t="s">
        <v>3202</v>
      </c>
      <c r="E5106" s="22" t="s">
        <v>5292</v>
      </c>
      <c r="F5106" s="107">
        <v>148</v>
      </c>
      <c r="G5106" s="22" t="s">
        <v>212</v>
      </c>
      <c r="H5106" s="60">
        <v>57</v>
      </c>
      <c r="I5106" s="61">
        <v>2</v>
      </c>
      <c r="J5106" s="60">
        <f t="shared" si="589"/>
        <v>114</v>
      </c>
      <c r="K5106" s="39">
        <v>6.67</v>
      </c>
      <c r="L5106" s="39">
        <f t="shared" si="590"/>
        <v>760.38</v>
      </c>
      <c r="M5106" s="117" t="s">
        <v>323</v>
      </c>
      <c r="N5106" s="33">
        <v>46043</v>
      </c>
      <c r="O5106" s="32">
        <v>7775</v>
      </c>
      <c r="P5106" s="391">
        <f t="shared" si="591"/>
        <v>6.21</v>
      </c>
      <c r="Q5106" s="254">
        <v>6.07</v>
      </c>
      <c r="R5106" s="323">
        <f t="shared" si="592"/>
        <v>691.98</v>
      </c>
      <c r="S5106" s="273">
        <f>640+15</f>
        <v>655</v>
      </c>
      <c r="T5106" s="287">
        <f t="shared" si="593"/>
        <v>74670</v>
      </c>
      <c r="U5106" s="264"/>
      <c r="V5106" s="260">
        <v>120</v>
      </c>
      <c r="W5106" s="1136">
        <f t="shared" si="594"/>
        <v>0.18165917041479257</v>
      </c>
    </row>
    <row r="5107" spans="1:51" customFormat="1" ht="18" customHeight="1">
      <c r="A5107" s="1"/>
      <c r="B5107" s="12" t="s">
        <v>302</v>
      </c>
      <c r="C5107" s="6" t="s">
        <v>6355</v>
      </c>
      <c r="D5107" s="14" t="s">
        <v>3202</v>
      </c>
      <c r="E5107" s="22" t="s">
        <v>5292</v>
      </c>
      <c r="F5107" s="107">
        <v>148</v>
      </c>
      <c r="G5107" s="22" t="s">
        <v>212</v>
      </c>
      <c r="H5107" s="60">
        <v>56</v>
      </c>
      <c r="I5107" s="61">
        <v>1</v>
      </c>
      <c r="J5107" s="60">
        <f t="shared" si="589"/>
        <v>56</v>
      </c>
      <c r="K5107" s="39">
        <v>6.67</v>
      </c>
      <c r="L5107" s="39">
        <f t="shared" si="590"/>
        <v>373.52</v>
      </c>
      <c r="M5107" s="117" t="s">
        <v>323</v>
      </c>
      <c r="N5107" s="33">
        <v>46043</v>
      </c>
      <c r="O5107" s="32">
        <v>7775</v>
      </c>
      <c r="P5107" s="391">
        <f t="shared" si="591"/>
        <v>6.21</v>
      </c>
      <c r="Q5107" s="254">
        <v>6.07</v>
      </c>
      <c r="R5107" s="323">
        <f t="shared" si="592"/>
        <v>339.92</v>
      </c>
      <c r="S5107" s="273">
        <f>640+15</f>
        <v>655</v>
      </c>
      <c r="T5107" s="287">
        <f t="shared" si="593"/>
        <v>36680</v>
      </c>
      <c r="U5107" s="264"/>
      <c r="V5107" s="260">
        <v>120</v>
      </c>
      <c r="W5107" s="1136">
        <f t="shared" si="594"/>
        <v>0.18165917041479257</v>
      </c>
    </row>
    <row r="5108" spans="1:51" s="191" customFormat="1" ht="15">
      <c r="B5108" s="190"/>
      <c r="C5108" s="179" t="s">
        <v>6355</v>
      </c>
      <c r="D5108" s="180" t="s">
        <v>3202</v>
      </c>
      <c r="E5108" s="181"/>
      <c r="F5108" s="182"/>
      <c r="G5108" s="182" t="s">
        <v>2738</v>
      </c>
      <c r="H5108" s="184" t="s">
        <v>251</v>
      </c>
      <c r="I5108" s="185"/>
      <c r="J5108" s="183"/>
      <c r="K5108" s="192">
        <v>0</v>
      </c>
      <c r="L5108" s="187"/>
      <c r="M5108" s="187"/>
      <c r="N5108" s="187">
        <v>46043</v>
      </c>
      <c r="O5108" s="186">
        <v>7775</v>
      </c>
      <c r="P5108" s="179"/>
      <c r="Q5108" s="203"/>
      <c r="R5108" s="203"/>
      <c r="S5108" s="203"/>
      <c r="T5108" s="203"/>
      <c r="U5108" s="271"/>
      <c r="V5108" s="260">
        <v>120</v>
      </c>
      <c r="W5108" s="1136" t="e">
        <f t="shared" ref="W5108:W5109" si="595">(((K5108*V5108)-S5108)/(K5108*V5108))</f>
        <v>#DIV/0!</v>
      </c>
    </row>
    <row r="5109" spans="1:51" customFormat="1" ht="18" customHeight="1">
      <c r="A5109" s="1"/>
      <c r="B5109" s="26"/>
      <c r="C5109" s="6" t="s">
        <v>6362</v>
      </c>
      <c r="D5109" s="14" t="s">
        <v>3202</v>
      </c>
      <c r="E5109" s="19" t="s">
        <v>59</v>
      </c>
      <c r="F5109" s="107"/>
      <c r="G5109" s="22"/>
      <c r="H5109" s="108"/>
      <c r="I5109" s="109"/>
      <c r="J5109" s="108"/>
      <c r="K5109" s="110" t="s">
        <v>5</v>
      </c>
      <c r="L5109" s="33"/>
      <c r="M5109" s="33"/>
      <c r="N5109" s="33">
        <v>46069</v>
      </c>
      <c r="O5109" s="32">
        <v>7865</v>
      </c>
      <c r="P5109" s="14"/>
      <c r="Q5109" s="254"/>
      <c r="R5109" s="1"/>
      <c r="S5109" s="261"/>
      <c r="T5109" s="92"/>
      <c r="U5109" s="264"/>
      <c r="V5109" s="260">
        <v>120</v>
      </c>
      <c r="W5109" s="1136" t="e">
        <f t="shared" si="595"/>
        <v>#VALUE!</v>
      </c>
    </row>
    <row r="5110" spans="1:51" customFormat="1" ht="18" customHeight="1">
      <c r="A5110" s="1"/>
      <c r="B5110" s="12" t="s">
        <v>302</v>
      </c>
      <c r="C5110" s="6" t="s">
        <v>6362</v>
      </c>
      <c r="D5110" s="14" t="s">
        <v>3202</v>
      </c>
      <c r="E5110" s="19" t="s">
        <v>5293</v>
      </c>
      <c r="F5110" s="107">
        <v>148</v>
      </c>
      <c r="G5110" s="22" t="s">
        <v>212</v>
      </c>
      <c r="H5110" s="8">
        <v>58</v>
      </c>
      <c r="I5110" s="35">
        <v>5</v>
      </c>
      <c r="J5110" s="108">
        <f t="shared" ref="J5110" si="596">H5110*I5110</f>
        <v>290</v>
      </c>
      <c r="K5110" s="39">
        <v>6.31</v>
      </c>
      <c r="L5110" s="39">
        <f t="shared" ref="L5110" si="597">K5110*J5110</f>
        <v>1829.8999999999999</v>
      </c>
      <c r="M5110" s="117" t="s">
        <v>323</v>
      </c>
      <c r="N5110" s="33">
        <v>46069</v>
      </c>
      <c r="O5110" s="32">
        <v>7865</v>
      </c>
      <c r="P5110" s="391">
        <f t="shared" ref="P5110" si="598">ROUNDUP(S5110/V5110/VLOOKUP(B5110,$C$2:$F$6,3,FALSE),2)</f>
        <v>5.59</v>
      </c>
      <c r="Q5110" s="254">
        <v>5.73</v>
      </c>
      <c r="R5110" s="323">
        <f t="shared" ref="R5110" si="599">Q5110*J5110</f>
        <v>1661.7</v>
      </c>
      <c r="S5110" s="273">
        <v>590</v>
      </c>
      <c r="T5110" s="287">
        <f t="shared" ref="T5110" si="600">S5110*J5110</f>
        <v>171100</v>
      </c>
      <c r="U5110" s="264"/>
      <c r="V5110" s="260">
        <v>120</v>
      </c>
      <c r="W5110" s="1136">
        <f t="shared" si="582"/>
        <v>0.22081352350765973</v>
      </c>
    </row>
    <row r="5111" spans="1:51" customFormat="1" ht="18" customHeight="1">
      <c r="A5111" s="1"/>
      <c r="B5111" s="12" t="s">
        <v>302</v>
      </c>
      <c r="C5111" s="6" t="s">
        <v>6362</v>
      </c>
      <c r="D5111" s="14" t="s">
        <v>3202</v>
      </c>
      <c r="E5111" s="19" t="s">
        <v>5293</v>
      </c>
      <c r="F5111" s="107">
        <v>148</v>
      </c>
      <c r="G5111" s="22" t="s">
        <v>212</v>
      </c>
      <c r="H5111" s="8">
        <v>58</v>
      </c>
      <c r="I5111" s="35">
        <v>5</v>
      </c>
      <c r="J5111" s="108">
        <f t="shared" ref="J5111:J5115" si="601">H5111*I5111</f>
        <v>290</v>
      </c>
      <c r="K5111" s="39">
        <v>6.31</v>
      </c>
      <c r="L5111" s="39">
        <f t="shared" ref="L5111:L5115" si="602">K5111*J5111</f>
        <v>1829.8999999999999</v>
      </c>
      <c r="M5111" s="117" t="s">
        <v>323</v>
      </c>
      <c r="N5111" s="33">
        <v>46069</v>
      </c>
      <c r="O5111" s="32">
        <v>7865</v>
      </c>
      <c r="P5111" s="391">
        <f t="shared" ref="P5111:P5115" si="603">ROUNDUP(S5111/V5111/VLOOKUP(B5111,$C$2:$F$6,3,FALSE),2)</f>
        <v>5.59</v>
      </c>
      <c r="Q5111" s="254">
        <v>5.73</v>
      </c>
      <c r="R5111" s="323">
        <f t="shared" ref="R5111:R5115" si="604">Q5111*J5111</f>
        <v>1661.7</v>
      </c>
      <c r="S5111" s="273">
        <v>590</v>
      </c>
      <c r="T5111" s="287">
        <f t="shared" ref="T5111:T5115" si="605">S5111*J5111</f>
        <v>171100</v>
      </c>
      <c r="U5111" s="264"/>
      <c r="V5111" s="260">
        <v>120</v>
      </c>
      <c r="W5111" s="1136">
        <f t="shared" ref="W5111:W5115" si="606">(((K5111*V5111)-S5111)/(K5111*V5111))</f>
        <v>0.22081352350765973</v>
      </c>
    </row>
    <row r="5112" spans="1:51" customFormat="1" ht="18" customHeight="1">
      <c r="A5112" s="1"/>
      <c r="B5112" s="12" t="s">
        <v>302</v>
      </c>
      <c r="C5112" s="6" t="s">
        <v>6362</v>
      </c>
      <c r="D5112" s="14" t="s">
        <v>3202</v>
      </c>
      <c r="E5112" s="19" t="s">
        <v>5293</v>
      </c>
      <c r="F5112" s="107">
        <v>148</v>
      </c>
      <c r="G5112" s="22" t="s">
        <v>212</v>
      </c>
      <c r="H5112" s="8">
        <v>58</v>
      </c>
      <c r="I5112" s="35">
        <v>4</v>
      </c>
      <c r="J5112" s="108">
        <f t="shared" si="601"/>
        <v>232</v>
      </c>
      <c r="K5112" s="39">
        <v>6.31</v>
      </c>
      <c r="L5112" s="39">
        <f t="shared" si="602"/>
        <v>1463.9199999999998</v>
      </c>
      <c r="M5112" s="117" t="s">
        <v>323</v>
      </c>
      <c r="N5112" s="33">
        <v>46069</v>
      </c>
      <c r="O5112" s="32">
        <v>7865</v>
      </c>
      <c r="P5112" s="391">
        <f t="shared" si="603"/>
        <v>5.59</v>
      </c>
      <c r="Q5112" s="254">
        <v>5.73</v>
      </c>
      <c r="R5112" s="323">
        <f t="shared" si="604"/>
        <v>1329.3600000000001</v>
      </c>
      <c r="S5112" s="273">
        <v>590</v>
      </c>
      <c r="T5112" s="287">
        <f t="shared" si="605"/>
        <v>136880</v>
      </c>
      <c r="U5112" s="264"/>
      <c r="V5112" s="260">
        <v>120</v>
      </c>
      <c r="W5112" s="1136">
        <f t="shared" si="606"/>
        <v>0.22081352350765973</v>
      </c>
    </row>
    <row r="5113" spans="1:51" customFormat="1" ht="18" customHeight="1">
      <c r="A5113" s="1"/>
      <c r="B5113" s="12" t="s">
        <v>302</v>
      </c>
      <c r="C5113" s="6" t="s">
        <v>6362</v>
      </c>
      <c r="D5113" s="14" t="s">
        <v>3202</v>
      </c>
      <c r="E5113" s="19" t="s">
        <v>5293</v>
      </c>
      <c r="F5113" s="107">
        <v>148</v>
      </c>
      <c r="G5113" s="22" t="s">
        <v>212</v>
      </c>
      <c r="H5113" s="8">
        <v>59</v>
      </c>
      <c r="I5113" s="35">
        <v>1</v>
      </c>
      <c r="J5113" s="108">
        <f t="shared" si="601"/>
        <v>59</v>
      </c>
      <c r="K5113" s="39">
        <v>6.31</v>
      </c>
      <c r="L5113" s="39">
        <f t="shared" si="602"/>
        <v>372.28999999999996</v>
      </c>
      <c r="M5113" s="117" t="s">
        <v>323</v>
      </c>
      <c r="N5113" s="33">
        <v>46069</v>
      </c>
      <c r="O5113" s="32">
        <v>7865</v>
      </c>
      <c r="P5113" s="391">
        <f t="shared" si="603"/>
        <v>5.59</v>
      </c>
      <c r="Q5113" s="254">
        <v>5.73</v>
      </c>
      <c r="R5113" s="323">
        <f t="shared" si="604"/>
        <v>338.07000000000005</v>
      </c>
      <c r="S5113" s="273">
        <v>590</v>
      </c>
      <c r="T5113" s="287">
        <f t="shared" si="605"/>
        <v>34810</v>
      </c>
      <c r="U5113" s="264"/>
      <c r="V5113" s="260">
        <v>120</v>
      </c>
      <c r="W5113" s="1136">
        <f t="shared" si="606"/>
        <v>0.22081352350765973</v>
      </c>
    </row>
    <row r="5114" spans="1:51" customFormat="1" ht="18" customHeight="1">
      <c r="A5114" s="1"/>
      <c r="B5114" s="12" t="s">
        <v>302</v>
      </c>
      <c r="C5114" s="6" t="s">
        <v>6362</v>
      </c>
      <c r="D5114" s="14" t="s">
        <v>3202</v>
      </c>
      <c r="E5114" s="19" t="s">
        <v>5293</v>
      </c>
      <c r="F5114" s="107">
        <v>148</v>
      </c>
      <c r="G5114" s="22" t="s">
        <v>212</v>
      </c>
      <c r="H5114" s="8">
        <v>59</v>
      </c>
      <c r="I5114" s="35">
        <v>4</v>
      </c>
      <c r="J5114" s="108">
        <f t="shared" si="601"/>
        <v>236</v>
      </c>
      <c r="K5114" s="39">
        <v>6.31</v>
      </c>
      <c r="L5114" s="39">
        <f t="shared" si="602"/>
        <v>1489.1599999999999</v>
      </c>
      <c r="M5114" s="117" t="s">
        <v>323</v>
      </c>
      <c r="N5114" s="33">
        <v>46069</v>
      </c>
      <c r="O5114" s="32">
        <v>7865</v>
      </c>
      <c r="P5114" s="391">
        <f t="shared" si="603"/>
        <v>5.59</v>
      </c>
      <c r="Q5114" s="254">
        <v>5.73</v>
      </c>
      <c r="R5114" s="323">
        <f t="shared" si="604"/>
        <v>1352.2800000000002</v>
      </c>
      <c r="S5114" s="273">
        <v>590</v>
      </c>
      <c r="T5114" s="287">
        <f t="shared" si="605"/>
        <v>139240</v>
      </c>
      <c r="U5114" s="264"/>
      <c r="V5114" s="260">
        <v>120</v>
      </c>
      <c r="W5114" s="1136">
        <f t="shared" si="606"/>
        <v>0.22081352350765973</v>
      </c>
    </row>
    <row r="5115" spans="1:51" customFormat="1" ht="18" customHeight="1">
      <c r="A5115" s="1"/>
      <c r="B5115" s="12" t="s">
        <v>302</v>
      </c>
      <c r="C5115" s="6" t="s">
        <v>6362</v>
      </c>
      <c r="D5115" s="14" t="s">
        <v>3202</v>
      </c>
      <c r="E5115" s="19" t="s">
        <v>5293</v>
      </c>
      <c r="F5115" s="107">
        <v>148</v>
      </c>
      <c r="G5115" s="22" t="s">
        <v>212</v>
      </c>
      <c r="H5115" s="8">
        <v>56</v>
      </c>
      <c r="I5115" s="35">
        <v>1</v>
      </c>
      <c r="J5115" s="108">
        <f t="shared" si="601"/>
        <v>56</v>
      </c>
      <c r="K5115" s="39">
        <v>6.31</v>
      </c>
      <c r="L5115" s="39">
        <f t="shared" si="602"/>
        <v>353.35999999999996</v>
      </c>
      <c r="M5115" s="117" t="s">
        <v>323</v>
      </c>
      <c r="N5115" s="33">
        <v>46069</v>
      </c>
      <c r="O5115" s="32">
        <v>7865</v>
      </c>
      <c r="P5115" s="391">
        <f t="shared" si="603"/>
        <v>5.59</v>
      </c>
      <c r="Q5115" s="254">
        <v>5.73</v>
      </c>
      <c r="R5115" s="323">
        <f t="shared" si="604"/>
        <v>320.88</v>
      </c>
      <c r="S5115" s="273">
        <v>590</v>
      </c>
      <c r="T5115" s="287">
        <f t="shared" si="605"/>
        <v>33040</v>
      </c>
      <c r="U5115" s="264"/>
      <c r="V5115" s="260">
        <v>120</v>
      </c>
      <c r="W5115" s="1136">
        <f t="shared" si="606"/>
        <v>0.22081352350765973</v>
      </c>
    </row>
    <row r="5116" spans="1:51" s="191" customFormat="1" ht="15">
      <c r="B5116" s="190"/>
      <c r="C5116" s="179" t="s">
        <v>6362</v>
      </c>
      <c r="D5116" s="180" t="s">
        <v>3202</v>
      </c>
      <c r="E5116" s="181"/>
      <c r="F5116" s="182"/>
      <c r="G5116" s="182" t="s">
        <v>2738</v>
      </c>
      <c r="H5116" s="184" t="s">
        <v>251</v>
      </c>
      <c r="I5116" s="185"/>
      <c r="J5116" s="183"/>
      <c r="K5116" s="192">
        <v>0</v>
      </c>
      <c r="L5116" s="187"/>
      <c r="M5116" s="187"/>
      <c r="N5116" s="187">
        <v>46069</v>
      </c>
      <c r="O5116" s="186">
        <v>7865</v>
      </c>
      <c r="P5116" s="179"/>
      <c r="Q5116" s="203"/>
      <c r="R5116" s="203"/>
      <c r="S5116" s="203"/>
      <c r="T5116" s="203"/>
      <c r="U5116" s="271"/>
      <c r="V5116" s="260">
        <v>120</v>
      </c>
      <c r="W5116" s="1136" t="e">
        <f t="shared" si="582"/>
        <v>#DIV/0!</v>
      </c>
    </row>
    <row r="5117" spans="1:51" customFormat="1" ht="18" customHeight="1">
      <c r="A5117" s="1"/>
      <c r="B5117" s="26"/>
      <c r="C5117" s="6" t="s">
        <v>6364</v>
      </c>
      <c r="D5117" s="14" t="s">
        <v>2034</v>
      </c>
      <c r="E5117" s="19" t="s">
        <v>59</v>
      </c>
      <c r="F5117" s="107"/>
      <c r="G5117" s="22"/>
      <c r="H5117" s="108"/>
      <c r="I5117" s="109"/>
      <c r="J5117" s="108"/>
      <c r="K5117" s="110" t="s">
        <v>5</v>
      </c>
      <c r="L5117" s="33"/>
      <c r="M5117" s="33"/>
      <c r="N5117" s="1398">
        <v>46036</v>
      </c>
      <c r="O5117" s="32">
        <v>7774</v>
      </c>
      <c r="P5117" s="14"/>
      <c r="Q5117" s="254"/>
      <c r="R5117" s="1"/>
      <c r="S5117" s="261"/>
      <c r="T5117" s="92"/>
      <c r="U5117" s="264"/>
      <c r="V5117" s="260">
        <v>120</v>
      </c>
      <c r="W5117" s="1136" t="e">
        <f t="shared" si="582"/>
        <v>#VALUE!</v>
      </c>
      <c r="X5117" s="1"/>
      <c r="Y5117" s="1"/>
      <c r="Z5117" s="1"/>
      <c r="AA5117" s="1"/>
      <c r="AB5117" s="1"/>
      <c r="AC5117" s="1"/>
      <c r="AD5117" s="1"/>
      <c r="AE5117" s="1"/>
      <c r="AF5117" s="1"/>
      <c r="AG5117" s="1"/>
      <c r="AH5117" s="1"/>
      <c r="AI5117" s="1"/>
      <c r="AJ5117" s="1"/>
      <c r="AK5117" s="1"/>
      <c r="AL5117" s="1"/>
      <c r="AM5117" s="1"/>
      <c r="AN5117" s="1"/>
      <c r="AO5117" s="1"/>
      <c r="AP5117" s="1"/>
      <c r="AQ5117" s="1"/>
      <c r="AR5117" s="1"/>
      <c r="AS5117" s="1"/>
      <c r="AT5117" s="1"/>
      <c r="AU5117" s="1"/>
      <c r="AV5117" s="1"/>
      <c r="AW5117" s="1"/>
      <c r="AX5117" s="1"/>
      <c r="AY5117" s="1"/>
    </row>
    <row r="5118" spans="1:51" customFormat="1" ht="18" customHeight="1">
      <c r="B5118" s="12" t="s">
        <v>302</v>
      </c>
      <c r="C5118" s="6" t="s">
        <v>6364</v>
      </c>
      <c r="D5118" s="14" t="s">
        <v>2034</v>
      </c>
      <c r="E5118" s="374" t="s">
        <v>5832</v>
      </c>
      <c r="F5118" s="107">
        <v>150</v>
      </c>
      <c r="G5118" s="22" t="s">
        <v>353</v>
      </c>
      <c r="H5118" s="108">
        <v>50</v>
      </c>
      <c r="I5118" s="109">
        <v>1</v>
      </c>
      <c r="J5118" s="8">
        <f>H5118*I5118</f>
        <v>50</v>
      </c>
      <c r="K5118" s="39">
        <v>9.8000000000000007</v>
      </c>
      <c r="L5118" s="39">
        <f>K5118*J5118</f>
        <v>490.00000000000006</v>
      </c>
      <c r="M5118" s="117" t="s">
        <v>323</v>
      </c>
      <c r="N5118" s="1398">
        <v>46036</v>
      </c>
      <c r="O5118" s="32">
        <v>7774</v>
      </c>
      <c r="P5118" s="391">
        <f>ROUNDUP(S5118/V5118/VLOOKUP(B5118,$C$2:$F$6,3,FALSE),2)</f>
        <v>8.6199999999999992</v>
      </c>
      <c r="Q5118" s="254">
        <v>8.6199999999999992</v>
      </c>
      <c r="R5118" s="323">
        <f>Q5118*J5118</f>
        <v>430.99999999999994</v>
      </c>
      <c r="S5118" s="257">
        <v>910</v>
      </c>
      <c r="T5118" s="287">
        <f>S5118*J5118</f>
        <v>45500</v>
      </c>
      <c r="U5118" s="264"/>
      <c r="V5118" s="260">
        <v>120</v>
      </c>
      <c r="W5118" s="1136">
        <f t="shared" si="582"/>
        <v>0.22619047619047619</v>
      </c>
      <c r="X5118" s="1"/>
      <c r="Y5118" s="1"/>
      <c r="Z5118" s="1"/>
      <c r="AA5118" s="1"/>
      <c r="AB5118" s="1"/>
      <c r="AC5118" s="1"/>
      <c r="AD5118" s="1"/>
      <c r="AE5118" s="1"/>
      <c r="AF5118" s="1"/>
      <c r="AG5118" s="1"/>
      <c r="AH5118" s="1"/>
      <c r="AI5118" s="1"/>
      <c r="AJ5118" s="1"/>
      <c r="AK5118" s="1"/>
      <c r="AL5118" s="1"/>
      <c r="AM5118" s="1"/>
      <c r="AN5118" s="1"/>
      <c r="AO5118" s="1"/>
      <c r="AP5118" s="1"/>
      <c r="AQ5118" s="1"/>
      <c r="AR5118" s="1"/>
      <c r="AS5118" s="1"/>
      <c r="AT5118" s="1"/>
      <c r="AU5118" s="1"/>
      <c r="AV5118" s="1"/>
      <c r="AW5118" s="1"/>
      <c r="AX5118" s="1"/>
      <c r="AY5118" s="1"/>
    </row>
    <row r="5119" spans="1:51" s="7" customFormat="1" ht="15">
      <c r="B5119" s="12"/>
      <c r="C5119" s="6" t="s">
        <v>6364</v>
      </c>
      <c r="D5119" s="14" t="s">
        <v>2034</v>
      </c>
      <c r="E5119" s="49"/>
      <c r="F5119" s="102"/>
      <c r="G5119" s="22" t="s">
        <v>316</v>
      </c>
      <c r="H5119" s="38"/>
      <c r="I5119" s="35"/>
      <c r="J5119" s="38">
        <v>1</v>
      </c>
      <c r="K5119" s="39">
        <v>20</v>
      </c>
      <c r="L5119" s="39">
        <f>K5119*J5119</f>
        <v>20</v>
      </c>
      <c r="M5119" s="91"/>
      <c r="N5119" s="1398">
        <v>46036</v>
      </c>
      <c r="O5119" s="32">
        <v>7774</v>
      </c>
      <c r="P5119" s="722"/>
      <c r="Q5119" s="322">
        <v>20</v>
      </c>
      <c r="R5119" s="322">
        <f>Q5119*J5119</f>
        <v>20</v>
      </c>
      <c r="S5119" s="7">
        <v>2500</v>
      </c>
      <c r="T5119" s="7">
        <f>S5119*J5119</f>
        <v>2500</v>
      </c>
      <c r="U5119" s="21"/>
      <c r="V5119" s="260">
        <v>120</v>
      </c>
      <c r="W5119" s="1136">
        <f t="shared" si="582"/>
        <v>-4.1666666666666664E-2</v>
      </c>
    </row>
    <row r="5120" spans="1:51" s="191" customFormat="1" ht="15">
      <c r="B5120" s="190"/>
      <c r="C5120" s="179" t="s">
        <v>6364</v>
      </c>
      <c r="D5120" s="180" t="s">
        <v>2034</v>
      </c>
      <c r="E5120" s="181"/>
      <c r="F5120" s="182"/>
      <c r="G5120" s="182" t="s">
        <v>2738</v>
      </c>
      <c r="H5120" s="184" t="s">
        <v>374</v>
      </c>
      <c r="I5120" s="185"/>
      <c r="J5120" s="183"/>
      <c r="K5120" s="203">
        <v>140</v>
      </c>
      <c r="L5120" s="203">
        <v>140</v>
      </c>
      <c r="M5120" s="187"/>
      <c r="N5120" s="1399">
        <v>46036</v>
      </c>
      <c r="O5120" s="186">
        <v>7774</v>
      </c>
      <c r="P5120" s="179"/>
      <c r="Q5120" s="203">
        <v>140</v>
      </c>
      <c r="R5120" s="203">
        <v>140</v>
      </c>
      <c r="S5120" s="1201">
        <f>2090+11128</f>
        <v>13218</v>
      </c>
      <c r="T5120" s="1201">
        <f>S5120</f>
        <v>13218</v>
      </c>
      <c r="U5120" s="271"/>
      <c r="V5120" s="260">
        <v>120</v>
      </c>
      <c r="W5120" s="1136">
        <f>(((K5120*V5120)-S5120)/(K5120*V5120))</f>
        <v>0.21321428571428572</v>
      </c>
    </row>
    <row r="5121" spans="1:51" customFormat="1" ht="18" customHeight="1">
      <c r="A5121" s="1"/>
      <c r="B5121" s="26"/>
      <c r="C5121" s="6" t="s">
        <v>6364</v>
      </c>
      <c r="D5121" s="14" t="s">
        <v>2034</v>
      </c>
      <c r="E5121" s="19" t="s">
        <v>59</v>
      </c>
      <c r="F5121" s="107"/>
      <c r="G5121" s="22"/>
      <c r="H5121" s="108"/>
      <c r="I5121" s="109"/>
      <c r="J5121" s="108"/>
      <c r="K5121" s="110" t="s">
        <v>5</v>
      </c>
      <c r="L5121" s="33"/>
      <c r="M5121" s="33"/>
      <c r="N5121" s="1398">
        <v>46093</v>
      </c>
      <c r="O5121" s="32">
        <v>7884</v>
      </c>
      <c r="P5121" s="14"/>
      <c r="Q5121" s="254"/>
      <c r="R5121" s="1"/>
      <c r="S5121" s="261"/>
      <c r="T5121" s="92"/>
      <c r="U5121" s="264"/>
      <c r="V5121" s="260">
        <v>120</v>
      </c>
      <c r="W5121" s="1136" t="e">
        <f t="shared" ref="W5121" si="607">(((K5121*V5121)-S5121)/(K5121*V5121))</f>
        <v>#VALUE!</v>
      </c>
      <c r="X5121" s="1"/>
      <c r="Y5121" s="1"/>
      <c r="Z5121" s="1"/>
      <c r="AA5121" s="1"/>
      <c r="AB5121" s="1"/>
      <c r="AC5121" s="1"/>
      <c r="AD5121" s="1"/>
      <c r="AE5121" s="1"/>
      <c r="AF5121" s="1"/>
      <c r="AG5121" s="1"/>
      <c r="AH5121" s="1"/>
      <c r="AI5121" s="1"/>
      <c r="AJ5121" s="1"/>
      <c r="AK5121" s="1"/>
      <c r="AL5121" s="1"/>
      <c r="AM5121" s="1"/>
      <c r="AN5121" s="1"/>
      <c r="AO5121" s="1"/>
      <c r="AP5121" s="1"/>
      <c r="AQ5121" s="1"/>
      <c r="AR5121" s="1"/>
      <c r="AS5121" s="1"/>
      <c r="AT5121" s="1"/>
      <c r="AU5121" s="1"/>
      <c r="AV5121" s="1"/>
      <c r="AW5121" s="1"/>
      <c r="AX5121" s="1"/>
      <c r="AY5121" s="1"/>
    </row>
    <row r="5122" spans="1:51" customFormat="1" ht="18" customHeight="1">
      <c r="B5122" s="12" t="s">
        <v>302</v>
      </c>
      <c r="C5122" s="6" t="s">
        <v>6364</v>
      </c>
      <c r="D5122" s="14" t="s">
        <v>2034</v>
      </c>
      <c r="E5122" s="22" t="s">
        <v>5832</v>
      </c>
      <c r="F5122" s="107">
        <v>150</v>
      </c>
      <c r="G5122" s="22" t="s">
        <v>353</v>
      </c>
      <c r="H5122" s="108">
        <v>50</v>
      </c>
      <c r="I5122" s="109">
        <v>2</v>
      </c>
      <c r="J5122" s="8">
        <f>H5122*I5122</f>
        <v>100</v>
      </c>
      <c r="K5122" s="39">
        <v>9.8000000000000007</v>
      </c>
      <c r="L5122" s="39">
        <f>K5122*J5122</f>
        <v>980.00000000000011</v>
      </c>
      <c r="M5122" s="117" t="s">
        <v>323</v>
      </c>
      <c r="N5122" s="1398">
        <v>46093</v>
      </c>
      <c r="O5122" s="32">
        <v>7884</v>
      </c>
      <c r="P5122" s="391">
        <f>ROUNDUP(S5122/V5122/VLOOKUP(B5122,$C$2:$F$6,3,FALSE),2)</f>
        <v>8.6199999999999992</v>
      </c>
      <c r="Q5122" s="254">
        <v>8.6199999999999992</v>
      </c>
      <c r="R5122" s="323">
        <f>Q5122*J5122</f>
        <v>861.99999999999989</v>
      </c>
      <c r="S5122" s="257">
        <v>910</v>
      </c>
      <c r="T5122" s="287">
        <f>S5122*J5122</f>
        <v>91000</v>
      </c>
      <c r="U5122" s="264"/>
      <c r="V5122" s="260">
        <v>120</v>
      </c>
      <c r="W5122" s="1136">
        <f t="shared" ref="W5122:W5123" si="608">(((K5122*V5122)-S5122)/(K5122*V5122))</f>
        <v>0.22619047619047619</v>
      </c>
      <c r="X5122" s="1"/>
      <c r="Y5122" s="1"/>
      <c r="Z5122" s="1"/>
      <c r="AA5122" s="1"/>
      <c r="AB5122" s="1"/>
      <c r="AC5122" s="1"/>
      <c r="AD5122" s="1"/>
      <c r="AE5122" s="1"/>
      <c r="AF5122" s="1"/>
      <c r="AG5122" s="1"/>
      <c r="AH5122" s="1"/>
      <c r="AI5122" s="1"/>
      <c r="AJ5122" s="1"/>
      <c r="AK5122" s="1"/>
      <c r="AL5122" s="1"/>
      <c r="AM5122" s="1"/>
      <c r="AN5122" s="1"/>
      <c r="AO5122" s="1"/>
      <c r="AP5122" s="1"/>
      <c r="AQ5122" s="1"/>
      <c r="AR5122" s="1"/>
      <c r="AS5122" s="1"/>
      <c r="AT5122" s="1"/>
      <c r="AU5122" s="1"/>
      <c r="AV5122" s="1"/>
      <c r="AW5122" s="1"/>
      <c r="AX5122" s="1"/>
      <c r="AY5122" s="1"/>
    </row>
    <row r="5123" spans="1:51" s="7" customFormat="1" ht="15">
      <c r="B5123" s="12"/>
      <c r="C5123" s="6" t="s">
        <v>6364</v>
      </c>
      <c r="D5123" s="14" t="s">
        <v>2034</v>
      </c>
      <c r="E5123" s="49"/>
      <c r="F5123" s="102"/>
      <c r="G5123" s="22" t="s">
        <v>316</v>
      </c>
      <c r="H5123" s="38"/>
      <c r="I5123" s="35"/>
      <c r="J5123" s="38">
        <v>1</v>
      </c>
      <c r="K5123" s="39">
        <v>20</v>
      </c>
      <c r="L5123" s="39">
        <f>K5123*J5123</f>
        <v>20</v>
      </c>
      <c r="M5123" s="91"/>
      <c r="N5123" s="1398">
        <v>46093</v>
      </c>
      <c r="O5123" s="32">
        <v>7884</v>
      </c>
      <c r="P5123" s="722"/>
      <c r="Q5123" s="322">
        <v>20</v>
      </c>
      <c r="R5123" s="322">
        <f>Q5123*J5123</f>
        <v>20</v>
      </c>
      <c r="S5123" s="7">
        <v>2500</v>
      </c>
      <c r="T5123" s="7">
        <f>S5123*J5123</f>
        <v>2500</v>
      </c>
      <c r="U5123" s="21"/>
      <c r="V5123" s="260">
        <v>120</v>
      </c>
      <c r="W5123" s="1136">
        <f t="shared" si="608"/>
        <v>-4.1666666666666664E-2</v>
      </c>
    </row>
    <row r="5124" spans="1:51" s="191" customFormat="1" ht="15">
      <c r="B5124" s="190"/>
      <c r="C5124" s="179" t="s">
        <v>6364</v>
      </c>
      <c r="D5124" s="180" t="s">
        <v>2034</v>
      </c>
      <c r="E5124" s="181"/>
      <c r="F5124" s="182"/>
      <c r="G5124" s="182" t="s">
        <v>2738</v>
      </c>
      <c r="H5124" s="184" t="s">
        <v>374</v>
      </c>
      <c r="I5124" s="185"/>
      <c r="J5124" s="183"/>
      <c r="K5124" s="203">
        <v>230</v>
      </c>
      <c r="L5124" s="203">
        <v>230</v>
      </c>
      <c r="M5124" s="187"/>
      <c r="N5124" s="1399">
        <v>46093</v>
      </c>
      <c r="O5124" s="186">
        <v>7884</v>
      </c>
      <c r="P5124" s="179"/>
      <c r="Q5124" s="203">
        <v>230</v>
      </c>
      <c r="R5124" s="203">
        <v>230</v>
      </c>
      <c r="S5124" s="7">
        <v>22861</v>
      </c>
      <c r="T5124" s="7">
        <v>22861</v>
      </c>
      <c r="U5124" s="271"/>
      <c r="V5124" s="260">
        <v>120</v>
      </c>
      <c r="W5124" s="1136">
        <f>(((K5124*V5124)-S5124)/(K5124*V5124))</f>
        <v>0.17170289855072463</v>
      </c>
    </row>
    <row r="5125" spans="1:51" s="7" customFormat="1" ht="18" customHeight="1">
      <c r="B5125" s="12"/>
      <c r="C5125" s="6" t="s">
        <v>6366</v>
      </c>
      <c r="D5125" s="14" t="s">
        <v>6379</v>
      </c>
      <c r="E5125" s="19" t="s">
        <v>2358</v>
      </c>
      <c r="F5125" s="24"/>
      <c r="G5125" s="22"/>
      <c r="H5125" s="60"/>
      <c r="I5125" s="61"/>
      <c r="J5125" s="60"/>
      <c r="K5125" s="16" t="s">
        <v>5</v>
      </c>
      <c r="L5125" s="139"/>
      <c r="M5125" s="33"/>
      <c r="N5125" s="33">
        <v>46035</v>
      </c>
      <c r="O5125" s="32">
        <v>7773</v>
      </c>
      <c r="P5125" s="6" t="s">
        <v>3</v>
      </c>
      <c r="Q5125" s="358"/>
      <c r="S5125" s="1434"/>
      <c r="U5125" s="120"/>
      <c r="V5125" s="260">
        <v>120</v>
      </c>
    </row>
    <row r="5126" spans="1:51" s="7" customFormat="1" ht="18" customHeight="1">
      <c r="B5126" s="12" t="s">
        <v>300</v>
      </c>
      <c r="C5126" s="6" t="s">
        <v>6366</v>
      </c>
      <c r="D5126" s="14" t="s">
        <v>6379</v>
      </c>
      <c r="E5126" s="221" t="s">
        <v>5600</v>
      </c>
      <c r="F5126" s="24"/>
      <c r="G5126" s="22" t="s">
        <v>5318</v>
      </c>
      <c r="H5126" s="108"/>
      <c r="I5126" s="109"/>
      <c r="J5126" s="8">
        <v>10</v>
      </c>
      <c r="K5126" s="39">
        <v>3.23</v>
      </c>
      <c r="L5126" s="39">
        <f t="shared" ref="L5126:L5127" si="609">K5126*J5126</f>
        <v>32.299999999999997</v>
      </c>
      <c r="M5126" s="117" t="s">
        <v>323</v>
      </c>
      <c r="N5126" s="33">
        <v>46035</v>
      </c>
      <c r="O5126" s="32">
        <v>7773</v>
      </c>
      <c r="P5126" s="391">
        <f t="shared" ref="P5126" si="610">ROUNDUP(S5126/V5126/VLOOKUP(B5126,$C$2:$F$6,3,FALSE),2)</f>
        <v>2.48</v>
      </c>
      <c r="Q5126" s="322">
        <v>2.48</v>
      </c>
      <c r="R5126" s="322">
        <f t="shared" ref="R5126:R5127" si="611">Q5126*J5126</f>
        <v>24.8</v>
      </c>
      <c r="S5126" s="7">
        <v>208</v>
      </c>
      <c r="T5126" s="7">
        <f t="shared" ref="T5126:T5127" si="612">S5126*J5126</f>
        <v>2080</v>
      </c>
      <c r="U5126" s="386"/>
      <c r="V5126" s="260">
        <v>120</v>
      </c>
      <c r="W5126" s="1136">
        <f t="shared" ref="W5126:W5128" si="613">(((K5126*V5126)-S5126)/(K5126*V5126))</f>
        <v>0.46336429308565535</v>
      </c>
    </row>
    <row r="5127" spans="1:51" s="7" customFormat="1" ht="18" customHeight="1">
      <c r="B5127" s="12"/>
      <c r="C5127" s="6" t="s">
        <v>6366</v>
      </c>
      <c r="D5127" s="14" t="s">
        <v>6379</v>
      </c>
      <c r="E5127" s="49"/>
      <c r="F5127" s="102"/>
      <c r="G5127" s="22" t="s">
        <v>316</v>
      </c>
      <c r="H5127" s="8"/>
      <c r="I5127" s="35"/>
      <c r="J5127" s="38">
        <v>1</v>
      </c>
      <c r="K5127" s="39">
        <v>12</v>
      </c>
      <c r="L5127" s="39">
        <f t="shared" si="609"/>
        <v>12</v>
      </c>
      <c r="M5127" s="117" t="s">
        <v>349</v>
      </c>
      <c r="N5127" s="33">
        <v>46035</v>
      </c>
      <c r="O5127" s="32">
        <v>7773</v>
      </c>
      <c r="P5127" s="6" t="s">
        <v>3</v>
      </c>
      <c r="Q5127" s="39">
        <v>12</v>
      </c>
      <c r="R5127" s="322">
        <f t="shared" si="611"/>
        <v>12</v>
      </c>
      <c r="S5127" s="1388">
        <v>900</v>
      </c>
      <c r="T5127" s="1388">
        <f t="shared" si="612"/>
        <v>900</v>
      </c>
      <c r="U5127" s="21"/>
      <c r="V5127" s="260">
        <v>120</v>
      </c>
      <c r="W5127" s="1136">
        <f t="shared" si="613"/>
        <v>0.375</v>
      </c>
    </row>
    <row r="5128" spans="1:51" s="191" customFormat="1" ht="18" customHeight="1">
      <c r="B5128" s="190"/>
      <c r="C5128" s="179" t="s">
        <v>6366</v>
      </c>
      <c r="D5128" s="180" t="s">
        <v>6379</v>
      </c>
      <c r="E5128" s="217"/>
      <c r="F5128" s="182"/>
      <c r="G5128" s="182" t="s">
        <v>250</v>
      </c>
      <c r="H5128" s="184" t="s">
        <v>251</v>
      </c>
      <c r="I5128" s="185"/>
      <c r="J5128" s="183"/>
      <c r="K5128" s="192">
        <v>0</v>
      </c>
      <c r="L5128" s="187"/>
      <c r="M5128" s="1310"/>
      <c r="N5128" s="187">
        <v>46035</v>
      </c>
      <c r="O5128" s="186">
        <v>7773</v>
      </c>
      <c r="P5128" s="179"/>
      <c r="Q5128" s="255">
        <v>0</v>
      </c>
      <c r="R5128" s="322">
        <v>0</v>
      </c>
      <c r="S5128" s="275">
        <v>0</v>
      </c>
      <c r="T5128" s="198">
        <v>0</v>
      </c>
      <c r="U5128" s="271"/>
      <c r="V5128" s="260">
        <v>120</v>
      </c>
      <c r="W5128" s="1136" t="e">
        <f t="shared" si="613"/>
        <v>#DIV/0!</v>
      </c>
    </row>
    <row r="5129" spans="1:51" s="7" customFormat="1" ht="18" customHeight="1">
      <c r="B5129" s="12"/>
      <c r="C5129" s="6" t="s">
        <v>6380</v>
      </c>
      <c r="D5129" s="14" t="s">
        <v>5801</v>
      </c>
      <c r="E5129" s="19" t="s">
        <v>2358</v>
      </c>
      <c r="F5129" s="24"/>
      <c r="G5129" s="22"/>
      <c r="H5129" s="60"/>
      <c r="I5129" s="61"/>
      <c r="J5129" s="60"/>
      <c r="K5129" s="16" t="s">
        <v>5</v>
      </c>
      <c r="L5129" s="139"/>
      <c r="M5129" s="33"/>
      <c r="N5129" s="33">
        <v>46038</v>
      </c>
      <c r="O5129" s="32">
        <v>7789</v>
      </c>
      <c r="P5129" s="6" t="s">
        <v>3</v>
      </c>
      <c r="Q5129" s="358"/>
      <c r="S5129" s="1434"/>
      <c r="U5129" s="120"/>
      <c r="V5129" s="260">
        <v>120</v>
      </c>
    </row>
    <row r="5130" spans="1:51" s="7" customFormat="1" ht="18" customHeight="1">
      <c r="B5130" s="12" t="s">
        <v>300</v>
      </c>
      <c r="C5130" s="6" t="s">
        <v>6380</v>
      </c>
      <c r="D5130" s="14" t="s">
        <v>5801</v>
      </c>
      <c r="E5130" s="374" t="s">
        <v>5802</v>
      </c>
      <c r="F5130" s="24"/>
      <c r="G5130" s="22" t="s">
        <v>5318</v>
      </c>
      <c r="H5130" s="108"/>
      <c r="I5130" s="109"/>
      <c r="J5130" s="8">
        <v>30</v>
      </c>
      <c r="K5130" s="39">
        <v>1.85</v>
      </c>
      <c r="L5130" s="39">
        <f>K5130*J5130</f>
        <v>55.5</v>
      </c>
      <c r="M5130" s="117" t="s">
        <v>323</v>
      </c>
      <c r="N5130" s="1398">
        <v>46038</v>
      </c>
      <c r="O5130" s="32">
        <v>7789</v>
      </c>
      <c r="P5130" s="391">
        <f>ROUNDUP(S5130/V5130/VLOOKUP(B5130,$C$2:$F$6,3,FALSE),2)</f>
        <v>1.2</v>
      </c>
      <c r="Q5130" s="322">
        <v>1.2</v>
      </c>
      <c r="R5130" s="322">
        <f>Q5130*J5130</f>
        <v>36</v>
      </c>
      <c r="S5130" s="7">
        <v>100</v>
      </c>
      <c r="T5130" s="7">
        <f>S5130*J5130</f>
        <v>3000</v>
      </c>
      <c r="U5130" s="386"/>
      <c r="V5130" s="260">
        <v>120</v>
      </c>
      <c r="W5130" s="1136">
        <f t="shared" ref="W5130:W5131" si="614">(((K5130*V5130)-S5130)/(K5130*V5130))</f>
        <v>0.5495495495495496</v>
      </c>
    </row>
    <row r="5131" spans="1:51" s="7" customFormat="1" ht="18" customHeight="1">
      <c r="B5131" s="12"/>
      <c r="C5131" s="6" t="s">
        <v>6380</v>
      </c>
      <c r="D5131" s="14" t="s">
        <v>5801</v>
      </c>
      <c r="E5131" s="49"/>
      <c r="F5131" s="102"/>
      <c r="G5131" s="22" t="s">
        <v>316</v>
      </c>
      <c r="H5131" s="8"/>
      <c r="I5131" s="35"/>
      <c r="J5131" s="38">
        <v>1</v>
      </c>
      <c r="K5131" s="39">
        <v>12</v>
      </c>
      <c r="L5131" s="39">
        <f>K5131*J5131</f>
        <v>12</v>
      </c>
      <c r="M5131" s="91"/>
      <c r="N5131" s="33">
        <v>46038</v>
      </c>
      <c r="O5131" s="32">
        <v>7789</v>
      </c>
      <c r="P5131" s="6" t="s">
        <v>3</v>
      </c>
      <c r="Q5131" s="39">
        <v>12</v>
      </c>
      <c r="R5131" s="322">
        <f>Q5131*J5131</f>
        <v>12</v>
      </c>
      <c r="S5131" s="1388">
        <v>0</v>
      </c>
      <c r="T5131" s="1388">
        <v>0</v>
      </c>
      <c r="U5131" s="21"/>
      <c r="V5131" s="260">
        <v>120</v>
      </c>
      <c r="W5131" s="1136">
        <f t="shared" si="614"/>
        <v>1</v>
      </c>
    </row>
    <row r="5132" spans="1:51" s="7" customFormat="1" ht="18" customHeight="1">
      <c r="B5132" s="12"/>
      <c r="C5132" s="6" t="s">
        <v>6382</v>
      </c>
      <c r="D5132" s="14" t="s">
        <v>5801</v>
      </c>
      <c r="E5132" s="19" t="s">
        <v>2358</v>
      </c>
      <c r="F5132" s="24"/>
      <c r="G5132" s="22"/>
      <c r="H5132" s="60"/>
      <c r="I5132" s="61"/>
      <c r="J5132" s="60"/>
      <c r="K5132" s="16" t="s">
        <v>5</v>
      </c>
      <c r="L5132" s="139"/>
      <c r="M5132" s="33"/>
      <c r="N5132" s="33">
        <v>46038</v>
      </c>
      <c r="O5132" s="32">
        <v>7789</v>
      </c>
      <c r="P5132" s="6" t="s">
        <v>3</v>
      </c>
      <c r="Q5132" s="358"/>
      <c r="S5132" s="1434"/>
      <c r="U5132" s="120"/>
      <c r="V5132" s="260">
        <v>120</v>
      </c>
    </row>
    <row r="5133" spans="1:51" s="7" customFormat="1" ht="18" customHeight="1">
      <c r="B5133" s="12" t="s">
        <v>300</v>
      </c>
      <c r="C5133" s="6" t="s">
        <v>6382</v>
      </c>
      <c r="D5133" s="14" t="s">
        <v>5801</v>
      </c>
      <c r="E5133" s="374" t="s">
        <v>6383</v>
      </c>
      <c r="F5133" s="24"/>
      <c r="G5133" s="22" t="s">
        <v>5318</v>
      </c>
      <c r="H5133" s="108"/>
      <c r="I5133" s="109"/>
      <c r="J5133" s="8">
        <v>10</v>
      </c>
      <c r="K5133" s="39">
        <v>3.92</v>
      </c>
      <c r="L5133" s="39">
        <f>K5133*J5133</f>
        <v>39.200000000000003</v>
      </c>
      <c r="M5133" s="117" t="s">
        <v>323</v>
      </c>
      <c r="N5133" s="1398">
        <v>46038</v>
      </c>
      <c r="O5133" s="32">
        <v>7789</v>
      </c>
      <c r="P5133" s="391">
        <f>ROUNDUP(S5133/V5133/VLOOKUP(B5133,$C$2:$F$6,3,FALSE),2)</f>
        <v>3.0199999999999996</v>
      </c>
      <c r="Q5133" s="322">
        <v>3.02</v>
      </c>
      <c r="R5133" s="322">
        <f>Q5133*J5133</f>
        <v>30.2</v>
      </c>
      <c r="S5133" s="7">
        <v>253</v>
      </c>
      <c r="T5133" s="7">
        <f>S5133*J5133</f>
        <v>2530</v>
      </c>
      <c r="U5133" s="386"/>
      <c r="V5133" s="260">
        <v>120</v>
      </c>
      <c r="W5133" s="1136">
        <f t="shared" ref="W5133:W5136" si="615">(((K5133*V5133)-S5133)/(K5133*V5133))</f>
        <v>0.46215986394557823</v>
      </c>
    </row>
    <row r="5134" spans="1:51" s="7" customFormat="1" ht="18" customHeight="1">
      <c r="B5134" s="12"/>
      <c r="C5134" s="6" t="s">
        <v>6382</v>
      </c>
      <c r="D5134" s="14" t="s">
        <v>5801</v>
      </c>
      <c r="E5134" s="49"/>
      <c r="F5134" s="102"/>
      <c r="G5134" s="22" t="s">
        <v>316</v>
      </c>
      <c r="H5134" s="8"/>
      <c r="I5134" s="35"/>
      <c r="J5134" s="38">
        <v>1</v>
      </c>
      <c r="K5134" s="39">
        <v>12</v>
      </c>
      <c r="L5134" s="39">
        <f>K5134*J5134</f>
        <v>12</v>
      </c>
      <c r="M5134" s="91"/>
      <c r="N5134" s="33">
        <v>46038</v>
      </c>
      <c r="O5134" s="32">
        <v>7789</v>
      </c>
      <c r="P5134" s="6" t="s">
        <v>3</v>
      </c>
      <c r="Q5134" s="39">
        <v>12</v>
      </c>
      <c r="R5134" s="322">
        <f>Q5134*J5134</f>
        <v>12</v>
      </c>
      <c r="S5134" s="1388">
        <v>900</v>
      </c>
      <c r="T5134" s="1388">
        <f>S5134*J5134</f>
        <v>900</v>
      </c>
      <c r="U5134" s="21"/>
      <c r="V5134" s="260">
        <v>120</v>
      </c>
      <c r="W5134" s="1136">
        <f t="shared" si="615"/>
        <v>0.375</v>
      </c>
    </row>
    <row r="5135" spans="1:51" s="191" customFormat="1" ht="18" customHeight="1">
      <c r="B5135" s="190"/>
      <c r="C5135" s="179" t="s">
        <v>6382</v>
      </c>
      <c r="D5135" s="180" t="s">
        <v>5801</v>
      </c>
      <c r="E5135" s="217"/>
      <c r="F5135" s="182"/>
      <c r="G5135" s="182" t="s">
        <v>250</v>
      </c>
      <c r="H5135" s="184" t="s">
        <v>374</v>
      </c>
      <c r="I5135" s="185"/>
      <c r="J5135" s="183"/>
      <c r="K5135" s="1535">
        <v>35</v>
      </c>
      <c r="L5135" s="1535">
        <v>35</v>
      </c>
      <c r="M5135" s="1717"/>
      <c r="N5135" s="1399">
        <v>46038</v>
      </c>
      <c r="O5135" s="1707">
        <v>7789</v>
      </c>
      <c r="P5135" s="1718"/>
      <c r="Q5135" s="1535">
        <v>35</v>
      </c>
      <c r="R5135" s="1535">
        <v>35</v>
      </c>
      <c r="S5135" s="1704">
        <v>3471</v>
      </c>
      <c r="T5135" s="1705">
        <v>3471</v>
      </c>
      <c r="U5135" s="271"/>
      <c r="V5135" s="260">
        <v>120</v>
      </c>
      <c r="W5135" s="1136">
        <f t="shared" si="615"/>
        <v>0.17357142857142857</v>
      </c>
    </row>
    <row r="5136" spans="1:51" s="7" customFormat="1" ht="15">
      <c r="B5136" s="12"/>
      <c r="C5136" s="6" t="s">
        <v>6392</v>
      </c>
      <c r="D5136" s="14" t="s">
        <v>3189</v>
      </c>
      <c r="E5136" s="19" t="s">
        <v>160</v>
      </c>
      <c r="F5136" s="24"/>
      <c r="G5136" s="22"/>
      <c r="H5136" s="60"/>
      <c r="I5136" s="61"/>
      <c r="J5136" s="60"/>
      <c r="K5136" s="16" t="s">
        <v>101</v>
      </c>
      <c r="L5136" s="33"/>
      <c r="M5136" s="33"/>
      <c r="N5136" s="33">
        <v>46042</v>
      </c>
      <c r="O5136" s="32">
        <v>7797</v>
      </c>
      <c r="P5136" s="6" t="s">
        <v>8</v>
      </c>
      <c r="Q5136" s="252"/>
      <c r="S5136" s="257"/>
      <c r="T5136" s="92"/>
      <c r="U5136" s="265"/>
      <c r="V5136" s="260">
        <v>120</v>
      </c>
      <c r="W5136" s="1136" t="e">
        <f t="shared" si="615"/>
        <v>#VALUE!</v>
      </c>
    </row>
    <row r="5137" spans="2:23" s="7" customFormat="1" ht="15.75">
      <c r="B5137" s="12" t="s">
        <v>300</v>
      </c>
      <c r="C5137" s="6" t="s">
        <v>6392</v>
      </c>
      <c r="D5137" s="14" t="s">
        <v>3189</v>
      </c>
      <c r="E5137" s="22">
        <v>14552</v>
      </c>
      <c r="F5137" s="24">
        <v>10</v>
      </c>
      <c r="G5137" s="22" t="s">
        <v>6391</v>
      </c>
      <c r="H5137" s="108">
        <v>30</v>
      </c>
      <c r="I5137" s="109">
        <v>37</v>
      </c>
      <c r="J5137" s="60">
        <f>H5137*I5137</f>
        <v>1110</v>
      </c>
      <c r="K5137" s="23">
        <v>0.77</v>
      </c>
      <c r="L5137" s="39">
        <f>K5137*J5137</f>
        <v>854.7</v>
      </c>
      <c r="M5137" s="117" t="s">
        <v>323</v>
      </c>
      <c r="N5137" s="33">
        <v>46042</v>
      </c>
      <c r="O5137" s="32">
        <v>7797</v>
      </c>
      <c r="P5137" s="391">
        <f>ROUNDUP(S5137/V5137/VLOOKUP(B5137,$C$2:$F$6,3,FALSE),2)</f>
        <v>0.55000000000000004</v>
      </c>
      <c r="Q5137" s="253">
        <v>0.55000000000000004</v>
      </c>
      <c r="R5137" s="323">
        <f>Q5137*J5137</f>
        <v>610.5</v>
      </c>
      <c r="S5137" s="257">
        <v>46</v>
      </c>
      <c r="T5137" s="287">
        <f>S5137*J5137</f>
        <v>51060</v>
      </c>
      <c r="U5137" s="265"/>
      <c r="V5137" s="260">
        <v>120</v>
      </c>
      <c r="W5137" s="1136">
        <f t="shared" ref="W5137:W5140" si="616">(((K5137*V5137)-S5137)/(K5137*V5137))</f>
        <v>0.50216450216450215</v>
      </c>
    </row>
    <row r="5138" spans="2:23" s="7" customFormat="1" ht="15.75">
      <c r="B5138" s="12" t="s">
        <v>300</v>
      </c>
      <c r="C5138" s="6" t="s">
        <v>6392</v>
      </c>
      <c r="D5138" s="14" t="s">
        <v>3189</v>
      </c>
      <c r="E5138" s="22">
        <v>14552</v>
      </c>
      <c r="F5138" s="24">
        <v>10</v>
      </c>
      <c r="G5138" s="22" t="s">
        <v>6008</v>
      </c>
      <c r="H5138" s="108">
        <v>30</v>
      </c>
      <c r="I5138" s="109">
        <v>6</v>
      </c>
      <c r="J5138" s="60">
        <f>H5138*I5138</f>
        <v>180</v>
      </c>
      <c r="K5138" s="23">
        <v>0.77</v>
      </c>
      <c r="L5138" s="39">
        <f>K5138*J5138</f>
        <v>138.6</v>
      </c>
      <c r="M5138" s="117" t="s">
        <v>323</v>
      </c>
      <c r="N5138" s="33">
        <v>46042</v>
      </c>
      <c r="O5138" s="32">
        <v>7797</v>
      </c>
      <c r="P5138" s="391">
        <f>ROUNDUP(S5138/V5138/VLOOKUP(B5138,$C$2:$F$6,3,FALSE),2)</f>
        <v>0.55000000000000004</v>
      </c>
      <c r="Q5138" s="253">
        <v>0.55000000000000004</v>
      </c>
      <c r="R5138" s="323">
        <f>Q5138*J5138</f>
        <v>99.000000000000014</v>
      </c>
      <c r="S5138" s="257">
        <v>46</v>
      </c>
      <c r="T5138" s="287">
        <f>S5138*J5138</f>
        <v>8280</v>
      </c>
      <c r="U5138" s="265"/>
      <c r="V5138" s="260">
        <v>120</v>
      </c>
      <c r="W5138" s="1136">
        <f>(((K5138*V5138)-S5138)/(K5138*V5138))</f>
        <v>0.50216450216450215</v>
      </c>
    </row>
    <row r="5139" spans="2:23" s="7" customFormat="1" ht="15.95" customHeight="1">
      <c r="B5139" s="12"/>
      <c r="C5139" s="6" t="s">
        <v>6392</v>
      </c>
      <c r="D5139" s="14" t="s">
        <v>3189</v>
      </c>
      <c r="E5139" s="22"/>
      <c r="F5139" s="102"/>
      <c r="G5139" s="37" t="s">
        <v>316</v>
      </c>
      <c r="H5139" s="8"/>
      <c r="I5139" s="35"/>
      <c r="J5139" s="38">
        <v>1</v>
      </c>
      <c r="K5139" s="39">
        <v>12</v>
      </c>
      <c r="L5139" s="39">
        <f>K5139*J5139</f>
        <v>12</v>
      </c>
      <c r="M5139" s="33"/>
      <c r="N5139" s="33">
        <v>46042</v>
      </c>
      <c r="O5139" s="32">
        <v>7797</v>
      </c>
      <c r="P5139" s="6"/>
      <c r="Q5139" s="254">
        <v>12</v>
      </c>
      <c r="R5139" s="323">
        <f>Q5139*J5139</f>
        <v>12</v>
      </c>
      <c r="S5139" s="257">
        <v>0</v>
      </c>
      <c r="T5139" s="92">
        <f>S5139*J5139</f>
        <v>0</v>
      </c>
      <c r="U5139" s="266"/>
      <c r="V5139" s="260">
        <v>120</v>
      </c>
      <c r="W5139" s="1136">
        <f t="shared" si="616"/>
        <v>1</v>
      </c>
    </row>
    <row r="5140" spans="2:23" s="191" customFormat="1" ht="15.75">
      <c r="B5140" s="190"/>
      <c r="C5140" s="179" t="s">
        <v>6392</v>
      </c>
      <c r="D5140" s="180" t="s">
        <v>3189</v>
      </c>
      <c r="E5140" s="181"/>
      <c r="F5140" s="182"/>
      <c r="G5140" s="309" t="s">
        <v>324</v>
      </c>
      <c r="H5140" s="184" t="s">
        <v>251</v>
      </c>
      <c r="I5140" s="185"/>
      <c r="J5140" s="183"/>
      <c r="K5140" s="192">
        <v>0</v>
      </c>
      <c r="L5140" s="188"/>
      <c r="M5140" s="187"/>
      <c r="N5140" s="187">
        <v>46042</v>
      </c>
      <c r="O5140" s="186">
        <v>7797</v>
      </c>
      <c r="P5140" s="179"/>
      <c r="Q5140" s="725">
        <v>0</v>
      </c>
      <c r="S5140" s="197">
        <v>0</v>
      </c>
      <c r="T5140" s="198">
        <v>0</v>
      </c>
      <c r="U5140" s="335"/>
      <c r="V5140" s="260">
        <v>120</v>
      </c>
      <c r="W5140" s="1136" t="e">
        <f t="shared" si="616"/>
        <v>#DIV/0!</v>
      </c>
    </row>
    <row r="5141" spans="2:23" s="7" customFormat="1" ht="18" customHeight="1">
      <c r="B5141" s="12"/>
      <c r="C5141" s="6" t="s">
        <v>6388</v>
      </c>
      <c r="D5141" s="14" t="s">
        <v>6389</v>
      </c>
      <c r="E5141" s="19" t="s">
        <v>2358</v>
      </c>
      <c r="F5141" s="24"/>
      <c r="G5141" s="22"/>
      <c r="H5141" s="60"/>
      <c r="I5141" s="61"/>
      <c r="J5141" s="60"/>
      <c r="K5141" s="16" t="s">
        <v>5</v>
      </c>
      <c r="L5141" s="139"/>
      <c r="M5141" s="33"/>
      <c r="N5141" s="33">
        <v>46048</v>
      </c>
      <c r="O5141" s="32">
        <v>7811</v>
      </c>
      <c r="P5141" s="6" t="s">
        <v>3</v>
      </c>
      <c r="Q5141" s="358"/>
      <c r="S5141" s="1434"/>
      <c r="U5141" s="120"/>
      <c r="V5141" s="260">
        <v>120</v>
      </c>
    </row>
    <row r="5142" spans="2:23" s="7" customFormat="1" ht="18" customHeight="1">
      <c r="B5142" s="12" t="s">
        <v>306</v>
      </c>
      <c r="C5142" s="6" t="s">
        <v>6388</v>
      </c>
      <c r="D5142" s="14" t="s">
        <v>6389</v>
      </c>
      <c r="E5142" s="374" t="s">
        <v>6393</v>
      </c>
      <c r="F5142" s="24"/>
      <c r="G5142" s="22" t="s">
        <v>5318</v>
      </c>
      <c r="H5142" s="108"/>
      <c r="I5142" s="109"/>
      <c r="J5142" s="38">
        <v>1</v>
      </c>
      <c r="K5142" s="39">
        <v>100</v>
      </c>
      <c r="L5142" s="39">
        <f>K5142*J5142</f>
        <v>100</v>
      </c>
      <c r="M5142" s="33"/>
      <c r="N5142" s="33">
        <v>46048</v>
      </c>
      <c r="O5142" s="32">
        <v>7811</v>
      </c>
      <c r="P5142" s="391">
        <f>ROUNDUP(S5142/V5142/VLOOKUP(B5142,$C$2:$F$6,3,FALSE),2)</f>
        <v>85.23</v>
      </c>
      <c r="Q5142" s="254">
        <v>85.23</v>
      </c>
      <c r="R5142" s="323">
        <f>Q5142*J5142</f>
        <v>85.23</v>
      </c>
      <c r="S5142" s="257">
        <v>9000</v>
      </c>
      <c r="T5142" s="92">
        <f>S5142*J5142</f>
        <v>9000</v>
      </c>
      <c r="U5142" s="266"/>
      <c r="V5142" s="260">
        <v>120</v>
      </c>
      <c r="W5142" s="1136">
        <f t="shared" ref="W5142" si="617">(((K5142*V5142)-S5142)/(K5142*V5142))</f>
        <v>0.25</v>
      </c>
    </row>
    <row r="5143" spans="2:23" s="7" customFormat="1" ht="18" customHeight="1">
      <c r="B5143" s="12" t="s">
        <v>306</v>
      </c>
      <c r="C5143" s="6" t="s">
        <v>6388</v>
      </c>
      <c r="D5143" s="14" t="s">
        <v>6389</v>
      </c>
      <c r="E5143" s="374" t="s">
        <v>6394</v>
      </c>
      <c r="F5143" s="24"/>
      <c r="G5143" s="22" t="s">
        <v>5318</v>
      </c>
      <c r="H5143" s="108"/>
      <c r="I5143" s="109"/>
      <c r="J5143" s="38">
        <v>1</v>
      </c>
      <c r="K5143" s="39">
        <v>100</v>
      </c>
      <c r="L5143" s="39">
        <f>K5143*J5143</f>
        <v>100</v>
      </c>
      <c r="M5143" s="33"/>
      <c r="N5143" s="33">
        <v>46048</v>
      </c>
      <c r="O5143" s="32">
        <v>7811</v>
      </c>
      <c r="P5143" s="391">
        <f>ROUNDUP(S5143/V5143/VLOOKUP(B5143,$C$2:$F$6,3,FALSE),2)</f>
        <v>85.23</v>
      </c>
      <c r="Q5143" s="254">
        <v>85.23</v>
      </c>
      <c r="R5143" s="323">
        <f>Q5143*J5143</f>
        <v>85.23</v>
      </c>
      <c r="S5143" s="257">
        <v>9000</v>
      </c>
      <c r="T5143" s="92">
        <f>S5143*J5143</f>
        <v>9000</v>
      </c>
      <c r="U5143" s="266"/>
      <c r="V5143" s="260">
        <v>120</v>
      </c>
      <c r="W5143" s="1136">
        <f t="shared" ref="W5143:W5145" si="618">(((K5143*V5143)-S5143)/(K5143*V5143))</f>
        <v>0.25</v>
      </c>
    </row>
    <row r="5144" spans="2:23" s="191" customFormat="1" ht="18" customHeight="1">
      <c r="B5144" s="190"/>
      <c r="C5144" s="179" t="s">
        <v>6388</v>
      </c>
      <c r="D5144" s="180" t="s">
        <v>6389</v>
      </c>
      <c r="E5144" s="217"/>
      <c r="F5144" s="182"/>
      <c r="G5144" s="182" t="s">
        <v>250</v>
      </c>
      <c r="H5144" s="184" t="s">
        <v>251</v>
      </c>
      <c r="I5144" s="185"/>
      <c r="J5144" s="183"/>
      <c r="K5144" s="192">
        <v>0</v>
      </c>
      <c r="L5144" s="188"/>
      <c r="M5144" s="187"/>
      <c r="N5144" s="187">
        <v>46048</v>
      </c>
      <c r="O5144" s="186">
        <v>7811</v>
      </c>
      <c r="P5144" s="179"/>
      <c r="Q5144" s="725">
        <v>0</v>
      </c>
      <c r="S5144" s="197">
        <v>0</v>
      </c>
      <c r="T5144" s="198">
        <v>0</v>
      </c>
      <c r="U5144" s="335"/>
      <c r="V5144" s="260">
        <v>120</v>
      </c>
      <c r="W5144" s="1136" t="e">
        <f t="shared" si="618"/>
        <v>#DIV/0!</v>
      </c>
    </row>
    <row r="5145" spans="2:23" s="7" customFormat="1" ht="15">
      <c r="B5145" s="12"/>
      <c r="C5145" s="6" t="s">
        <v>6396</v>
      </c>
      <c r="D5145" s="14" t="s">
        <v>6395</v>
      </c>
      <c r="E5145" s="19" t="s">
        <v>160</v>
      </c>
      <c r="F5145" s="24"/>
      <c r="G5145" s="22"/>
      <c r="H5145" s="60"/>
      <c r="I5145" s="61"/>
      <c r="J5145" s="60"/>
      <c r="K5145" s="16" t="s">
        <v>101</v>
      </c>
      <c r="L5145" s="33"/>
      <c r="M5145" s="33"/>
      <c r="N5145" s="33">
        <v>46085</v>
      </c>
      <c r="O5145" s="32">
        <v>7836</v>
      </c>
      <c r="P5145" s="6" t="s">
        <v>8</v>
      </c>
      <c r="Q5145" s="252"/>
      <c r="S5145" s="257"/>
      <c r="T5145" s="92"/>
      <c r="U5145" s="265"/>
      <c r="V5145" s="260">
        <v>120</v>
      </c>
      <c r="W5145" s="1136" t="e">
        <f t="shared" si="618"/>
        <v>#VALUE!</v>
      </c>
    </row>
    <row r="5146" spans="2:23" s="7" customFormat="1" ht="15.75">
      <c r="B5146" s="12" t="s">
        <v>300</v>
      </c>
      <c r="C5146" s="6" t="s">
        <v>6396</v>
      </c>
      <c r="D5146" s="14" t="s">
        <v>6395</v>
      </c>
      <c r="E5146" s="22">
        <v>14552</v>
      </c>
      <c r="F5146" s="24">
        <v>38</v>
      </c>
      <c r="G5146" s="22" t="s">
        <v>28</v>
      </c>
      <c r="H5146" s="108">
        <v>30</v>
      </c>
      <c r="I5146" s="109">
        <v>12</v>
      </c>
      <c r="J5146" s="60">
        <f>H5146*I5146</f>
        <v>360</v>
      </c>
      <c r="K5146" s="39">
        <v>1.95</v>
      </c>
      <c r="L5146" s="39">
        <f>K5146*J5146</f>
        <v>702</v>
      </c>
      <c r="M5146" s="117" t="s">
        <v>323</v>
      </c>
      <c r="N5146" s="33">
        <v>46085</v>
      </c>
      <c r="O5146" s="32">
        <v>7836</v>
      </c>
      <c r="P5146" s="391">
        <f>ROUNDUP(S5146/V5146/VLOOKUP(B5146,$C$2:$F$6,3,FALSE),2)</f>
        <v>1.4</v>
      </c>
      <c r="Q5146" s="253">
        <v>1.4</v>
      </c>
      <c r="R5146" s="323">
        <f>Q5146*J5146</f>
        <v>503.99999999999994</v>
      </c>
      <c r="S5146" s="257">
        <v>117</v>
      </c>
      <c r="T5146" s="287">
        <f>S5146*J5146</f>
        <v>42120</v>
      </c>
      <c r="U5146" s="265"/>
      <c r="V5146" s="260">
        <v>120</v>
      </c>
      <c r="W5146" s="1136">
        <f>(((K5146*V5146)-S5146)/(K5146*V5146))</f>
        <v>0.5</v>
      </c>
    </row>
    <row r="5147" spans="2:23" s="7" customFormat="1" ht="15.75">
      <c r="B5147" s="12" t="s">
        <v>300</v>
      </c>
      <c r="C5147" s="6" t="s">
        <v>6396</v>
      </c>
      <c r="D5147" s="14" t="s">
        <v>6395</v>
      </c>
      <c r="E5147" s="22">
        <v>14552</v>
      </c>
      <c r="F5147" s="24">
        <v>12</v>
      </c>
      <c r="G5147" s="22" t="s">
        <v>28</v>
      </c>
      <c r="H5147" s="108">
        <v>30</v>
      </c>
      <c r="I5147" s="109">
        <v>71</v>
      </c>
      <c r="J5147" s="60">
        <f>H5147*I5147</f>
        <v>2130</v>
      </c>
      <c r="K5147" s="23">
        <v>0.71</v>
      </c>
      <c r="L5147" s="39">
        <f>K5147*J5147</f>
        <v>1512.3</v>
      </c>
      <c r="M5147" s="117" t="s">
        <v>323</v>
      </c>
      <c r="N5147" s="33">
        <v>46085</v>
      </c>
      <c r="O5147" s="32">
        <v>7836</v>
      </c>
      <c r="P5147" s="391">
        <f>ROUNDUP(S5147/V5147/VLOOKUP(B5147,$C$2:$F$6,3,FALSE),2)</f>
        <v>0.61</v>
      </c>
      <c r="Q5147" s="253">
        <v>0.61</v>
      </c>
      <c r="R5147" s="323">
        <f>Q5147*J5147</f>
        <v>1299.3</v>
      </c>
      <c r="S5147" s="257">
        <v>51</v>
      </c>
      <c r="T5147" s="287">
        <f>S5147*J5147</f>
        <v>108630</v>
      </c>
      <c r="U5147" s="265"/>
      <c r="V5147" s="260">
        <v>120</v>
      </c>
      <c r="W5147" s="1136">
        <f>(((K5147*V5147)-S5147)/(K5147*V5147))</f>
        <v>0.40140845070422526</v>
      </c>
    </row>
    <row r="5148" spans="2:23" s="191" customFormat="1" ht="15.75">
      <c r="B5148" s="190"/>
      <c r="C5148" s="179" t="s">
        <v>6396</v>
      </c>
      <c r="D5148" s="180" t="s">
        <v>6395</v>
      </c>
      <c r="E5148" s="181"/>
      <c r="F5148" s="182"/>
      <c r="G5148" s="309" t="s">
        <v>324</v>
      </c>
      <c r="H5148" s="184" t="s">
        <v>251</v>
      </c>
      <c r="I5148" s="185"/>
      <c r="J5148" s="183"/>
      <c r="K5148" s="192">
        <v>0</v>
      </c>
      <c r="L5148" s="188"/>
      <c r="M5148" s="187"/>
      <c r="N5148" s="187">
        <v>46085</v>
      </c>
      <c r="O5148" s="186">
        <v>7836</v>
      </c>
      <c r="P5148" s="179"/>
      <c r="Q5148" s="725">
        <v>0</v>
      </c>
      <c r="S5148" s="197">
        <v>0</v>
      </c>
      <c r="T5148" s="198">
        <v>0</v>
      </c>
      <c r="U5148" s="335"/>
      <c r="V5148" s="260">
        <v>120</v>
      </c>
      <c r="W5148" s="1136" t="e">
        <f t="shared" ref="W5148" si="619">(((K5148*V5148)-S5148)/(K5148*V5148))</f>
        <v>#DIV/0!</v>
      </c>
    </row>
    <row r="5149" spans="2:23" s="7" customFormat="1" ht="15">
      <c r="B5149" s="12"/>
      <c r="C5149" s="6" t="s">
        <v>6403</v>
      </c>
      <c r="D5149" s="14" t="s">
        <v>6404</v>
      </c>
      <c r="E5149" s="19" t="s">
        <v>160</v>
      </c>
      <c r="F5149" s="24"/>
      <c r="G5149" s="22"/>
      <c r="H5149" s="60"/>
      <c r="I5149" s="61"/>
      <c r="J5149" s="60"/>
      <c r="K5149" s="16" t="s">
        <v>101</v>
      </c>
      <c r="L5149" s="33"/>
      <c r="M5149" s="33"/>
      <c r="N5149" s="33">
        <v>46104</v>
      </c>
      <c r="O5149" s="32">
        <v>7846</v>
      </c>
      <c r="P5149" s="6" t="s">
        <v>8</v>
      </c>
      <c r="Q5149" s="252"/>
      <c r="S5149" s="257"/>
      <c r="T5149" s="92"/>
      <c r="U5149" s="265"/>
      <c r="V5149" s="260">
        <v>120</v>
      </c>
      <c r="W5149" s="1136" t="e">
        <f>(((K5149*V5149)-S5149)/(K5149*V5149))</f>
        <v>#VALUE!</v>
      </c>
    </row>
    <row r="5150" spans="2:23" s="7" customFormat="1" ht="15.75">
      <c r="B5150" s="12" t="s">
        <v>300</v>
      </c>
      <c r="C5150" s="6" t="s">
        <v>6403</v>
      </c>
      <c r="D5150" s="14" t="s">
        <v>6404</v>
      </c>
      <c r="E5150" s="22">
        <v>14552</v>
      </c>
      <c r="F5150" s="24">
        <v>7</v>
      </c>
      <c r="G5150" s="22" t="s">
        <v>4795</v>
      </c>
      <c r="H5150" s="108">
        <v>30</v>
      </c>
      <c r="I5150" s="109">
        <v>270</v>
      </c>
      <c r="J5150" s="60">
        <f>H5150*I5150</f>
        <v>8100</v>
      </c>
      <c r="K5150" s="23">
        <v>0.49</v>
      </c>
      <c r="L5150" s="39">
        <f>K5150*J5150</f>
        <v>3969</v>
      </c>
      <c r="M5150" s="117" t="s">
        <v>323</v>
      </c>
      <c r="N5150" s="33">
        <v>46104</v>
      </c>
      <c r="O5150" s="32">
        <v>7846</v>
      </c>
      <c r="P5150" s="391"/>
      <c r="Q5150" s="253">
        <v>0.41</v>
      </c>
      <c r="R5150" s="323">
        <f>Q5150*J5150</f>
        <v>3321</v>
      </c>
      <c r="S5150" s="1445">
        <v>41</v>
      </c>
      <c r="T5150" s="287">
        <f>S5150*J5150</f>
        <v>332100</v>
      </c>
      <c r="U5150" s="265"/>
      <c r="V5150" s="260">
        <v>120</v>
      </c>
      <c r="W5150" s="1136">
        <f>(((K5150*V5150)-S5150)/(K5150*V5150))</f>
        <v>0.3027210884353741</v>
      </c>
    </row>
    <row r="5151" spans="2:23" s="7" customFormat="1" ht="15.75">
      <c r="B5151" s="12"/>
      <c r="C5151" s="6" t="s">
        <v>6409</v>
      </c>
      <c r="D5151" s="14" t="s">
        <v>6404</v>
      </c>
      <c r="E5151" s="22"/>
      <c r="F5151" s="24"/>
      <c r="G5151" s="153" t="s">
        <v>6410</v>
      </c>
      <c r="H5151" s="108"/>
      <c r="I5151" s="109"/>
      <c r="J5151" s="200">
        <v>270</v>
      </c>
      <c r="K5151" s="154">
        <v>0</v>
      </c>
      <c r="L5151" s="154">
        <v>0</v>
      </c>
      <c r="M5151" s="848"/>
      <c r="N5151" s="33">
        <v>46104</v>
      </c>
      <c r="O5151" s="32">
        <v>7846</v>
      </c>
      <c r="P5151" s="1198"/>
      <c r="Q5151" s="1726">
        <v>0</v>
      </c>
      <c r="R5151" s="1295">
        <v>0</v>
      </c>
      <c r="S5151" s="1742">
        <v>35</v>
      </c>
      <c r="T5151" s="1403">
        <v>9450</v>
      </c>
      <c r="U5151" s="1725"/>
      <c r="V5151" s="260">
        <v>120</v>
      </c>
      <c r="W5151" s="1136"/>
    </row>
    <row r="5152" spans="2:23" s="7" customFormat="1" ht="15.75">
      <c r="B5152" s="12" t="s">
        <v>300</v>
      </c>
      <c r="C5152" s="6" t="s">
        <v>6403</v>
      </c>
      <c r="D5152" s="14" t="s">
        <v>6404</v>
      </c>
      <c r="E5152" s="22">
        <v>14552</v>
      </c>
      <c r="F5152" s="24">
        <v>7</v>
      </c>
      <c r="G5152" s="22" t="s">
        <v>4795</v>
      </c>
      <c r="H5152" s="108">
        <v>30</v>
      </c>
      <c r="I5152" s="109">
        <v>20</v>
      </c>
      <c r="J5152" s="60">
        <f>H5152*I5152</f>
        <v>600</v>
      </c>
      <c r="K5152" s="23">
        <v>0.49</v>
      </c>
      <c r="L5152" s="39">
        <f>K5152*J5152</f>
        <v>294</v>
      </c>
      <c r="M5152" s="117" t="s">
        <v>323</v>
      </c>
      <c r="N5152" s="33">
        <v>46104</v>
      </c>
      <c r="O5152" s="32">
        <v>7846</v>
      </c>
      <c r="P5152" s="391"/>
      <c r="Q5152" s="253">
        <v>0.41</v>
      </c>
      <c r="R5152" s="323">
        <f>Q5152*J5152</f>
        <v>245.99999999999997</v>
      </c>
      <c r="S5152" s="1445">
        <v>41</v>
      </c>
      <c r="T5152" s="287">
        <f>S5152*J5152</f>
        <v>24600</v>
      </c>
      <c r="U5152" s="265"/>
      <c r="V5152" s="260">
        <v>120</v>
      </c>
      <c r="W5152" s="1136">
        <f>(((K5152*V5152)-S5152)/(K5152*V5152))</f>
        <v>0.3027210884353741</v>
      </c>
    </row>
    <row r="5153" spans="1:23" s="191" customFormat="1" ht="15.75">
      <c r="B5153" s="190"/>
      <c r="C5153" s="179" t="s">
        <v>6403</v>
      </c>
      <c r="D5153" s="180" t="s">
        <v>6404</v>
      </c>
      <c r="E5153" s="181"/>
      <c r="F5153" s="182"/>
      <c r="G5153" s="309" t="s">
        <v>324</v>
      </c>
      <c r="H5153" s="184" t="s">
        <v>374</v>
      </c>
      <c r="I5153" s="185"/>
      <c r="J5153" s="183"/>
      <c r="K5153" s="192">
        <v>222</v>
      </c>
      <c r="L5153" s="192">
        <v>222</v>
      </c>
      <c r="M5153" s="187"/>
      <c r="N5153" s="187">
        <v>46104</v>
      </c>
      <c r="O5153" s="186">
        <v>7846</v>
      </c>
      <c r="P5153" s="179"/>
      <c r="Q5153" s="192">
        <v>222</v>
      </c>
      <c r="R5153" s="192">
        <v>222</v>
      </c>
      <c r="S5153" s="1445">
        <v>13435</v>
      </c>
      <c r="T5153" s="1445">
        <v>13435</v>
      </c>
      <c r="U5153" s="335"/>
      <c r="V5153" s="260">
        <v>120</v>
      </c>
      <c r="W5153" s="1136">
        <f t="shared" ref="W5153:W5159" si="620">(((K5153*V5153)-S5153)/(K5153*V5153))</f>
        <v>0.49568318318318316</v>
      </c>
    </row>
    <row r="5154" spans="1:23" s="7" customFormat="1" ht="18.600000000000001" customHeight="1">
      <c r="A5154" s="1"/>
      <c r="B5154" s="12"/>
      <c r="C5154" s="6" t="s">
        <v>6408</v>
      </c>
      <c r="D5154" s="14" t="s">
        <v>6405</v>
      </c>
      <c r="E5154" s="19" t="s">
        <v>228</v>
      </c>
      <c r="F5154" s="22"/>
      <c r="G5154" s="37"/>
      <c r="H5154" s="108"/>
      <c r="I5154" s="108"/>
      <c r="J5154" s="108"/>
      <c r="K5154" s="110" t="s">
        <v>5</v>
      </c>
      <c r="L5154" s="33"/>
      <c r="M5154" s="117"/>
      <c r="N5154" s="33">
        <v>46059</v>
      </c>
      <c r="O5154" s="32">
        <v>7852</v>
      </c>
      <c r="P5154" s="6"/>
      <c r="Q5154" s="223"/>
      <c r="S5154" s="257"/>
      <c r="T5154" s="92"/>
      <c r="U5154" s="266"/>
      <c r="V5154" s="260">
        <v>120</v>
      </c>
      <c r="W5154" s="1136" t="e">
        <f t="shared" si="620"/>
        <v>#VALUE!</v>
      </c>
    </row>
    <row r="5155" spans="1:23" s="7" customFormat="1" ht="15.95" customHeight="1">
      <c r="A5155" s="1"/>
      <c r="B5155" s="12" t="s">
        <v>300</v>
      </c>
      <c r="C5155" s="6" t="s">
        <v>6408</v>
      </c>
      <c r="D5155" s="14" t="s">
        <v>6405</v>
      </c>
      <c r="E5155" s="22" t="s">
        <v>5957</v>
      </c>
      <c r="F5155" s="37"/>
      <c r="G5155" s="37" t="s">
        <v>5318</v>
      </c>
      <c r="H5155" s="131"/>
      <c r="I5155" s="61"/>
      <c r="J5155" s="60">
        <v>30</v>
      </c>
      <c r="K5155" s="39">
        <v>2.4500000000000002</v>
      </c>
      <c r="L5155" s="39">
        <f>K5155*J5155</f>
        <v>73.5</v>
      </c>
      <c r="M5155" s="117" t="s">
        <v>323</v>
      </c>
      <c r="N5155" s="33">
        <v>46059</v>
      </c>
      <c r="O5155" s="32">
        <v>7852</v>
      </c>
      <c r="P5155" s="391">
        <f>ROUNDUP(S5155/V5155/VLOOKUP(B5155,$C$2:$F$6,3,FALSE),2)</f>
        <v>2.0999999999999996</v>
      </c>
      <c r="Q5155" s="254">
        <v>2.1</v>
      </c>
      <c r="R5155" s="323">
        <f>Q5155*J5155</f>
        <v>63</v>
      </c>
      <c r="S5155" s="257">
        <v>176</v>
      </c>
      <c r="T5155" s="287">
        <f>S5155*J5155</f>
        <v>5280</v>
      </c>
      <c r="U5155" s="1480"/>
      <c r="V5155" s="260">
        <v>120</v>
      </c>
      <c r="W5155" s="1136">
        <f t="shared" si="620"/>
        <v>0.40136054421768708</v>
      </c>
    </row>
    <row r="5156" spans="1:23" ht="18" customHeight="1">
      <c r="B5156" s="12" t="s">
        <v>306</v>
      </c>
      <c r="C5156" s="6" t="s">
        <v>6408</v>
      </c>
      <c r="D5156" s="14" t="s">
        <v>6405</v>
      </c>
      <c r="E5156" s="22"/>
      <c r="F5156" s="102"/>
      <c r="G5156" s="37" t="s">
        <v>316</v>
      </c>
      <c r="H5156" s="8"/>
      <c r="I5156" s="35"/>
      <c r="J5156" s="38">
        <v>1</v>
      </c>
      <c r="K5156" s="39">
        <v>12</v>
      </c>
      <c r="L5156" s="39">
        <f>K5156*J5156</f>
        <v>12</v>
      </c>
      <c r="M5156" s="91"/>
      <c r="N5156" s="33">
        <v>46059</v>
      </c>
      <c r="O5156" s="32">
        <v>7852</v>
      </c>
      <c r="P5156" s="39">
        <f>K5156*(VLOOKUP(B5156,$C$2:$F$6,3,FALSE))</f>
        <v>10.56</v>
      </c>
      <c r="Q5156" s="254">
        <v>12</v>
      </c>
      <c r="R5156" s="323">
        <f>Q5156*J5156</f>
        <v>12</v>
      </c>
      <c r="S5156" s="257">
        <v>0</v>
      </c>
      <c r="T5156" s="287">
        <f>S5156*J5156</f>
        <v>0</v>
      </c>
      <c r="U5156" s="270"/>
      <c r="V5156" s="260">
        <v>120</v>
      </c>
      <c r="W5156" s="1136">
        <f t="shared" si="620"/>
        <v>1</v>
      </c>
    </row>
    <row r="5157" spans="1:23" s="191" customFormat="1" ht="15">
      <c r="A5157" s="1"/>
      <c r="B5157" s="190"/>
      <c r="C5157" s="179" t="s">
        <v>6408</v>
      </c>
      <c r="D5157" s="180" t="s">
        <v>6405</v>
      </c>
      <c r="E5157" s="181"/>
      <c r="F5157" s="182"/>
      <c r="G5157" s="182" t="s">
        <v>250</v>
      </c>
      <c r="H5157" s="184" t="s">
        <v>251</v>
      </c>
      <c r="I5157" s="185"/>
      <c r="J5157" s="183"/>
      <c r="K5157" s="192">
        <v>0</v>
      </c>
      <c r="L5157" s="187"/>
      <c r="M5157" s="187"/>
      <c r="N5157" s="187">
        <v>46059</v>
      </c>
      <c r="O5157" s="186">
        <v>7852</v>
      </c>
      <c r="P5157" s="179"/>
      <c r="Q5157" s="255">
        <v>0</v>
      </c>
      <c r="S5157" s="275">
        <v>0</v>
      </c>
      <c r="T5157" s="198">
        <v>0</v>
      </c>
      <c r="U5157" s="271"/>
      <c r="V5157" s="260">
        <v>120</v>
      </c>
      <c r="W5157" s="1136" t="e">
        <f t="shared" si="620"/>
        <v>#DIV/0!</v>
      </c>
    </row>
    <row r="5158" spans="1:23" s="7" customFormat="1" ht="18" customHeight="1">
      <c r="B5158" s="12"/>
      <c r="C5158" s="965" t="s">
        <v>6411</v>
      </c>
      <c r="D5158" s="14" t="s">
        <v>3150</v>
      </c>
      <c r="E5158" s="17" t="s">
        <v>1976</v>
      </c>
      <c r="F5158" s="37"/>
      <c r="G5158" s="37"/>
      <c r="H5158" s="108"/>
      <c r="I5158" s="108"/>
      <c r="J5158" s="108"/>
      <c r="K5158" s="110" t="s">
        <v>5</v>
      </c>
      <c r="L5158" s="139"/>
      <c r="M5158" s="33"/>
      <c r="N5158" s="33">
        <v>46072</v>
      </c>
      <c r="O5158" s="32">
        <v>7867</v>
      </c>
      <c r="P5158" s="6"/>
      <c r="Q5158" s="339"/>
      <c r="S5158" s="308" t="s">
        <v>4879</v>
      </c>
      <c r="U5158" s="21"/>
      <c r="V5158" s="260">
        <v>120</v>
      </c>
      <c r="W5158" s="1136" t="e">
        <f t="shared" si="620"/>
        <v>#VALUE!</v>
      </c>
    </row>
    <row r="5159" spans="1:23" s="7" customFormat="1" ht="18" customHeight="1">
      <c r="B5159" s="12" t="s">
        <v>300</v>
      </c>
      <c r="C5159" s="965" t="s">
        <v>6411</v>
      </c>
      <c r="D5159" s="14" t="s">
        <v>3150</v>
      </c>
      <c r="E5159" s="22">
        <v>12701</v>
      </c>
      <c r="F5159" s="24">
        <v>9</v>
      </c>
      <c r="G5159" s="22" t="s">
        <v>6412</v>
      </c>
      <c r="H5159" s="108">
        <v>10</v>
      </c>
      <c r="I5159" s="109">
        <v>2</v>
      </c>
      <c r="J5159" s="8">
        <f t="shared" ref="J5159:J5176" si="621">H5159*I5159</f>
        <v>20</v>
      </c>
      <c r="K5159" s="958">
        <v>1.05</v>
      </c>
      <c r="L5159" s="39">
        <f t="shared" ref="L5159:L5176" si="622">K5159*J5159</f>
        <v>21</v>
      </c>
      <c r="M5159" s="117" t="s">
        <v>349</v>
      </c>
      <c r="N5159" s="33">
        <v>46072</v>
      </c>
      <c r="O5159" s="32">
        <v>7867</v>
      </c>
      <c r="P5159" s="391">
        <f t="shared" ref="P5159:P5176" si="623">ROUNDUP(S5159/V5159/VLOOKUP(B5159,$C$2:$F$6,3,FALSE),2)</f>
        <v>0.6</v>
      </c>
      <c r="Q5159" s="322">
        <v>0.6</v>
      </c>
      <c r="R5159" s="322">
        <f t="shared" ref="R5159:R5176" si="624">Q5159*J5159</f>
        <v>12</v>
      </c>
      <c r="S5159" s="92">
        <v>50.4</v>
      </c>
      <c r="T5159" s="7">
        <f t="shared" ref="T5159:T5176" si="625">S5159*J5159</f>
        <v>1008</v>
      </c>
      <c r="U5159" s="959"/>
      <c r="V5159" s="260">
        <v>120</v>
      </c>
      <c r="W5159" s="1136">
        <f t="shared" si="620"/>
        <v>0.6</v>
      </c>
    </row>
    <row r="5160" spans="1:23" s="7" customFormat="1" ht="18" customHeight="1">
      <c r="B5160" s="12" t="s">
        <v>300</v>
      </c>
      <c r="C5160" s="965" t="s">
        <v>6411</v>
      </c>
      <c r="D5160" s="14" t="s">
        <v>3150</v>
      </c>
      <c r="E5160" s="22">
        <v>12701</v>
      </c>
      <c r="F5160" s="24">
        <v>12</v>
      </c>
      <c r="G5160" s="22" t="s">
        <v>6412</v>
      </c>
      <c r="H5160" s="108">
        <v>10</v>
      </c>
      <c r="I5160" s="109">
        <v>2</v>
      </c>
      <c r="J5160" s="8">
        <f t="shared" si="621"/>
        <v>20</v>
      </c>
      <c r="K5160" s="958">
        <v>1.19</v>
      </c>
      <c r="L5160" s="39">
        <f t="shared" si="622"/>
        <v>23.799999999999997</v>
      </c>
      <c r="M5160" s="117" t="s">
        <v>349</v>
      </c>
      <c r="N5160" s="33">
        <v>46072</v>
      </c>
      <c r="O5160" s="32">
        <v>7867</v>
      </c>
      <c r="P5160" s="391">
        <f t="shared" si="623"/>
        <v>0.68</v>
      </c>
      <c r="Q5160" s="322">
        <v>0.68</v>
      </c>
      <c r="R5160" s="322">
        <f t="shared" si="624"/>
        <v>13.600000000000001</v>
      </c>
      <c r="S5160" s="92">
        <v>56.8</v>
      </c>
      <c r="T5160" s="7">
        <f t="shared" si="625"/>
        <v>1136</v>
      </c>
      <c r="U5160" s="959"/>
      <c r="V5160" s="260">
        <v>120</v>
      </c>
      <c r="W5160" s="1136">
        <f t="shared" ref="W5160:W5164" si="626">(((K5160*V5160)-S5160)/(K5160*V5160))</f>
        <v>0.60224089635854339</v>
      </c>
    </row>
    <row r="5161" spans="1:23" s="7" customFormat="1" ht="18" customHeight="1">
      <c r="B5161" s="12" t="s">
        <v>300</v>
      </c>
      <c r="C5161" s="965" t="s">
        <v>6411</v>
      </c>
      <c r="D5161" s="14" t="s">
        <v>3150</v>
      </c>
      <c r="E5161" s="22">
        <v>12701</v>
      </c>
      <c r="F5161" s="24">
        <v>19</v>
      </c>
      <c r="G5161" s="22" t="s">
        <v>6412</v>
      </c>
      <c r="H5161" s="108">
        <v>10</v>
      </c>
      <c r="I5161" s="109">
        <v>2</v>
      </c>
      <c r="J5161" s="8">
        <f t="shared" si="621"/>
        <v>20</v>
      </c>
      <c r="K5161" s="958">
        <v>1.53</v>
      </c>
      <c r="L5161" s="39">
        <f t="shared" si="622"/>
        <v>30.6</v>
      </c>
      <c r="M5161" s="117" t="s">
        <v>349</v>
      </c>
      <c r="N5161" s="33">
        <v>46072</v>
      </c>
      <c r="O5161" s="32">
        <v>7867</v>
      </c>
      <c r="P5161" s="391">
        <f t="shared" si="623"/>
        <v>0.88</v>
      </c>
      <c r="Q5161" s="322">
        <v>0.88</v>
      </c>
      <c r="R5161" s="322">
        <f t="shared" si="624"/>
        <v>17.600000000000001</v>
      </c>
      <c r="S5161" s="92">
        <v>73.3</v>
      </c>
      <c r="T5161" s="7">
        <f t="shared" si="625"/>
        <v>1466</v>
      </c>
      <c r="U5161" s="959"/>
      <c r="V5161" s="260">
        <v>120</v>
      </c>
      <c r="W5161" s="1136">
        <f t="shared" si="626"/>
        <v>0.60076252723311552</v>
      </c>
    </row>
    <row r="5162" spans="1:23" s="7" customFormat="1" ht="18" customHeight="1">
      <c r="B5162" s="12" t="s">
        <v>300</v>
      </c>
      <c r="C5162" s="965" t="s">
        <v>6411</v>
      </c>
      <c r="D5162" s="14" t="s">
        <v>3150</v>
      </c>
      <c r="E5162" s="22">
        <v>12701</v>
      </c>
      <c r="F5162" s="24">
        <v>25</v>
      </c>
      <c r="G5162" s="22" t="s">
        <v>6413</v>
      </c>
      <c r="H5162" s="108">
        <v>10</v>
      </c>
      <c r="I5162" s="109">
        <v>1</v>
      </c>
      <c r="J5162" s="8">
        <f t="shared" si="621"/>
        <v>10</v>
      </c>
      <c r="K5162" s="958">
        <v>1.87</v>
      </c>
      <c r="L5162" s="39">
        <f t="shared" si="622"/>
        <v>18.700000000000003</v>
      </c>
      <c r="M5162" s="117" t="s">
        <v>349</v>
      </c>
      <c r="N5162" s="33">
        <v>46072</v>
      </c>
      <c r="O5162" s="32">
        <v>7867</v>
      </c>
      <c r="P5162" s="391">
        <f t="shared" si="623"/>
        <v>1.07</v>
      </c>
      <c r="Q5162" s="322">
        <v>1.07</v>
      </c>
      <c r="R5162" s="322">
        <f t="shared" si="624"/>
        <v>10.700000000000001</v>
      </c>
      <c r="S5162" s="92">
        <v>89.7</v>
      </c>
      <c r="T5162" s="7">
        <f t="shared" si="625"/>
        <v>897</v>
      </c>
      <c r="U5162" s="959"/>
      <c r="V5162" s="260">
        <v>120</v>
      </c>
      <c r="W5162" s="1136">
        <f t="shared" si="626"/>
        <v>0.60026737967914434</v>
      </c>
    </row>
    <row r="5163" spans="1:23" s="7" customFormat="1" ht="18" customHeight="1">
      <c r="B5163" s="12" t="s">
        <v>300</v>
      </c>
      <c r="C5163" s="965" t="s">
        <v>6411</v>
      </c>
      <c r="D5163" s="14" t="s">
        <v>3150</v>
      </c>
      <c r="E5163" s="22">
        <v>12701</v>
      </c>
      <c r="F5163" s="24">
        <v>25</v>
      </c>
      <c r="G5163" s="22" t="s">
        <v>6414</v>
      </c>
      <c r="H5163" s="108">
        <v>10</v>
      </c>
      <c r="I5163" s="109">
        <v>1</v>
      </c>
      <c r="J5163" s="8">
        <f t="shared" si="621"/>
        <v>10</v>
      </c>
      <c r="K5163" s="958">
        <v>1.87</v>
      </c>
      <c r="L5163" s="39">
        <f t="shared" si="622"/>
        <v>18.700000000000003</v>
      </c>
      <c r="M5163" s="117" t="s">
        <v>349</v>
      </c>
      <c r="N5163" s="33">
        <v>46072</v>
      </c>
      <c r="O5163" s="32">
        <v>7867</v>
      </c>
      <c r="P5163" s="391">
        <f t="shared" si="623"/>
        <v>1.07</v>
      </c>
      <c r="Q5163" s="322">
        <v>1.07</v>
      </c>
      <c r="R5163" s="322">
        <f t="shared" si="624"/>
        <v>10.700000000000001</v>
      </c>
      <c r="S5163" s="92">
        <v>89.7</v>
      </c>
      <c r="T5163" s="7">
        <f t="shared" si="625"/>
        <v>897</v>
      </c>
      <c r="U5163" s="959"/>
      <c r="V5163" s="260">
        <v>120</v>
      </c>
      <c r="W5163" s="1136">
        <f t="shared" si="626"/>
        <v>0.60026737967914434</v>
      </c>
    </row>
    <row r="5164" spans="1:23" s="7" customFormat="1" ht="18" customHeight="1">
      <c r="B5164" s="12" t="s">
        <v>300</v>
      </c>
      <c r="C5164" s="965" t="s">
        <v>6411</v>
      </c>
      <c r="D5164" s="14" t="s">
        <v>3150</v>
      </c>
      <c r="E5164" s="22">
        <v>12701</v>
      </c>
      <c r="F5164" s="24">
        <v>9</v>
      </c>
      <c r="G5164" s="22" t="s">
        <v>6415</v>
      </c>
      <c r="H5164" s="108">
        <v>10</v>
      </c>
      <c r="I5164" s="109">
        <v>3</v>
      </c>
      <c r="J5164" s="8">
        <f t="shared" si="621"/>
        <v>30</v>
      </c>
      <c r="K5164" s="958">
        <v>1.05</v>
      </c>
      <c r="L5164" s="39">
        <f t="shared" si="622"/>
        <v>31.5</v>
      </c>
      <c r="M5164" s="117" t="s">
        <v>349</v>
      </c>
      <c r="N5164" s="33">
        <v>46072</v>
      </c>
      <c r="O5164" s="32">
        <v>7867</v>
      </c>
      <c r="P5164" s="391">
        <f t="shared" si="623"/>
        <v>0.6</v>
      </c>
      <c r="Q5164" s="322">
        <v>0.6</v>
      </c>
      <c r="R5164" s="322">
        <f t="shared" si="624"/>
        <v>18</v>
      </c>
      <c r="S5164" s="92">
        <v>50.4</v>
      </c>
      <c r="T5164" s="7">
        <f t="shared" si="625"/>
        <v>1512</v>
      </c>
      <c r="U5164" s="959"/>
      <c r="V5164" s="260">
        <v>120</v>
      </c>
      <c r="W5164" s="1136">
        <f t="shared" si="626"/>
        <v>0.6</v>
      </c>
    </row>
    <row r="5165" spans="1:23" s="7" customFormat="1" ht="18" customHeight="1">
      <c r="B5165" s="12" t="s">
        <v>300</v>
      </c>
      <c r="C5165" s="965" t="s">
        <v>6411</v>
      </c>
      <c r="D5165" s="14" t="s">
        <v>3150</v>
      </c>
      <c r="E5165" s="22">
        <v>12701</v>
      </c>
      <c r="F5165" s="24">
        <v>12</v>
      </c>
      <c r="G5165" s="22" t="s">
        <v>6415</v>
      </c>
      <c r="H5165" s="108">
        <v>10</v>
      </c>
      <c r="I5165" s="109">
        <v>3</v>
      </c>
      <c r="J5165" s="8">
        <f t="shared" si="621"/>
        <v>30</v>
      </c>
      <c r="K5165" s="958">
        <v>1.19</v>
      </c>
      <c r="L5165" s="39">
        <f t="shared" si="622"/>
        <v>35.699999999999996</v>
      </c>
      <c r="M5165" s="117" t="s">
        <v>349</v>
      </c>
      <c r="N5165" s="33">
        <v>46072</v>
      </c>
      <c r="O5165" s="32">
        <v>7867</v>
      </c>
      <c r="P5165" s="391">
        <f t="shared" si="623"/>
        <v>0.68</v>
      </c>
      <c r="Q5165" s="322">
        <v>0.68</v>
      </c>
      <c r="R5165" s="322">
        <f t="shared" si="624"/>
        <v>20.400000000000002</v>
      </c>
      <c r="S5165" s="92">
        <v>56.8</v>
      </c>
      <c r="T5165" s="7">
        <f t="shared" si="625"/>
        <v>1704</v>
      </c>
      <c r="U5165" s="959"/>
      <c r="V5165" s="260">
        <v>120</v>
      </c>
      <c r="W5165" s="1136">
        <f t="shared" ref="W5165:W5171" si="627">(((K5165*V5165)-S5165)/(K5165*V5165))</f>
        <v>0.60224089635854339</v>
      </c>
    </row>
    <row r="5166" spans="1:23" s="7" customFormat="1" ht="18" customHeight="1">
      <c r="B5166" s="12" t="s">
        <v>300</v>
      </c>
      <c r="C5166" s="965" t="s">
        <v>6411</v>
      </c>
      <c r="D5166" s="14" t="s">
        <v>3150</v>
      </c>
      <c r="E5166" s="22">
        <v>12701</v>
      </c>
      <c r="F5166" s="24">
        <v>19</v>
      </c>
      <c r="G5166" s="22" t="s">
        <v>6415</v>
      </c>
      <c r="H5166" s="108">
        <v>10</v>
      </c>
      <c r="I5166" s="109">
        <v>1</v>
      </c>
      <c r="J5166" s="8">
        <f t="shared" si="621"/>
        <v>10</v>
      </c>
      <c r="K5166" s="958">
        <v>1.53</v>
      </c>
      <c r="L5166" s="39">
        <f t="shared" si="622"/>
        <v>15.3</v>
      </c>
      <c r="M5166" s="117" t="s">
        <v>349</v>
      </c>
      <c r="N5166" s="33">
        <v>46072</v>
      </c>
      <c r="O5166" s="32">
        <v>7867</v>
      </c>
      <c r="P5166" s="391">
        <f t="shared" si="623"/>
        <v>0.88</v>
      </c>
      <c r="Q5166" s="322">
        <v>0.88</v>
      </c>
      <c r="R5166" s="322">
        <f t="shared" si="624"/>
        <v>8.8000000000000007</v>
      </c>
      <c r="S5166" s="92">
        <v>73.3</v>
      </c>
      <c r="T5166" s="7">
        <f t="shared" si="625"/>
        <v>733</v>
      </c>
      <c r="U5166" s="959"/>
      <c r="V5166" s="260">
        <v>120</v>
      </c>
      <c r="W5166" s="1136">
        <f t="shared" si="627"/>
        <v>0.60076252723311552</v>
      </c>
    </row>
    <row r="5167" spans="1:23" s="7" customFormat="1" ht="18" customHeight="1">
      <c r="B5167" s="12" t="s">
        <v>300</v>
      </c>
      <c r="C5167" s="965" t="s">
        <v>6411</v>
      </c>
      <c r="D5167" s="14" t="s">
        <v>3150</v>
      </c>
      <c r="E5167" s="22">
        <v>12701</v>
      </c>
      <c r="F5167" s="24">
        <v>25</v>
      </c>
      <c r="G5167" s="22" t="s">
        <v>6415</v>
      </c>
      <c r="H5167" s="108">
        <v>10</v>
      </c>
      <c r="I5167" s="109">
        <v>2</v>
      </c>
      <c r="J5167" s="8">
        <f t="shared" si="621"/>
        <v>20</v>
      </c>
      <c r="K5167" s="958">
        <v>1.87</v>
      </c>
      <c r="L5167" s="39">
        <f t="shared" si="622"/>
        <v>37.400000000000006</v>
      </c>
      <c r="M5167" s="117" t="s">
        <v>349</v>
      </c>
      <c r="N5167" s="33">
        <v>46072</v>
      </c>
      <c r="O5167" s="32">
        <v>7867</v>
      </c>
      <c r="P5167" s="391">
        <f t="shared" si="623"/>
        <v>1.07</v>
      </c>
      <c r="Q5167" s="322">
        <v>1.07</v>
      </c>
      <c r="R5167" s="322">
        <f t="shared" si="624"/>
        <v>21.400000000000002</v>
      </c>
      <c r="S5167" s="92">
        <v>89.7</v>
      </c>
      <c r="T5167" s="7">
        <f t="shared" si="625"/>
        <v>1794</v>
      </c>
      <c r="U5167" s="959"/>
      <c r="V5167" s="260">
        <v>120</v>
      </c>
      <c r="W5167" s="1136">
        <f t="shared" si="627"/>
        <v>0.60026737967914434</v>
      </c>
    </row>
    <row r="5168" spans="1:23" s="7" customFormat="1" ht="18" customHeight="1">
      <c r="B5168" s="12" t="s">
        <v>300</v>
      </c>
      <c r="C5168" s="965" t="s">
        <v>6411</v>
      </c>
      <c r="D5168" s="14" t="s">
        <v>3150</v>
      </c>
      <c r="E5168" s="22">
        <v>12701</v>
      </c>
      <c r="F5168" s="24">
        <v>9</v>
      </c>
      <c r="G5168" s="22" t="s">
        <v>6416</v>
      </c>
      <c r="H5168" s="108">
        <v>10</v>
      </c>
      <c r="I5168" s="109">
        <v>1</v>
      </c>
      <c r="J5168" s="8">
        <f t="shared" si="621"/>
        <v>10</v>
      </c>
      <c r="K5168" s="958">
        <v>1.05</v>
      </c>
      <c r="L5168" s="39">
        <f t="shared" si="622"/>
        <v>10.5</v>
      </c>
      <c r="M5168" s="117" t="s">
        <v>349</v>
      </c>
      <c r="N5168" s="33">
        <v>46072</v>
      </c>
      <c r="O5168" s="32">
        <v>7867</v>
      </c>
      <c r="P5168" s="391">
        <f t="shared" si="623"/>
        <v>0.6</v>
      </c>
      <c r="Q5168" s="322">
        <v>0.6</v>
      </c>
      <c r="R5168" s="322">
        <f t="shared" si="624"/>
        <v>6</v>
      </c>
      <c r="S5168" s="92">
        <v>50.4</v>
      </c>
      <c r="T5168" s="7">
        <f t="shared" si="625"/>
        <v>504</v>
      </c>
      <c r="U5168" s="959"/>
      <c r="V5168" s="260">
        <v>120</v>
      </c>
      <c r="W5168" s="1136">
        <f t="shared" si="627"/>
        <v>0.6</v>
      </c>
    </row>
    <row r="5169" spans="2:23" s="7" customFormat="1" ht="18" customHeight="1">
      <c r="B5169" s="12" t="s">
        <v>300</v>
      </c>
      <c r="C5169" s="965" t="s">
        <v>6411</v>
      </c>
      <c r="D5169" s="14" t="s">
        <v>3150</v>
      </c>
      <c r="E5169" s="22">
        <v>12701</v>
      </c>
      <c r="F5169" s="24">
        <v>12</v>
      </c>
      <c r="G5169" s="22" t="s">
        <v>6416</v>
      </c>
      <c r="H5169" s="108">
        <v>10</v>
      </c>
      <c r="I5169" s="109">
        <v>1</v>
      </c>
      <c r="J5169" s="8">
        <f t="shared" si="621"/>
        <v>10</v>
      </c>
      <c r="K5169" s="958">
        <v>1.19</v>
      </c>
      <c r="L5169" s="39">
        <f t="shared" si="622"/>
        <v>11.899999999999999</v>
      </c>
      <c r="M5169" s="117" t="s">
        <v>349</v>
      </c>
      <c r="N5169" s="33">
        <v>46072</v>
      </c>
      <c r="O5169" s="32">
        <v>7867</v>
      </c>
      <c r="P5169" s="391">
        <f t="shared" si="623"/>
        <v>0.68</v>
      </c>
      <c r="Q5169" s="322">
        <v>0.68</v>
      </c>
      <c r="R5169" s="322">
        <f t="shared" si="624"/>
        <v>6.8000000000000007</v>
      </c>
      <c r="S5169" s="92">
        <v>56.8</v>
      </c>
      <c r="T5169" s="7">
        <f t="shared" si="625"/>
        <v>568</v>
      </c>
      <c r="U5169" s="959"/>
      <c r="V5169" s="260">
        <v>120</v>
      </c>
      <c r="W5169" s="1136">
        <f t="shared" si="627"/>
        <v>0.60224089635854339</v>
      </c>
    </row>
    <row r="5170" spans="2:23" s="7" customFormat="1" ht="18" customHeight="1">
      <c r="B5170" s="12" t="s">
        <v>300</v>
      </c>
      <c r="C5170" s="965" t="s">
        <v>6411</v>
      </c>
      <c r="D5170" s="14" t="s">
        <v>3150</v>
      </c>
      <c r="E5170" s="22">
        <v>12701</v>
      </c>
      <c r="F5170" s="24">
        <v>19</v>
      </c>
      <c r="G5170" s="22" t="s">
        <v>6416</v>
      </c>
      <c r="H5170" s="108">
        <v>10</v>
      </c>
      <c r="I5170" s="109">
        <v>1</v>
      </c>
      <c r="J5170" s="8">
        <f t="shared" si="621"/>
        <v>10</v>
      </c>
      <c r="K5170" s="958">
        <v>1.53</v>
      </c>
      <c r="L5170" s="39">
        <f t="shared" si="622"/>
        <v>15.3</v>
      </c>
      <c r="M5170" s="117" t="s">
        <v>349</v>
      </c>
      <c r="N5170" s="33">
        <v>46072</v>
      </c>
      <c r="O5170" s="32">
        <v>7867</v>
      </c>
      <c r="P5170" s="391">
        <f t="shared" si="623"/>
        <v>0.88</v>
      </c>
      <c r="Q5170" s="322">
        <v>0.88</v>
      </c>
      <c r="R5170" s="322">
        <f t="shared" si="624"/>
        <v>8.8000000000000007</v>
      </c>
      <c r="S5170" s="92">
        <v>73.3</v>
      </c>
      <c r="T5170" s="7">
        <f t="shared" si="625"/>
        <v>733</v>
      </c>
      <c r="U5170" s="959"/>
      <c r="V5170" s="260">
        <v>120</v>
      </c>
      <c r="W5170" s="1136">
        <f t="shared" si="627"/>
        <v>0.60076252723311552</v>
      </c>
    </row>
    <row r="5171" spans="2:23" s="7" customFormat="1" ht="18" customHeight="1">
      <c r="B5171" s="12" t="s">
        <v>300</v>
      </c>
      <c r="C5171" s="965" t="s">
        <v>6411</v>
      </c>
      <c r="D5171" s="14" t="s">
        <v>3150</v>
      </c>
      <c r="E5171" s="22">
        <v>12701</v>
      </c>
      <c r="F5171" s="24">
        <v>25</v>
      </c>
      <c r="G5171" s="22" t="s">
        <v>6416</v>
      </c>
      <c r="H5171" s="108">
        <v>10</v>
      </c>
      <c r="I5171" s="109">
        <v>1</v>
      </c>
      <c r="J5171" s="8">
        <f t="shared" si="621"/>
        <v>10</v>
      </c>
      <c r="K5171" s="958">
        <v>1.87</v>
      </c>
      <c r="L5171" s="39">
        <f t="shared" si="622"/>
        <v>18.700000000000003</v>
      </c>
      <c r="M5171" s="117" t="s">
        <v>349</v>
      </c>
      <c r="N5171" s="33">
        <v>46072</v>
      </c>
      <c r="O5171" s="32">
        <v>7867</v>
      </c>
      <c r="P5171" s="391">
        <f t="shared" si="623"/>
        <v>1.07</v>
      </c>
      <c r="Q5171" s="322">
        <v>1.07</v>
      </c>
      <c r="R5171" s="322">
        <f t="shared" si="624"/>
        <v>10.700000000000001</v>
      </c>
      <c r="S5171" s="92">
        <v>89.7</v>
      </c>
      <c r="T5171" s="7">
        <f t="shared" si="625"/>
        <v>897</v>
      </c>
      <c r="U5171" s="959"/>
      <c r="V5171" s="260">
        <v>120</v>
      </c>
      <c r="W5171" s="1136">
        <f t="shared" si="627"/>
        <v>0.60026737967914434</v>
      </c>
    </row>
    <row r="5172" spans="2:23" s="7" customFormat="1" ht="18" customHeight="1">
      <c r="B5172" s="12" t="s">
        <v>300</v>
      </c>
      <c r="C5172" s="965" t="s">
        <v>6411</v>
      </c>
      <c r="D5172" s="14" t="s">
        <v>3150</v>
      </c>
      <c r="E5172" s="22">
        <v>12701</v>
      </c>
      <c r="F5172" s="24">
        <v>25</v>
      </c>
      <c r="G5172" s="22" t="s">
        <v>6417</v>
      </c>
      <c r="H5172" s="108">
        <v>10</v>
      </c>
      <c r="I5172" s="109">
        <v>1</v>
      </c>
      <c r="J5172" s="8">
        <f t="shared" si="621"/>
        <v>10</v>
      </c>
      <c r="K5172" s="958">
        <v>1.87</v>
      </c>
      <c r="L5172" s="39">
        <f t="shared" si="622"/>
        <v>18.700000000000003</v>
      </c>
      <c r="M5172" s="117" t="s">
        <v>349</v>
      </c>
      <c r="N5172" s="33">
        <v>46072</v>
      </c>
      <c r="O5172" s="32">
        <v>7867</v>
      </c>
      <c r="P5172" s="391">
        <f t="shared" si="623"/>
        <v>1.07</v>
      </c>
      <c r="Q5172" s="322">
        <v>1.07</v>
      </c>
      <c r="R5172" s="322">
        <f t="shared" si="624"/>
        <v>10.700000000000001</v>
      </c>
      <c r="S5172" s="92">
        <v>89.7</v>
      </c>
      <c r="T5172" s="7">
        <f t="shared" si="625"/>
        <v>897</v>
      </c>
      <c r="U5172" s="959"/>
      <c r="V5172" s="260">
        <v>120</v>
      </c>
      <c r="W5172" s="1136">
        <f t="shared" ref="W5172:W5178" si="628">(((K5172*V5172)-S5172)/(K5172*V5172))</f>
        <v>0.60026737967914434</v>
      </c>
    </row>
    <row r="5173" spans="2:23" s="7" customFormat="1" ht="18" customHeight="1">
      <c r="B5173" s="12" t="s">
        <v>300</v>
      </c>
      <c r="C5173" s="965" t="s">
        <v>6411</v>
      </c>
      <c r="D5173" s="14" t="s">
        <v>3150</v>
      </c>
      <c r="E5173" s="22">
        <v>12701</v>
      </c>
      <c r="F5173" s="24">
        <v>25</v>
      </c>
      <c r="G5173" s="22" t="s">
        <v>6418</v>
      </c>
      <c r="H5173" s="108">
        <v>10</v>
      </c>
      <c r="I5173" s="109">
        <v>1</v>
      </c>
      <c r="J5173" s="8">
        <f t="shared" si="621"/>
        <v>10</v>
      </c>
      <c r="K5173" s="958">
        <v>1.87</v>
      </c>
      <c r="L5173" s="39">
        <f t="shared" si="622"/>
        <v>18.700000000000003</v>
      </c>
      <c r="M5173" s="117" t="s">
        <v>349</v>
      </c>
      <c r="N5173" s="33">
        <v>46072</v>
      </c>
      <c r="O5173" s="32">
        <v>7867</v>
      </c>
      <c r="P5173" s="391">
        <f t="shared" si="623"/>
        <v>1.07</v>
      </c>
      <c r="Q5173" s="322">
        <v>1.07</v>
      </c>
      <c r="R5173" s="322">
        <f t="shared" si="624"/>
        <v>10.700000000000001</v>
      </c>
      <c r="S5173" s="92">
        <v>89.7</v>
      </c>
      <c r="T5173" s="7">
        <f t="shared" si="625"/>
        <v>897</v>
      </c>
      <c r="U5173" s="959"/>
      <c r="V5173" s="260">
        <v>120</v>
      </c>
      <c r="W5173" s="1136">
        <f t="shared" si="628"/>
        <v>0.60026737967914434</v>
      </c>
    </row>
    <row r="5174" spans="2:23" s="7" customFormat="1" ht="18" customHeight="1">
      <c r="B5174" s="12" t="s">
        <v>300</v>
      </c>
      <c r="C5174" s="965" t="s">
        <v>6411</v>
      </c>
      <c r="D5174" s="14" t="s">
        <v>3150</v>
      </c>
      <c r="E5174" s="22">
        <v>12701</v>
      </c>
      <c r="F5174" s="24">
        <v>25</v>
      </c>
      <c r="G5174" s="22" t="s">
        <v>6419</v>
      </c>
      <c r="H5174" s="108">
        <v>10</v>
      </c>
      <c r="I5174" s="109">
        <v>1</v>
      </c>
      <c r="J5174" s="8">
        <f t="shared" si="621"/>
        <v>10</v>
      </c>
      <c r="K5174" s="958">
        <v>1.87</v>
      </c>
      <c r="L5174" s="39">
        <f t="shared" si="622"/>
        <v>18.700000000000003</v>
      </c>
      <c r="M5174" s="117" t="s">
        <v>349</v>
      </c>
      <c r="N5174" s="33">
        <v>46072</v>
      </c>
      <c r="O5174" s="32">
        <v>7867</v>
      </c>
      <c r="P5174" s="391">
        <f t="shared" si="623"/>
        <v>1.07</v>
      </c>
      <c r="Q5174" s="322">
        <v>1.07</v>
      </c>
      <c r="R5174" s="322">
        <f t="shared" si="624"/>
        <v>10.700000000000001</v>
      </c>
      <c r="S5174" s="92">
        <v>89.7</v>
      </c>
      <c r="T5174" s="7">
        <f t="shared" si="625"/>
        <v>897</v>
      </c>
      <c r="U5174" s="959"/>
      <c r="V5174" s="260">
        <v>120</v>
      </c>
      <c r="W5174" s="1136">
        <f t="shared" si="628"/>
        <v>0.60026737967914434</v>
      </c>
    </row>
    <row r="5175" spans="2:23" s="7" customFormat="1" ht="18" customHeight="1">
      <c r="B5175" s="12" t="s">
        <v>300</v>
      </c>
      <c r="C5175" s="965" t="s">
        <v>6411</v>
      </c>
      <c r="D5175" s="14" t="s">
        <v>3150</v>
      </c>
      <c r="E5175" s="22">
        <v>12701</v>
      </c>
      <c r="F5175" s="24">
        <v>25</v>
      </c>
      <c r="G5175" s="22" t="s">
        <v>6420</v>
      </c>
      <c r="H5175" s="108">
        <v>10</v>
      </c>
      <c r="I5175" s="109">
        <v>1</v>
      </c>
      <c r="J5175" s="8">
        <f t="shared" si="621"/>
        <v>10</v>
      </c>
      <c r="K5175" s="958">
        <v>1.87</v>
      </c>
      <c r="L5175" s="39">
        <f t="shared" si="622"/>
        <v>18.700000000000003</v>
      </c>
      <c r="M5175" s="117" t="s">
        <v>349</v>
      </c>
      <c r="N5175" s="33">
        <v>46072</v>
      </c>
      <c r="O5175" s="32">
        <v>7867</v>
      </c>
      <c r="P5175" s="391">
        <f t="shared" si="623"/>
        <v>1.07</v>
      </c>
      <c r="Q5175" s="322">
        <v>1.07</v>
      </c>
      <c r="R5175" s="322">
        <f t="shared" si="624"/>
        <v>10.700000000000001</v>
      </c>
      <c r="S5175" s="92">
        <v>89.7</v>
      </c>
      <c r="T5175" s="7">
        <f t="shared" si="625"/>
        <v>897</v>
      </c>
      <c r="U5175" s="959"/>
      <c r="V5175" s="260">
        <v>120</v>
      </c>
      <c r="W5175" s="1136">
        <f t="shared" si="628"/>
        <v>0.60026737967914434</v>
      </c>
    </row>
    <row r="5176" spans="2:23" s="7" customFormat="1" ht="18" customHeight="1">
      <c r="B5176" s="12" t="s">
        <v>300</v>
      </c>
      <c r="C5176" s="965" t="s">
        <v>6411</v>
      </c>
      <c r="D5176" s="14" t="s">
        <v>3150</v>
      </c>
      <c r="E5176" s="22">
        <v>12701</v>
      </c>
      <c r="F5176" s="24">
        <v>25</v>
      </c>
      <c r="G5176" s="22" t="s">
        <v>6421</v>
      </c>
      <c r="H5176" s="108">
        <v>10</v>
      </c>
      <c r="I5176" s="109">
        <v>1</v>
      </c>
      <c r="J5176" s="8">
        <f t="shared" si="621"/>
        <v>10</v>
      </c>
      <c r="K5176" s="958">
        <v>1.87</v>
      </c>
      <c r="L5176" s="39">
        <f t="shared" si="622"/>
        <v>18.700000000000003</v>
      </c>
      <c r="M5176" s="117" t="s">
        <v>349</v>
      </c>
      <c r="N5176" s="33">
        <v>46072</v>
      </c>
      <c r="O5176" s="32">
        <v>7867</v>
      </c>
      <c r="P5176" s="391">
        <f t="shared" si="623"/>
        <v>1.07</v>
      </c>
      <c r="Q5176" s="322">
        <v>1.07</v>
      </c>
      <c r="R5176" s="322">
        <f t="shared" si="624"/>
        <v>10.700000000000001</v>
      </c>
      <c r="S5176" s="92">
        <v>89.7</v>
      </c>
      <c r="T5176" s="7">
        <f t="shared" si="625"/>
        <v>897</v>
      </c>
      <c r="U5176" s="959"/>
      <c r="V5176" s="260">
        <v>120</v>
      </c>
      <c r="W5176" s="1136">
        <f t="shared" si="628"/>
        <v>0.60026737967914434</v>
      </c>
    </row>
    <row r="5177" spans="2:23" s="7" customFormat="1" ht="15">
      <c r="B5177" s="12"/>
      <c r="C5177" s="965" t="s">
        <v>6411</v>
      </c>
      <c r="D5177" s="14" t="s">
        <v>3150</v>
      </c>
      <c r="E5177" s="19" t="s">
        <v>2244</v>
      </c>
      <c r="F5177" s="24"/>
      <c r="G5177" s="22"/>
      <c r="H5177" s="60"/>
      <c r="I5177" s="61"/>
      <c r="J5177" s="8"/>
      <c r="K5177" s="110" t="s">
        <v>5</v>
      </c>
      <c r="L5177" s="139"/>
      <c r="M5177" s="33"/>
      <c r="N5177" s="33">
        <v>46072</v>
      </c>
      <c r="O5177" s="32">
        <v>7867</v>
      </c>
      <c r="P5177" s="6" t="s">
        <v>8</v>
      </c>
      <c r="Q5177" s="358"/>
      <c r="U5177" s="120"/>
      <c r="V5177" s="260">
        <v>120</v>
      </c>
      <c r="W5177" s="1136" t="e">
        <f t="shared" si="628"/>
        <v>#VALUE!</v>
      </c>
    </row>
    <row r="5178" spans="2:23" s="7" customFormat="1" ht="18" customHeight="1">
      <c r="B5178" s="12" t="s">
        <v>300</v>
      </c>
      <c r="C5178" s="965" t="s">
        <v>6411</v>
      </c>
      <c r="D5178" s="14" t="s">
        <v>3150</v>
      </c>
      <c r="E5178" s="22">
        <v>11700</v>
      </c>
      <c r="F5178" s="37">
        <v>9</v>
      </c>
      <c r="G5178" s="22" t="s">
        <v>6422</v>
      </c>
      <c r="H5178" s="8">
        <v>10</v>
      </c>
      <c r="I5178" s="35">
        <v>2</v>
      </c>
      <c r="J5178" s="108">
        <f t="shared" ref="J5178:J5206" si="629">H5178*I5178</f>
        <v>20</v>
      </c>
      <c r="K5178" s="958">
        <v>2.0299999999999998</v>
      </c>
      <c r="L5178" s="39">
        <f t="shared" ref="L5178:L5207" si="630">K5178*J5178</f>
        <v>40.599999999999994</v>
      </c>
      <c r="M5178" s="117" t="s">
        <v>349</v>
      </c>
      <c r="N5178" s="33">
        <v>46072</v>
      </c>
      <c r="O5178" s="32">
        <v>7867</v>
      </c>
      <c r="P5178" s="391">
        <f t="shared" ref="P5178:P5206" si="631">ROUNDUP(S5178/V5178/VLOOKUP(B5178,$C$2:$F$6,3,FALSE),2)</f>
        <v>1.1599999999999999</v>
      </c>
      <c r="Q5178" s="322">
        <v>1.1599999999999999</v>
      </c>
      <c r="R5178" s="322">
        <f t="shared" ref="R5178:R5207" si="632">Q5178*J5178</f>
        <v>23.2</v>
      </c>
      <c r="S5178" s="7">
        <v>97.1</v>
      </c>
      <c r="T5178" s="7">
        <f t="shared" ref="T5178:T5207" si="633">S5178*J5178</f>
        <v>1942</v>
      </c>
      <c r="U5178" s="39"/>
      <c r="V5178" s="260">
        <v>120</v>
      </c>
      <c r="W5178" s="1136">
        <f t="shared" si="628"/>
        <v>0.60139573070607555</v>
      </c>
    </row>
    <row r="5179" spans="2:23" s="7" customFormat="1" ht="18" customHeight="1">
      <c r="B5179" s="12" t="s">
        <v>300</v>
      </c>
      <c r="C5179" s="965" t="s">
        <v>6411</v>
      </c>
      <c r="D5179" s="14" t="s">
        <v>3150</v>
      </c>
      <c r="E5179" s="22">
        <v>11700</v>
      </c>
      <c r="F5179" s="37">
        <v>12</v>
      </c>
      <c r="G5179" s="22" t="s">
        <v>6422</v>
      </c>
      <c r="H5179" s="8">
        <v>10</v>
      </c>
      <c r="I5179" s="35">
        <v>2</v>
      </c>
      <c r="J5179" s="108">
        <f t="shared" si="629"/>
        <v>20</v>
      </c>
      <c r="K5179" s="958">
        <v>2.19</v>
      </c>
      <c r="L5179" s="39">
        <f t="shared" si="630"/>
        <v>43.8</v>
      </c>
      <c r="M5179" s="117" t="s">
        <v>349</v>
      </c>
      <c r="N5179" s="33">
        <v>46072</v>
      </c>
      <c r="O5179" s="32">
        <v>7867</v>
      </c>
      <c r="P5179" s="391">
        <f t="shared" si="631"/>
        <v>1.26</v>
      </c>
      <c r="Q5179" s="322">
        <v>1.26</v>
      </c>
      <c r="R5179" s="322">
        <f t="shared" si="632"/>
        <v>25.2</v>
      </c>
      <c r="S5179" s="7">
        <v>105.1</v>
      </c>
      <c r="T5179" s="7">
        <f t="shared" si="633"/>
        <v>2102</v>
      </c>
      <c r="U5179" s="39"/>
      <c r="V5179" s="260">
        <v>120</v>
      </c>
      <c r="W5179" s="1136">
        <f t="shared" ref="W5179:W5185" si="634">(((K5179*V5179)-S5179)/(K5179*V5179))</f>
        <v>0.60007610350076113</v>
      </c>
    </row>
    <row r="5180" spans="2:23" s="7" customFormat="1" ht="18" customHeight="1">
      <c r="B5180" s="12" t="s">
        <v>300</v>
      </c>
      <c r="C5180" s="965" t="s">
        <v>6411</v>
      </c>
      <c r="D5180" s="14" t="s">
        <v>3150</v>
      </c>
      <c r="E5180" s="22">
        <v>11700</v>
      </c>
      <c r="F5180" s="37">
        <v>18</v>
      </c>
      <c r="G5180" s="22" t="s">
        <v>6422</v>
      </c>
      <c r="H5180" s="8">
        <v>10</v>
      </c>
      <c r="I5180" s="35">
        <v>2</v>
      </c>
      <c r="J5180" s="108">
        <f t="shared" si="629"/>
        <v>20</v>
      </c>
      <c r="K5180" s="958">
        <v>2.84</v>
      </c>
      <c r="L5180" s="39">
        <f t="shared" si="630"/>
        <v>56.8</v>
      </c>
      <c r="M5180" s="117" t="s">
        <v>349</v>
      </c>
      <c r="N5180" s="33">
        <v>46072</v>
      </c>
      <c r="O5180" s="32">
        <v>7867</v>
      </c>
      <c r="P5180" s="391">
        <f t="shared" si="631"/>
        <v>1.62</v>
      </c>
      <c r="Q5180" s="322">
        <v>1.62</v>
      </c>
      <c r="R5180" s="322">
        <f t="shared" si="632"/>
        <v>32.400000000000006</v>
      </c>
      <c r="S5180" s="1671">
        <v>136</v>
      </c>
      <c r="T5180" s="7">
        <f t="shared" si="633"/>
        <v>2720</v>
      </c>
      <c r="U5180" s="39"/>
      <c r="V5180" s="260">
        <v>120</v>
      </c>
      <c r="W5180" s="1136">
        <f t="shared" si="634"/>
        <v>0.60093896713615014</v>
      </c>
    </row>
    <row r="5181" spans="2:23" s="7" customFormat="1" ht="18" customHeight="1">
      <c r="B5181" s="12" t="s">
        <v>300</v>
      </c>
      <c r="C5181" s="965" t="s">
        <v>6411</v>
      </c>
      <c r="D5181" s="14" t="s">
        <v>3150</v>
      </c>
      <c r="E5181" s="22">
        <v>11700</v>
      </c>
      <c r="F5181" s="37">
        <v>9</v>
      </c>
      <c r="G5181" s="22" t="s">
        <v>6423</v>
      </c>
      <c r="H5181" s="8">
        <v>10</v>
      </c>
      <c r="I5181" s="35">
        <v>1</v>
      </c>
      <c r="J5181" s="108">
        <f t="shared" si="629"/>
        <v>10</v>
      </c>
      <c r="K5181" s="958">
        <v>2.0299999999999998</v>
      </c>
      <c r="L5181" s="39">
        <f t="shared" si="630"/>
        <v>20.299999999999997</v>
      </c>
      <c r="M5181" s="117" t="s">
        <v>349</v>
      </c>
      <c r="N5181" s="33">
        <v>46072</v>
      </c>
      <c r="O5181" s="32">
        <v>7867</v>
      </c>
      <c r="P5181" s="391">
        <f t="shared" si="631"/>
        <v>1.1599999999999999</v>
      </c>
      <c r="Q5181" s="322">
        <v>1.1599999999999999</v>
      </c>
      <c r="R5181" s="322">
        <f t="shared" si="632"/>
        <v>11.6</v>
      </c>
      <c r="S5181" s="7">
        <v>97.1</v>
      </c>
      <c r="T5181" s="7">
        <f t="shared" si="633"/>
        <v>971</v>
      </c>
      <c r="U5181" s="39"/>
      <c r="V5181" s="260">
        <v>120</v>
      </c>
      <c r="W5181" s="1136">
        <f t="shared" si="634"/>
        <v>0.60139573070607555</v>
      </c>
    </row>
    <row r="5182" spans="2:23" s="7" customFormat="1" ht="18" customHeight="1">
      <c r="B5182" s="12" t="s">
        <v>300</v>
      </c>
      <c r="C5182" s="965" t="s">
        <v>6411</v>
      </c>
      <c r="D5182" s="14" t="s">
        <v>3150</v>
      </c>
      <c r="E5182" s="22">
        <v>11700</v>
      </c>
      <c r="F5182" s="37">
        <v>12</v>
      </c>
      <c r="G5182" s="22" t="s">
        <v>6423</v>
      </c>
      <c r="H5182" s="8">
        <v>10</v>
      </c>
      <c r="I5182" s="35">
        <v>1</v>
      </c>
      <c r="J5182" s="108">
        <f t="shared" si="629"/>
        <v>10</v>
      </c>
      <c r="K5182" s="958">
        <v>2.19</v>
      </c>
      <c r="L5182" s="39">
        <f t="shared" si="630"/>
        <v>21.9</v>
      </c>
      <c r="M5182" s="117" t="s">
        <v>349</v>
      </c>
      <c r="N5182" s="33">
        <v>46072</v>
      </c>
      <c r="O5182" s="32">
        <v>7867</v>
      </c>
      <c r="P5182" s="391">
        <f t="shared" si="631"/>
        <v>1.26</v>
      </c>
      <c r="Q5182" s="322">
        <v>1.26</v>
      </c>
      <c r="R5182" s="322">
        <f t="shared" si="632"/>
        <v>12.6</v>
      </c>
      <c r="S5182" s="7">
        <v>105.1</v>
      </c>
      <c r="T5182" s="7">
        <f t="shared" si="633"/>
        <v>1051</v>
      </c>
      <c r="U5182" s="39"/>
      <c r="V5182" s="260">
        <v>120</v>
      </c>
      <c r="W5182" s="1136">
        <f t="shared" si="634"/>
        <v>0.60007610350076113</v>
      </c>
    </row>
    <row r="5183" spans="2:23" s="7" customFormat="1" ht="18" customHeight="1">
      <c r="B5183" s="12" t="s">
        <v>300</v>
      </c>
      <c r="C5183" s="965" t="s">
        <v>6411</v>
      </c>
      <c r="D5183" s="14" t="s">
        <v>3150</v>
      </c>
      <c r="E5183" s="22">
        <v>11700</v>
      </c>
      <c r="F5183" s="37">
        <v>18</v>
      </c>
      <c r="G5183" s="22" t="s">
        <v>6423</v>
      </c>
      <c r="H5183" s="8">
        <v>10</v>
      </c>
      <c r="I5183" s="35">
        <v>1</v>
      </c>
      <c r="J5183" s="108">
        <f t="shared" si="629"/>
        <v>10</v>
      </c>
      <c r="K5183" s="958">
        <v>2.84</v>
      </c>
      <c r="L5183" s="39">
        <f t="shared" si="630"/>
        <v>28.4</v>
      </c>
      <c r="M5183" s="117" t="s">
        <v>349</v>
      </c>
      <c r="N5183" s="33">
        <v>46072</v>
      </c>
      <c r="O5183" s="32">
        <v>7867</v>
      </c>
      <c r="P5183" s="391">
        <f t="shared" si="631"/>
        <v>1.62</v>
      </c>
      <c r="Q5183" s="322">
        <v>1.62</v>
      </c>
      <c r="R5183" s="322">
        <f t="shared" si="632"/>
        <v>16.200000000000003</v>
      </c>
      <c r="S5183" s="1671">
        <v>136</v>
      </c>
      <c r="T5183" s="7">
        <f t="shared" si="633"/>
        <v>1360</v>
      </c>
      <c r="U5183" s="39"/>
      <c r="V5183" s="260">
        <v>120</v>
      </c>
      <c r="W5183" s="1136">
        <f t="shared" si="634"/>
        <v>0.60093896713615014</v>
      </c>
    </row>
    <row r="5184" spans="2:23" s="7" customFormat="1" ht="18" customHeight="1">
      <c r="B5184" s="12" t="s">
        <v>300</v>
      </c>
      <c r="C5184" s="965" t="s">
        <v>6411</v>
      </c>
      <c r="D5184" s="14" t="s">
        <v>3150</v>
      </c>
      <c r="E5184" s="22">
        <v>11700</v>
      </c>
      <c r="F5184" s="37">
        <v>24</v>
      </c>
      <c r="G5184" s="22" t="s">
        <v>6423</v>
      </c>
      <c r="H5184" s="8">
        <v>10</v>
      </c>
      <c r="I5184" s="35">
        <v>1</v>
      </c>
      <c r="J5184" s="108">
        <f t="shared" si="629"/>
        <v>10</v>
      </c>
      <c r="K5184" s="958">
        <v>3.5199999999999996</v>
      </c>
      <c r="L5184" s="39">
        <f t="shared" si="630"/>
        <v>35.199999999999996</v>
      </c>
      <c r="M5184" s="117" t="s">
        <v>349</v>
      </c>
      <c r="N5184" s="33">
        <v>46072</v>
      </c>
      <c r="O5184" s="32">
        <v>7867</v>
      </c>
      <c r="P5184" s="391">
        <f t="shared" si="631"/>
        <v>2.0099999999999998</v>
      </c>
      <c r="Q5184" s="322">
        <v>2.0099999999999998</v>
      </c>
      <c r="R5184" s="322">
        <f t="shared" si="632"/>
        <v>20.099999999999998</v>
      </c>
      <c r="S5184" s="7">
        <v>168.6</v>
      </c>
      <c r="T5184" s="7">
        <f t="shared" si="633"/>
        <v>1686</v>
      </c>
      <c r="U5184" s="39"/>
      <c r="V5184" s="260">
        <v>120</v>
      </c>
      <c r="W5184" s="1136">
        <f t="shared" si="634"/>
        <v>0.60085227272727271</v>
      </c>
    </row>
    <row r="5185" spans="2:23" s="7" customFormat="1" ht="18" customHeight="1">
      <c r="B5185" s="12" t="s">
        <v>300</v>
      </c>
      <c r="C5185" s="965" t="s">
        <v>6411</v>
      </c>
      <c r="D5185" s="14" t="s">
        <v>3150</v>
      </c>
      <c r="E5185" s="22">
        <v>11700</v>
      </c>
      <c r="F5185" s="37">
        <v>36</v>
      </c>
      <c r="G5185" s="22" t="s">
        <v>6423</v>
      </c>
      <c r="H5185" s="8">
        <v>10</v>
      </c>
      <c r="I5185" s="35">
        <v>1</v>
      </c>
      <c r="J5185" s="108">
        <f t="shared" si="629"/>
        <v>10</v>
      </c>
      <c r="K5185" s="958">
        <v>5.85</v>
      </c>
      <c r="L5185" s="39">
        <f t="shared" si="630"/>
        <v>58.5</v>
      </c>
      <c r="M5185" s="117" t="s">
        <v>349</v>
      </c>
      <c r="N5185" s="33">
        <v>46072</v>
      </c>
      <c r="O5185" s="32">
        <v>7867</v>
      </c>
      <c r="P5185" s="391">
        <f t="shared" si="631"/>
        <v>3.3499999999999996</v>
      </c>
      <c r="Q5185" s="322">
        <v>3.35</v>
      </c>
      <c r="R5185" s="322">
        <f t="shared" si="632"/>
        <v>33.5</v>
      </c>
      <c r="S5185" s="7">
        <v>280.60000000000002</v>
      </c>
      <c r="T5185" s="7">
        <f t="shared" si="633"/>
        <v>2806</v>
      </c>
      <c r="U5185" s="39"/>
      <c r="V5185" s="260">
        <v>120</v>
      </c>
      <c r="W5185" s="1136">
        <f t="shared" si="634"/>
        <v>0.60028490028490022</v>
      </c>
    </row>
    <row r="5186" spans="2:23" s="7" customFormat="1" ht="18" customHeight="1">
      <c r="B5186" s="12" t="s">
        <v>300</v>
      </c>
      <c r="C5186" s="965" t="s">
        <v>6411</v>
      </c>
      <c r="D5186" s="14" t="s">
        <v>3150</v>
      </c>
      <c r="E5186" s="22">
        <v>11700</v>
      </c>
      <c r="F5186" s="37">
        <v>9</v>
      </c>
      <c r="G5186" s="22" t="s">
        <v>6424</v>
      </c>
      <c r="H5186" s="8">
        <v>10</v>
      </c>
      <c r="I5186" s="35">
        <v>1</v>
      </c>
      <c r="J5186" s="108">
        <f t="shared" si="629"/>
        <v>10</v>
      </c>
      <c r="K5186" s="958">
        <v>2.0299999999999998</v>
      </c>
      <c r="L5186" s="39">
        <f t="shared" si="630"/>
        <v>20.299999999999997</v>
      </c>
      <c r="M5186" s="117" t="s">
        <v>349</v>
      </c>
      <c r="N5186" s="33">
        <v>46072</v>
      </c>
      <c r="O5186" s="32">
        <v>7867</v>
      </c>
      <c r="P5186" s="391">
        <f t="shared" si="631"/>
        <v>1.1599999999999999</v>
      </c>
      <c r="Q5186" s="322">
        <v>1.1599999999999999</v>
      </c>
      <c r="R5186" s="322">
        <f t="shared" si="632"/>
        <v>11.6</v>
      </c>
      <c r="S5186" s="7">
        <v>97.1</v>
      </c>
      <c r="T5186" s="7">
        <f t="shared" si="633"/>
        <v>971</v>
      </c>
      <c r="U5186" s="39"/>
      <c r="V5186" s="260">
        <v>120</v>
      </c>
      <c r="W5186" s="1136">
        <f t="shared" ref="W5186:W5208" si="635">(((K5186*V5186)-S5186)/(K5186*V5186))</f>
        <v>0.60139573070607555</v>
      </c>
    </row>
    <row r="5187" spans="2:23" s="7" customFormat="1" ht="18" customHeight="1">
      <c r="B5187" s="12" t="s">
        <v>300</v>
      </c>
      <c r="C5187" s="965" t="s">
        <v>6411</v>
      </c>
      <c r="D5187" s="14" t="s">
        <v>3150</v>
      </c>
      <c r="E5187" s="22">
        <v>11700</v>
      </c>
      <c r="F5187" s="37">
        <v>12</v>
      </c>
      <c r="G5187" s="22" t="s">
        <v>6424</v>
      </c>
      <c r="H5187" s="8">
        <v>10</v>
      </c>
      <c r="I5187" s="35">
        <v>1</v>
      </c>
      <c r="J5187" s="108">
        <f t="shared" si="629"/>
        <v>10</v>
      </c>
      <c r="K5187" s="958">
        <v>2.19</v>
      </c>
      <c r="L5187" s="39">
        <f t="shared" si="630"/>
        <v>21.9</v>
      </c>
      <c r="M5187" s="117" t="s">
        <v>349</v>
      </c>
      <c r="N5187" s="33">
        <v>46072</v>
      </c>
      <c r="O5187" s="32">
        <v>7867</v>
      </c>
      <c r="P5187" s="391">
        <f t="shared" si="631"/>
        <v>1.26</v>
      </c>
      <c r="Q5187" s="322">
        <v>1.26</v>
      </c>
      <c r="R5187" s="322">
        <f t="shared" si="632"/>
        <v>12.6</v>
      </c>
      <c r="S5187" s="7">
        <v>105.1</v>
      </c>
      <c r="T5187" s="7">
        <f t="shared" si="633"/>
        <v>1051</v>
      </c>
      <c r="U5187" s="39"/>
      <c r="V5187" s="260">
        <v>120</v>
      </c>
      <c r="W5187" s="1136">
        <f t="shared" si="635"/>
        <v>0.60007610350076113</v>
      </c>
    </row>
    <row r="5188" spans="2:23" s="7" customFormat="1" ht="18" customHeight="1">
      <c r="B5188" s="12" t="s">
        <v>300</v>
      </c>
      <c r="C5188" s="965" t="s">
        <v>6411</v>
      </c>
      <c r="D5188" s="14" t="s">
        <v>3150</v>
      </c>
      <c r="E5188" s="22">
        <v>11700</v>
      </c>
      <c r="F5188" s="37">
        <v>18</v>
      </c>
      <c r="G5188" s="22" t="s">
        <v>6424</v>
      </c>
      <c r="H5188" s="8">
        <v>10</v>
      </c>
      <c r="I5188" s="35">
        <v>1</v>
      </c>
      <c r="J5188" s="108">
        <f t="shared" si="629"/>
        <v>10</v>
      </c>
      <c r="K5188" s="958">
        <v>2.84</v>
      </c>
      <c r="L5188" s="39">
        <f t="shared" si="630"/>
        <v>28.4</v>
      </c>
      <c r="M5188" s="117" t="s">
        <v>349</v>
      </c>
      <c r="N5188" s="33">
        <v>46072</v>
      </c>
      <c r="O5188" s="32">
        <v>7867</v>
      </c>
      <c r="P5188" s="391">
        <f t="shared" si="631"/>
        <v>1.62</v>
      </c>
      <c r="Q5188" s="322">
        <v>1.62</v>
      </c>
      <c r="R5188" s="322">
        <f t="shared" si="632"/>
        <v>16.200000000000003</v>
      </c>
      <c r="S5188" s="1671">
        <v>136</v>
      </c>
      <c r="T5188" s="7">
        <f t="shared" si="633"/>
        <v>1360</v>
      </c>
      <c r="U5188" s="39"/>
      <c r="V5188" s="260">
        <v>120</v>
      </c>
      <c r="W5188" s="1136">
        <f t="shared" si="635"/>
        <v>0.60093896713615014</v>
      </c>
    </row>
    <row r="5189" spans="2:23" s="7" customFormat="1" ht="18" customHeight="1">
      <c r="B5189" s="12" t="s">
        <v>300</v>
      </c>
      <c r="C5189" s="965" t="s">
        <v>6411</v>
      </c>
      <c r="D5189" s="14" t="s">
        <v>3150</v>
      </c>
      <c r="E5189" s="22">
        <v>11700</v>
      </c>
      <c r="F5189" s="37">
        <v>24</v>
      </c>
      <c r="G5189" s="22" t="s">
        <v>6424</v>
      </c>
      <c r="H5189" s="8">
        <v>10</v>
      </c>
      <c r="I5189" s="35">
        <v>1</v>
      </c>
      <c r="J5189" s="108">
        <f t="shared" si="629"/>
        <v>10</v>
      </c>
      <c r="K5189" s="958">
        <v>3.5199999999999996</v>
      </c>
      <c r="L5189" s="39">
        <f t="shared" si="630"/>
        <v>35.199999999999996</v>
      </c>
      <c r="M5189" s="117" t="s">
        <v>349</v>
      </c>
      <c r="N5189" s="33">
        <v>46072</v>
      </c>
      <c r="O5189" s="32">
        <v>7867</v>
      </c>
      <c r="P5189" s="391">
        <f t="shared" si="631"/>
        <v>2.0099999999999998</v>
      </c>
      <c r="Q5189" s="322">
        <v>2.0099999999999998</v>
      </c>
      <c r="R5189" s="322">
        <f t="shared" si="632"/>
        <v>20.099999999999998</v>
      </c>
      <c r="S5189" s="7">
        <v>168.6</v>
      </c>
      <c r="T5189" s="7">
        <f t="shared" si="633"/>
        <v>1686</v>
      </c>
      <c r="U5189" s="39"/>
      <c r="V5189" s="260">
        <v>120</v>
      </c>
      <c r="W5189" s="1136">
        <f t="shared" si="635"/>
        <v>0.60085227272727271</v>
      </c>
    </row>
    <row r="5190" spans="2:23" s="7" customFormat="1" ht="18" customHeight="1">
      <c r="B5190" s="12" t="s">
        <v>300</v>
      </c>
      <c r="C5190" s="965" t="s">
        <v>6411</v>
      </c>
      <c r="D5190" s="14" t="s">
        <v>3150</v>
      </c>
      <c r="E5190" s="22">
        <v>11700</v>
      </c>
      <c r="F5190" s="37">
        <v>9</v>
      </c>
      <c r="G5190" s="22" t="s">
        <v>6425</v>
      </c>
      <c r="H5190" s="8">
        <v>10</v>
      </c>
      <c r="I5190" s="35">
        <v>1</v>
      </c>
      <c r="J5190" s="108">
        <f t="shared" si="629"/>
        <v>10</v>
      </c>
      <c r="K5190" s="958">
        <v>2.0299999999999998</v>
      </c>
      <c r="L5190" s="39">
        <f t="shared" si="630"/>
        <v>20.299999999999997</v>
      </c>
      <c r="M5190" s="117" t="s">
        <v>349</v>
      </c>
      <c r="N5190" s="33">
        <v>46072</v>
      </c>
      <c r="O5190" s="32">
        <v>7867</v>
      </c>
      <c r="P5190" s="391">
        <f t="shared" si="631"/>
        <v>1.1599999999999999</v>
      </c>
      <c r="Q5190" s="322">
        <v>1.1599999999999999</v>
      </c>
      <c r="R5190" s="322">
        <f t="shared" si="632"/>
        <v>11.6</v>
      </c>
      <c r="S5190" s="7">
        <v>97.1</v>
      </c>
      <c r="T5190" s="7">
        <f t="shared" si="633"/>
        <v>971</v>
      </c>
      <c r="U5190" s="39"/>
      <c r="V5190" s="260">
        <v>120</v>
      </c>
      <c r="W5190" s="1136">
        <f t="shared" si="635"/>
        <v>0.60139573070607555</v>
      </c>
    </row>
    <row r="5191" spans="2:23" s="7" customFormat="1" ht="18" customHeight="1">
      <c r="B5191" s="12" t="s">
        <v>300</v>
      </c>
      <c r="C5191" s="965" t="s">
        <v>6411</v>
      </c>
      <c r="D5191" s="14" t="s">
        <v>3150</v>
      </c>
      <c r="E5191" s="22">
        <v>11700</v>
      </c>
      <c r="F5191" s="37">
        <v>12</v>
      </c>
      <c r="G5191" s="22" t="s">
        <v>6425</v>
      </c>
      <c r="H5191" s="8">
        <v>10</v>
      </c>
      <c r="I5191" s="35">
        <v>1</v>
      </c>
      <c r="J5191" s="108">
        <f t="shared" si="629"/>
        <v>10</v>
      </c>
      <c r="K5191" s="958">
        <v>2.19</v>
      </c>
      <c r="L5191" s="39">
        <f t="shared" si="630"/>
        <v>21.9</v>
      </c>
      <c r="M5191" s="117" t="s">
        <v>349</v>
      </c>
      <c r="N5191" s="33">
        <v>46072</v>
      </c>
      <c r="O5191" s="32">
        <v>7867</v>
      </c>
      <c r="P5191" s="391">
        <f t="shared" si="631"/>
        <v>1.26</v>
      </c>
      <c r="Q5191" s="322">
        <v>1.26</v>
      </c>
      <c r="R5191" s="322">
        <f t="shared" si="632"/>
        <v>12.6</v>
      </c>
      <c r="S5191" s="7">
        <v>105.1</v>
      </c>
      <c r="T5191" s="7">
        <f t="shared" si="633"/>
        <v>1051</v>
      </c>
      <c r="U5191" s="39"/>
      <c r="V5191" s="260">
        <v>120</v>
      </c>
      <c r="W5191" s="1136">
        <f t="shared" si="635"/>
        <v>0.60007610350076113</v>
      </c>
    </row>
    <row r="5192" spans="2:23" s="7" customFormat="1" ht="18" customHeight="1">
      <c r="B5192" s="12" t="s">
        <v>300</v>
      </c>
      <c r="C5192" s="965" t="s">
        <v>6411</v>
      </c>
      <c r="D5192" s="14" t="s">
        <v>3150</v>
      </c>
      <c r="E5192" s="22">
        <v>11700</v>
      </c>
      <c r="F5192" s="37">
        <v>18</v>
      </c>
      <c r="G5192" s="22" t="s">
        <v>6425</v>
      </c>
      <c r="H5192" s="8">
        <v>10</v>
      </c>
      <c r="I5192" s="35">
        <v>1</v>
      </c>
      <c r="J5192" s="108">
        <f t="shared" si="629"/>
        <v>10</v>
      </c>
      <c r="K5192" s="958">
        <v>2.84</v>
      </c>
      <c r="L5192" s="39">
        <f t="shared" si="630"/>
        <v>28.4</v>
      </c>
      <c r="M5192" s="117" t="s">
        <v>349</v>
      </c>
      <c r="N5192" s="33">
        <v>46072</v>
      </c>
      <c r="O5192" s="32">
        <v>7867</v>
      </c>
      <c r="P5192" s="391">
        <f t="shared" si="631"/>
        <v>1.62</v>
      </c>
      <c r="Q5192" s="322">
        <v>1.62</v>
      </c>
      <c r="R5192" s="322">
        <f t="shared" si="632"/>
        <v>16.200000000000003</v>
      </c>
      <c r="S5192" s="1671">
        <v>136</v>
      </c>
      <c r="T5192" s="7">
        <f t="shared" si="633"/>
        <v>1360</v>
      </c>
      <c r="U5192" s="39"/>
      <c r="V5192" s="260">
        <v>120</v>
      </c>
      <c r="W5192" s="1136">
        <f t="shared" si="635"/>
        <v>0.60093896713615014</v>
      </c>
    </row>
    <row r="5193" spans="2:23" s="7" customFormat="1" ht="18" customHeight="1">
      <c r="B5193" s="12" t="s">
        <v>300</v>
      </c>
      <c r="C5193" s="965" t="s">
        <v>6411</v>
      </c>
      <c r="D5193" s="14" t="s">
        <v>3150</v>
      </c>
      <c r="E5193" s="22">
        <v>11700</v>
      </c>
      <c r="F5193" s="37">
        <v>24</v>
      </c>
      <c r="G5193" s="22" t="s">
        <v>6425</v>
      </c>
      <c r="H5193" s="8">
        <v>10</v>
      </c>
      <c r="I5193" s="35">
        <v>1</v>
      </c>
      <c r="J5193" s="108">
        <f t="shared" si="629"/>
        <v>10</v>
      </c>
      <c r="K5193" s="958">
        <v>3.5199999999999996</v>
      </c>
      <c r="L5193" s="39">
        <f t="shared" si="630"/>
        <v>35.199999999999996</v>
      </c>
      <c r="M5193" s="117" t="s">
        <v>349</v>
      </c>
      <c r="N5193" s="33">
        <v>46072</v>
      </c>
      <c r="O5193" s="32">
        <v>7867</v>
      </c>
      <c r="P5193" s="391">
        <f t="shared" si="631"/>
        <v>2.0099999999999998</v>
      </c>
      <c r="Q5193" s="322">
        <v>2.0099999999999998</v>
      </c>
      <c r="R5193" s="322">
        <f t="shared" si="632"/>
        <v>20.099999999999998</v>
      </c>
      <c r="S5193" s="7">
        <v>168.6</v>
      </c>
      <c r="T5193" s="7">
        <f t="shared" si="633"/>
        <v>1686</v>
      </c>
      <c r="U5193" s="39"/>
      <c r="V5193" s="260">
        <v>120</v>
      </c>
      <c r="W5193" s="1136">
        <f t="shared" si="635"/>
        <v>0.60085227272727271</v>
      </c>
    </row>
    <row r="5194" spans="2:23" s="7" customFormat="1" ht="18" customHeight="1">
      <c r="B5194" s="12" t="s">
        <v>300</v>
      </c>
      <c r="C5194" s="965" t="s">
        <v>6411</v>
      </c>
      <c r="D5194" s="14" t="s">
        <v>3150</v>
      </c>
      <c r="E5194" s="22">
        <v>11700</v>
      </c>
      <c r="F5194" s="37">
        <v>9</v>
      </c>
      <c r="G5194" s="22" t="s">
        <v>6426</v>
      </c>
      <c r="H5194" s="8">
        <v>10</v>
      </c>
      <c r="I5194" s="35">
        <v>2</v>
      </c>
      <c r="J5194" s="108">
        <f t="shared" si="629"/>
        <v>20</v>
      </c>
      <c r="K5194" s="958">
        <v>2.0299999999999998</v>
      </c>
      <c r="L5194" s="39">
        <f t="shared" si="630"/>
        <v>40.599999999999994</v>
      </c>
      <c r="M5194" s="117" t="s">
        <v>349</v>
      </c>
      <c r="N5194" s="33">
        <v>46072</v>
      </c>
      <c r="O5194" s="32">
        <v>7867</v>
      </c>
      <c r="P5194" s="391">
        <f t="shared" si="631"/>
        <v>1.1599999999999999</v>
      </c>
      <c r="Q5194" s="322">
        <v>1.1599999999999999</v>
      </c>
      <c r="R5194" s="322">
        <f t="shared" si="632"/>
        <v>23.2</v>
      </c>
      <c r="S5194" s="7">
        <v>97.1</v>
      </c>
      <c r="T5194" s="7">
        <f t="shared" si="633"/>
        <v>1942</v>
      </c>
      <c r="U5194" s="39"/>
      <c r="V5194" s="260">
        <v>120</v>
      </c>
      <c r="W5194" s="1136">
        <f t="shared" si="635"/>
        <v>0.60139573070607555</v>
      </c>
    </row>
    <row r="5195" spans="2:23" s="7" customFormat="1" ht="18" customHeight="1">
      <c r="B5195" s="12" t="s">
        <v>300</v>
      </c>
      <c r="C5195" s="965" t="s">
        <v>6411</v>
      </c>
      <c r="D5195" s="14" t="s">
        <v>3150</v>
      </c>
      <c r="E5195" s="22">
        <v>11700</v>
      </c>
      <c r="F5195" s="37">
        <v>12</v>
      </c>
      <c r="G5195" s="22" t="s">
        <v>6426</v>
      </c>
      <c r="H5195" s="8">
        <v>10</v>
      </c>
      <c r="I5195" s="35">
        <v>2</v>
      </c>
      <c r="J5195" s="108">
        <f t="shared" si="629"/>
        <v>20</v>
      </c>
      <c r="K5195" s="958">
        <v>2.19</v>
      </c>
      <c r="L5195" s="39">
        <f t="shared" si="630"/>
        <v>43.8</v>
      </c>
      <c r="M5195" s="117" t="s">
        <v>349</v>
      </c>
      <c r="N5195" s="33">
        <v>46072</v>
      </c>
      <c r="O5195" s="32">
        <v>7867</v>
      </c>
      <c r="P5195" s="391">
        <f t="shared" si="631"/>
        <v>1.26</v>
      </c>
      <c r="Q5195" s="322">
        <v>1.26</v>
      </c>
      <c r="R5195" s="322">
        <f t="shared" si="632"/>
        <v>25.2</v>
      </c>
      <c r="S5195" s="7">
        <v>105.1</v>
      </c>
      <c r="T5195" s="7">
        <f t="shared" si="633"/>
        <v>2102</v>
      </c>
      <c r="U5195" s="39"/>
      <c r="V5195" s="260">
        <v>120</v>
      </c>
      <c r="W5195" s="1136">
        <f t="shared" si="635"/>
        <v>0.60007610350076113</v>
      </c>
    </row>
    <row r="5196" spans="2:23" s="7" customFormat="1" ht="18" customHeight="1">
      <c r="B5196" s="12" t="s">
        <v>300</v>
      </c>
      <c r="C5196" s="965" t="s">
        <v>6411</v>
      </c>
      <c r="D5196" s="14" t="s">
        <v>3150</v>
      </c>
      <c r="E5196" s="22">
        <v>11700</v>
      </c>
      <c r="F5196" s="37">
        <v>18</v>
      </c>
      <c r="G5196" s="22" t="s">
        <v>6426</v>
      </c>
      <c r="H5196" s="8">
        <v>10</v>
      </c>
      <c r="I5196" s="35">
        <v>1</v>
      </c>
      <c r="J5196" s="108">
        <f t="shared" si="629"/>
        <v>10</v>
      </c>
      <c r="K5196" s="958">
        <v>2.84</v>
      </c>
      <c r="L5196" s="39">
        <f t="shared" si="630"/>
        <v>28.4</v>
      </c>
      <c r="M5196" s="117" t="s">
        <v>349</v>
      </c>
      <c r="N5196" s="33">
        <v>46072</v>
      </c>
      <c r="O5196" s="32">
        <v>7867</v>
      </c>
      <c r="P5196" s="391">
        <f t="shared" si="631"/>
        <v>1.62</v>
      </c>
      <c r="Q5196" s="322">
        <v>1.62</v>
      </c>
      <c r="R5196" s="322">
        <f t="shared" si="632"/>
        <v>16.200000000000003</v>
      </c>
      <c r="S5196" s="1671">
        <v>136</v>
      </c>
      <c r="T5196" s="7">
        <f t="shared" si="633"/>
        <v>1360</v>
      </c>
      <c r="U5196" s="39"/>
      <c r="V5196" s="260">
        <v>120</v>
      </c>
      <c r="W5196" s="1136">
        <f t="shared" si="635"/>
        <v>0.60093896713615014</v>
      </c>
    </row>
    <row r="5197" spans="2:23" s="7" customFormat="1" ht="18" customHeight="1">
      <c r="B5197" s="12" t="s">
        <v>300</v>
      </c>
      <c r="C5197" s="965" t="s">
        <v>6411</v>
      </c>
      <c r="D5197" s="14" t="s">
        <v>3150</v>
      </c>
      <c r="E5197" s="22">
        <v>11700</v>
      </c>
      <c r="F5197" s="37">
        <v>24</v>
      </c>
      <c r="G5197" s="22" t="s">
        <v>6426</v>
      </c>
      <c r="H5197" s="8">
        <v>10</v>
      </c>
      <c r="I5197" s="35">
        <v>2</v>
      </c>
      <c r="J5197" s="108">
        <f t="shared" si="629"/>
        <v>20</v>
      </c>
      <c r="K5197" s="958">
        <v>3.5199999999999996</v>
      </c>
      <c r="L5197" s="39">
        <f t="shared" si="630"/>
        <v>70.399999999999991</v>
      </c>
      <c r="M5197" s="117" t="s">
        <v>349</v>
      </c>
      <c r="N5197" s="33">
        <v>46072</v>
      </c>
      <c r="O5197" s="32">
        <v>7867</v>
      </c>
      <c r="P5197" s="391">
        <f t="shared" si="631"/>
        <v>2.0099999999999998</v>
      </c>
      <c r="Q5197" s="322">
        <v>2.0099999999999998</v>
      </c>
      <c r="R5197" s="322">
        <f t="shared" si="632"/>
        <v>40.199999999999996</v>
      </c>
      <c r="S5197" s="7">
        <v>168.6</v>
      </c>
      <c r="T5197" s="7">
        <f t="shared" si="633"/>
        <v>3372</v>
      </c>
      <c r="U5197" s="39"/>
      <c r="V5197" s="260">
        <v>120</v>
      </c>
      <c r="W5197" s="1136">
        <f t="shared" si="635"/>
        <v>0.60085227272727271</v>
      </c>
    </row>
    <row r="5198" spans="2:23" s="7" customFormat="1" ht="18" customHeight="1">
      <c r="B5198" s="12" t="s">
        <v>300</v>
      </c>
      <c r="C5198" s="965" t="s">
        <v>6411</v>
      </c>
      <c r="D5198" s="14" t="s">
        <v>3150</v>
      </c>
      <c r="E5198" s="22">
        <v>11700</v>
      </c>
      <c r="F5198" s="37">
        <v>9</v>
      </c>
      <c r="G5198" s="22" t="s">
        <v>6427</v>
      </c>
      <c r="H5198" s="8">
        <v>10</v>
      </c>
      <c r="I5198" s="35">
        <v>1</v>
      </c>
      <c r="J5198" s="108">
        <f t="shared" si="629"/>
        <v>10</v>
      </c>
      <c r="K5198" s="958">
        <v>2.0299999999999998</v>
      </c>
      <c r="L5198" s="39">
        <f t="shared" si="630"/>
        <v>20.299999999999997</v>
      </c>
      <c r="M5198" s="117" t="s">
        <v>349</v>
      </c>
      <c r="N5198" s="33">
        <v>46072</v>
      </c>
      <c r="O5198" s="32">
        <v>7867</v>
      </c>
      <c r="P5198" s="391">
        <f t="shared" si="631"/>
        <v>1.1599999999999999</v>
      </c>
      <c r="Q5198" s="322">
        <v>1.1599999999999999</v>
      </c>
      <c r="R5198" s="322">
        <f t="shared" si="632"/>
        <v>11.6</v>
      </c>
      <c r="S5198" s="7">
        <v>97.1</v>
      </c>
      <c r="T5198" s="7">
        <f t="shared" si="633"/>
        <v>971</v>
      </c>
      <c r="U5198" s="39"/>
      <c r="V5198" s="260">
        <v>120</v>
      </c>
      <c r="W5198" s="1136">
        <f t="shared" si="635"/>
        <v>0.60139573070607555</v>
      </c>
    </row>
    <row r="5199" spans="2:23" s="7" customFormat="1" ht="18" customHeight="1">
      <c r="B5199" s="12" t="s">
        <v>300</v>
      </c>
      <c r="C5199" s="965" t="s">
        <v>6411</v>
      </c>
      <c r="D5199" s="14" t="s">
        <v>3150</v>
      </c>
      <c r="E5199" s="22">
        <v>11700</v>
      </c>
      <c r="F5199" s="37">
        <v>12</v>
      </c>
      <c r="G5199" s="22" t="s">
        <v>6427</v>
      </c>
      <c r="H5199" s="8">
        <v>10</v>
      </c>
      <c r="I5199" s="35">
        <v>1</v>
      </c>
      <c r="J5199" s="108">
        <f t="shared" si="629"/>
        <v>10</v>
      </c>
      <c r="K5199" s="958">
        <v>2.19</v>
      </c>
      <c r="L5199" s="39">
        <f t="shared" si="630"/>
        <v>21.9</v>
      </c>
      <c r="M5199" s="117" t="s">
        <v>349</v>
      </c>
      <c r="N5199" s="33">
        <v>46072</v>
      </c>
      <c r="O5199" s="32">
        <v>7867</v>
      </c>
      <c r="P5199" s="391">
        <f t="shared" si="631"/>
        <v>1.26</v>
      </c>
      <c r="Q5199" s="322">
        <v>1.26</v>
      </c>
      <c r="R5199" s="322">
        <f t="shared" si="632"/>
        <v>12.6</v>
      </c>
      <c r="S5199" s="7">
        <v>105.1</v>
      </c>
      <c r="T5199" s="7">
        <f t="shared" si="633"/>
        <v>1051</v>
      </c>
      <c r="U5199" s="39"/>
      <c r="V5199" s="260">
        <v>120</v>
      </c>
      <c r="W5199" s="1136">
        <f t="shared" si="635"/>
        <v>0.60007610350076113</v>
      </c>
    </row>
    <row r="5200" spans="2:23" s="7" customFormat="1" ht="18" customHeight="1">
      <c r="B5200" s="12" t="s">
        <v>300</v>
      </c>
      <c r="C5200" s="965" t="s">
        <v>6411</v>
      </c>
      <c r="D5200" s="14" t="s">
        <v>3150</v>
      </c>
      <c r="E5200" s="22">
        <v>11700</v>
      </c>
      <c r="F5200" s="37">
        <v>18</v>
      </c>
      <c r="G5200" s="22" t="s">
        <v>6427</v>
      </c>
      <c r="H5200" s="8">
        <v>10</v>
      </c>
      <c r="I5200" s="35">
        <v>1</v>
      </c>
      <c r="J5200" s="108">
        <f t="shared" si="629"/>
        <v>10</v>
      </c>
      <c r="K5200" s="958">
        <v>2.84</v>
      </c>
      <c r="L5200" s="39">
        <f t="shared" si="630"/>
        <v>28.4</v>
      </c>
      <c r="M5200" s="117" t="s">
        <v>349</v>
      </c>
      <c r="N5200" s="33">
        <v>46072</v>
      </c>
      <c r="O5200" s="32">
        <v>7867</v>
      </c>
      <c r="P5200" s="391">
        <f t="shared" si="631"/>
        <v>1.62</v>
      </c>
      <c r="Q5200" s="322">
        <v>1.62</v>
      </c>
      <c r="R5200" s="322">
        <f t="shared" si="632"/>
        <v>16.200000000000003</v>
      </c>
      <c r="S5200" s="1671">
        <v>136</v>
      </c>
      <c r="T5200" s="7">
        <f t="shared" si="633"/>
        <v>1360</v>
      </c>
      <c r="U5200" s="39"/>
      <c r="V5200" s="260">
        <v>120</v>
      </c>
      <c r="W5200" s="1136">
        <f t="shared" si="635"/>
        <v>0.60093896713615014</v>
      </c>
    </row>
    <row r="5201" spans="1:23" s="7" customFormat="1" ht="18" customHeight="1">
      <c r="B5201" s="12" t="s">
        <v>300</v>
      </c>
      <c r="C5201" s="965" t="s">
        <v>6411</v>
      </c>
      <c r="D5201" s="14" t="s">
        <v>3150</v>
      </c>
      <c r="E5201" s="22">
        <v>11700</v>
      </c>
      <c r="F5201" s="37">
        <v>24</v>
      </c>
      <c r="G5201" s="22" t="s">
        <v>6427</v>
      </c>
      <c r="H5201" s="8">
        <v>10</v>
      </c>
      <c r="I5201" s="35">
        <v>1</v>
      </c>
      <c r="J5201" s="108">
        <f t="shared" si="629"/>
        <v>10</v>
      </c>
      <c r="K5201" s="958">
        <v>3.5199999999999996</v>
      </c>
      <c r="L5201" s="39">
        <f t="shared" si="630"/>
        <v>35.199999999999996</v>
      </c>
      <c r="M5201" s="117" t="s">
        <v>349</v>
      </c>
      <c r="N5201" s="33">
        <v>46072</v>
      </c>
      <c r="O5201" s="32">
        <v>7867</v>
      </c>
      <c r="P5201" s="391">
        <f t="shared" si="631"/>
        <v>2.0099999999999998</v>
      </c>
      <c r="Q5201" s="322">
        <v>2.0099999999999998</v>
      </c>
      <c r="R5201" s="322">
        <f t="shared" si="632"/>
        <v>20.099999999999998</v>
      </c>
      <c r="S5201" s="7">
        <v>168.6</v>
      </c>
      <c r="T5201" s="7">
        <f t="shared" si="633"/>
        <v>1686</v>
      </c>
      <c r="U5201" s="39"/>
      <c r="V5201" s="260">
        <v>120</v>
      </c>
      <c r="W5201" s="1136">
        <f t="shared" si="635"/>
        <v>0.60085227272727271</v>
      </c>
    </row>
    <row r="5202" spans="1:23" s="7" customFormat="1" ht="18" customHeight="1">
      <c r="B5202" s="12" t="s">
        <v>300</v>
      </c>
      <c r="C5202" s="965" t="s">
        <v>6411</v>
      </c>
      <c r="D5202" s="14" t="s">
        <v>3150</v>
      </c>
      <c r="E5202" s="22">
        <v>11700</v>
      </c>
      <c r="F5202" s="37">
        <v>9</v>
      </c>
      <c r="G5202" s="22" t="s">
        <v>6428</v>
      </c>
      <c r="H5202" s="8">
        <v>10</v>
      </c>
      <c r="I5202" s="35">
        <v>1</v>
      </c>
      <c r="J5202" s="108">
        <f t="shared" si="629"/>
        <v>10</v>
      </c>
      <c r="K5202" s="958">
        <v>2.0299999999999998</v>
      </c>
      <c r="L5202" s="39">
        <f t="shared" si="630"/>
        <v>20.299999999999997</v>
      </c>
      <c r="M5202" s="117" t="s">
        <v>349</v>
      </c>
      <c r="N5202" s="33">
        <v>46072</v>
      </c>
      <c r="O5202" s="32">
        <v>7867</v>
      </c>
      <c r="P5202" s="391">
        <f t="shared" si="631"/>
        <v>1.1599999999999999</v>
      </c>
      <c r="Q5202" s="322">
        <v>1.1599999999999999</v>
      </c>
      <c r="R5202" s="322">
        <f t="shared" si="632"/>
        <v>11.6</v>
      </c>
      <c r="S5202" s="7">
        <v>97.1</v>
      </c>
      <c r="T5202" s="7">
        <f t="shared" si="633"/>
        <v>971</v>
      </c>
      <c r="U5202" s="39"/>
      <c r="V5202" s="260">
        <v>120</v>
      </c>
      <c r="W5202" s="1136">
        <f t="shared" si="635"/>
        <v>0.60139573070607555</v>
      </c>
    </row>
    <row r="5203" spans="1:23" s="7" customFormat="1" ht="18" customHeight="1">
      <c r="B5203" s="12" t="s">
        <v>300</v>
      </c>
      <c r="C5203" s="965" t="s">
        <v>6411</v>
      </c>
      <c r="D5203" s="14" t="s">
        <v>3150</v>
      </c>
      <c r="E5203" s="22">
        <v>11700</v>
      </c>
      <c r="F5203" s="37">
        <v>12</v>
      </c>
      <c r="G5203" s="22" t="s">
        <v>6428</v>
      </c>
      <c r="H5203" s="8">
        <v>10</v>
      </c>
      <c r="I5203" s="35">
        <v>1</v>
      </c>
      <c r="J5203" s="108">
        <f t="shared" si="629"/>
        <v>10</v>
      </c>
      <c r="K5203" s="958">
        <v>2.19</v>
      </c>
      <c r="L5203" s="39">
        <f t="shared" si="630"/>
        <v>21.9</v>
      </c>
      <c r="M5203" s="117" t="s">
        <v>349</v>
      </c>
      <c r="N5203" s="33">
        <v>46072</v>
      </c>
      <c r="O5203" s="32">
        <v>7867</v>
      </c>
      <c r="P5203" s="391">
        <f t="shared" si="631"/>
        <v>1.26</v>
      </c>
      <c r="Q5203" s="322">
        <v>1.26</v>
      </c>
      <c r="R5203" s="322">
        <f t="shared" si="632"/>
        <v>12.6</v>
      </c>
      <c r="S5203" s="7">
        <v>105.1</v>
      </c>
      <c r="T5203" s="7">
        <f t="shared" si="633"/>
        <v>1051</v>
      </c>
      <c r="U5203" s="39"/>
      <c r="V5203" s="260">
        <v>120</v>
      </c>
      <c r="W5203" s="1136">
        <f t="shared" si="635"/>
        <v>0.60007610350076113</v>
      </c>
    </row>
    <row r="5204" spans="1:23" s="7" customFormat="1" ht="18" customHeight="1">
      <c r="B5204" s="12" t="s">
        <v>300</v>
      </c>
      <c r="C5204" s="965" t="s">
        <v>6411</v>
      </c>
      <c r="D5204" s="14" t="s">
        <v>3150</v>
      </c>
      <c r="E5204" s="22">
        <v>11700</v>
      </c>
      <c r="F5204" s="37">
        <v>18</v>
      </c>
      <c r="G5204" s="22" t="s">
        <v>6428</v>
      </c>
      <c r="H5204" s="8">
        <v>10</v>
      </c>
      <c r="I5204" s="35">
        <v>1</v>
      </c>
      <c r="J5204" s="108">
        <f t="shared" si="629"/>
        <v>10</v>
      </c>
      <c r="K5204" s="958">
        <v>2.84</v>
      </c>
      <c r="L5204" s="39">
        <f t="shared" si="630"/>
        <v>28.4</v>
      </c>
      <c r="M5204" s="117" t="s">
        <v>349</v>
      </c>
      <c r="N5204" s="33">
        <v>46072</v>
      </c>
      <c r="O5204" s="32">
        <v>7867</v>
      </c>
      <c r="P5204" s="391">
        <f t="shared" si="631"/>
        <v>1.62</v>
      </c>
      <c r="Q5204" s="322">
        <v>1.62</v>
      </c>
      <c r="R5204" s="322">
        <f t="shared" si="632"/>
        <v>16.200000000000003</v>
      </c>
      <c r="S5204" s="1671">
        <v>136</v>
      </c>
      <c r="T5204" s="7">
        <f t="shared" si="633"/>
        <v>1360</v>
      </c>
      <c r="U5204" s="39"/>
      <c r="V5204" s="260">
        <v>120</v>
      </c>
      <c r="W5204" s="1136">
        <f t="shared" si="635"/>
        <v>0.60093896713615014</v>
      </c>
    </row>
    <row r="5205" spans="1:23" s="7" customFormat="1" ht="18" customHeight="1">
      <c r="B5205" s="12" t="s">
        <v>300</v>
      </c>
      <c r="C5205" s="965" t="s">
        <v>6411</v>
      </c>
      <c r="D5205" s="14" t="s">
        <v>3150</v>
      </c>
      <c r="E5205" s="22">
        <v>11700</v>
      </c>
      <c r="F5205" s="37">
        <v>24</v>
      </c>
      <c r="G5205" s="22" t="s">
        <v>6428</v>
      </c>
      <c r="H5205" s="8">
        <v>10</v>
      </c>
      <c r="I5205" s="35">
        <v>1</v>
      </c>
      <c r="J5205" s="108">
        <f t="shared" si="629"/>
        <v>10</v>
      </c>
      <c r="K5205" s="958">
        <v>3.5199999999999996</v>
      </c>
      <c r="L5205" s="39">
        <f t="shared" si="630"/>
        <v>35.199999999999996</v>
      </c>
      <c r="M5205" s="117" t="s">
        <v>349</v>
      </c>
      <c r="N5205" s="33">
        <v>46072</v>
      </c>
      <c r="O5205" s="32">
        <v>7867</v>
      </c>
      <c r="P5205" s="391">
        <f t="shared" si="631"/>
        <v>2.0099999999999998</v>
      </c>
      <c r="Q5205" s="322">
        <v>2.0099999999999998</v>
      </c>
      <c r="R5205" s="322">
        <f t="shared" si="632"/>
        <v>20.099999999999998</v>
      </c>
      <c r="S5205" s="7">
        <v>168.6</v>
      </c>
      <c r="T5205" s="7">
        <f t="shared" si="633"/>
        <v>1686</v>
      </c>
      <c r="U5205" s="39"/>
      <c r="V5205" s="260">
        <v>120</v>
      </c>
      <c r="W5205" s="1136">
        <f t="shared" si="635"/>
        <v>0.60085227272727271</v>
      </c>
    </row>
    <row r="5206" spans="1:23" s="7" customFormat="1" ht="18" customHeight="1">
      <c r="B5206" s="12" t="s">
        <v>300</v>
      </c>
      <c r="C5206" s="965" t="s">
        <v>6411</v>
      </c>
      <c r="D5206" s="14" t="s">
        <v>3150</v>
      </c>
      <c r="E5206" s="22">
        <v>11700</v>
      </c>
      <c r="F5206" s="37">
        <v>36</v>
      </c>
      <c r="G5206" s="22" t="s">
        <v>6428</v>
      </c>
      <c r="H5206" s="8">
        <v>10</v>
      </c>
      <c r="I5206" s="35">
        <v>1</v>
      </c>
      <c r="J5206" s="108">
        <f t="shared" si="629"/>
        <v>10</v>
      </c>
      <c r="K5206" s="958">
        <v>5.85</v>
      </c>
      <c r="L5206" s="39">
        <f t="shared" si="630"/>
        <v>58.5</v>
      </c>
      <c r="M5206" s="117" t="s">
        <v>349</v>
      </c>
      <c r="N5206" s="33">
        <v>46072</v>
      </c>
      <c r="O5206" s="32">
        <v>7867</v>
      </c>
      <c r="P5206" s="391">
        <f t="shared" si="631"/>
        <v>3.3499999999999996</v>
      </c>
      <c r="Q5206" s="322">
        <v>3.35</v>
      </c>
      <c r="R5206" s="322">
        <f t="shared" si="632"/>
        <v>33.5</v>
      </c>
      <c r="S5206" s="7">
        <v>280.60000000000002</v>
      </c>
      <c r="T5206" s="7">
        <f t="shared" si="633"/>
        <v>2806</v>
      </c>
      <c r="U5206" s="39"/>
      <c r="V5206" s="260">
        <v>120</v>
      </c>
      <c r="W5206" s="1136">
        <f t="shared" si="635"/>
        <v>0.60028490028490022</v>
      </c>
    </row>
    <row r="5207" spans="1:23" ht="18" customHeight="1">
      <c r="B5207" s="12" t="s">
        <v>306</v>
      </c>
      <c r="C5207" s="965" t="s">
        <v>6411</v>
      </c>
      <c r="D5207" s="14" t="s">
        <v>3150</v>
      </c>
      <c r="E5207" s="22"/>
      <c r="F5207" s="102"/>
      <c r="G5207" s="37" t="s">
        <v>316</v>
      </c>
      <c r="H5207" s="8"/>
      <c r="I5207" s="35"/>
      <c r="J5207" s="38">
        <v>1</v>
      </c>
      <c r="K5207" s="39">
        <v>12</v>
      </c>
      <c r="L5207" s="39">
        <f t="shared" si="630"/>
        <v>12</v>
      </c>
      <c r="M5207" s="91"/>
      <c r="N5207" s="33">
        <v>46072</v>
      </c>
      <c r="O5207" s="32">
        <v>7867</v>
      </c>
      <c r="P5207" s="39"/>
      <c r="Q5207" s="254">
        <v>12</v>
      </c>
      <c r="R5207" s="323">
        <f t="shared" si="632"/>
        <v>12</v>
      </c>
      <c r="S5207" s="257">
        <v>0</v>
      </c>
      <c r="T5207" s="287">
        <f t="shared" si="633"/>
        <v>0</v>
      </c>
      <c r="U5207" s="270"/>
      <c r="V5207" s="260">
        <v>120</v>
      </c>
      <c r="W5207" s="1136">
        <f t="shared" si="635"/>
        <v>1</v>
      </c>
    </row>
    <row r="5208" spans="1:23" s="191" customFormat="1" ht="15">
      <c r="A5208" s="1"/>
      <c r="B5208" s="190"/>
      <c r="C5208" s="966" t="s">
        <v>6411</v>
      </c>
      <c r="D5208" s="180" t="s">
        <v>3150</v>
      </c>
      <c r="E5208" s="181"/>
      <c r="F5208" s="182"/>
      <c r="G5208" s="182" t="s">
        <v>250</v>
      </c>
      <c r="H5208" s="184" t="s">
        <v>251</v>
      </c>
      <c r="I5208" s="185"/>
      <c r="J5208" s="183"/>
      <c r="K5208" s="192">
        <v>0</v>
      </c>
      <c r="L5208" s="187"/>
      <c r="M5208" s="187"/>
      <c r="N5208" s="187"/>
      <c r="O5208" s="186"/>
      <c r="P5208" s="179"/>
      <c r="Q5208" s="255">
        <v>0</v>
      </c>
      <c r="S5208" s="275">
        <v>0</v>
      </c>
      <c r="T5208" s="198">
        <v>0</v>
      </c>
      <c r="U5208" s="271"/>
      <c r="V5208" s="260">
        <v>120</v>
      </c>
      <c r="W5208" s="1136" t="e">
        <f t="shared" si="635"/>
        <v>#DIV/0!</v>
      </c>
    </row>
    <row r="5209" spans="1:23" s="1168" customFormat="1" ht="17.25" customHeight="1">
      <c r="B5209" s="1169"/>
      <c r="C5209" s="965" t="s">
        <v>6500</v>
      </c>
      <c r="D5209" s="14" t="s">
        <v>3150</v>
      </c>
      <c r="E5209" s="19" t="s">
        <v>4485</v>
      </c>
      <c r="F5209" s="1171"/>
      <c r="G5209" s="22"/>
      <c r="H5209" s="108"/>
      <c r="I5209" s="109"/>
      <c r="J5209" s="8"/>
      <c r="K5209" s="110" t="s">
        <v>5</v>
      </c>
      <c r="L5209" s="900"/>
      <c r="M5209" s="403"/>
      <c r="N5209" s="1398">
        <v>46100</v>
      </c>
      <c r="O5209" s="32">
        <v>7959</v>
      </c>
      <c r="P5209" s="1173"/>
      <c r="Q5209" s="899"/>
      <c r="R5209" s="899"/>
      <c r="S5209" s="1174" t="s">
        <v>330</v>
      </c>
      <c r="T5209" s="92"/>
      <c r="U5209" s="1174"/>
      <c r="V5209" s="901"/>
    </row>
    <row r="5210" spans="1:23" s="1168" customFormat="1" ht="17.25" customHeight="1">
      <c r="B5210" s="1169" t="s">
        <v>300</v>
      </c>
      <c r="C5210" s="965" t="s">
        <v>6500</v>
      </c>
      <c r="D5210" s="14" t="s">
        <v>3150</v>
      </c>
      <c r="E5210" s="22">
        <v>2200</v>
      </c>
      <c r="F5210" s="1171">
        <v>36</v>
      </c>
      <c r="G5210" s="22" t="s">
        <v>12</v>
      </c>
      <c r="H5210" s="108">
        <v>15</v>
      </c>
      <c r="I5210" s="109">
        <v>5</v>
      </c>
      <c r="J5210" s="8">
        <f>H5210*I5210</f>
        <v>75</v>
      </c>
      <c r="K5210" s="39">
        <v>5.26</v>
      </c>
      <c r="L5210" s="39">
        <f>K5210*J5210</f>
        <v>394.5</v>
      </c>
      <c r="M5210" s="403" t="s">
        <v>323</v>
      </c>
      <c r="N5210" s="1398">
        <v>46100</v>
      </c>
      <c r="O5210" s="32">
        <v>7959</v>
      </c>
      <c r="P5210" s="391">
        <f>ROUNDUP(S5210/V5210/VLOOKUP(B5210,$C$2:$F$6,3,FALSE),2)</f>
        <v>2.2599999999999998</v>
      </c>
      <c r="Q5210" s="899">
        <v>2.2599999999999998</v>
      </c>
      <c r="R5210" s="322">
        <f>Q5210*J5210</f>
        <v>169.49999999999997</v>
      </c>
      <c r="S5210" s="7">
        <v>189.13329999999999</v>
      </c>
      <c r="T5210" s="7">
        <f>S5210*J5210</f>
        <v>14184.997499999999</v>
      </c>
      <c r="U5210" s="7"/>
      <c r="V5210" s="901">
        <v>120</v>
      </c>
      <c r="W5210" s="1136">
        <f>(((K5210*V5210)-S5210)/(K5210*V5210))</f>
        <v>0.70035915716096331</v>
      </c>
    </row>
    <row r="5211" spans="1:23" s="191" customFormat="1" ht="15">
      <c r="A5211" s="1"/>
      <c r="B5211" s="190"/>
      <c r="C5211" s="966" t="s">
        <v>6500</v>
      </c>
      <c r="D5211" s="180" t="s">
        <v>3150</v>
      </c>
      <c r="E5211" s="181"/>
      <c r="F5211" s="182"/>
      <c r="G5211" s="182" t="s">
        <v>250</v>
      </c>
      <c r="H5211" s="184" t="s">
        <v>251</v>
      </c>
      <c r="I5211" s="185"/>
      <c r="J5211" s="183"/>
      <c r="K5211" s="192">
        <v>0</v>
      </c>
      <c r="L5211" s="187"/>
      <c r="M5211" s="187"/>
      <c r="N5211" s="1399">
        <v>46100</v>
      </c>
      <c r="O5211" s="186">
        <v>7959</v>
      </c>
      <c r="P5211" s="179"/>
      <c r="Q5211" s="255">
        <v>0</v>
      </c>
      <c r="S5211" s="275">
        <v>0</v>
      </c>
      <c r="T5211" s="198">
        <v>0</v>
      </c>
      <c r="U5211" s="271"/>
      <c r="V5211" s="260">
        <v>120</v>
      </c>
      <c r="W5211" s="1136" t="e">
        <f t="shared" ref="W5211:W5222" si="636">(((K5211*V5211)-S5211)/(K5211*V5211))</f>
        <v>#DIV/0!</v>
      </c>
    </row>
    <row r="5212" spans="1:23" s="7" customFormat="1" ht="15">
      <c r="B5212" s="12"/>
      <c r="C5212" s="965" t="s">
        <v>6501</v>
      </c>
      <c r="D5212" s="14" t="s">
        <v>5480</v>
      </c>
      <c r="E5212" s="19" t="s">
        <v>5479</v>
      </c>
      <c r="F5212" s="24"/>
      <c r="G5212" s="22"/>
      <c r="H5212" s="60"/>
      <c r="I5212" s="61"/>
      <c r="J5212" s="8"/>
      <c r="K5212" s="110" t="s">
        <v>5</v>
      </c>
      <c r="L5212" s="139"/>
      <c r="M5212" s="33"/>
      <c r="N5212" s="33">
        <v>46084</v>
      </c>
      <c r="O5212" s="32">
        <v>7895</v>
      </c>
      <c r="P5212" s="6" t="s">
        <v>8</v>
      </c>
      <c r="Q5212" s="358"/>
      <c r="U5212" s="120"/>
      <c r="V5212" s="260">
        <v>120</v>
      </c>
      <c r="W5212" s="1136" t="e">
        <f t="shared" si="636"/>
        <v>#VALUE!</v>
      </c>
    </row>
    <row r="5213" spans="1:23" s="7" customFormat="1" ht="18" customHeight="1">
      <c r="B5213" s="12" t="s">
        <v>300</v>
      </c>
      <c r="C5213" s="965" t="s">
        <v>6501</v>
      </c>
      <c r="D5213" s="14" t="s">
        <v>5480</v>
      </c>
      <c r="E5213" s="22">
        <v>3534</v>
      </c>
      <c r="F5213" s="37">
        <v>50</v>
      </c>
      <c r="G5213" s="22" t="s">
        <v>4436</v>
      </c>
      <c r="H5213" s="8">
        <v>30</v>
      </c>
      <c r="I5213" s="35">
        <v>2</v>
      </c>
      <c r="J5213" s="108">
        <f t="shared" ref="J5213:J5218" si="637">H5213*I5213</f>
        <v>60</v>
      </c>
      <c r="K5213" s="958">
        <v>1.77</v>
      </c>
      <c r="L5213" s="39">
        <f t="shared" ref="L5213:L5219" si="638">K5213*J5213</f>
        <v>106.2</v>
      </c>
      <c r="M5213" s="117" t="s">
        <v>349</v>
      </c>
      <c r="N5213" s="33">
        <v>46084</v>
      </c>
      <c r="O5213" s="32">
        <v>7895</v>
      </c>
      <c r="P5213" s="391">
        <f t="shared" ref="P5213:P5218" si="639">ROUNDUP(S5213/V5213/VLOOKUP(B5213,$C$2:$F$6,3,FALSE),2)</f>
        <v>0.93</v>
      </c>
      <c r="Q5213" s="322">
        <v>0.93</v>
      </c>
      <c r="R5213" s="322">
        <f t="shared" ref="R5213:R5218" si="640">Q5213*J5213</f>
        <v>55.800000000000004</v>
      </c>
      <c r="S5213" s="7">
        <f>2340/H5213</f>
        <v>78</v>
      </c>
      <c r="T5213" s="7">
        <f t="shared" ref="T5213:T5219" si="641">S5213*J5213</f>
        <v>4680</v>
      </c>
      <c r="U5213" s="39"/>
      <c r="V5213" s="260">
        <v>120</v>
      </c>
      <c r="W5213" s="1136">
        <f>(((K5213*V5213)-S5213)/(K5213*V5213))</f>
        <v>0.63276836158192096</v>
      </c>
    </row>
    <row r="5214" spans="1:23" s="7" customFormat="1" ht="18" customHeight="1">
      <c r="B5214" s="12" t="s">
        <v>300</v>
      </c>
      <c r="C5214" s="965" t="s">
        <v>6501</v>
      </c>
      <c r="D5214" s="14" t="s">
        <v>5480</v>
      </c>
      <c r="E5214" s="22">
        <v>3534</v>
      </c>
      <c r="F5214" s="37">
        <v>50</v>
      </c>
      <c r="G5214" s="22" t="s">
        <v>4345</v>
      </c>
      <c r="H5214" s="8">
        <v>30</v>
      </c>
      <c r="I5214" s="35">
        <v>2</v>
      </c>
      <c r="J5214" s="108">
        <f t="shared" si="637"/>
        <v>60</v>
      </c>
      <c r="K5214" s="958">
        <v>1.77</v>
      </c>
      <c r="L5214" s="39">
        <f t="shared" si="638"/>
        <v>106.2</v>
      </c>
      <c r="M5214" s="117" t="s">
        <v>349</v>
      </c>
      <c r="N5214" s="33">
        <v>46084</v>
      </c>
      <c r="O5214" s="32">
        <v>7895</v>
      </c>
      <c r="P5214" s="391">
        <f t="shared" si="639"/>
        <v>1.1399999999999999</v>
      </c>
      <c r="Q5214" s="322">
        <v>1.1399999999999999</v>
      </c>
      <c r="R5214" s="322">
        <f t="shared" si="640"/>
        <v>68.399999999999991</v>
      </c>
      <c r="S5214" s="7">
        <f>2860/H5214</f>
        <v>95.333333333333329</v>
      </c>
      <c r="T5214" s="7">
        <f t="shared" si="641"/>
        <v>5720</v>
      </c>
      <c r="U5214" s="39"/>
      <c r="V5214" s="260">
        <v>120</v>
      </c>
      <c r="W5214" s="1136">
        <f t="shared" si="636"/>
        <v>0.55116133082234775</v>
      </c>
    </row>
    <row r="5215" spans="1:23" s="7" customFormat="1" ht="18" customHeight="1">
      <c r="B5215" s="12" t="s">
        <v>300</v>
      </c>
      <c r="C5215" s="965" t="s">
        <v>6365</v>
      </c>
      <c r="D5215" s="14" t="s">
        <v>5480</v>
      </c>
      <c r="E5215" s="22">
        <v>3534</v>
      </c>
      <c r="F5215" s="37">
        <v>40</v>
      </c>
      <c r="G5215" s="22" t="s">
        <v>4436</v>
      </c>
      <c r="H5215" s="8">
        <v>30</v>
      </c>
      <c r="I5215" s="35">
        <v>2</v>
      </c>
      <c r="J5215" s="108">
        <f t="shared" si="637"/>
        <v>60</v>
      </c>
      <c r="K5215" s="958">
        <v>1.43</v>
      </c>
      <c r="L5215" s="39">
        <f t="shared" si="638"/>
        <v>85.8</v>
      </c>
      <c r="M5215" s="117" t="s">
        <v>349</v>
      </c>
      <c r="N5215" s="33">
        <v>46084</v>
      </c>
      <c r="O5215" s="32">
        <v>7895</v>
      </c>
      <c r="P5215" s="391">
        <f t="shared" si="639"/>
        <v>0.74</v>
      </c>
      <c r="Q5215" s="322">
        <v>0.74</v>
      </c>
      <c r="R5215" s="322">
        <f t="shared" si="640"/>
        <v>44.4</v>
      </c>
      <c r="S5215" s="1388">
        <v>62</v>
      </c>
      <c r="T5215" s="7">
        <f t="shared" si="641"/>
        <v>3720</v>
      </c>
      <c r="U5215" s="39"/>
      <c r="V5215" s="260">
        <v>120</v>
      </c>
      <c r="W5215" s="1136">
        <f t="shared" ref="W5215" si="642">(((K5215*V5215)-S5215)/(K5215*V5215))</f>
        <v>0.63869463869463872</v>
      </c>
    </row>
    <row r="5216" spans="1:23" s="7" customFormat="1" ht="18" customHeight="1">
      <c r="B5216" s="12" t="s">
        <v>300</v>
      </c>
      <c r="C5216" s="965" t="s">
        <v>6365</v>
      </c>
      <c r="D5216" s="14" t="s">
        <v>5480</v>
      </c>
      <c r="E5216" s="22">
        <v>3534</v>
      </c>
      <c r="F5216" s="37">
        <v>40</v>
      </c>
      <c r="G5216" s="22" t="s">
        <v>4345</v>
      </c>
      <c r="H5216" s="8">
        <v>30</v>
      </c>
      <c r="I5216" s="35">
        <v>2</v>
      </c>
      <c r="J5216" s="108">
        <f t="shared" si="637"/>
        <v>60</v>
      </c>
      <c r="K5216" s="958">
        <v>1.43</v>
      </c>
      <c r="L5216" s="39">
        <f t="shared" si="638"/>
        <v>85.8</v>
      </c>
      <c r="M5216" s="117" t="s">
        <v>349</v>
      </c>
      <c r="N5216" s="33">
        <v>46084</v>
      </c>
      <c r="O5216" s="32">
        <v>7895</v>
      </c>
      <c r="P5216" s="391">
        <f t="shared" si="639"/>
        <v>0.92</v>
      </c>
      <c r="Q5216" s="322">
        <v>0.92</v>
      </c>
      <c r="R5216" s="322">
        <f t="shared" si="640"/>
        <v>55.2</v>
      </c>
      <c r="S5216" s="1388">
        <v>77</v>
      </c>
      <c r="T5216" s="7">
        <f t="shared" si="641"/>
        <v>4620</v>
      </c>
      <c r="U5216" s="39"/>
      <c r="V5216" s="260">
        <v>120</v>
      </c>
      <c r="W5216" s="1136">
        <f t="shared" si="636"/>
        <v>0.55128205128205132</v>
      </c>
    </row>
    <row r="5217" spans="1:23" s="7" customFormat="1" ht="18" customHeight="1">
      <c r="B5217" s="12" t="s">
        <v>300</v>
      </c>
      <c r="C5217" s="965" t="s">
        <v>6501</v>
      </c>
      <c r="D5217" s="14" t="s">
        <v>5480</v>
      </c>
      <c r="E5217" s="22">
        <v>3534</v>
      </c>
      <c r="F5217" s="37">
        <v>25</v>
      </c>
      <c r="G5217" s="22" t="s">
        <v>4436</v>
      </c>
      <c r="H5217" s="8">
        <v>30</v>
      </c>
      <c r="I5217" s="35">
        <v>2</v>
      </c>
      <c r="J5217" s="108">
        <f t="shared" si="637"/>
        <v>60</v>
      </c>
      <c r="K5217" s="958">
        <v>0.92</v>
      </c>
      <c r="L5217" s="39">
        <f t="shared" si="638"/>
        <v>55.2</v>
      </c>
      <c r="M5217" s="117" t="s">
        <v>349</v>
      </c>
      <c r="N5217" s="33">
        <v>46084</v>
      </c>
      <c r="O5217" s="32">
        <v>7895</v>
      </c>
      <c r="P5217" s="391">
        <f t="shared" si="639"/>
        <v>0.49</v>
      </c>
      <c r="Q5217" s="322">
        <v>0.49</v>
      </c>
      <c r="R5217" s="322">
        <f t="shared" si="640"/>
        <v>29.4</v>
      </c>
      <c r="S5217" s="7">
        <f>1230/H5217</f>
        <v>41</v>
      </c>
      <c r="T5217" s="7">
        <f t="shared" si="641"/>
        <v>2460</v>
      </c>
      <c r="U5217" s="39"/>
      <c r="V5217" s="260">
        <v>120</v>
      </c>
      <c r="W5217" s="1136">
        <f>(((K5217*V5217)-S5217)/(K5217*V5217))</f>
        <v>0.62862318840579712</v>
      </c>
    </row>
    <row r="5218" spans="1:23" s="7" customFormat="1" ht="18" customHeight="1">
      <c r="B5218" s="12" t="s">
        <v>300</v>
      </c>
      <c r="C5218" s="965" t="s">
        <v>6501</v>
      </c>
      <c r="D5218" s="14" t="s">
        <v>5480</v>
      </c>
      <c r="E5218" s="22">
        <v>3534</v>
      </c>
      <c r="F5218" s="37">
        <v>25</v>
      </c>
      <c r="G5218" s="22" t="s">
        <v>4345</v>
      </c>
      <c r="H5218" s="8">
        <v>30</v>
      </c>
      <c r="I5218" s="35">
        <v>2</v>
      </c>
      <c r="J5218" s="108">
        <f t="shared" si="637"/>
        <v>60</v>
      </c>
      <c r="K5218" s="958">
        <v>0.92</v>
      </c>
      <c r="L5218" s="39">
        <f t="shared" si="638"/>
        <v>55.2</v>
      </c>
      <c r="M5218" s="117" t="s">
        <v>349</v>
      </c>
      <c r="N5218" s="33">
        <v>46084</v>
      </c>
      <c r="O5218" s="32">
        <v>7895</v>
      </c>
      <c r="P5218" s="391">
        <f t="shared" si="639"/>
        <v>0.59</v>
      </c>
      <c r="Q5218" s="322">
        <v>0.59</v>
      </c>
      <c r="R5218" s="322">
        <f t="shared" si="640"/>
        <v>35.4</v>
      </c>
      <c r="S5218" s="7">
        <f>1480/H5218</f>
        <v>49.333333333333336</v>
      </c>
      <c r="T5218" s="7">
        <f t="shared" si="641"/>
        <v>2960</v>
      </c>
      <c r="U5218" s="39"/>
      <c r="V5218" s="260">
        <v>120</v>
      </c>
      <c r="W5218" s="1136">
        <f t="shared" si="636"/>
        <v>0.5531400966183575</v>
      </c>
    </row>
    <row r="5219" spans="1:23" customFormat="1" ht="15.95" customHeight="1">
      <c r="A5219" s="1"/>
      <c r="B5219" s="12" t="s">
        <v>306</v>
      </c>
      <c r="C5219" s="965" t="s">
        <v>6501</v>
      </c>
      <c r="D5219" s="14" t="s">
        <v>5480</v>
      </c>
      <c r="E5219" s="22"/>
      <c r="F5219" s="102"/>
      <c r="G5219" s="37" t="s">
        <v>316</v>
      </c>
      <c r="H5219" s="8"/>
      <c r="I5219" s="35"/>
      <c r="J5219" s="38">
        <v>1</v>
      </c>
      <c r="K5219" s="39">
        <v>12</v>
      </c>
      <c r="L5219" s="39">
        <f t="shared" si="638"/>
        <v>12</v>
      </c>
      <c r="M5219" s="91"/>
      <c r="N5219" s="33">
        <v>46084</v>
      </c>
      <c r="O5219" s="32">
        <v>7895</v>
      </c>
      <c r="P5219" s="39"/>
      <c r="Q5219" s="322">
        <v>12</v>
      </c>
      <c r="R5219" s="323">
        <v>12</v>
      </c>
      <c r="S5219" s="7">
        <v>1100</v>
      </c>
      <c r="T5219" s="7">
        <f t="shared" si="641"/>
        <v>1100</v>
      </c>
      <c r="U5219" s="270"/>
      <c r="V5219" s="260">
        <v>120</v>
      </c>
      <c r="W5219" s="1136">
        <f t="shared" si="636"/>
        <v>0.2361111111111111</v>
      </c>
    </row>
    <row r="5220" spans="1:23" s="191" customFormat="1" ht="15.75">
      <c r="B5220" s="190"/>
      <c r="C5220" s="966" t="s">
        <v>6501</v>
      </c>
      <c r="D5220" s="180" t="s">
        <v>5480</v>
      </c>
      <c r="E5220" s="181"/>
      <c r="F5220" s="182"/>
      <c r="G5220" s="309" t="s">
        <v>324</v>
      </c>
      <c r="H5220" s="184" t="s">
        <v>251</v>
      </c>
      <c r="I5220" s="185"/>
      <c r="J5220" s="183"/>
      <c r="K5220" s="192">
        <v>0</v>
      </c>
      <c r="L5220" s="187"/>
      <c r="M5220" s="187"/>
      <c r="N5220" s="187">
        <v>46084</v>
      </c>
      <c r="O5220" s="186">
        <v>7895</v>
      </c>
      <c r="P5220" s="179"/>
      <c r="Q5220" s="255">
        <v>0</v>
      </c>
      <c r="S5220" s="275">
        <v>0</v>
      </c>
      <c r="T5220" s="198">
        <v>0</v>
      </c>
      <c r="U5220" s="271"/>
      <c r="V5220" s="260">
        <v>120</v>
      </c>
      <c r="W5220" s="1136" t="e">
        <f t="shared" ref="W5220" si="643">(((K5220*V5220)-S5220)/(K5220*V5220))</f>
        <v>#DIV/0!</v>
      </c>
    </row>
    <row r="5221" spans="1:23" ht="15">
      <c r="C5221" s="6" t="s">
        <v>6503</v>
      </c>
      <c r="D5221" s="14" t="s">
        <v>6504</v>
      </c>
      <c r="E5221" s="19" t="s">
        <v>6508</v>
      </c>
      <c r="F5221" s="107"/>
      <c r="G5221" s="22"/>
      <c r="H5221" s="108"/>
      <c r="I5221" s="109"/>
      <c r="J5221" s="108"/>
      <c r="K5221" s="110" t="s">
        <v>5</v>
      </c>
      <c r="L5221" s="33"/>
      <c r="M5221" s="33"/>
      <c r="N5221" s="33">
        <v>46077</v>
      </c>
      <c r="O5221" s="32">
        <v>7894</v>
      </c>
      <c r="P5221" s="14"/>
      <c r="Q5221" s="254"/>
      <c r="S5221" s="1196" t="s">
        <v>6509</v>
      </c>
      <c r="T5221" s="92"/>
      <c r="U5221" s="264"/>
      <c r="V5221" s="260">
        <v>120</v>
      </c>
      <c r="W5221" s="1136" t="e">
        <f t="shared" si="636"/>
        <v>#VALUE!</v>
      </c>
    </row>
    <row r="5222" spans="1:23" ht="15.75">
      <c r="B5222" s="12" t="s">
        <v>302</v>
      </c>
      <c r="C5222" s="6" t="s">
        <v>6503</v>
      </c>
      <c r="D5222" s="14" t="s">
        <v>6504</v>
      </c>
      <c r="E5222" s="1481" t="s">
        <v>6505</v>
      </c>
      <c r="F5222" s="133" t="s">
        <v>6506</v>
      </c>
      <c r="G5222" s="396" t="s">
        <v>6507</v>
      </c>
      <c r="H5222" s="18"/>
      <c r="I5222" s="61"/>
      <c r="J5222" s="131">
        <v>8</v>
      </c>
      <c r="K5222" s="322">
        <v>18.989999999999998</v>
      </c>
      <c r="L5222" s="39">
        <f>ROUND(K5222*J5222,3)</f>
        <v>151.91999999999999</v>
      </c>
      <c r="M5222" s="117" t="s">
        <v>323</v>
      </c>
      <c r="N5222" s="33">
        <v>46077</v>
      </c>
      <c r="O5222" s="32">
        <v>7894</v>
      </c>
      <c r="P5222" s="391">
        <f>ROUNDUP(S5222/V5222/VLOOKUP(B5222,$C$2:$F$6,3,FALSE),2)</f>
        <v>17.260000000000002</v>
      </c>
      <c r="Q5222" s="254">
        <v>17.260000000000002</v>
      </c>
      <c r="R5222" s="323">
        <f>ROUND(Q5222*J5222,2)</f>
        <v>138.08000000000001</v>
      </c>
      <c r="S5222" s="273">
        <f>1750+300</f>
        <v>2050</v>
      </c>
      <c r="T5222" s="287">
        <f>S5222*J5222</f>
        <v>16400</v>
      </c>
      <c r="U5222" s="264"/>
      <c r="V5222" s="260">
        <v>135</v>
      </c>
      <c r="W5222" s="1136">
        <f t="shared" si="636"/>
        <v>0.2003588633393793</v>
      </c>
    </row>
    <row r="5223" spans="1:23" s="191" customFormat="1" ht="15">
      <c r="A5223" s="1"/>
      <c r="B5223" s="190"/>
      <c r="C5223" s="179" t="s">
        <v>6503</v>
      </c>
      <c r="D5223" s="180" t="s">
        <v>6504</v>
      </c>
      <c r="E5223" s="181"/>
      <c r="F5223" s="182"/>
      <c r="G5223" s="182" t="s">
        <v>250</v>
      </c>
      <c r="H5223" s="184" t="s">
        <v>251</v>
      </c>
      <c r="I5223" s="185"/>
      <c r="J5223" s="183"/>
      <c r="K5223" s="192">
        <v>0</v>
      </c>
      <c r="L5223" s="187"/>
      <c r="M5223" s="187"/>
      <c r="N5223" s="187">
        <v>46077</v>
      </c>
      <c r="O5223" s="186">
        <v>7894</v>
      </c>
      <c r="P5223" s="179"/>
      <c r="Q5223" s="255">
        <v>0</v>
      </c>
      <c r="S5223" s="275">
        <v>0</v>
      </c>
      <c r="T5223" s="198">
        <v>0</v>
      </c>
      <c r="U5223" s="271"/>
      <c r="V5223" s="260">
        <v>120</v>
      </c>
      <c r="W5223" s="1136" t="e">
        <f t="shared" ref="W5223" si="644">(((K5223*V5223)-S5223)/(K5223*V5223))</f>
        <v>#DIV/0!</v>
      </c>
    </row>
    <row r="5224" spans="1:23" s="7" customFormat="1" ht="18" customHeight="1">
      <c r="B5224" s="12"/>
      <c r="C5224" s="965" t="s">
        <v>6527</v>
      </c>
      <c r="D5224" s="14" t="s">
        <v>2162</v>
      </c>
      <c r="E5224" s="17" t="s">
        <v>6228</v>
      </c>
      <c r="F5224" s="319"/>
      <c r="G5224" s="299"/>
      <c r="H5224" s="300"/>
      <c r="I5224" s="320"/>
      <c r="J5224" s="321"/>
      <c r="K5224" s="110" t="s">
        <v>5</v>
      </c>
      <c r="L5224" s="139"/>
      <c r="M5224" s="33"/>
      <c r="N5224" s="33">
        <v>46083</v>
      </c>
      <c r="O5224" s="32">
        <v>7920</v>
      </c>
      <c r="P5224" s="6"/>
      <c r="Q5224" s="322"/>
      <c r="U5224" s="39"/>
      <c r="V5224" s="260">
        <v>120</v>
      </c>
    </row>
    <row r="5225" spans="1:23" s="7" customFormat="1" ht="18" customHeight="1">
      <c r="B5225" s="12" t="s">
        <v>300</v>
      </c>
      <c r="C5225" s="965" t="s">
        <v>6527</v>
      </c>
      <c r="D5225" s="14" t="s">
        <v>2162</v>
      </c>
      <c r="E5225" s="22">
        <v>5637</v>
      </c>
      <c r="F5225" s="37" t="s">
        <v>6229</v>
      </c>
      <c r="G5225" s="839" t="s">
        <v>6230</v>
      </c>
      <c r="H5225" s="108">
        <v>50</v>
      </c>
      <c r="I5225" s="109">
        <v>1</v>
      </c>
      <c r="J5225" s="8">
        <f>H5225*I5225</f>
        <v>50</v>
      </c>
      <c r="K5225" s="39">
        <v>0.3</v>
      </c>
      <c r="L5225" s="39">
        <f>K5225*J5225</f>
        <v>15</v>
      </c>
      <c r="M5225" s="117" t="s">
        <v>349</v>
      </c>
      <c r="N5225" s="33">
        <v>46083</v>
      </c>
      <c r="O5225" s="32">
        <v>7920</v>
      </c>
      <c r="P5225" s="391">
        <f>ROUNDUP(S5225/V5225/VLOOKUP(B5225,$C$2:$F$6,3,FALSE),2)</f>
        <v>0.17</v>
      </c>
      <c r="Q5225" s="322">
        <v>0.17</v>
      </c>
      <c r="R5225" s="322">
        <f>Q5225*J5225</f>
        <v>8.5</v>
      </c>
      <c r="S5225" s="7">
        <v>14</v>
      </c>
      <c r="T5225" s="7">
        <f>S5225*J5225</f>
        <v>700</v>
      </c>
      <c r="U5225" s="39"/>
      <c r="V5225" s="260">
        <v>120</v>
      </c>
      <c r="W5225" s="1136">
        <f t="shared" ref="W5225:W5229" si="645">(((K5225*V5225)-S5225)/(K5225*V5225))</f>
        <v>0.61111111111111116</v>
      </c>
    </row>
    <row r="5226" spans="1:23" customFormat="1" ht="15.95" customHeight="1">
      <c r="A5226" s="1"/>
      <c r="B5226" s="12" t="s">
        <v>306</v>
      </c>
      <c r="C5226" s="965" t="s">
        <v>6527</v>
      </c>
      <c r="D5226" s="14" t="s">
        <v>2162</v>
      </c>
      <c r="E5226" s="22"/>
      <c r="F5226" s="102"/>
      <c r="G5226" s="37" t="s">
        <v>316</v>
      </c>
      <c r="H5226" s="8"/>
      <c r="I5226" s="35"/>
      <c r="J5226" s="38">
        <v>1</v>
      </c>
      <c r="K5226" s="39">
        <v>12</v>
      </c>
      <c r="L5226" s="39">
        <f>K5226*J5226</f>
        <v>12</v>
      </c>
      <c r="M5226" s="91"/>
      <c r="N5226" s="33">
        <v>46083</v>
      </c>
      <c r="O5226" s="32">
        <v>7920</v>
      </c>
      <c r="P5226" s="39"/>
      <c r="Q5226" s="358">
        <v>12</v>
      </c>
      <c r="R5226" s="322">
        <f>Q5226*J5226</f>
        <v>12</v>
      </c>
      <c r="S5226" s="7">
        <v>1000</v>
      </c>
      <c r="T5226" s="7">
        <f>S5226*J5226</f>
        <v>1000</v>
      </c>
      <c r="U5226" s="270"/>
      <c r="V5226" s="260">
        <v>120</v>
      </c>
      <c r="W5226" s="1136">
        <f t="shared" si="645"/>
        <v>0.30555555555555558</v>
      </c>
    </row>
    <row r="5227" spans="1:23" s="191" customFormat="1" ht="15.75">
      <c r="B5227" s="190"/>
      <c r="C5227" s="966" t="s">
        <v>6527</v>
      </c>
      <c r="D5227" s="180" t="s">
        <v>2162</v>
      </c>
      <c r="E5227" s="181"/>
      <c r="F5227" s="182"/>
      <c r="G5227" s="182" t="s">
        <v>250</v>
      </c>
      <c r="H5227" s="184" t="s">
        <v>251</v>
      </c>
      <c r="I5227" s="185"/>
      <c r="J5227" s="183"/>
      <c r="K5227" s="192">
        <v>0</v>
      </c>
      <c r="L5227" s="187"/>
      <c r="M5227" s="1310"/>
      <c r="N5227" s="187">
        <v>46083</v>
      </c>
      <c r="O5227" s="186">
        <v>7920</v>
      </c>
      <c r="P5227" s="179"/>
      <c r="Q5227" s="255">
        <v>0</v>
      </c>
      <c r="R5227" s="322">
        <v>0</v>
      </c>
      <c r="S5227" s="275">
        <v>0</v>
      </c>
      <c r="T5227" s="198">
        <v>0</v>
      </c>
      <c r="U5227" s="271"/>
      <c r="V5227" s="260">
        <v>120</v>
      </c>
      <c r="W5227" s="1136" t="e">
        <f t="shared" si="645"/>
        <v>#DIV/0!</v>
      </c>
    </row>
    <row r="5228" spans="1:23" s="7" customFormat="1" ht="15">
      <c r="B5228" s="12"/>
      <c r="C5228" s="965" t="s">
        <v>6528</v>
      </c>
      <c r="D5228" s="14" t="s">
        <v>2162</v>
      </c>
      <c r="E5228" s="19" t="s">
        <v>5992</v>
      </c>
      <c r="F5228" s="37"/>
      <c r="G5228" s="37"/>
      <c r="H5228" s="108"/>
      <c r="I5228" s="108"/>
      <c r="J5228" s="108"/>
      <c r="K5228" s="29" t="s">
        <v>5</v>
      </c>
      <c r="L5228" s="139"/>
      <c r="M5228" s="33"/>
      <c r="N5228" s="33">
        <v>46090</v>
      </c>
      <c r="O5228" s="32">
        <v>7933</v>
      </c>
      <c r="P5228" s="6"/>
      <c r="Q5228" s="339"/>
      <c r="U5228" s="120"/>
      <c r="V5228" s="260">
        <v>120</v>
      </c>
      <c r="W5228" s="1136" t="e">
        <f t="shared" si="645"/>
        <v>#VALUE!</v>
      </c>
    </row>
    <row r="5229" spans="1:23" s="7" customFormat="1" ht="18" customHeight="1">
      <c r="B5229" s="12" t="s">
        <v>300</v>
      </c>
      <c r="C5229" s="965" t="s">
        <v>6528</v>
      </c>
      <c r="D5229" s="14" t="s">
        <v>2162</v>
      </c>
      <c r="E5229" s="22">
        <v>5381</v>
      </c>
      <c r="F5229" s="37"/>
      <c r="G5229" s="22" t="s">
        <v>5994</v>
      </c>
      <c r="H5229" s="108">
        <v>30</v>
      </c>
      <c r="I5229" s="950">
        <v>45</v>
      </c>
      <c r="J5229" s="8">
        <f>I5229*H5229</f>
        <v>1350</v>
      </c>
      <c r="K5229" s="39">
        <v>0.95</v>
      </c>
      <c r="L5229" s="39">
        <f>K5229*J5229</f>
        <v>1282.5</v>
      </c>
      <c r="M5229" s="117" t="s">
        <v>349</v>
      </c>
      <c r="N5229" s="33">
        <v>46090</v>
      </c>
      <c r="O5229" s="32">
        <v>7933</v>
      </c>
      <c r="P5229" s="391">
        <f>ROUNDUP(S5229/V5229/VLOOKUP(B5229,$C$2:$F$6,3,FALSE),2)</f>
        <v>0.68</v>
      </c>
      <c r="Q5229" s="322">
        <v>0.68</v>
      </c>
      <c r="R5229" s="322">
        <f>Q5229*J5229</f>
        <v>918.00000000000011</v>
      </c>
      <c r="S5229" s="7">
        <v>57</v>
      </c>
      <c r="T5229" s="7">
        <f>S5229*J5229</f>
        <v>76950</v>
      </c>
      <c r="U5229" s="21"/>
      <c r="V5229" s="260">
        <v>120</v>
      </c>
      <c r="W5229" s="1136">
        <f t="shared" si="645"/>
        <v>0.5</v>
      </c>
    </row>
    <row r="5230" spans="1:23" s="7" customFormat="1" ht="18" customHeight="1">
      <c r="B5230" s="12"/>
      <c r="C5230" s="965" t="s">
        <v>6528</v>
      </c>
      <c r="D5230" s="14" t="s">
        <v>2162</v>
      </c>
      <c r="E5230" s="17" t="s">
        <v>6228</v>
      </c>
      <c r="F5230" s="319"/>
      <c r="G5230" s="299"/>
      <c r="H5230" s="300"/>
      <c r="I5230" s="320"/>
      <c r="J5230" s="321"/>
      <c r="K5230" s="110" t="s">
        <v>5</v>
      </c>
      <c r="L5230" s="139"/>
      <c r="M5230" s="33"/>
      <c r="N5230" s="33">
        <v>46084</v>
      </c>
      <c r="O5230" s="32">
        <v>7932</v>
      </c>
      <c r="P5230" s="6"/>
      <c r="Q5230" s="322"/>
      <c r="U5230" s="39"/>
      <c r="V5230" s="260">
        <v>120</v>
      </c>
    </row>
    <row r="5231" spans="1:23" s="7" customFormat="1" ht="18" customHeight="1">
      <c r="B5231" s="12" t="s">
        <v>300</v>
      </c>
      <c r="C5231" s="965" t="s">
        <v>6528</v>
      </c>
      <c r="D5231" s="14" t="s">
        <v>2162</v>
      </c>
      <c r="E5231" s="22">
        <v>5637</v>
      </c>
      <c r="F5231" s="37" t="s">
        <v>6229</v>
      </c>
      <c r="G5231" s="839" t="s">
        <v>6230</v>
      </c>
      <c r="H5231" s="108">
        <v>50</v>
      </c>
      <c r="I5231" s="109">
        <v>6</v>
      </c>
      <c r="J5231" s="8">
        <f>H5231*I5231</f>
        <v>300</v>
      </c>
      <c r="K5231" s="39">
        <v>0.3</v>
      </c>
      <c r="L5231" s="39">
        <f>K5231*J5231</f>
        <v>90</v>
      </c>
      <c r="M5231" s="117" t="s">
        <v>349</v>
      </c>
      <c r="N5231" s="33">
        <v>46084</v>
      </c>
      <c r="O5231" s="32">
        <v>7932</v>
      </c>
      <c r="P5231" s="391">
        <f>ROUNDUP(S5231/V5231/VLOOKUP(B5231,$C$2:$F$6,3,FALSE),2)</f>
        <v>0.17</v>
      </c>
      <c r="Q5231" s="322">
        <v>0.17</v>
      </c>
      <c r="R5231" s="322">
        <f>Q5231*J5231</f>
        <v>51.000000000000007</v>
      </c>
      <c r="S5231" s="7">
        <v>14</v>
      </c>
      <c r="T5231" s="7">
        <f>S5231*J5231</f>
        <v>4200</v>
      </c>
      <c r="U5231" s="39"/>
      <c r="V5231" s="260">
        <v>120</v>
      </c>
      <c r="W5231" s="1136">
        <f t="shared" ref="W5231:W5236" si="646">(((K5231*V5231)-S5231)/(K5231*V5231))</f>
        <v>0.61111111111111116</v>
      </c>
    </row>
    <row r="5232" spans="1:23" s="7" customFormat="1" ht="15">
      <c r="B5232" s="12"/>
      <c r="C5232" s="965" t="s">
        <v>6528</v>
      </c>
      <c r="D5232" s="14" t="s">
        <v>2162</v>
      </c>
      <c r="E5232" s="19" t="s">
        <v>6225</v>
      </c>
      <c r="F5232" s="37"/>
      <c r="G5232" s="37"/>
      <c r="H5232" s="108"/>
      <c r="I5232" s="108"/>
      <c r="J5232" s="108"/>
      <c r="K5232" s="29" t="s">
        <v>5</v>
      </c>
      <c r="L5232" s="139"/>
      <c r="M5232" s="33"/>
      <c r="N5232" s="33">
        <v>46084</v>
      </c>
      <c r="O5232" s="32">
        <v>7932</v>
      </c>
      <c r="P5232" s="6"/>
      <c r="Q5232" s="339"/>
      <c r="U5232" s="120"/>
      <c r="V5232" s="260">
        <v>120</v>
      </c>
      <c r="W5232" s="1136" t="e">
        <f t="shared" si="646"/>
        <v>#VALUE!</v>
      </c>
    </row>
    <row r="5233" spans="1:51" s="7" customFormat="1" ht="18" customHeight="1">
      <c r="B5233" s="12" t="s">
        <v>300</v>
      </c>
      <c r="C5233" s="965" t="s">
        <v>6528</v>
      </c>
      <c r="D5233" s="14" t="s">
        <v>2162</v>
      </c>
      <c r="E5233" s="22">
        <v>3844</v>
      </c>
      <c r="F5233" s="37">
        <v>4</v>
      </c>
      <c r="G5233" s="839" t="s">
        <v>6227</v>
      </c>
      <c r="H5233" s="108">
        <v>30</v>
      </c>
      <c r="I5233" s="109">
        <v>50</v>
      </c>
      <c r="J5233" s="8">
        <f>H5233*I5233</f>
        <v>1500</v>
      </c>
      <c r="K5233" s="39">
        <v>0.74</v>
      </c>
      <c r="L5233" s="39">
        <f>K5233*J5233</f>
        <v>1110</v>
      </c>
      <c r="M5233" s="117" t="s">
        <v>349</v>
      </c>
      <c r="N5233" s="33">
        <v>46084</v>
      </c>
      <c r="O5233" s="32">
        <v>7932</v>
      </c>
      <c r="P5233" s="391">
        <f>ROUNDUP(S5233/V5233/VLOOKUP(B5233,$C$2:$F$6,3,FALSE),2)</f>
        <v>0.53</v>
      </c>
      <c r="Q5233" s="322">
        <v>0.53</v>
      </c>
      <c r="R5233" s="322">
        <f>Q5233*J5233</f>
        <v>795</v>
      </c>
      <c r="S5233" s="7">
        <v>44</v>
      </c>
      <c r="T5233" s="7">
        <f>S5233*J5233</f>
        <v>66000</v>
      </c>
      <c r="U5233" s="39"/>
      <c r="V5233" s="260">
        <v>120</v>
      </c>
      <c r="W5233" s="1136">
        <f>(((K5233*V5233)-S5233)/(K5233*V5233))</f>
        <v>0.50450450450450446</v>
      </c>
    </row>
    <row r="5234" spans="1:51" s="7" customFormat="1" ht="18" customHeight="1">
      <c r="B5234" s="12" t="s">
        <v>300</v>
      </c>
      <c r="C5234" s="965" t="s">
        <v>6528</v>
      </c>
      <c r="D5234" s="14" t="s">
        <v>2162</v>
      </c>
      <c r="E5234" s="22">
        <v>3844</v>
      </c>
      <c r="F5234" s="37">
        <v>4</v>
      </c>
      <c r="G5234" s="839" t="s">
        <v>6529</v>
      </c>
      <c r="H5234" s="108">
        <v>30</v>
      </c>
      <c r="I5234" s="109">
        <v>4</v>
      </c>
      <c r="J5234" s="8">
        <f>H5234*I5234</f>
        <v>120</v>
      </c>
      <c r="K5234" s="39">
        <v>0.74</v>
      </c>
      <c r="L5234" s="39">
        <f>K5234*J5234</f>
        <v>88.8</v>
      </c>
      <c r="M5234" s="117" t="s">
        <v>349</v>
      </c>
      <c r="N5234" s="33">
        <v>46084</v>
      </c>
      <c r="O5234" s="32">
        <v>7932</v>
      </c>
      <c r="P5234" s="391">
        <f>ROUNDUP(S5234/V5234/VLOOKUP(B5234,$C$2:$F$6,3,FALSE),2)</f>
        <v>0.53</v>
      </c>
      <c r="Q5234" s="322">
        <v>0.53</v>
      </c>
      <c r="R5234" s="322">
        <f>Q5234*J5234</f>
        <v>63.6</v>
      </c>
      <c r="S5234" s="7">
        <v>44</v>
      </c>
      <c r="T5234" s="7">
        <f>S5234*J5234</f>
        <v>5280</v>
      </c>
      <c r="U5234" s="39"/>
      <c r="V5234" s="260">
        <v>120</v>
      </c>
      <c r="W5234" s="1136">
        <f t="shared" ref="W5234:W5235" si="647">(((K5234*V5234)-S5234)/(K5234*V5234))</f>
        <v>0.50450450450450446</v>
      </c>
    </row>
    <row r="5235" spans="1:51" s="7" customFormat="1" ht="18" customHeight="1">
      <c r="B5235" s="12" t="s">
        <v>300</v>
      </c>
      <c r="C5235" s="965" t="s">
        <v>6528</v>
      </c>
      <c r="D5235" s="14" t="s">
        <v>2162</v>
      </c>
      <c r="E5235" s="22">
        <v>3844</v>
      </c>
      <c r="F5235" s="37">
        <v>4</v>
      </c>
      <c r="G5235" s="839" t="s">
        <v>6226</v>
      </c>
      <c r="H5235" s="108">
        <v>30</v>
      </c>
      <c r="I5235" s="109">
        <v>7</v>
      </c>
      <c r="J5235" s="8">
        <f>H5235*I5235</f>
        <v>210</v>
      </c>
      <c r="K5235" s="39">
        <v>0.74</v>
      </c>
      <c r="L5235" s="39">
        <f>K5235*J5235</f>
        <v>155.4</v>
      </c>
      <c r="M5235" s="117" t="s">
        <v>349</v>
      </c>
      <c r="N5235" s="33">
        <v>46084</v>
      </c>
      <c r="O5235" s="32">
        <v>7932</v>
      </c>
      <c r="P5235" s="391">
        <f>ROUNDUP(S5235/V5235/VLOOKUP(B5235,$C$2:$F$6,3,FALSE),2)</f>
        <v>0.53</v>
      </c>
      <c r="Q5235" s="322">
        <v>0.53</v>
      </c>
      <c r="R5235" s="322">
        <f>Q5235*J5235</f>
        <v>111.30000000000001</v>
      </c>
      <c r="S5235" s="7">
        <v>44</v>
      </c>
      <c r="T5235" s="7">
        <f>S5235*J5235</f>
        <v>9240</v>
      </c>
      <c r="U5235" s="39"/>
      <c r="V5235" s="260">
        <v>120</v>
      </c>
      <c r="W5235" s="1136">
        <f t="shared" si="647"/>
        <v>0.50450450450450446</v>
      </c>
    </row>
    <row r="5236" spans="1:51" s="7" customFormat="1" ht="18" customHeight="1">
      <c r="B5236" s="12" t="s">
        <v>300</v>
      </c>
      <c r="C5236" s="965" t="s">
        <v>6528</v>
      </c>
      <c r="D5236" s="14" t="s">
        <v>2162</v>
      </c>
      <c r="E5236" s="22">
        <v>3844</v>
      </c>
      <c r="F5236" s="37">
        <v>4</v>
      </c>
      <c r="G5236" s="839" t="s">
        <v>6530</v>
      </c>
      <c r="H5236" s="108">
        <v>30</v>
      </c>
      <c r="I5236" s="109">
        <v>3</v>
      </c>
      <c r="J5236" s="8">
        <f>H5236*I5236</f>
        <v>90</v>
      </c>
      <c r="K5236" s="39">
        <v>0.74</v>
      </c>
      <c r="L5236" s="39">
        <f>K5236*J5236</f>
        <v>66.599999999999994</v>
      </c>
      <c r="M5236" s="117" t="s">
        <v>349</v>
      </c>
      <c r="N5236" s="33">
        <v>46084</v>
      </c>
      <c r="O5236" s="32">
        <v>7932</v>
      </c>
      <c r="P5236" s="391">
        <f>ROUNDUP(S5236/V5236/VLOOKUP(B5236,$C$2:$F$6,3,FALSE),2)</f>
        <v>0.53</v>
      </c>
      <c r="Q5236" s="322">
        <v>0.53</v>
      </c>
      <c r="R5236" s="322">
        <f>Q5236*J5236</f>
        <v>47.7</v>
      </c>
      <c r="S5236" s="7">
        <v>44</v>
      </c>
      <c r="T5236" s="7">
        <f>S5236*J5236</f>
        <v>3960</v>
      </c>
      <c r="U5236" s="39"/>
      <c r="V5236" s="260">
        <v>120</v>
      </c>
      <c r="W5236" s="1136">
        <f t="shared" si="646"/>
        <v>0.50450450450450446</v>
      </c>
    </row>
    <row r="5237" spans="1:51" customFormat="1" ht="15.95" customHeight="1">
      <c r="A5237" s="1"/>
      <c r="B5237" s="12" t="s">
        <v>306</v>
      </c>
      <c r="C5237" s="965" t="s">
        <v>6528</v>
      </c>
      <c r="D5237" s="14" t="s">
        <v>2162</v>
      </c>
      <c r="E5237" s="22"/>
      <c r="F5237" s="102"/>
      <c r="G5237" s="37" t="s">
        <v>316</v>
      </c>
      <c r="H5237" s="8"/>
      <c r="I5237" s="35"/>
      <c r="J5237" s="38">
        <v>1</v>
      </c>
      <c r="K5237" s="39">
        <v>12</v>
      </c>
      <c r="L5237" s="39">
        <f>K5237*J5237</f>
        <v>12</v>
      </c>
      <c r="M5237" s="91"/>
      <c r="N5237" s="33">
        <v>46084</v>
      </c>
      <c r="O5237" s="32">
        <v>7932</v>
      </c>
      <c r="P5237" s="39"/>
      <c r="Q5237" s="358">
        <v>12</v>
      </c>
      <c r="R5237" s="322">
        <f>Q5237*J5237</f>
        <v>12</v>
      </c>
      <c r="S5237" s="7">
        <v>0</v>
      </c>
      <c r="T5237" s="7">
        <f>S5237*J5237</f>
        <v>0</v>
      </c>
      <c r="U5237" s="270"/>
      <c r="V5237" s="260">
        <v>120</v>
      </c>
      <c r="W5237" s="1136">
        <f t="shared" ref="W5237:W5238" si="648">(((K5237*V5237)-S5237)/(K5237*V5237))</f>
        <v>1</v>
      </c>
    </row>
    <row r="5238" spans="1:51" s="191" customFormat="1" ht="15.75">
      <c r="B5238" s="190"/>
      <c r="C5238" s="966" t="s">
        <v>6528</v>
      </c>
      <c r="D5238" s="180" t="s">
        <v>2162</v>
      </c>
      <c r="E5238" s="181"/>
      <c r="F5238" s="182"/>
      <c r="G5238" s="182" t="s">
        <v>250</v>
      </c>
      <c r="H5238" s="184" t="s">
        <v>251</v>
      </c>
      <c r="I5238" s="185"/>
      <c r="J5238" s="183"/>
      <c r="K5238" s="192">
        <v>0</v>
      </c>
      <c r="L5238" s="187"/>
      <c r="M5238" s="1310"/>
      <c r="N5238" s="187">
        <v>46084</v>
      </c>
      <c r="O5238" s="186">
        <v>7932</v>
      </c>
      <c r="P5238" s="179"/>
      <c r="Q5238" s="255">
        <v>0</v>
      </c>
      <c r="R5238" s="322">
        <v>0</v>
      </c>
      <c r="S5238" s="275">
        <v>0</v>
      </c>
      <c r="T5238" s="198">
        <v>0</v>
      </c>
      <c r="U5238" s="271"/>
      <c r="V5238" s="260">
        <v>120</v>
      </c>
      <c r="W5238" s="1136" t="e">
        <f t="shared" si="648"/>
        <v>#DIV/0!</v>
      </c>
    </row>
    <row r="5239" spans="1:51" s="7" customFormat="1" ht="18" customHeight="1">
      <c r="B5239" s="12"/>
      <c r="C5239" s="965" t="s">
        <v>6543</v>
      </c>
      <c r="D5239" s="14" t="s">
        <v>3112</v>
      </c>
      <c r="E5239" s="19" t="s">
        <v>4645</v>
      </c>
      <c r="F5239" s="22"/>
      <c r="G5239" s="37"/>
      <c r="H5239" s="108"/>
      <c r="I5239" s="108"/>
      <c r="J5239" s="108"/>
      <c r="K5239" s="110" t="s">
        <v>5</v>
      </c>
      <c r="L5239" s="33"/>
      <c r="M5239" s="33"/>
      <c r="N5239" s="1398">
        <v>46092</v>
      </c>
      <c r="O5239" s="32">
        <v>7954</v>
      </c>
      <c r="P5239" s="6"/>
      <c r="Q5239" s="223"/>
      <c r="S5239" s="1174" t="s">
        <v>330</v>
      </c>
      <c r="T5239" s="92"/>
      <c r="U5239" s="266"/>
      <c r="V5239" s="260">
        <v>120</v>
      </c>
    </row>
    <row r="5240" spans="1:51" s="7" customFormat="1" ht="15.95" customHeight="1">
      <c r="B5240" s="12" t="s">
        <v>300</v>
      </c>
      <c r="C5240" s="965" t="s">
        <v>6543</v>
      </c>
      <c r="D5240" s="14" t="s">
        <v>3112</v>
      </c>
      <c r="E5240" s="22" t="s">
        <v>4934</v>
      </c>
      <c r="F5240" s="37">
        <v>15</v>
      </c>
      <c r="G5240" s="37" t="s">
        <v>350</v>
      </c>
      <c r="H5240" s="60">
        <v>30</v>
      </c>
      <c r="I5240" s="61">
        <v>10</v>
      </c>
      <c r="J5240" s="60">
        <f>H5240*I5240</f>
        <v>300</v>
      </c>
      <c r="K5240" s="39">
        <v>0.5</v>
      </c>
      <c r="L5240" s="39">
        <f>K5240*J5240</f>
        <v>150</v>
      </c>
      <c r="M5240" s="117" t="s">
        <v>323</v>
      </c>
      <c r="N5240" s="1398">
        <v>46092</v>
      </c>
      <c r="O5240" s="32">
        <v>7954</v>
      </c>
      <c r="P5240" s="391">
        <f>ROUNDUP(S5240/V5240/VLOOKUP(B5240,$C$2:$F$6,3,FALSE),2)</f>
        <v>0.29000000000000004</v>
      </c>
      <c r="Q5240" s="254">
        <v>0.28999999999999998</v>
      </c>
      <c r="R5240" s="323">
        <f>Q5240*J5240</f>
        <v>87</v>
      </c>
      <c r="S5240" s="1200">
        <v>23.6</v>
      </c>
      <c r="T5240" s="92">
        <f>S5240*J5240</f>
        <v>7080</v>
      </c>
      <c r="U5240" s="1200"/>
      <c r="V5240" s="260">
        <v>120</v>
      </c>
      <c r="W5240" s="1136">
        <f>(((K5240*V5240)-S5240)/(K5240*V5240))</f>
        <v>0.60666666666666669</v>
      </c>
    </row>
    <row r="5241" spans="1:51" s="7" customFormat="1" ht="18" customHeight="1">
      <c r="B5241" s="12"/>
      <c r="C5241" s="965" t="s">
        <v>6543</v>
      </c>
      <c r="D5241" s="14" t="s">
        <v>3112</v>
      </c>
      <c r="E5241" s="22"/>
      <c r="F5241" s="102"/>
      <c r="G5241" s="22" t="s">
        <v>316</v>
      </c>
      <c r="H5241" s="8"/>
      <c r="I5241" s="35"/>
      <c r="J5241" s="38">
        <v>1</v>
      </c>
      <c r="K5241" s="39">
        <v>12</v>
      </c>
      <c r="L5241" s="39">
        <f>K5241*J5241</f>
        <v>12</v>
      </c>
      <c r="M5241" s="91"/>
      <c r="N5241" s="1398">
        <v>46092</v>
      </c>
      <c r="O5241" s="32">
        <v>7954</v>
      </c>
      <c r="P5241" s="6" t="s">
        <v>3</v>
      </c>
      <c r="Q5241" s="39">
        <v>12</v>
      </c>
      <c r="R5241" s="322">
        <f>Q5241*J5241</f>
        <v>12</v>
      </c>
      <c r="S5241" s="1388">
        <v>0</v>
      </c>
      <c r="T5241" s="92">
        <f>S5241*J5241</f>
        <v>0</v>
      </c>
      <c r="U5241" s="21"/>
      <c r="V5241" s="260">
        <v>120</v>
      </c>
      <c r="W5241" s="1136">
        <f>(((K5241*V5241)-S5241)/(K5241*V5241))</f>
        <v>1</v>
      </c>
    </row>
    <row r="5242" spans="1:51" s="191" customFormat="1" ht="15">
      <c r="B5242" s="190"/>
      <c r="C5242" s="966" t="s">
        <v>6543</v>
      </c>
      <c r="D5242" s="180" t="s">
        <v>3112</v>
      </c>
      <c r="E5242" s="181"/>
      <c r="F5242" s="182"/>
      <c r="G5242" s="182" t="s">
        <v>2738</v>
      </c>
      <c r="H5242" s="184" t="s">
        <v>251</v>
      </c>
      <c r="I5242" s="185"/>
      <c r="J5242" s="183"/>
      <c r="K5242" s="192">
        <v>0</v>
      </c>
      <c r="L5242" s="187"/>
      <c r="M5242" s="187"/>
      <c r="N5242" s="1399">
        <v>46092</v>
      </c>
      <c r="O5242" s="186">
        <v>7954</v>
      </c>
      <c r="P5242" s="179"/>
      <c r="Q5242" s="203"/>
      <c r="R5242" s="203"/>
      <c r="S5242" s="203"/>
      <c r="T5242" s="203"/>
      <c r="U5242" s="271"/>
      <c r="V5242" s="260">
        <v>120</v>
      </c>
      <c r="W5242" s="1136" t="e">
        <f t="shared" ref="W5242" si="649">(((K5242*V5242)-S5242)/(K5242*V5242))</f>
        <v>#DIV/0!</v>
      </c>
    </row>
    <row r="5243" spans="1:51" s="210" customFormat="1" ht="15.75">
      <c r="B5243" s="278"/>
      <c r="C5243" s="204" t="s">
        <v>6544</v>
      </c>
      <c r="D5243" s="205" t="s">
        <v>5277</v>
      </c>
      <c r="E5243" s="206" t="s">
        <v>6545</v>
      </c>
      <c r="F5243" s="342"/>
      <c r="G5243" s="206" t="s">
        <v>6546</v>
      </c>
      <c r="H5243" s="343"/>
      <c r="I5243" s="344"/>
      <c r="J5243" s="207">
        <v>1</v>
      </c>
      <c r="K5243" s="296">
        <v>124</v>
      </c>
      <c r="L5243" s="296">
        <f>K5243*J5243</f>
        <v>124</v>
      </c>
      <c r="M5243" s="345"/>
      <c r="N5243" s="297">
        <v>46100</v>
      </c>
      <c r="O5243" s="208">
        <v>7950</v>
      </c>
      <c r="P5243" s="346"/>
      <c r="Q5243" s="347">
        <v>124</v>
      </c>
      <c r="R5243" s="347">
        <v>124</v>
      </c>
      <c r="S5243" s="1748">
        <v>18573</v>
      </c>
      <c r="T5243" s="210">
        <f>S5243*J5243</f>
        <v>18573</v>
      </c>
      <c r="U5243" s="348"/>
      <c r="V5243" s="260">
        <v>120</v>
      </c>
    </row>
    <row r="5244" spans="1:51" customFormat="1" ht="18" customHeight="1">
      <c r="A5244" s="1"/>
      <c r="B5244" s="26"/>
      <c r="C5244" s="6" t="s">
        <v>6547</v>
      </c>
      <c r="D5244" s="14" t="s">
        <v>3067</v>
      </c>
      <c r="E5244" s="19" t="s">
        <v>59</v>
      </c>
      <c r="F5244" s="107"/>
      <c r="G5244" s="22"/>
      <c r="H5244" s="108"/>
      <c r="I5244" s="109"/>
      <c r="J5244" s="108"/>
      <c r="K5244" s="110" t="s">
        <v>5</v>
      </c>
      <c r="L5244" s="33"/>
      <c r="M5244" s="33"/>
      <c r="N5244" s="33">
        <v>46094</v>
      </c>
      <c r="O5244" s="32">
        <v>7978</v>
      </c>
      <c r="P5244" s="14"/>
      <c r="Q5244" s="254"/>
      <c r="R5244" s="1"/>
      <c r="S5244" s="261"/>
      <c r="T5244" s="92"/>
      <c r="U5244" s="264"/>
      <c r="V5244" s="260">
        <v>120</v>
      </c>
      <c r="W5244" s="1136" t="e">
        <f t="shared" ref="W5244:W5247" si="650">(((K5244*V5244)-S5244)/(K5244*V5244))</f>
        <v>#VALUE!</v>
      </c>
      <c r="X5244" s="1"/>
      <c r="Y5244" s="1"/>
      <c r="Z5244" s="1"/>
      <c r="AA5244" s="1"/>
      <c r="AB5244" s="1"/>
      <c r="AC5244" s="1"/>
      <c r="AD5244" s="1"/>
      <c r="AE5244" s="1"/>
      <c r="AF5244" s="1"/>
      <c r="AG5244" s="1"/>
      <c r="AH5244" s="1"/>
      <c r="AI5244" s="1"/>
      <c r="AJ5244" s="1"/>
      <c r="AK5244" s="1"/>
      <c r="AL5244" s="1"/>
      <c r="AM5244" s="1"/>
      <c r="AN5244" s="1"/>
      <c r="AO5244" s="1"/>
      <c r="AP5244" s="1"/>
      <c r="AQ5244" s="1"/>
      <c r="AR5244" s="1"/>
      <c r="AS5244" s="1"/>
      <c r="AT5244" s="1"/>
      <c r="AU5244" s="1"/>
      <c r="AV5244" s="1"/>
      <c r="AW5244" s="1"/>
      <c r="AX5244" s="1"/>
      <c r="AY5244" s="1"/>
    </row>
    <row r="5245" spans="1:51" customFormat="1" ht="18" customHeight="1">
      <c r="B5245" s="12" t="s">
        <v>302</v>
      </c>
      <c r="C5245" s="6" t="s">
        <v>6547</v>
      </c>
      <c r="D5245" s="14" t="s">
        <v>3067</v>
      </c>
      <c r="E5245" s="374">
        <v>5600</v>
      </c>
      <c r="F5245" s="107">
        <v>148</v>
      </c>
      <c r="G5245" s="22" t="s">
        <v>4883</v>
      </c>
      <c r="H5245" s="108">
        <v>58</v>
      </c>
      <c r="I5245" s="109">
        <v>2</v>
      </c>
      <c r="J5245" s="8">
        <f>H5245*I5245</f>
        <v>116</v>
      </c>
      <c r="K5245" s="39">
        <v>7.78</v>
      </c>
      <c r="L5245" s="39">
        <f>K5245*J5245</f>
        <v>902.48</v>
      </c>
      <c r="M5245" s="117" t="s">
        <v>323</v>
      </c>
      <c r="N5245" s="33">
        <v>46094</v>
      </c>
      <c r="O5245" s="32">
        <v>7978</v>
      </c>
      <c r="P5245" s="391">
        <f>ROUNDUP(S5245/V5245/VLOOKUP(B5245,$C$2:$F$6,3,FALSE),2)</f>
        <v>6.16</v>
      </c>
      <c r="Q5245" s="254">
        <v>6.16</v>
      </c>
      <c r="R5245" s="323">
        <f>Q5245*J5245</f>
        <v>714.56000000000006</v>
      </c>
      <c r="S5245" s="257">
        <v>650</v>
      </c>
      <c r="T5245" s="287">
        <f>S5245*J5245</f>
        <v>75400</v>
      </c>
      <c r="U5245" s="264"/>
      <c r="V5245" s="260">
        <v>120</v>
      </c>
      <c r="W5245" s="1136">
        <f t="shared" si="650"/>
        <v>0.30377035132819197</v>
      </c>
      <c r="X5245" s="1"/>
      <c r="Y5245" s="1"/>
      <c r="Z5245" s="1"/>
      <c r="AA5245" s="1"/>
      <c r="AB5245" s="1"/>
      <c r="AC5245" s="1"/>
      <c r="AD5245" s="1"/>
      <c r="AE5245" s="1"/>
      <c r="AF5245" s="1"/>
      <c r="AG5245" s="1"/>
      <c r="AH5245" s="1"/>
      <c r="AI5245" s="1"/>
      <c r="AJ5245" s="1"/>
      <c r="AK5245" s="1"/>
      <c r="AL5245" s="1"/>
      <c r="AM5245" s="1"/>
      <c r="AN5245" s="1"/>
      <c r="AO5245" s="1"/>
      <c r="AP5245" s="1"/>
      <c r="AQ5245" s="1"/>
      <c r="AR5245" s="1"/>
      <c r="AS5245" s="1"/>
      <c r="AT5245" s="1"/>
      <c r="AU5245" s="1"/>
      <c r="AV5245" s="1"/>
      <c r="AW5245" s="1"/>
      <c r="AX5245" s="1"/>
      <c r="AY5245" s="1"/>
    </row>
    <row r="5246" spans="1:51" s="7" customFormat="1" ht="18" customHeight="1">
      <c r="B5246" s="12"/>
      <c r="C5246" s="6" t="s">
        <v>6547</v>
      </c>
      <c r="D5246" s="14" t="s">
        <v>3067</v>
      </c>
      <c r="E5246" s="22"/>
      <c r="F5246" s="102"/>
      <c r="G5246" s="22" t="s">
        <v>316</v>
      </c>
      <c r="H5246" s="8"/>
      <c r="I5246" s="35"/>
      <c r="J5246" s="38">
        <v>1</v>
      </c>
      <c r="K5246" s="39">
        <v>20</v>
      </c>
      <c r="L5246" s="39">
        <f>K5246*J5246</f>
        <v>20</v>
      </c>
      <c r="M5246" s="91"/>
      <c r="N5246" s="33">
        <v>46094</v>
      </c>
      <c r="O5246" s="32">
        <v>7978</v>
      </c>
      <c r="P5246" s="6" t="s">
        <v>3</v>
      </c>
      <c r="Q5246" s="39">
        <v>20</v>
      </c>
      <c r="R5246" s="322">
        <f>Q5246*J5246</f>
        <v>20</v>
      </c>
      <c r="S5246" s="1388">
        <v>2500</v>
      </c>
      <c r="T5246" s="1388">
        <f>S5246*J5246</f>
        <v>2500</v>
      </c>
      <c r="U5246" s="21"/>
      <c r="V5246" s="260">
        <v>120</v>
      </c>
      <c r="W5246" s="1136">
        <f t="shared" si="650"/>
        <v>-4.1666666666666664E-2</v>
      </c>
    </row>
    <row r="5247" spans="1:51" s="191" customFormat="1" ht="15.75">
      <c r="B5247" s="190"/>
      <c r="C5247" s="179" t="s">
        <v>6547</v>
      </c>
      <c r="D5247" s="180" t="s">
        <v>3067</v>
      </c>
      <c r="E5247" s="181"/>
      <c r="F5247" s="182"/>
      <c r="G5247" s="309" t="s">
        <v>324</v>
      </c>
      <c r="H5247" s="184" t="s">
        <v>251</v>
      </c>
      <c r="I5247" s="185"/>
      <c r="J5247" s="183"/>
      <c r="K5247" s="203">
        <v>0</v>
      </c>
      <c r="L5247" s="203">
        <v>0</v>
      </c>
      <c r="M5247" s="187"/>
      <c r="N5247" s="187">
        <v>46094</v>
      </c>
      <c r="O5247" s="186">
        <v>7978</v>
      </c>
      <c r="P5247" s="179"/>
      <c r="Q5247" s="203">
        <v>0</v>
      </c>
      <c r="R5247" s="203">
        <v>0</v>
      </c>
      <c r="S5247" s="7">
        <v>0</v>
      </c>
      <c r="T5247" s="7">
        <v>0</v>
      </c>
      <c r="U5247" s="271"/>
      <c r="V5247" s="260">
        <v>120</v>
      </c>
      <c r="W5247" s="1136" t="e">
        <f t="shared" si="650"/>
        <v>#DIV/0!</v>
      </c>
    </row>
    <row r="5248" spans="1:51" s="7" customFormat="1" ht="18" customHeight="1">
      <c r="B5248" s="12"/>
      <c r="C5248" s="6" t="s">
        <v>6548</v>
      </c>
      <c r="D5248" s="14" t="s">
        <v>5277</v>
      </c>
      <c r="E5248" s="19" t="s">
        <v>10</v>
      </c>
      <c r="F5248" s="107"/>
      <c r="G5248" s="22"/>
      <c r="H5248" s="108"/>
      <c r="I5248" s="109"/>
      <c r="J5248" s="108"/>
      <c r="K5248" s="29" t="s">
        <v>5</v>
      </c>
      <c r="L5248" s="39"/>
      <c r="M5248" s="91"/>
      <c r="N5248" s="33">
        <v>46104</v>
      </c>
      <c r="O5248" s="32">
        <v>8003</v>
      </c>
      <c r="P5248" s="14"/>
      <c r="Q5248" s="322"/>
      <c r="U5248" s="14"/>
      <c r="V5248" s="260">
        <v>120</v>
      </c>
      <c r="W5248" s="1136" t="e">
        <f>(((K5248*V5248)-S5248)/(K5248*V5248))</f>
        <v>#VALUE!</v>
      </c>
    </row>
    <row r="5249" spans="1:23" s="7" customFormat="1" ht="18" customHeight="1">
      <c r="B5249" s="12" t="s">
        <v>302</v>
      </c>
      <c r="C5249" s="6" t="s">
        <v>6548</v>
      </c>
      <c r="D5249" s="14" t="s">
        <v>5277</v>
      </c>
      <c r="E5249" s="22" t="s">
        <v>190</v>
      </c>
      <c r="F5249" s="107">
        <v>160</v>
      </c>
      <c r="G5249" s="396" t="s">
        <v>6331</v>
      </c>
      <c r="H5249" s="8">
        <v>50</v>
      </c>
      <c r="I5249" s="35">
        <v>1</v>
      </c>
      <c r="J5249" s="108">
        <f>H5249*I5249</f>
        <v>50</v>
      </c>
      <c r="K5249" s="39">
        <v>5.28</v>
      </c>
      <c r="L5249" s="39">
        <f t="shared" ref="L5249:L5250" si="651">K5249*J5249</f>
        <v>264</v>
      </c>
      <c r="M5249" s="117" t="s">
        <v>322</v>
      </c>
      <c r="N5249" s="33">
        <v>46104</v>
      </c>
      <c r="O5249" s="32">
        <v>8003</v>
      </c>
      <c r="P5249" s="391">
        <f t="shared" ref="P5249" si="652">ROUNDUP(S5249/V5249/VLOOKUP(B5249,$C$2:$F$6,3,FALSE),2)</f>
        <v>4.17</v>
      </c>
      <c r="Q5249" s="322">
        <v>4.17</v>
      </c>
      <c r="R5249" s="322">
        <f t="shared" ref="R5249:R5250" si="653">Q5249*J5249</f>
        <v>208.5</v>
      </c>
      <c r="S5249" s="7">
        <v>440</v>
      </c>
      <c r="T5249" s="7">
        <f t="shared" ref="T5249:T5250" si="654">S5249*J5249</f>
        <v>22000</v>
      </c>
      <c r="U5249" s="21"/>
      <c r="V5249" s="260">
        <v>120</v>
      </c>
      <c r="W5249" s="1136">
        <f t="shared" ref="W5249" si="655">(((K5249*V5249)-S5249)/(K5249*V5249))</f>
        <v>0.30555555555555558</v>
      </c>
    </row>
    <row r="5250" spans="1:23" s="7" customFormat="1" ht="18" customHeight="1">
      <c r="B5250" s="12"/>
      <c r="C5250" s="6" t="s">
        <v>6548</v>
      </c>
      <c r="D5250" s="14" t="s">
        <v>5277</v>
      </c>
      <c r="E5250" s="82"/>
      <c r="F5250" s="102"/>
      <c r="G5250" s="22" t="s">
        <v>316</v>
      </c>
      <c r="H5250" s="8"/>
      <c r="I5250" s="35"/>
      <c r="J5250" s="38">
        <v>1</v>
      </c>
      <c r="K5250" s="39">
        <v>25</v>
      </c>
      <c r="L5250" s="39">
        <f t="shared" si="651"/>
        <v>25</v>
      </c>
      <c r="M5250" s="91"/>
      <c r="N5250" s="33">
        <v>46104</v>
      </c>
      <c r="O5250" s="32">
        <v>8003</v>
      </c>
      <c r="P5250" s="6"/>
      <c r="Q5250" s="322">
        <v>25</v>
      </c>
      <c r="R5250" s="322">
        <f t="shared" si="653"/>
        <v>25</v>
      </c>
      <c r="S5250" s="1388">
        <v>2500</v>
      </c>
      <c r="T5250" s="1388">
        <f t="shared" si="654"/>
        <v>2500</v>
      </c>
      <c r="U5250" s="21"/>
      <c r="V5250" s="260">
        <v>120</v>
      </c>
      <c r="W5250" s="1136">
        <f>(((K5250*V5250)-S5250)/(K5250*V5250))</f>
        <v>0.16666666666666666</v>
      </c>
    </row>
    <row r="5251" spans="1:23" s="191" customFormat="1" ht="15">
      <c r="B5251" s="190"/>
      <c r="C5251" s="179" t="s">
        <v>6548</v>
      </c>
      <c r="D5251" s="180" t="s">
        <v>5277</v>
      </c>
      <c r="E5251" s="181"/>
      <c r="F5251" s="182"/>
      <c r="G5251" s="182" t="s">
        <v>2738</v>
      </c>
      <c r="H5251" s="184" t="s">
        <v>251</v>
      </c>
      <c r="I5251" s="185"/>
      <c r="J5251" s="183"/>
      <c r="K5251" s="192">
        <v>0</v>
      </c>
      <c r="L5251" s="187"/>
      <c r="M5251" s="187"/>
      <c r="N5251" s="187">
        <v>46104</v>
      </c>
      <c r="O5251" s="186">
        <v>8003</v>
      </c>
      <c r="P5251" s="179"/>
      <c r="Q5251" s="255">
        <v>0</v>
      </c>
      <c r="S5251" s="274">
        <v>0</v>
      </c>
      <c r="T5251" s="198">
        <v>0</v>
      </c>
      <c r="U5251" s="271"/>
      <c r="V5251" s="260">
        <v>120</v>
      </c>
    </row>
    <row r="5252" spans="1:23" s="7" customFormat="1" ht="18" customHeight="1">
      <c r="B5252" s="12"/>
      <c r="C5252" s="965"/>
      <c r="D5252" s="14" t="s">
        <v>4193</v>
      </c>
      <c r="E5252" s="19" t="s">
        <v>4645</v>
      </c>
      <c r="F5252" s="22"/>
      <c r="G5252" s="37"/>
      <c r="H5252" s="108"/>
      <c r="I5252" s="108"/>
      <c r="J5252" s="108"/>
      <c r="K5252" s="110" t="s">
        <v>5</v>
      </c>
      <c r="L5252" s="33"/>
      <c r="M5252" s="33"/>
      <c r="N5252" s="1398"/>
      <c r="O5252" s="32"/>
      <c r="P5252" s="6"/>
      <c r="Q5252" s="223"/>
      <c r="S5252" s="1174" t="s">
        <v>330</v>
      </c>
      <c r="T5252" s="92"/>
      <c r="U5252" s="266"/>
      <c r="V5252" s="260">
        <v>120</v>
      </c>
    </row>
    <row r="5253" spans="1:23" s="7" customFormat="1" ht="15.95" customHeight="1">
      <c r="B5253" s="12" t="s">
        <v>300</v>
      </c>
      <c r="C5253" s="965"/>
      <c r="D5253" s="14" t="s">
        <v>4193</v>
      </c>
      <c r="E5253" s="82" t="s">
        <v>4934</v>
      </c>
      <c r="F5253" s="37">
        <v>12</v>
      </c>
      <c r="G5253" s="37" t="s">
        <v>6569</v>
      </c>
      <c r="H5253" s="60">
        <v>30</v>
      </c>
      <c r="I5253" s="61">
        <v>1</v>
      </c>
      <c r="J5253" s="60">
        <f>H5253*I5253</f>
        <v>30</v>
      </c>
      <c r="K5253" s="39">
        <v>0.42</v>
      </c>
      <c r="L5253" s="39">
        <f>K5253*J5253</f>
        <v>12.6</v>
      </c>
      <c r="M5253" s="117" t="s">
        <v>323</v>
      </c>
      <c r="N5253" s="1398"/>
      <c r="O5253" s="32"/>
      <c r="P5253" s="391">
        <f>ROUNDUP(S5253/V5253/VLOOKUP(B5253,$C$2:$F$6,3,FALSE),2)</f>
        <v>0.24000000000000002</v>
      </c>
      <c r="Q5253" s="254">
        <v>0.28999999999999998</v>
      </c>
      <c r="R5253" s="323">
        <f>Q5253*J5253</f>
        <v>8.6999999999999993</v>
      </c>
      <c r="S5253" s="1200">
        <v>20.033300000000001</v>
      </c>
      <c r="T5253" s="92">
        <f>S5253*J5253</f>
        <v>600.99900000000002</v>
      </c>
      <c r="U5253" s="1200"/>
      <c r="V5253" s="260">
        <v>120</v>
      </c>
      <c r="W5253" s="1136">
        <f>(((K5253*V5253)-S5253)/(K5253*V5253))</f>
        <v>0.6025138888888889</v>
      </c>
    </row>
    <row r="5254" spans="1:23" s="7" customFormat="1" ht="18" customHeight="1">
      <c r="B5254" s="12"/>
      <c r="C5254" s="965"/>
      <c r="D5254" s="14" t="s">
        <v>4193</v>
      </c>
      <c r="E5254" s="22"/>
      <c r="F5254" s="102"/>
      <c r="G5254" s="22" t="s">
        <v>316</v>
      </c>
      <c r="H5254" s="8"/>
      <c r="I5254" s="35"/>
      <c r="J5254" s="38">
        <v>1</v>
      </c>
      <c r="K5254" s="39">
        <v>12</v>
      </c>
      <c r="L5254" s="39">
        <f>K5254*J5254</f>
        <v>12</v>
      </c>
      <c r="M5254" s="91"/>
      <c r="N5254" s="1398"/>
      <c r="O5254" s="32"/>
      <c r="P5254" s="6" t="s">
        <v>3</v>
      </c>
      <c r="Q5254" s="39">
        <v>12</v>
      </c>
      <c r="R5254" s="322">
        <f>Q5254*J5254</f>
        <v>12</v>
      </c>
      <c r="S5254" s="1388">
        <v>0</v>
      </c>
      <c r="T5254" s="92">
        <f>S5254*J5254</f>
        <v>0</v>
      </c>
      <c r="U5254" s="21"/>
      <c r="V5254" s="260">
        <v>120</v>
      </c>
      <c r="W5254" s="1136">
        <f>(((K5254*V5254)-S5254)/(K5254*V5254))</f>
        <v>1</v>
      </c>
    </row>
    <row r="5255" spans="1:23" s="191" customFormat="1" ht="15">
      <c r="B5255" s="190"/>
      <c r="C5255" s="966"/>
      <c r="D5255" s="180" t="s">
        <v>4193</v>
      </c>
      <c r="E5255" s="181"/>
      <c r="F5255" s="182"/>
      <c r="G5255" s="182" t="s">
        <v>2738</v>
      </c>
      <c r="H5255" s="184" t="s">
        <v>251</v>
      </c>
      <c r="I5255" s="185"/>
      <c r="J5255" s="183"/>
      <c r="K5255" s="192">
        <v>0</v>
      </c>
      <c r="L5255" s="187"/>
      <c r="M5255" s="187"/>
      <c r="N5255" s="1399"/>
      <c r="O5255" s="186"/>
      <c r="P5255" s="179"/>
      <c r="Q5255" s="203"/>
      <c r="R5255" s="203"/>
      <c r="S5255" s="203"/>
      <c r="T5255" s="203"/>
      <c r="U5255" s="271"/>
      <c r="V5255" s="260">
        <v>120</v>
      </c>
      <c r="W5255" s="1136" t="e">
        <f t="shared" ref="W5255:W5259" si="656">(((K5255*V5255)-S5255)/(K5255*V5255))</f>
        <v>#DIV/0!</v>
      </c>
    </row>
    <row r="5256" spans="1:23" ht="15">
      <c r="C5256" s="6" t="s">
        <v>6572</v>
      </c>
      <c r="D5256" s="14" t="s">
        <v>6571</v>
      </c>
      <c r="E5256" s="19" t="s">
        <v>6573</v>
      </c>
      <c r="F5256" s="107"/>
      <c r="G5256" s="22"/>
      <c r="H5256" s="108"/>
      <c r="I5256" s="109"/>
      <c r="J5256" s="108"/>
      <c r="K5256" s="110" t="s">
        <v>5</v>
      </c>
      <c r="L5256" s="33"/>
      <c r="M5256" s="33"/>
      <c r="N5256" s="33">
        <v>46105</v>
      </c>
      <c r="O5256" s="32">
        <v>8017</v>
      </c>
      <c r="P5256" s="14"/>
      <c r="Q5256" s="254"/>
      <c r="S5256" s="1196"/>
      <c r="T5256" s="92"/>
      <c r="U5256" s="264"/>
      <c r="V5256" s="260">
        <v>120</v>
      </c>
      <c r="W5256" s="1136" t="e">
        <f t="shared" si="656"/>
        <v>#VALUE!</v>
      </c>
    </row>
    <row r="5257" spans="1:23" ht="15.75">
      <c r="B5257" s="12" t="s">
        <v>302</v>
      </c>
      <c r="C5257" s="6" t="s">
        <v>6572</v>
      </c>
      <c r="D5257" s="14" t="s">
        <v>6571</v>
      </c>
      <c r="E5257" s="221" t="s">
        <v>6574</v>
      </c>
      <c r="F5257" s="133">
        <v>160</v>
      </c>
      <c r="G5257" s="396" t="s">
        <v>6575</v>
      </c>
      <c r="H5257" s="18"/>
      <c r="I5257" s="61"/>
      <c r="J5257" s="131">
        <v>10</v>
      </c>
      <c r="K5257" s="322">
        <v>25</v>
      </c>
      <c r="L5257" s="39">
        <f>ROUND(K5257*J5257,3)</f>
        <v>250</v>
      </c>
      <c r="M5257" s="117" t="s">
        <v>323</v>
      </c>
      <c r="N5257" s="33">
        <v>46105</v>
      </c>
      <c r="O5257" s="32">
        <v>8017</v>
      </c>
      <c r="P5257" s="391">
        <f>ROUNDUP(S5257/V5257/VLOOKUP(B5257,$C$2:$F$6,3,FALSE),2)</f>
        <v>22.73</v>
      </c>
      <c r="Q5257" s="254">
        <v>22.73</v>
      </c>
      <c r="R5257" s="323">
        <f>ROUND(Q5257*J5257,2)</f>
        <v>227.3</v>
      </c>
      <c r="S5257" s="273">
        <v>2400</v>
      </c>
      <c r="T5257" s="287">
        <f>S5257*J5257</f>
        <v>24000</v>
      </c>
      <c r="U5257" s="264"/>
      <c r="V5257" s="260">
        <v>120</v>
      </c>
      <c r="W5257" s="1136">
        <f t="shared" si="656"/>
        <v>0.2</v>
      </c>
    </row>
    <row r="5258" spans="1:23" s="7" customFormat="1" ht="18" customHeight="1">
      <c r="B5258" s="12"/>
      <c r="C5258" s="6" t="s">
        <v>6572</v>
      </c>
      <c r="D5258" s="14" t="s">
        <v>6571</v>
      </c>
      <c r="E5258" s="22"/>
      <c r="F5258" s="102"/>
      <c r="G5258" s="22" t="s">
        <v>316</v>
      </c>
      <c r="H5258" s="8"/>
      <c r="I5258" s="35"/>
      <c r="J5258" s="38">
        <v>1</v>
      </c>
      <c r="K5258" s="39">
        <v>12</v>
      </c>
      <c r="L5258" s="39">
        <f>K5258*J5258</f>
        <v>12</v>
      </c>
      <c r="M5258" s="91"/>
      <c r="N5258" s="33">
        <v>46105</v>
      </c>
      <c r="O5258" s="32">
        <v>8017</v>
      </c>
      <c r="P5258" s="6" t="s">
        <v>3</v>
      </c>
      <c r="Q5258" s="39">
        <v>12</v>
      </c>
      <c r="R5258" s="322">
        <f>Q5258*J5258</f>
        <v>12</v>
      </c>
      <c r="S5258" s="7">
        <f>1000+500</f>
        <v>1500</v>
      </c>
      <c r="T5258" s="92">
        <f>S5258*J5258</f>
        <v>1500</v>
      </c>
      <c r="U5258" s="21"/>
      <c r="V5258" s="260">
        <v>120</v>
      </c>
      <c r="W5258" s="1136">
        <f>(((K5258*V5258)-S5258)/(K5258*V5258))</f>
        <v>-4.1666666666666664E-2</v>
      </c>
    </row>
    <row r="5259" spans="1:23" s="191" customFormat="1" ht="15">
      <c r="A5259" s="1"/>
      <c r="B5259" s="190"/>
      <c r="C5259" s="179" t="s">
        <v>6572</v>
      </c>
      <c r="D5259" s="180" t="s">
        <v>6571</v>
      </c>
      <c r="E5259" s="181"/>
      <c r="F5259" s="182"/>
      <c r="G5259" s="182" t="s">
        <v>250</v>
      </c>
      <c r="H5259" s="184" t="s">
        <v>251</v>
      </c>
      <c r="I5259" s="185"/>
      <c r="J5259" s="183"/>
      <c r="K5259" s="192">
        <v>0</v>
      </c>
      <c r="L5259" s="187"/>
      <c r="M5259" s="187"/>
      <c r="N5259" s="187">
        <v>46105</v>
      </c>
      <c r="O5259" s="186">
        <v>8017</v>
      </c>
      <c r="P5259" s="179"/>
      <c r="Q5259" s="255">
        <v>0</v>
      </c>
      <c r="S5259" s="275">
        <v>0</v>
      </c>
      <c r="T5259" s="198">
        <v>0</v>
      </c>
      <c r="U5259" s="271"/>
      <c r="V5259" s="260">
        <v>120</v>
      </c>
      <c r="W5259" s="1136" t="e">
        <f t="shared" si="656"/>
        <v>#DIV/0!</v>
      </c>
    </row>
    <row r="5260" spans="1:23" s="7" customFormat="1" ht="18" customHeight="1">
      <c r="B5260" s="12"/>
      <c r="C5260" s="965" t="s">
        <v>6580</v>
      </c>
      <c r="D5260" s="14" t="s">
        <v>3112</v>
      </c>
      <c r="E5260" s="19" t="s">
        <v>4645</v>
      </c>
      <c r="F5260" s="22"/>
      <c r="G5260" s="37"/>
      <c r="H5260" s="108"/>
      <c r="I5260" s="108"/>
      <c r="J5260" s="108"/>
      <c r="K5260" s="110" t="s">
        <v>5</v>
      </c>
      <c r="L5260" s="33"/>
      <c r="M5260" s="33"/>
      <c r="N5260" s="1398">
        <v>46106</v>
      </c>
      <c r="O5260" s="32">
        <v>8016</v>
      </c>
      <c r="P5260" s="6"/>
      <c r="Q5260" s="223"/>
      <c r="S5260" s="1174" t="s">
        <v>330</v>
      </c>
      <c r="T5260" s="92"/>
      <c r="U5260" s="266"/>
      <c r="V5260" s="260">
        <v>120</v>
      </c>
    </row>
    <row r="5261" spans="1:23" s="7" customFormat="1" ht="15.95" customHeight="1">
      <c r="B5261" s="12" t="s">
        <v>300</v>
      </c>
      <c r="C5261" s="965" t="s">
        <v>6580</v>
      </c>
      <c r="D5261" s="14" t="s">
        <v>3112</v>
      </c>
      <c r="E5261" s="22" t="s">
        <v>4934</v>
      </c>
      <c r="F5261" s="37">
        <v>12</v>
      </c>
      <c r="G5261" s="37" t="s">
        <v>6581</v>
      </c>
      <c r="H5261" s="60">
        <v>30</v>
      </c>
      <c r="I5261" s="61">
        <v>10</v>
      </c>
      <c r="J5261" s="60">
        <f>H5261*I5261</f>
        <v>300</v>
      </c>
      <c r="K5261" s="39">
        <v>0.42</v>
      </c>
      <c r="L5261" s="39">
        <f>K5261*J5261</f>
        <v>126</v>
      </c>
      <c r="M5261" s="117" t="s">
        <v>323</v>
      </c>
      <c r="N5261" s="1398">
        <v>46106</v>
      </c>
      <c r="O5261" s="32">
        <v>8016</v>
      </c>
      <c r="P5261" s="391">
        <f>ROUNDUP(S5261/V5261/VLOOKUP(B5261,$C$2:$F$6,3,FALSE),2)</f>
        <v>0.24000000000000002</v>
      </c>
      <c r="Q5261" s="254">
        <v>0.24</v>
      </c>
      <c r="R5261" s="323">
        <f>Q5261*J5261</f>
        <v>72</v>
      </c>
      <c r="S5261" s="1200">
        <v>20.033300000000001</v>
      </c>
      <c r="T5261" s="92">
        <f>S5261*J5261</f>
        <v>6009.99</v>
      </c>
      <c r="U5261" s="1200"/>
      <c r="V5261" s="260">
        <v>120</v>
      </c>
      <c r="W5261" s="1136">
        <f>(((K5261*V5261)-S5261)/(K5261*V5261))</f>
        <v>0.6025138888888889</v>
      </c>
    </row>
    <row r="5262" spans="1:23" s="7" customFormat="1" ht="18" customHeight="1">
      <c r="B5262" s="12"/>
      <c r="C5262" s="965" t="s">
        <v>6580</v>
      </c>
      <c r="D5262" s="14" t="s">
        <v>3112</v>
      </c>
      <c r="E5262" s="22"/>
      <c r="F5262" s="102"/>
      <c r="G5262" s="22" t="s">
        <v>316</v>
      </c>
      <c r="H5262" s="8"/>
      <c r="I5262" s="35"/>
      <c r="J5262" s="38">
        <v>1</v>
      </c>
      <c r="K5262" s="39">
        <v>12</v>
      </c>
      <c r="L5262" s="39">
        <f>K5262*J5262</f>
        <v>12</v>
      </c>
      <c r="M5262" s="91"/>
      <c r="N5262" s="1398">
        <v>46106</v>
      </c>
      <c r="O5262" s="32">
        <v>8016</v>
      </c>
      <c r="P5262" s="6" t="s">
        <v>3</v>
      </c>
      <c r="Q5262" s="39">
        <v>12</v>
      </c>
      <c r="R5262" s="322">
        <f>Q5262*J5262</f>
        <v>12</v>
      </c>
      <c r="S5262" s="1388">
        <v>0</v>
      </c>
      <c r="T5262" s="92">
        <f>S5262*J5262</f>
        <v>0</v>
      </c>
      <c r="U5262" s="21"/>
      <c r="V5262" s="260">
        <v>120</v>
      </c>
      <c r="W5262" s="1136">
        <f>(((K5262*V5262)-S5262)/(K5262*V5262))</f>
        <v>1</v>
      </c>
    </row>
    <row r="5263" spans="1:23" s="191" customFormat="1" ht="15">
      <c r="B5263" s="190"/>
      <c r="C5263" s="966" t="s">
        <v>6580</v>
      </c>
      <c r="D5263" s="180" t="s">
        <v>3112</v>
      </c>
      <c r="E5263" s="181"/>
      <c r="F5263" s="182"/>
      <c r="G5263" s="182" t="s">
        <v>2738</v>
      </c>
      <c r="H5263" s="184" t="s">
        <v>251</v>
      </c>
      <c r="I5263" s="185"/>
      <c r="J5263" s="183"/>
      <c r="K5263" s="192">
        <v>0</v>
      </c>
      <c r="L5263" s="187"/>
      <c r="M5263" s="187"/>
      <c r="N5263" s="1399">
        <v>46106</v>
      </c>
      <c r="O5263" s="186">
        <v>8016</v>
      </c>
      <c r="P5263" s="179"/>
      <c r="Q5263" s="203"/>
      <c r="R5263" s="203"/>
      <c r="S5263" s="203"/>
      <c r="T5263" s="203"/>
      <c r="U5263" s="271"/>
      <c r="V5263" s="260">
        <v>120</v>
      </c>
      <c r="W5263" s="1136" t="e">
        <f t="shared" ref="W5263" si="657">(((K5263*V5263)-S5263)/(K5263*V5263))</f>
        <v>#DIV/0!</v>
      </c>
    </row>
    <row r="5264" spans="1:23" s="7" customFormat="1" ht="18" customHeight="1">
      <c r="B5264" s="12"/>
      <c r="C5264" s="6" t="s">
        <v>6584</v>
      </c>
      <c r="D5264" s="14" t="s">
        <v>5801</v>
      </c>
      <c r="E5264" s="19" t="s">
        <v>2358</v>
      </c>
      <c r="F5264" s="24"/>
      <c r="G5264" s="22"/>
      <c r="H5264" s="60"/>
      <c r="I5264" s="61"/>
      <c r="J5264" s="60"/>
      <c r="K5264" s="16" t="s">
        <v>5</v>
      </c>
      <c r="L5264" s="139"/>
      <c r="M5264" s="33"/>
      <c r="N5264" s="33">
        <v>46107</v>
      </c>
      <c r="O5264" s="32">
        <v>7866</v>
      </c>
      <c r="P5264" s="6" t="s">
        <v>3</v>
      </c>
      <c r="Q5264" s="358"/>
      <c r="S5264" s="1434"/>
      <c r="U5264" s="120"/>
      <c r="V5264" s="260">
        <v>120</v>
      </c>
    </row>
    <row r="5265" spans="2:23" s="7" customFormat="1" ht="18" customHeight="1">
      <c r="B5265" s="12" t="s">
        <v>300</v>
      </c>
      <c r="C5265" s="6" t="s">
        <v>6584</v>
      </c>
      <c r="D5265" s="14" t="s">
        <v>5801</v>
      </c>
      <c r="E5265" s="22" t="s">
        <v>5802</v>
      </c>
      <c r="F5265" s="24"/>
      <c r="G5265" s="22" t="s">
        <v>5318</v>
      </c>
      <c r="H5265" s="108"/>
      <c r="I5265" s="109"/>
      <c r="J5265" s="8">
        <v>50</v>
      </c>
      <c r="K5265" s="39">
        <v>2.08</v>
      </c>
      <c r="L5265" s="39">
        <f>K5265*J5265</f>
        <v>104</v>
      </c>
      <c r="M5265" s="117" t="s">
        <v>323</v>
      </c>
      <c r="N5265" s="33">
        <v>46107</v>
      </c>
      <c r="O5265" s="32">
        <v>7866</v>
      </c>
      <c r="P5265" s="391">
        <f>ROUNDUP(S5265/V5265/VLOOKUP(B5265,$C$2:$F$6,3,FALSE),2)</f>
        <v>1.34</v>
      </c>
      <c r="Q5265" s="322">
        <v>1.34</v>
      </c>
      <c r="R5265" s="322">
        <f>Q5265*J5265</f>
        <v>67</v>
      </c>
      <c r="S5265" s="7">
        <v>112</v>
      </c>
      <c r="T5265" s="7">
        <f>S5265*J5265</f>
        <v>5600</v>
      </c>
      <c r="U5265" s="386"/>
      <c r="V5265" s="260">
        <v>120</v>
      </c>
      <c r="W5265" s="1136">
        <f t="shared" ref="W5265:W5266" si="658">(((K5265*V5265)-S5265)/(K5265*V5265))</f>
        <v>0.55128205128205132</v>
      </c>
    </row>
    <row r="5266" spans="2:23" s="7" customFormat="1" ht="18" customHeight="1">
      <c r="B5266" s="12"/>
      <c r="C5266" s="6" t="s">
        <v>6584</v>
      </c>
      <c r="D5266" s="14" t="s">
        <v>5801</v>
      </c>
      <c r="E5266" s="49"/>
      <c r="F5266" s="102"/>
      <c r="G5266" s="22" t="s">
        <v>316</v>
      </c>
      <c r="H5266" s="8"/>
      <c r="I5266" s="35"/>
      <c r="J5266" s="38">
        <v>1</v>
      </c>
      <c r="K5266" s="39">
        <v>12</v>
      </c>
      <c r="L5266" s="39">
        <f>K5266*J5266</f>
        <v>12</v>
      </c>
      <c r="M5266" s="91"/>
      <c r="N5266" s="33">
        <v>46107</v>
      </c>
      <c r="O5266" s="32">
        <v>7866</v>
      </c>
      <c r="P5266" s="6" t="s">
        <v>3</v>
      </c>
      <c r="Q5266" s="39">
        <v>12</v>
      </c>
      <c r="R5266" s="322">
        <f>Q5266*J5266</f>
        <v>12</v>
      </c>
      <c r="S5266" s="1388">
        <v>900</v>
      </c>
      <c r="T5266" s="7">
        <f>S5266*J5266</f>
        <v>900</v>
      </c>
      <c r="U5266" s="21"/>
      <c r="V5266" s="260">
        <v>120</v>
      </c>
      <c r="W5266" s="1136">
        <f t="shared" si="658"/>
        <v>0.375</v>
      </c>
    </row>
    <row r="5267" spans="2:23" s="191" customFormat="1" ht="18" customHeight="1">
      <c r="B5267" s="190"/>
      <c r="C5267" s="179" t="s">
        <v>6584</v>
      </c>
      <c r="D5267" s="180" t="s">
        <v>5801</v>
      </c>
      <c r="E5267" s="217"/>
      <c r="F5267" s="182"/>
      <c r="G5267" s="182" t="s">
        <v>250</v>
      </c>
      <c r="H5267" s="184" t="s">
        <v>374</v>
      </c>
      <c r="I5267" s="185"/>
      <c r="J5267" s="183"/>
      <c r="K5267" s="1535">
        <v>37</v>
      </c>
      <c r="L5267" s="1535">
        <v>37</v>
      </c>
      <c r="M5267" s="1717"/>
      <c r="N5267" s="187">
        <v>46107</v>
      </c>
      <c r="O5267" s="186">
        <v>7866</v>
      </c>
      <c r="P5267" s="1718"/>
      <c r="Q5267" s="1535">
        <v>37</v>
      </c>
      <c r="R5267" s="1535">
        <v>37</v>
      </c>
      <c r="S5267" s="1764">
        <v>3674</v>
      </c>
      <c r="T5267" s="1764">
        <v>3674</v>
      </c>
      <c r="U5267" s="271"/>
      <c r="V5267" s="260">
        <v>120</v>
      </c>
      <c r="W5267" s="1136">
        <f t="shared" ref="W5267" si="659">(((K5267*V5267)-S5267)/(K5267*V5267))</f>
        <v>0.17252252252252251</v>
      </c>
    </row>
    <row r="5268" spans="2:23" s="7" customFormat="1" ht="15" customHeight="1">
      <c r="B5268" s="12"/>
      <c r="C5268" s="6" t="s">
        <v>6588</v>
      </c>
      <c r="D5268" s="14" t="s">
        <v>6589</v>
      </c>
      <c r="E5268" s="19" t="s">
        <v>6591</v>
      </c>
      <c r="F5268" s="107"/>
      <c r="G5268" s="22"/>
      <c r="H5268" s="108"/>
      <c r="I5268" s="109"/>
      <c r="J5268" s="108"/>
      <c r="K5268" s="29" t="s">
        <v>5</v>
      </c>
      <c r="L5268" s="39"/>
      <c r="M5268" s="91"/>
      <c r="N5268" s="33">
        <v>46111</v>
      </c>
      <c r="O5268" s="32">
        <v>8028</v>
      </c>
      <c r="P5268" s="14"/>
      <c r="Q5268" s="322"/>
      <c r="S5268" s="1466"/>
      <c r="U5268" s="14"/>
      <c r="V5268" s="384">
        <v>120</v>
      </c>
    </row>
    <row r="5269" spans="2:23" s="7" customFormat="1" ht="18" customHeight="1">
      <c r="B5269" s="12" t="s">
        <v>302</v>
      </c>
      <c r="C5269" s="6" t="s">
        <v>6588</v>
      </c>
      <c r="D5269" s="14" t="s">
        <v>6589</v>
      </c>
      <c r="E5269" s="49" t="s">
        <v>6590</v>
      </c>
      <c r="F5269" s="107">
        <v>160</v>
      </c>
      <c r="G5269" s="396" t="s">
        <v>6592</v>
      </c>
      <c r="H5269" s="108"/>
      <c r="I5269" s="109"/>
      <c r="J5269" s="18">
        <v>3</v>
      </c>
      <c r="K5269" s="39">
        <v>19.05</v>
      </c>
      <c r="L5269" s="39">
        <f>K5269*J5269</f>
        <v>57.150000000000006</v>
      </c>
      <c r="M5269" s="117" t="s">
        <v>323</v>
      </c>
      <c r="N5269" s="33">
        <v>46111</v>
      </c>
      <c r="O5269" s="32">
        <v>8028</v>
      </c>
      <c r="P5269" s="391">
        <f>ROUNDUP(S5269/V5269/VLOOKUP(B5269,$C$2:$F$6,3,FALSE),2)</f>
        <v>12.99</v>
      </c>
      <c r="Q5269" s="322">
        <v>16.239999999999998</v>
      </c>
      <c r="R5269" s="322">
        <f>Q5269*J5269</f>
        <v>48.72</v>
      </c>
      <c r="S5269" s="92">
        <v>1600</v>
      </c>
      <c r="T5269" s="7">
        <f>S5269*J5269</f>
        <v>4800</v>
      </c>
      <c r="U5269" s="21"/>
      <c r="V5269" s="260">
        <v>140</v>
      </c>
      <c r="W5269" s="1136">
        <f t="shared" ref="W5269:W5271" si="660">(((K5269*V5269)-S5269)/(K5269*V5269))</f>
        <v>0.40007499062617174</v>
      </c>
    </row>
    <row r="5270" spans="2:23" s="7" customFormat="1" ht="18" customHeight="1">
      <c r="B5270" s="12"/>
      <c r="C5270" s="6" t="s">
        <v>6588</v>
      </c>
      <c r="D5270" s="14" t="s">
        <v>6589</v>
      </c>
      <c r="E5270" s="49"/>
      <c r="F5270" s="102"/>
      <c r="G5270" s="22" t="s">
        <v>316</v>
      </c>
      <c r="H5270" s="8"/>
      <c r="I5270" s="35"/>
      <c r="J5270" s="38">
        <v>1</v>
      </c>
      <c r="K5270" s="39">
        <v>0</v>
      </c>
      <c r="L5270" s="39">
        <f>K5270*J5270</f>
        <v>0</v>
      </c>
      <c r="M5270" s="91"/>
      <c r="N5270" s="33">
        <v>46111</v>
      </c>
      <c r="O5270" s="32">
        <v>8028</v>
      </c>
      <c r="P5270" s="6" t="s">
        <v>3</v>
      </c>
      <c r="Q5270" s="39">
        <v>0</v>
      </c>
      <c r="R5270" s="322">
        <f>Q5270*J5270</f>
        <v>0</v>
      </c>
      <c r="S5270" s="1388">
        <v>1500</v>
      </c>
      <c r="T5270" s="7">
        <f>S5270*J5270</f>
        <v>1500</v>
      </c>
      <c r="U5270" s="21"/>
      <c r="V5270" s="260">
        <v>120</v>
      </c>
      <c r="W5270" s="1136" t="e">
        <f t="shared" si="660"/>
        <v>#DIV/0!</v>
      </c>
    </row>
    <row r="5271" spans="2:23" s="191" customFormat="1" ht="18" customHeight="1">
      <c r="B5271" s="190"/>
      <c r="C5271" s="179" t="s">
        <v>6588</v>
      </c>
      <c r="D5271" s="180" t="s">
        <v>6589</v>
      </c>
      <c r="E5271" s="181"/>
      <c r="F5271" s="622"/>
      <c r="G5271" s="182" t="s">
        <v>250</v>
      </c>
      <c r="H5271" s="184" t="s">
        <v>251</v>
      </c>
      <c r="I5271" s="185"/>
      <c r="J5271" s="183"/>
      <c r="K5271" s="192">
        <v>0</v>
      </c>
      <c r="L5271" s="187"/>
      <c r="M5271" s="1310"/>
      <c r="N5271" s="187">
        <v>46111</v>
      </c>
      <c r="O5271" s="186">
        <v>8028</v>
      </c>
      <c r="P5271" s="179"/>
      <c r="Q5271" s="255">
        <v>0</v>
      </c>
      <c r="R5271" s="322">
        <v>0</v>
      </c>
      <c r="S5271" s="275">
        <v>0</v>
      </c>
      <c r="T5271" s="198">
        <v>0</v>
      </c>
      <c r="U5271" s="271"/>
      <c r="V5271" s="260">
        <v>140</v>
      </c>
      <c r="W5271" s="1136" t="e">
        <f t="shared" si="660"/>
        <v>#DIV/0!</v>
      </c>
    </row>
    <row r="5272" spans="2:23" s="7" customFormat="1" ht="18" customHeight="1">
      <c r="B5272" s="12"/>
      <c r="C5272" s="965" t="s">
        <v>6598</v>
      </c>
      <c r="D5272" s="14" t="s">
        <v>4193</v>
      </c>
      <c r="E5272" s="19" t="s">
        <v>5992</v>
      </c>
      <c r="F5272" s="22"/>
      <c r="G5272" s="37"/>
      <c r="H5272" s="108"/>
      <c r="I5272" s="108"/>
      <c r="J5272" s="108"/>
      <c r="K5272" s="110" t="s">
        <v>5</v>
      </c>
      <c r="L5272" s="33"/>
      <c r="M5272" s="33"/>
      <c r="N5272" s="1398">
        <v>46111</v>
      </c>
      <c r="O5272" s="32">
        <v>8027</v>
      </c>
      <c r="P5272" s="6"/>
      <c r="Q5272" s="223"/>
      <c r="S5272" s="1174"/>
      <c r="T5272" s="92"/>
      <c r="U5272" s="266"/>
      <c r="V5272" s="260">
        <v>120</v>
      </c>
    </row>
    <row r="5273" spans="2:23" s="7" customFormat="1" ht="15.95" customHeight="1">
      <c r="B5273" s="12" t="s">
        <v>300</v>
      </c>
      <c r="C5273" s="965" t="s">
        <v>6598</v>
      </c>
      <c r="D5273" s="14" t="s">
        <v>4193</v>
      </c>
      <c r="E5273" s="22" t="s">
        <v>6593</v>
      </c>
      <c r="F5273" s="37" t="s">
        <v>6594</v>
      </c>
      <c r="G5273" s="37" t="s">
        <v>6595</v>
      </c>
      <c r="H5273" s="60">
        <v>50</v>
      </c>
      <c r="I5273" s="61">
        <v>1</v>
      </c>
      <c r="J5273" s="60">
        <f>H5273*I5273</f>
        <v>50</v>
      </c>
      <c r="K5273" s="39">
        <v>1.18</v>
      </c>
      <c r="L5273" s="39">
        <f>K5273*J5273</f>
        <v>59</v>
      </c>
      <c r="M5273" s="117" t="s">
        <v>323</v>
      </c>
      <c r="N5273" s="1398">
        <v>46111</v>
      </c>
      <c r="O5273" s="32">
        <v>8027</v>
      </c>
      <c r="P5273" s="391">
        <f>ROUNDUP(S5273/V5273/VLOOKUP(B5273,$C$2:$F$6,3,FALSE),2)</f>
        <v>0.68</v>
      </c>
      <c r="Q5273" s="254">
        <v>0.68</v>
      </c>
      <c r="R5273" s="323">
        <f>Q5273*J5273</f>
        <v>34</v>
      </c>
      <c r="S5273" s="1200">
        <v>56.5</v>
      </c>
      <c r="T5273" s="92">
        <f>S5273*J5273</f>
        <v>2825</v>
      </c>
      <c r="U5273" s="1200"/>
      <c r="V5273" s="260">
        <v>120</v>
      </c>
      <c r="W5273" s="1136">
        <f>(((K5273*V5273)-S5273)/(K5273*V5273))</f>
        <v>0.60098870056497178</v>
      </c>
    </row>
    <row r="5274" spans="2:23" s="7" customFormat="1" ht="15.95" customHeight="1">
      <c r="B5274" s="12" t="s">
        <v>300</v>
      </c>
      <c r="C5274" s="965" t="s">
        <v>6598</v>
      </c>
      <c r="D5274" s="14" t="s">
        <v>4193</v>
      </c>
      <c r="E5274" s="22" t="s">
        <v>6593</v>
      </c>
      <c r="F5274" s="37" t="s">
        <v>6594</v>
      </c>
      <c r="G5274" s="37" t="s">
        <v>6596</v>
      </c>
      <c r="H5274" s="60">
        <v>50</v>
      </c>
      <c r="I5274" s="61">
        <v>1</v>
      </c>
      <c r="J5274" s="60">
        <f>H5274*I5274</f>
        <v>50</v>
      </c>
      <c r="K5274" s="39">
        <v>1.18</v>
      </c>
      <c r="L5274" s="39">
        <f>K5274*J5274</f>
        <v>59</v>
      </c>
      <c r="M5274" s="117" t="s">
        <v>323</v>
      </c>
      <c r="N5274" s="1398">
        <v>46111</v>
      </c>
      <c r="O5274" s="32">
        <v>8027</v>
      </c>
      <c r="P5274" s="391">
        <f>ROUNDUP(S5274/V5274/VLOOKUP(B5274,$C$2:$F$6,3,FALSE),2)</f>
        <v>0.68</v>
      </c>
      <c r="Q5274" s="254">
        <v>0.68</v>
      </c>
      <c r="R5274" s="323">
        <f>Q5274*J5274</f>
        <v>34</v>
      </c>
      <c r="S5274" s="1200">
        <v>56.5</v>
      </c>
      <c r="T5274" s="92">
        <f>S5274*J5274</f>
        <v>2825</v>
      </c>
      <c r="U5274" s="1200"/>
      <c r="V5274" s="260">
        <v>120</v>
      </c>
      <c r="W5274" s="1136">
        <f>(((K5274*V5274)-S5274)/(K5274*V5274))</f>
        <v>0.60098870056497178</v>
      </c>
    </row>
    <row r="5275" spans="2:23" s="7" customFormat="1" ht="18" customHeight="1">
      <c r="B5275" s="12"/>
      <c r="C5275" s="965" t="s">
        <v>6598</v>
      </c>
      <c r="D5275" s="14" t="s">
        <v>4193</v>
      </c>
      <c r="E5275" s="22"/>
      <c r="F5275" s="102"/>
      <c r="G5275" s="22" t="s">
        <v>316</v>
      </c>
      <c r="H5275" s="8"/>
      <c r="I5275" s="35"/>
      <c r="J5275" s="38">
        <v>1</v>
      </c>
      <c r="K5275" s="39">
        <v>12</v>
      </c>
      <c r="L5275" s="39">
        <f>K5275*J5275</f>
        <v>12</v>
      </c>
      <c r="M5275" s="91"/>
      <c r="N5275" s="1398">
        <v>46111</v>
      </c>
      <c r="O5275" s="32">
        <v>8027</v>
      </c>
      <c r="P5275" s="6" t="s">
        <v>3</v>
      </c>
      <c r="Q5275" s="39">
        <v>12</v>
      </c>
      <c r="R5275" s="322">
        <f>Q5275*J5275</f>
        <v>12</v>
      </c>
      <c r="S5275" s="7">
        <v>1000</v>
      </c>
      <c r="T5275" s="92">
        <f>S5275*J5275</f>
        <v>1000</v>
      </c>
      <c r="U5275" s="21"/>
      <c r="V5275" s="260">
        <v>120</v>
      </c>
      <c r="W5275" s="1136">
        <f>(((K5275*V5275)-S5275)/(K5275*V5275))</f>
        <v>0.30555555555555558</v>
      </c>
    </row>
    <row r="5276" spans="2:23" s="191" customFormat="1" ht="15">
      <c r="B5276" s="190"/>
      <c r="C5276" s="966" t="s">
        <v>6598</v>
      </c>
      <c r="D5276" s="180" t="s">
        <v>4193</v>
      </c>
      <c r="E5276" s="181"/>
      <c r="F5276" s="182"/>
      <c r="G5276" s="182" t="s">
        <v>2738</v>
      </c>
      <c r="H5276" s="184" t="s">
        <v>251</v>
      </c>
      <c r="I5276" s="185"/>
      <c r="J5276" s="183"/>
      <c r="K5276" s="192">
        <v>0</v>
      </c>
      <c r="L5276" s="187"/>
      <c r="M5276" s="187"/>
      <c r="N5276" s="1399">
        <v>46111</v>
      </c>
      <c r="O5276" s="186">
        <v>8027</v>
      </c>
      <c r="P5276" s="179"/>
      <c r="Q5276" s="203"/>
      <c r="R5276" s="203"/>
      <c r="S5276" s="203"/>
      <c r="T5276" s="203"/>
      <c r="U5276" s="271"/>
      <c r="V5276" s="260">
        <v>120</v>
      </c>
      <c r="W5276" s="1136" t="e">
        <f t="shared" ref="W5276" si="661">(((K5276*V5276)-S5276)/(K5276*V5276))</f>
        <v>#DIV/0!</v>
      </c>
    </row>
    <row r="5277" spans="2:23" s="7" customFormat="1" ht="18" customHeight="1">
      <c r="B5277" s="12"/>
      <c r="C5277" s="6" t="s">
        <v>6599</v>
      </c>
      <c r="D5277" s="14" t="s">
        <v>6603</v>
      </c>
      <c r="E5277" s="19" t="s">
        <v>10</v>
      </c>
      <c r="F5277" s="107"/>
      <c r="G5277" s="22"/>
      <c r="H5277" s="108"/>
      <c r="I5277" s="109"/>
      <c r="J5277" s="108"/>
      <c r="K5277" s="29" t="s">
        <v>5</v>
      </c>
      <c r="L5277" s="39"/>
      <c r="M5277" s="91"/>
      <c r="N5277" s="33"/>
      <c r="O5277" s="32"/>
      <c r="P5277" s="14"/>
      <c r="Q5277" s="322"/>
      <c r="U5277" s="14"/>
      <c r="V5277" s="260">
        <v>120</v>
      </c>
      <c r="W5277" s="1136" t="e">
        <f>(((K5277*V5277)-S5277)/(K5277*V5277))</f>
        <v>#VALUE!</v>
      </c>
    </row>
    <row r="5278" spans="2:23" s="7" customFormat="1" ht="18" customHeight="1">
      <c r="B5278" s="12" t="s">
        <v>302</v>
      </c>
      <c r="C5278" s="6" t="s">
        <v>6599</v>
      </c>
      <c r="D5278" s="14" t="s">
        <v>6603</v>
      </c>
      <c r="E5278" s="82" t="s">
        <v>190</v>
      </c>
      <c r="F5278" s="107">
        <v>160</v>
      </c>
      <c r="G5278" s="396" t="s">
        <v>6601</v>
      </c>
      <c r="H5278" s="8"/>
      <c r="I5278" s="35"/>
      <c r="J5278" s="108">
        <v>9</v>
      </c>
      <c r="K5278" s="39">
        <v>5.28</v>
      </c>
      <c r="L5278" s="39">
        <f t="shared" ref="L5278:L5281" si="662">K5278*J5278</f>
        <v>47.52</v>
      </c>
      <c r="M5278" s="117" t="s">
        <v>322</v>
      </c>
      <c r="N5278" s="33"/>
      <c r="O5278" s="32"/>
      <c r="P5278" s="391">
        <f t="shared" ref="P5278" si="663">ROUNDUP(S5278/V5278/VLOOKUP(B5278,$C$2:$F$6,3,FALSE),2)</f>
        <v>4.17</v>
      </c>
      <c r="Q5278" s="322">
        <v>4.17</v>
      </c>
      <c r="R5278" s="322">
        <f t="shared" ref="R5278:R5281" si="664">Q5278*J5278</f>
        <v>37.53</v>
      </c>
      <c r="S5278" s="7">
        <v>440</v>
      </c>
      <c r="T5278" s="7">
        <f t="shared" ref="T5278:T5281" si="665">S5278*J5278</f>
        <v>3960</v>
      </c>
      <c r="U5278" s="21"/>
      <c r="V5278" s="260">
        <v>120</v>
      </c>
      <c r="W5278" s="1136">
        <f t="shared" ref="W5278" si="666">(((K5278*V5278)-S5278)/(K5278*V5278))</f>
        <v>0.30555555555555558</v>
      </c>
    </row>
    <row r="5279" spans="2:23" s="7" customFormat="1" ht="18" customHeight="1">
      <c r="B5279" s="12" t="s">
        <v>302</v>
      </c>
      <c r="C5279" s="6" t="s">
        <v>6599</v>
      </c>
      <c r="D5279" s="14" t="s">
        <v>6603</v>
      </c>
      <c r="E5279" s="82" t="s">
        <v>190</v>
      </c>
      <c r="F5279" s="107">
        <v>160</v>
      </c>
      <c r="G5279" s="396" t="s">
        <v>6600</v>
      </c>
      <c r="H5279" s="8"/>
      <c r="I5279" s="35"/>
      <c r="J5279" s="108">
        <v>16</v>
      </c>
      <c r="K5279" s="39">
        <v>5.28</v>
      </c>
      <c r="L5279" s="39">
        <f t="shared" ref="L5279:L5280" si="667">K5279*J5279</f>
        <v>84.48</v>
      </c>
      <c r="M5279" s="117" t="s">
        <v>322</v>
      </c>
      <c r="N5279" s="33"/>
      <c r="O5279" s="32"/>
      <c r="P5279" s="391">
        <f t="shared" ref="P5279" si="668">ROUNDUP(S5279/V5279/VLOOKUP(B5279,$C$2:$F$6,3,FALSE),2)</f>
        <v>4.17</v>
      </c>
      <c r="Q5279" s="322">
        <v>4.17</v>
      </c>
      <c r="R5279" s="322">
        <f t="shared" ref="R5279:R5280" si="669">Q5279*J5279</f>
        <v>66.72</v>
      </c>
      <c r="S5279" s="7">
        <v>440</v>
      </c>
      <c r="T5279" s="7">
        <f t="shared" ref="T5279:T5280" si="670">S5279*J5279</f>
        <v>7040</v>
      </c>
      <c r="U5279" s="21"/>
      <c r="V5279" s="260">
        <v>120</v>
      </c>
      <c r="W5279" s="1136">
        <f t="shared" ref="W5279" si="671">(((K5279*V5279)-S5279)/(K5279*V5279))</f>
        <v>0.30555555555555558</v>
      </c>
    </row>
    <row r="5280" spans="2:23" s="7" customFormat="1" ht="18" customHeight="1">
      <c r="B5280" s="12"/>
      <c r="C5280" s="6" t="s">
        <v>6599</v>
      </c>
      <c r="D5280" s="14" t="s">
        <v>6603</v>
      </c>
      <c r="E5280" s="82"/>
      <c r="F5280" s="102"/>
      <c r="G5280" s="22" t="s">
        <v>6602</v>
      </c>
      <c r="H5280" s="8"/>
      <c r="I5280" s="35"/>
      <c r="J5280" s="38">
        <v>2</v>
      </c>
      <c r="K5280" s="39">
        <v>15</v>
      </c>
      <c r="L5280" s="39">
        <f t="shared" si="667"/>
        <v>30</v>
      </c>
      <c r="M5280" s="91"/>
      <c r="N5280" s="33"/>
      <c r="O5280" s="32"/>
      <c r="P5280" s="6"/>
      <c r="Q5280" s="322">
        <v>15</v>
      </c>
      <c r="R5280" s="322">
        <f t="shared" si="669"/>
        <v>30</v>
      </c>
      <c r="S5280" s="1388">
        <v>1000</v>
      </c>
      <c r="T5280" s="1388">
        <f t="shared" si="670"/>
        <v>2000</v>
      </c>
      <c r="U5280" s="21"/>
      <c r="V5280" s="260">
        <v>120</v>
      </c>
      <c r="W5280" s="1136">
        <f>(((K5280*V5280)-S5280)/(K5280*V5280))</f>
        <v>0.44444444444444442</v>
      </c>
    </row>
    <row r="5281" spans="1:23" s="7" customFormat="1" ht="18" customHeight="1">
      <c r="B5281" s="12"/>
      <c r="C5281" s="6" t="s">
        <v>6599</v>
      </c>
      <c r="D5281" s="14" t="s">
        <v>6603</v>
      </c>
      <c r="E5281" s="82"/>
      <c r="F5281" s="102"/>
      <c r="G5281" s="22" t="s">
        <v>316</v>
      </c>
      <c r="H5281" s="8"/>
      <c r="I5281" s="35"/>
      <c r="J5281" s="38">
        <v>1</v>
      </c>
      <c r="K5281" s="39">
        <v>25</v>
      </c>
      <c r="L5281" s="39">
        <f t="shared" si="662"/>
        <v>25</v>
      </c>
      <c r="M5281" s="91"/>
      <c r="N5281" s="33"/>
      <c r="O5281" s="32"/>
      <c r="P5281" s="6"/>
      <c r="Q5281" s="322">
        <v>25</v>
      </c>
      <c r="R5281" s="322">
        <f t="shared" si="664"/>
        <v>25</v>
      </c>
      <c r="S5281" s="745">
        <v>2500</v>
      </c>
      <c r="T5281" s="745">
        <f t="shared" si="665"/>
        <v>2500</v>
      </c>
      <c r="U5281" s="21"/>
      <c r="V5281" s="260">
        <v>120</v>
      </c>
      <c r="W5281" s="1136">
        <f>(((K5281*V5281)-S5281)/(K5281*V5281))</f>
        <v>0.16666666666666666</v>
      </c>
    </row>
    <row r="5282" spans="1:23" s="191" customFormat="1" ht="15">
      <c r="B5282" s="190"/>
      <c r="C5282" s="179" t="s">
        <v>6599</v>
      </c>
      <c r="D5282" s="180" t="s">
        <v>6603</v>
      </c>
      <c r="E5282" s="181"/>
      <c r="F5282" s="182"/>
      <c r="G5282" s="182" t="s">
        <v>2738</v>
      </c>
      <c r="H5282" s="184" t="s">
        <v>251</v>
      </c>
      <c r="I5282" s="185"/>
      <c r="J5282" s="183"/>
      <c r="K5282" s="192">
        <v>0</v>
      </c>
      <c r="L5282" s="187"/>
      <c r="M5282" s="187"/>
      <c r="N5282" s="187"/>
      <c r="O5282" s="186"/>
      <c r="P5282" s="179"/>
      <c r="Q5282" s="255">
        <v>0</v>
      </c>
      <c r="S5282" s="274">
        <v>0</v>
      </c>
      <c r="T5282" s="198">
        <v>0</v>
      </c>
      <c r="U5282" s="271"/>
      <c r="V5282" s="260">
        <v>120</v>
      </c>
    </row>
    <row r="5283" spans="1:23" ht="15">
      <c r="C5283" s="6" t="s">
        <v>6606</v>
      </c>
      <c r="D5283" s="14" t="s">
        <v>6504</v>
      </c>
      <c r="E5283" s="19" t="s">
        <v>6508</v>
      </c>
      <c r="F5283" s="107"/>
      <c r="G5283" s="22"/>
      <c r="H5283" s="108"/>
      <c r="I5283" s="109"/>
      <c r="J5283" s="108"/>
      <c r="K5283" s="110" t="s">
        <v>5</v>
      </c>
      <c r="L5283" s="33"/>
      <c r="M5283" s="33"/>
      <c r="N5283" s="33"/>
      <c r="O5283" s="32"/>
      <c r="P5283" s="14"/>
      <c r="Q5283" s="254"/>
      <c r="S5283" s="1196"/>
      <c r="T5283" s="92"/>
      <c r="U5283" s="264"/>
      <c r="V5283" s="260">
        <v>120</v>
      </c>
      <c r="W5283" s="1136" t="e">
        <f t="shared" ref="W5283:W5286" si="672">(((K5283*V5283)-S5283)/(K5283*V5283))</f>
        <v>#VALUE!</v>
      </c>
    </row>
    <row r="5284" spans="1:23" ht="15.75">
      <c r="B5284" s="12" t="s">
        <v>302</v>
      </c>
      <c r="C5284" s="6" t="s">
        <v>6606</v>
      </c>
      <c r="D5284" s="14" t="s">
        <v>6504</v>
      </c>
      <c r="E5284" s="1766" t="s">
        <v>6505</v>
      </c>
      <c r="F5284" s="133" t="s">
        <v>6506</v>
      </c>
      <c r="G5284" s="396" t="s">
        <v>6507</v>
      </c>
      <c r="H5284" s="18">
        <v>33.700000000000003</v>
      </c>
      <c r="I5284" s="61">
        <v>1</v>
      </c>
      <c r="J5284" s="18">
        <f>H5284*I5284</f>
        <v>33.700000000000003</v>
      </c>
      <c r="K5284" s="322">
        <v>16.21</v>
      </c>
      <c r="L5284" s="39">
        <f>ROUND(K5284*J5284,3)</f>
        <v>546.27700000000004</v>
      </c>
      <c r="M5284" s="117" t="s">
        <v>323</v>
      </c>
      <c r="N5284" s="33"/>
      <c r="O5284" s="32"/>
      <c r="P5284" s="391">
        <f>ROUNDUP(S5284/V5284/VLOOKUP(B5284,$C$2:$F$6,3,FALSE),2)</f>
        <v>14.74</v>
      </c>
      <c r="Q5284" s="254">
        <v>14.74</v>
      </c>
      <c r="R5284" s="323">
        <f>ROUND(Q5284*J5284,2)</f>
        <v>496.74</v>
      </c>
      <c r="S5284" s="273">
        <v>1750</v>
      </c>
      <c r="T5284" s="287">
        <f>S5284*J5284</f>
        <v>58975.000000000007</v>
      </c>
      <c r="U5284" s="264"/>
      <c r="V5284" s="260">
        <v>135</v>
      </c>
      <c r="W5284" s="1136">
        <f t="shared" si="672"/>
        <v>0.20031073639957042</v>
      </c>
    </row>
    <row r="5285" spans="1:23" ht="15.75">
      <c r="B5285" s="12" t="s">
        <v>302</v>
      </c>
      <c r="C5285" s="6" t="s">
        <v>6606</v>
      </c>
      <c r="D5285" s="14" t="s">
        <v>6504</v>
      </c>
      <c r="E5285" s="1766" t="s">
        <v>6505</v>
      </c>
      <c r="F5285" s="133" t="s">
        <v>6506</v>
      </c>
      <c r="G5285" s="396" t="s">
        <v>6507</v>
      </c>
      <c r="H5285" s="18">
        <v>34.299999999999997</v>
      </c>
      <c r="I5285" s="61">
        <v>1</v>
      </c>
      <c r="J5285" s="18">
        <f>H5285*I5285</f>
        <v>34.299999999999997</v>
      </c>
      <c r="K5285" s="322">
        <v>16.21</v>
      </c>
      <c r="L5285" s="39">
        <f>ROUND(K5285*J5285,3)</f>
        <v>556.00300000000004</v>
      </c>
      <c r="M5285" s="117" t="s">
        <v>323</v>
      </c>
      <c r="N5285" s="33"/>
      <c r="O5285" s="32"/>
      <c r="P5285" s="391">
        <f>ROUNDUP(S5285/V5285/VLOOKUP(B5285,$C$2:$F$6,3,FALSE),2)</f>
        <v>14.74</v>
      </c>
      <c r="Q5285" s="254">
        <v>14.74</v>
      </c>
      <c r="R5285" s="323">
        <f>ROUND(Q5285*J5285,2)</f>
        <v>505.58</v>
      </c>
      <c r="S5285" s="273">
        <v>1750</v>
      </c>
      <c r="T5285" s="287">
        <f>S5285*J5285</f>
        <v>60024.999999999993</v>
      </c>
      <c r="U5285" s="264"/>
      <c r="V5285" s="260">
        <v>135</v>
      </c>
      <c r="W5285" s="1136">
        <f t="shared" ref="W5285" si="673">(((K5285*V5285)-S5285)/(K5285*V5285))</f>
        <v>0.20031073639957042</v>
      </c>
    </row>
    <row r="5286" spans="1:23" s="191" customFormat="1" ht="15">
      <c r="A5286" s="1"/>
      <c r="B5286" s="190"/>
      <c r="C5286" s="179" t="s">
        <v>6606</v>
      </c>
      <c r="D5286" s="180" t="s">
        <v>6504</v>
      </c>
      <c r="E5286" s="181"/>
      <c r="F5286" s="182"/>
      <c r="G5286" s="182" t="s">
        <v>250</v>
      </c>
      <c r="H5286" s="184" t="s">
        <v>251</v>
      </c>
      <c r="I5286" s="185"/>
      <c r="J5286" s="183"/>
      <c r="K5286" s="192">
        <v>0</v>
      </c>
      <c r="L5286" s="187"/>
      <c r="M5286" s="187"/>
      <c r="N5286" s="187"/>
      <c r="O5286" s="186"/>
      <c r="P5286" s="179"/>
      <c r="Q5286" s="255">
        <v>0</v>
      </c>
      <c r="S5286" s="275">
        <v>0</v>
      </c>
      <c r="T5286" s="198">
        <v>0</v>
      </c>
      <c r="U5286" s="271"/>
      <c r="V5286" s="260">
        <v>120</v>
      </c>
      <c r="W5286" s="1136" t="e">
        <f t="shared" si="672"/>
        <v>#DIV/0!</v>
      </c>
    </row>
    <row r="5681" spans="5:5" ht="18" customHeight="1">
      <c r="E5681" s="1" ph="1"/>
    </row>
    <row r="5682" spans="5:5" ht="18" customHeight="1">
      <c r="E5682" s="1" ph="1"/>
    </row>
    <row r="5683" spans="5:5" ht="18" customHeight="1">
      <c r="E5683" s="1" ph="1"/>
    </row>
    <row r="5684" spans="5:5" ht="18" customHeight="1">
      <c r="E5684" s="1" ph="1"/>
    </row>
    <row r="5685" spans="5:5" ht="18" customHeight="1">
      <c r="E5685" s="1" ph="1"/>
    </row>
    <row r="5871" spans="9:10" ht="18" customHeight="1">
      <c r="I5871" s="1" ph="1"/>
      <c r="J5871" s="1" ph="1"/>
    </row>
    <row r="5872" spans="9:10" ht="18" customHeight="1">
      <c r="I5872" s="1" ph="1"/>
      <c r="J5872" s="1" ph="1"/>
    </row>
    <row r="5885" spans="9:10" ht="18" customHeight="1">
      <c r="I5885" s="1" ph="1"/>
      <c r="J5885" s="1" ph="1"/>
    </row>
    <row r="5899" spans="9:10" ht="18" customHeight="1">
      <c r="I5899" s="1" ph="1"/>
      <c r="J5899" s="1" ph="1"/>
    </row>
    <row r="5907" spans="9:10" ht="18" customHeight="1">
      <c r="I5907" s="1" ph="1"/>
      <c r="J5907" s="1" ph="1"/>
    </row>
    <row r="5945" spans="9:10" ht="18" customHeight="1">
      <c r="I5945" s="1" ph="1"/>
      <c r="J5945" s="1" ph="1"/>
    </row>
    <row r="5952" spans="9:10" ht="18" customHeight="1">
      <c r="I5952" s="1" ph="1"/>
      <c r="J5952" s="1" ph="1"/>
    </row>
    <row r="5988" spans="9:10" ht="18" customHeight="1">
      <c r="I5988" s="1" ph="1"/>
      <c r="J5988" s="1" ph="1"/>
    </row>
    <row r="6003" spans="9:10" ht="18" customHeight="1">
      <c r="I6003" s="1" ph="1"/>
      <c r="J6003" s="1" ph="1"/>
    </row>
    <row r="6128" spans="5:5" ht="18" customHeight="1">
      <c r="E6128" s="1" ph="1"/>
    </row>
    <row r="6212" spans="9:10" ht="18" customHeight="1">
      <c r="I6212" s="1" ph="1"/>
      <c r="J6212" s="1" ph="1"/>
    </row>
    <row r="6226" spans="9:10" ht="18" customHeight="1">
      <c r="I6226" s="1" ph="1"/>
      <c r="J6226" s="1" ph="1"/>
    </row>
    <row r="6232" spans="9:10" ht="18" customHeight="1">
      <c r="I6232" s="1" ph="1"/>
      <c r="J6232" s="1" ph="1"/>
    </row>
    <row r="6272" spans="9:10" ht="18" customHeight="1">
      <c r="I6272" s="1" ph="1"/>
      <c r="J6272" s="1" ph="1"/>
    </row>
    <row r="6279" spans="9:10" ht="18" customHeight="1">
      <c r="I6279" s="1" ph="1"/>
      <c r="J6279" s="1" ph="1"/>
    </row>
    <row r="6336" spans="9:10" ht="18" customHeight="1">
      <c r="I6336" s="1" ph="1"/>
      <c r="J6336" s="1" ph="1"/>
    </row>
    <row r="6347" spans="9:10" ht="18" customHeight="1">
      <c r="I6347" s="1" ph="1"/>
      <c r="J6347" s="1" ph="1"/>
    </row>
    <row r="6348" spans="9:10" ht="18" customHeight="1">
      <c r="I6348" s="1" ph="1"/>
      <c r="J6348" s="1" ph="1"/>
    </row>
    <row r="6351" spans="9:10" ht="18" customHeight="1">
      <c r="I6351" s="1" ph="1"/>
      <c r="J6351" s="1" ph="1"/>
    </row>
    <row r="6354" spans="9:10" ht="18" customHeight="1">
      <c r="I6354" s="1" ph="1"/>
      <c r="J6354" s="1" ph="1"/>
    </row>
    <row r="6357" spans="9:10" ht="18" customHeight="1">
      <c r="I6357" s="1" ph="1"/>
      <c r="J6357" s="1" ph="1"/>
    </row>
    <row r="6429" spans="9:10" ht="18" customHeight="1">
      <c r="I6429" s="1" ph="1"/>
      <c r="J6429" s="1" ph="1"/>
    </row>
    <row r="6430" spans="9:10" ht="18" customHeight="1">
      <c r="I6430" s="1" ph="1"/>
      <c r="J6430" s="1" ph="1"/>
    </row>
    <row r="6434" spans="9:10" ht="18" customHeight="1">
      <c r="I6434" s="1" ph="1"/>
      <c r="J6434" s="1" ph="1"/>
    </row>
    <row r="6441" spans="9:10" ht="18" customHeight="1">
      <c r="I6441" s="1" ph="1"/>
      <c r="J6441" s="1" ph="1"/>
    </row>
    <row r="6446" spans="9:10" ht="18" customHeight="1">
      <c r="I6446" s="1" ph="1"/>
      <c r="J6446" s="1" ph="1"/>
    </row>
    <row r="6453" spans="9:10" ht="18" customHeight="1">
      <c r="I6453" s="1" ph="1"/>
      <c r="J6453" s="1" ph="1"/>
    </row>
    <row r="6496" spans="9:10" ht="18" customHeight="1">
      <c r="I6496" s="1" ph="1"/>
      <c r="J6496" s="1" ph="1"/>
    </row>
    <row r="6497" spans="9:10" ht="18" customHeight="1">
      <c r="I6497" s="1" ph="1"/>
      <c r="J6497" s="1" ph="1"/>
    </row>
    <row r="6529" spans="9:10" ht="18" customHeight="1">
      <c r="I6529" s="1" ph="1"/>
      <c r="J6529" s="1" ph="1"/>
    </row>
    <row r="6539" spans="9:10" ht="18" customHeight="1">
      <c r="I6539" s="1" ph="1"/>
      <c r="J6539" s="1" ph="1"/>
    </row>
    <row r="6546" spans="9:10" ht="18" customHeight="1">
      <c r="I6546" s="1" ph="1"/>
      <c r="J6546" s="1" ph="1"/>
    </row>
    <row r="6550" spans="9:10" ht="18" customHeight="1">
      <c r="I6550" s="1" ph="1"/>
      <c r="J6550" s="1" ph="1"/>
    </row>
    <row r="6554" spans="9:10" ht="18" customHeight="1">
      <c r="I6554" s="1" ph="1"/>
      <c r="J6554" s="1" ph="1"/>
    </row>
    <row r="6564" spans="9:10" ht="18" customHeight="1">
      <c r="I6564" s="1" ph="1"/>
      <c r="J6564" s="1" ph="1"/>
    </row>
    <row r="6565" spans="9:10" ht="18" customHeight="1">
      <c r="I6565" s="1" ph="1"/>
      <c r="J6565" s="1" ph="1"/>
    </row>
    <row r="6574" spans="9:10" ht="18" customHeight="1">
      <c r="I6574" s="1" ph="1"/>
      <c r="J6574" s="1" ph="1"/>
    </row>
    <row r="6583" spans="9:10" ht="18" customHeight="1">
      <c r="I6583" s="1" ph="1"/>
      <c r="J6583" s="1" ph="1"/>
    </row>
    <row r="6584" spans="9:10" ht="18" customHeight="1">
      <c r="I6584" s="1" ph="1"/>
      <c r="J6584" s="1" ph="1"/>
    </row>
    <row r="6639" spans="9:10" ht="18" customHeight="1">
      <c r="I6639" s="1" ph="1"/>
      <c r="J6639" s="1" ph="1"/>
    </row>
    <row r="6640" spans="9:10" ht="18" customHeight="1">
      <c r="I6640" s="1" ph="1"/>
      <c r="J6640" s="1" ph="1"/>
    </row>
    <row r="6643" spans="9:10" ht="18" customHeight="1">
      <c r="I6643" s="1" ph="1"/>
      <c r="J6643" s="1" ph="1"/>
    </row>
    <row r="6646" spans="9:10" ht="18" customHeight="1">
      <c r="I6646" s="1" ph="1"/>
      <c r="J6646" s="1" ph="1"/>
    </row>
    <row r="6648" spans="9:10" ht="18" customHeight="1">
      <c r="I6648" s="1" ph="1"/>
      <c r="J6648" s="1" ph="1"/>
    </row>
    <row r="6694" spans="9:10" ht="18" customHeight="1">
      <c r="I6694" s="1" ph="1"/>
      <c r="J6694" s="1" ph="1"/>
    </row>
    <row r="6697" spans="9:10" ht="18" customHeight="1">
      <c r="I6697" s="1" ph="1"/>
      <c r="J6697" s="1" ph="1"/>
    </row>
    <row r="6710" spans="9:10" ht="18" customHeight="1">
      <c r="I6710" s="1" ph="1"/>
      <c r="J6710" s="1" ph="1"/>
    </row>
    <row r="6726" spans="9:10" ht="18" customHeight="1">
      <c r="I6726" s="1" ph="1"/>
      <c r="J6726" s="1" ph="1"/>
    </row>
    <row r="6729" spans="9:10" ht="18" customHeight="1">
      <c r="I6729" s="1" ph="1"/>
      <c r="J6729" s="1" ph="1"/>
    </row>
    <row r="6741" spans="9:10" ht="18" customHeight="1">
      <c r="I6741" s="1" ph="1"/>
      <c r="J6741" s="1" ph="1"/>
    </row>
    <row r="6742" spans="9:10" ht="18" customHeight="1">
      <c r="I6742" s="1" ph="1"/>
      <c r="J6742" s="1" ph="1"/>
    </row>
    <row r="6745" spans="9:10" ht="18" customHeight="1">
      <c r="I6745" s="1" ph="1"/>
      <c r="J6745" s="1" ph="1"/>
    </row>
    <row r="6765" spans="9:10" ht="18" customHeight="1">
      <c r="I6765" s="1" ph="1"/>
      <c r="J6765" s="1" ph="1"/>
    </row>
    <row r="6794" spans="9:10" ht="18" customHeight="1">
      <c r="I6794" s="1" ph="1"/>
      <c r="J6794" s="1" ph="1"/>
    </row>
    <row r="6799" spans="9:10" ht="18" customHeight="1">
      <c r="I6799" s="1" ph="1"/>
      <c r="J6799" s="1" ph="1"/>
    </row>
    <row r="6808" spans="9:10" ht="18" customHeight="1">
      <c r="I6808" s="1" ph="1"/>
      <c r="J6808" s="1" ph="1"/>
    </row>
    <row r="6825" spans="9:10" ht="18" customHeight="1">
      <c r="I6825" s="1" ph="1"/>
      <c r="J6825" s="1" ph="1"/>
    </row>
    <row r="6857" spans="9:10" ht="18" customHeight="1">
      <c r="I6857" s="1" ph="1"/>
      <c r="J6857" s="1" ph="1"/>
    </row>
    <row r="6861" spans="9:10" ht="18" customHeight="1">
      <c r="I6861" s="1" ph="1"/>
      <c r="J6861" s="1" ph="1"/>
    </row>
    <row r="6886" spans="9:10" ht="18" customHeight="1">
      <c r="I6886" s="1" ph="1"/>
      <c r="J6886" s="1" ph="1"/>
    </row>
    <row r="6919" spans="9:10" ht="18" customHeight="1">
      <c r="I6919" s="1" ph="1"/>
      <c r="J6919" s="1" ph="1"/>
    </row>
    <row r="6986" spans="9:10" ht="18" customHeight="1">
      <c r="I6986" s="1" ph="1"/>
      <c r="J6986" s="1" ph="1"/>
    </row>
    <row r="6987" spans="9:10" ht="18" customHeight="1">
      <c r="I6987" s="1" ph="1"/>
      <c r="J6987" s="1" ph="1"/>
    </row>
    <row r="6991" spans="9:10" ht="18" customHeight="1">
      <c r="I6991" s="1" ph="1"/>
      <c r="J6991" s="1" ph="1"/>
    </row>
    <row r="7058" spans="9:10" ht="18" customHeight="1">
      <c r="I7058" s="1" ph="1"/>
      <c r="J7058" s="1" ph="1"/>
    </row>
    <row r="7071" spans="9:10" ht="18" customHeight="1">
      <c r="I7071" s="1" ph="1"/>
      <c r="J7071" s="1" ph="1"/>
    </row>
    <row r="7078" spans="9:10" ht="18" customHeight="1">
      <c r="I7078" s="1" ph="1"/>
      <c r="J7078" s="1" ph="1"/>
    </row>
    <row r="7079" spans="9:10" ht="18" customHeight="1">
      <c r="I7079" s="1" ph="1"/>
      <c r="J7079" s="1" ph="1"/>
    </row>
    <row r="7080" spans="9:10" ht="18" customHeight="1">
      <c r="I7080" s="1" ph="1"/>
      <c r="J7080" s="1" ph="1"/>
    </row>
    <row r="7088" spans="9:10" ht="18" customHeight="1">
      <c r="I7088" s="1" ph="1"/>
      <c r="J7088" s="1" ph="1"/>
    </row>
    <row r="7098" spans="9:10" ht="18" customHeight="1">
      <c r="I7098" s="1" ph="1"/>
      <c r="J7098" s="1" ph="1"/>
    </row>
    <row r="7105" spans="9:10" ht="18" customHeight="1">
      <c r="I7105" s="1" ph="1"/>
      <c r="J7105" s="1" ph="1"/>
    </row>
    <row r="7108" spans="9:10" ht="18" customHeight="1">
      <c r="I7108" s="1" ph="1"/>
      <c r="J7108" s="1" ph="1"/>
    </row>
    <row r="7109" spans="9:10" ht="18" customHeight="1">
      <c r="I7109" s="1" ph="1"/>
      <c r="J7109" s="1" ph="1"/>
    </row>
    <row r="7113" spans="9:10" ht="18" customHeight="1">
      <c r="I7113" s="1" ph="1"/>
      <c r="J7113" s="1" ph="1"/>
    </row>
    <row r="7116" spans="9:10" ht="18" customHeight="1">
      <c r="I7116" s="1" ph="1"/>
      <c r="J7116" s="1" ph="1"/>
    </row>
    <row r="7119" spans="9:10" ht="18" customHeight="1">
      <c r="I7119" s="1" ph="1"/>
      <c r="J7119" s="1" ph="1"/>
    </row>
    <row r="7139" spans="9:10" ht="18" customHeight="1">
      <c r="I7139" s="1" ph="1"/>
      <c r="J7139" s="1" ph="1"/>
    </row>
    <row r="7142" spans="9:10" ht="18" customHeight="1">
      <c r="I7142" s="1" ph="1"/>
      <c r="J7142" s="1" ph="1"/>
    </row>
    <row r="7152" spans="9:10" ht="18" customHeight="1">
      <c r="I7152" s="1" ph="1"/>
      <c r="J7152" s="1" ph="1"/>
    </row>
    <row r="7176" spans="9:10" ht="18" customHeight="1">
      <c r="I7176" s="1" ph="1"/>
      <c r="J7176" s="1" ph="1"/>
    </row>
    <row r="7179" spans="9:10" ht="18" customHeight="1">
      <c r="I7179" s="1" ph="1"/>
      <c r="J7179" s="1" ph="1"/>
    </row>
    <row r="7199" spans="9:10" ht="18" customHeight="1">
      <c r="I7199" s="1" ph="1"/>
      <c r="J7199" s="1" ph="1"/>
    </row>
    <row r="7214" spans="9:10" ht="18" customHeight="1">
      <c r="I7214" s="1" ph="1"/>
      <c r="J7214" s="1" ph="1"/>
    </row>
    <row r="7267" spans="9:10" ht="18" customHeight="1">
      <c r="I7267" s="1" ph="1"/>
      <c r="J7267" s="1" ph="1"/>
    </row>
    <row r="7283" spans="9:10" ht="18" customHeight="1">
      <c r="I7283" s="1" ph="1"/>
      <c r="J7283" s="1" ph="1"/>
    </row>
    <row r="7286" spans="9:10" ht="18" customHeight="1">
      <c r="I7286" s="1" ph="1"/>
      <c r="J7286" s="1" ph="1"/>
    </row>
    <row r="7289" spans="9:10" ht="18" customHeight="1">
      <c r="I7289" s="1" ph="1"/>
      <c r="J7289" s="1" ph="1"/>
    </row>
    <row r="7301" spans="9:10" ht="18" customHeight="1">
      <c r="I7301" s="1" ph="1"/>
      <c r="J7301" s="1" ph="1"/>
    </row>
    <row r="7305" spans="9:10" ht="18" customHeight="1">
      <c r="I7305" s="1" ph="1"/>
      <c r="J7305" s="1" ph="1"/>
    </row>
    <row r="7545" spans="9:10" ht="18" customHeight="1">
      <c r="I7545" s="1" ph="1"/>
      <c r="J7545" s="1" ph="1"/>
    </row>
    <row r="7549" spans="9:10" ht="18" customHeight="1">
      <c r="I7549" s="1" ph="1"/>
      <c r="J7549" s="1" ph="1"/>
    </row>
    <row r="7552" spans="9:10" ht="18" customHeight="1">
      <c r="I7552" s="1" ph="1"/>
      <c r="J7552" s="1" ph="1"/>
    </row>
    <row r="7553" spans="9:10" ht="18" customHeight="1">
      <c r="I7553" s="1" ph="1"/>
      <c r="J7553" s="1" ph="1"/>
    </row>
    <row r="7565" spans="9:10" ht="18" customHeight="1">
      <c r="I7565" s="1" ph="1"/>
      <c r="J7565" s="1" ph="1"/>
    </row>
    <row r="7573" spans="9:10" ht="18" customHeight="1">
      <c r="I7573" s="1" ph="1"/>
      <c r="J7573" s="1" ph="1"/>
    </row>
    <row r="7580" spans="9:10" ht="18" customHeight="1">
      <c r="I7580" s="1" ph="1"/>
      <c r="J7580" s="1" ph="1"/>
    </row>
    <row r="7586" spans="9:10" ht="18" customHeight="1">
      <c r="I7586" s="1" ph="1"/>
      <c r="J7586" s="1" ph="1"/>
    </row>
    <row r="7587" spans="9:10" ht="18" customHeight="1">
      <c r="I7587" s="1" ph="1"/>
      <c r="J7587" s="1" ph="1"/>
    </row>
    <row r="7609" spans="9:10" ht="18" customHeight="1">
      <c r="I7609" s="1" ph="1"/>
      <c r="J7609" s="1" ph="1"/>
    </row>
    <row r="7613" spans="9:10" ht="18" customHeight="1">
      <c r="I7613" s="1" ph="1"/>
      <c r="J7613" s="1" ph="1"/>
    </row>
    <row r="7617" spans="9:10" ht="18" customHeight="1">
      <c r="I7617" s="1" ph="1"/>
      <c r="J7617" s="1" ph="1"/>
    </row>
    <row r="7746" spans="9:10" ht="18" customHeight="1">
      <c r="I7746" s="1" ph="1"/>
      <c r="J7746" s="1" ph="1"/>
    </row>
    <row r="7749" spans="9:10" ht="18" customHeight="1">
      <c r="I7749" s="1" ph="1"/>
      <c r="J7749" s="1" ph="1"/>
    </row>
    <row r="7752" spans="9:10" ht="18" customHeight="1">
      <c r="I7752" s="1" ph="1"/>
      <c r="J7752" s="1" ph="1"/>
    </row>
    <row r="7760" spans="9:10" ht="18" customHeight="1">
      <c r="I7760" s="1" ph="1"/>
      <c r="J7760" s="1" ph="1"/>
    </row>
    <row r="7761" spans="9:10" ht="18" customHeight="1">
      <c r="I7761" s="1" ph="1"/>
      <c r="J7761" s="1" ph="1"/>
    </row>
    <row r="7766" spans="9:10" ht="18" customHeight="1">
      <c r="I7766" s="1" ph="1"/>
      <c r="J7766" s="1" ph="1"/>
    </row>
    <row r="7769" spans="9:10" ht="18" customHeight="1">
      <c r="I7769" s="1" ph="1"/>
      <c r="J7769" s="1" ph="1"/>
    </row>
    <row r="7788" spans="9:10" ht="18" customHeight="1">
      <c r="I7788" s="1" ph="1"/>
      <c r="J7788" s="1" ph="1"/>
    </row>
    <row r="7791" spans="9:10" ht="18" customHeight="1">
      <c r="I7791" s="1" ph="1"/>
      <c r="J7791" s="1" ph="1"/>
    </row>
    <row r="7794" spans="9:10" ht="18" customHeight="1">
      <c r="I7794" s="1" ph="1"/>
      <c r="J7794" s="1" ph="1"/>
    </row>
    <row r="7795" spans="9:10" ht="18" customHeight="1">
      <c r="I7795" s="1" ph="1"/>
      <c r="J7795" s="1" ph="1"/>
    </row>
    <row r="7897" spans="9:10" ht="18" customHeight="1">
      <c r="I7897" s="1" ph="1"/>
      <c r="J7897" s="1" ph="1"/>
    </row>
    <row r="7900" spans="9:10" ht="18" customHeight="1">
      <c r="I7900" s="1" ph="1"/>
      <c r="J7900" s="1" ph="1"/>
    </row>
    <row r="7904" spans="9:10" ht="18" customHeight="1">
      <c r="I7904" s="1" ph="1"/>
      <c r="J7904" s="1" ph="1"/>
    </row>
    <row r="7921" spans="9:10" ht="18" customHeight="1">
      <c r="I7921" s="1" ph="1"/>
      <c r="J7921" s="1" ph="1"/>
    </row>
    <row r="7925" spans="9:10" ht="18" customHeight="1">
      <c r="I7925" s="1" ph="1"/>
      <c r="J7925" s="1" ph="1"/>
    </row>
    <row r="7929" spans="9:10" ht="18" customHeight="1">
      <c r="I7929" s="1" ph="1"/>
      <c r="J7929" s="1" ph="1"/>
    </row>
    <row r="7934" spans="9:10" ht="18" customHeight="1">
      <c r="I7934" s="1" ph="1"/>
      <c r="J7934" s="1" ph="1"/>
    </row>
    <row r="8120" spans="9:10" ht="18" customHeight="1">
      <c r="I8120" s="1" ph="1"/>
      <c r="J8120" s="1" ph="1"/>
    </row>
    <row r="8127" spans="9:10" ht="18" customHeight="1">
      <c r="I8127" s="1" ph="1"/>
      <c r="J8127" s="1" ph="1"/>
    </row>
    <row r="8131" spans="9:10" ht="18" customHeight="1">
      <c r="I8131" s="1" ph="1"/>
      <c r="J8131" s="1" ph="1"/>
    </row>
    <row r="8186" spans="9:10" ht="18" customHeight="1">
      <c r="I8186" s="1" ph="1"/>
      <c r="J8186" s="1" ph="1"/>
    </row>
    <row r="8187" spans="9:10" ht="18" customHeight="1">
      <c r="I8187" s="1" ph="1"/>
      <c r="J8187" s="1" ph="1"/>
    </row>
    <row r="8226" spans="9:10" ht="18" customHeight="1">
      <c r="I8226" s="1" ph="1"/>
      <c r="J8226" s="1" ph="1"/>
    </row>
    <row r="8231" spans="9:10" ht="18" customHeight="1">
      <c r="I8231" s="1" ph="1"/>
      <c r="J8231" s="1" ph="1"/>
    </row>
    <row r="8243" spans="9:10" ht="18" customHeight="1">
      <c r="I8243" s="1" ph="1"/>
      <c r="J8243" s="1" ph="1"/>
    </row>
    <row r="8244" spans="9:10" ht="18" customHeight="1">
      <c r="I8244" s="1" ph="1"/>
      <c r="J8244" s="1" ph="1"/>
    </row>
    <row r="8247" spans="9:10" ht="18" customHeight="1">
      <c r="I8247" s="1" ph="1"/>
      <c r="J8247" s="1" ph="1"/>
    </row>
    <row r="8250" spans="9:10" ht="18" customHeight="1">
      <c r="I8250" s="1" ph="1"/>
      <c r="J8250" s="1" ph="1"/>
    </row>
    <row r="8264" spans="9:10" ht="18" customHeight="1">
      <c r="I8264" s="1" ph="1"/>
      <c r="J8264" s="1" ph="1"/>
    </row>
    <row r="8265" spans="9:10" ht="18" customHeight="1">
      <c r="I8265" s="1" ph="1"/>
      <c r="J8265" s="1" ph="1"/>
    </row>
    <row r="8268" spans="9:10" ht="18" customHeight="1">
      <c r="I8268" s="1" ph="1"/>
      <c r="J8268" s="1" ph="1"/>
    </row>
    <row r="8273" spans="9:10" ht="18" customHeight="1">
      <c r="I8273" s="1" ph="1"/>
      <c r="J8273" s="1" ph="1"/>
    </row>
    <row r="8294" spans="9:10" ht="18" customHeight="1">
      <c r="I8294" s="1" ph="1"/>
      <c r="J8294" s="1" ph="1"/>
    </row>
    <row r="8297" spans="9:10" ht="18" customHeight="1">
      <c r="I8297" s="1" ph="1"/>
      <c r="J8297" s="1" ph="1"/>
    </row>
    <row r="8327" spans="9:10" ht="18" customHeight="1">
      <c r="I8327" s="1" ph="1"/>
      <c r="J8327" s="1" ph="1"/>
    </row>
    <row r="8432" spans="9:10" ht="18" customHeight="1">
      <c r="I8432" s="1" ph="1"/>
      <c r="J8432" s="1" ph="1"/>
    </row>
    <row r="8435" spans="9:10" ht="18" customHeight="1">
      <c r="I8435" s="1" ph="1"/>
      <c r="J8435" s="1" ph="1"/>
    </row>
    <row r="8509" spans="9:10" ht="18" customHeight="1">
      <c r="I8509" s="1" ph="1"/>
      <c r="J8509" s="1" ph="1"/>
    </row>
    <row r="8552" spans="9:10" ht="18" customHeight="1">
      <c r="I8552" s="1" ph="1"/>
      <c r="J8552" s="1" ph="1"/>
    </row>
    <row r="8616" spans="9:10" ht="18" customHeight="1">
      <c r="I8616" s="1" ph="1"/>
      <c r="J8616" s="1" ph="1"/>
    </row>
    <row r="8623" spans="9:10" ht="18" customHeight="1">
      <c r="I8623" s="1" ph="1"/>
      <c r="J8623" s="1" ph="1"/>
    </row>
    <row r="8638" spans="9:10" ht="18" customHeight="1">
      <c r="I8638" s="1" ph="1"/>
      <c r="J8638" s="1" ph="1"/>
    </row>
    <row r="8641" spans="9:10" ht="18" customHeight="1">
      <c r="I8641" s="1" ph="1"/>
      <c r="J8641" s="1" ph="1"/>
    </row>
    <row r="8649" spans="9:10" ht="18" customHeight="1">
      <c r="I8649" s="1" ph="1"/>
      <c r="J8649" s="1" ph="1"/>
    </row>
    <row r="8699" spans="9:10" ht="18" customHeight="1">
      <c r="I8699" s="1" ph="1"/>
      <c r="J8699" s="1" ph="1"/>
    </row>
    <row r="8766" spans="9:10" ht="18" customHeight="1">
      <c r="I8766" s="1" ph="1"/>
      <c r="J8766" s="1" ph="1"/>
    </row>
    <row r="8781" spans="9:10" ht="18" customHeight="1">
      <c r="I8781" s="1" ph="1"/>
      <c r="J8781" s="1" ph="1"/>
    </row>
    <row r="8792" spans="9:10" ht="18" customHeight="1">
      <c r="I8792" s="1" ph="1"/>
      <c r="J8792" s="1" ph="1"/>
    </row>
    <row r="8793" spans="9:10" ht="18" customHeight="1">
      <c r="I8793" s="1" ph="1"/>
      <c r="J8793" s="1" ph="1"/>
    </row>
    <row r="8796" spans="9:10" ht="18" customHeight="1">
      <c r="I8796" s="1" ph="1"/>
      <c r="J8796" s="1" ph="1"/>
    </row>
    <row r="8800" spans="9:10" ht="18" customHeight="1">
      <c r="I8800" s="1" ph="1"/>
      <c r="J8800" s="1" ph="1"/>
    </row>
    <row r="8838" spans="9:10" ht="18" customHeight="1">
      <c r="I8838" s="1" ph="1"/>
      <c r="J8838" s="1" ph="1"/>
    </row>
    <row r="8869" spans="9:10" ht="18" customHeight="1">
      <c r="I8869" s="1" ph="1"/>
      <c r="J8869" s="1" ph="1"/>
    </row>
    <row r="8935" spans="9:10" ht="18" customHeight="1">
      <c r="I8935" s="1" ph="1"/>
      <c r="J8935" s="1" ph="1"/>
    </row>
    <row r="8936" spans="9:10" ht="18" customHeight="1">
      <c r="I8936" s="1" ph="1"/>
      <c r="J8936" s="1" ph="1"/>
    </row>
    <row r="8955" spans="9:10" ht="18" customHeight="1">
      <c r="I8955" s="1" ph="1"/>
      <c r="J8955" s="1" ph="1"/>
    </row>
    <row r="8974" spans="9:10" ht="18" customHeight="1">
      <c r="I8974" s="1" ph="1"/>
      <c r="J8974" s="1" ph="1"/>
    </row>
    <row r="8981" spans="9:10" ht="18" customHeight="1">
      <c r="I8981" s="1" ph="1"/>
      <c r="J8981" s="1" ph="1"/>
    </row>
    <row r="9077" spans="9:9" ht="18" customHeight="1">
      <c r="I9077" s="1" ph="1"/>
    </row>
    <row r="9081" spans="9:9" ht="18" customHeight="1">
      <c r="I9081" s="1" ph="1"/>
    </row>
    <row r="9084" spans="9:9" ht="18" customHeight="1">
      <c r="I9084" s="1" ph="1"/>
    </row>
    <row r="9097" spans="9:9" ht="18" customHeight="1">
      <c r="I9097" s="1" ph="1"/>
    </row>
    <row r="9108" spans="9:9" ht="18" customHeight="1">
      <c r="I9108" s="1" ph="1"/>
    </row>
    <row r="9112" spans="9:9" ht="18" customHeight="1">
      <c r="I9112" s="1" ph="1"/>
    </row>
    <row r="9121" spans="9:9" ht="18" customHeight="1">
      <c r="I9121" s="1" ph="1"/>
    </row>
    <row r="9124" spans="9:9" ht="18" customHeight="1">
      <c r="I9124" s="1" ph="1"/>
    </row>
    <row r="9150" spans="9:9" ht="18" customHeight="1">
      <c r="I9150" s="1" ph="1"/>
    </row>
    <row r="9151" spans="9:9" ht="18" customHeight="1">
      <c r="I9151" s="1" ph="1"/>
    </row>
    <row r="9169" spans="9:9" ht="18" customHeight="1">
      <c r="I9169" s="1" ph="1"/>
    </row>
    <row r="9174" spans="9:9" ht="18" customHeight="1">
      <c r="I9174" s="1" ph="1"/>
    </row>
    <row r="9188" spans="9:9" ht="18" customHeight="1">
      <c r="I9188" s="1" ph="1"/>
    </row>
    <row r="9217" spans="9:9" ht="18" customHeight="1">
      <c r="I9217" s="1" ph="1"/>
    </row>
    <row r="9313" spans="9:9" ht="18" customHeight="1">
      <c r="I9313" s="1" ph="1"/>
    </row>
    <row r="9319" spans="9:9" ht="18" customHeight="1">
      <c r="I9319" s="1" ph="1"/>
    </row>
    <row r="9320" spans="9:9" ht="18" customHeight="1">
      <c r="I9320" s="1" ph="1"/>
    </row>
    <row r="9336" spans="9:9" ht="18" customHeight="1">
      <c r="I9336" s="1" ph="1"/>
    </row>
    <row r="9340" spans="9:9" ht="18" customHeight="1">
      <c r="I9340" s="1" ph="1"/>
    </row>
    <row r="9344" spans="9:9" ht="18" customHeight="1">
      <c r="I9344" s="1" ph="1"/>
    </row>
    <row r="9353" spans="9:9" ht="18" customHeight="1">
      <c r="I9353" s="1" ph="1"/>
    </row>
    <row r="9368" spans="9:9" ht="18" customHeight="1">
      <c r="I9368" s="1" ph="1"/>
    </row>
    <row r="9369" spans="9:9" ht="18" customHeight="1">
      <c r="I9369" s="1" ph="1"/>
    </row>
    <row r="9370" spans="9:9" ht="18" customHeight="1">
      <c r="I9370" s="1" ph="1"/>
    </row>
    <row r="9371" spans="9:9" ht="18" customHeight="1">
      <c r="I9371" s="1" ph="1"/>
    </row>
    <row r="9379" spans="9:9" ht="18" customHeight="1">
      <c r="I9379" s="1" ph="1"/>
    </row>
    <row r="9410" spans="9:9" ht="18" customHeight="1">
      <c r="I9410" s="1" ph="1"/>
    </row>
    <row r="9414" spans="9:9" ht="18" customHeight="1">
      <c r="I9414" s="1" ph="1"/>
    </row>
    <row r="9430" spans="9:9" ht="18" customHeight="1">
      <c r="I9430" s="1" ph="1"/>
    </row>
    <row r="9529" spans="9:9" ht="18" customHeight="1">
      <c r="I9529" s="1" ph="1"/>
    </row>
    <row r="9574" spans="9:9" ht="18" customHeight="1">
      <c r="I9574" s="1" ph="1"/>
    </row>
    <row r="9575" spans="9:9" ht="18" customHeight="1">
      <c r="I9575" s="1" ph="1"/>
    </row>
    <row r="9579" spans="9:9" ht="18" customHeight="1">
      <c r="I9579" s="1" ph="1"/>
    </row>
    <row r="9619" spans="9:9" ht="18" customHeight="1">
      <c r="I9619" s="1" ph="1"/>
    </row>
    <row r="9620" spans="9:9" ht="18" customHeight="1">
      <c r="I9620" s="1" ph="1"/>
    </row>
    <row r="9697" spans="9:9" ht="18" customHeight="1">
      <c r="I9697" s="1" ph="1"/>
    </row>
    <row r="9702" spans="9:9" ht="18" customHeight="1">
      <c r="I9702" s="1" ph="1"/>
    </row>
    <row r="9731" spans="9:9" ht="18" customHeight="1">
      <c r="I9731" s="1" ph="1"/>
    </row>
    <row r="9734" spans="9:9" ht="18" customHeight="1">
      <c r="I9734" s="1" ph="1"/>
    </row>
    <row r="9738" spans="9:9" ht="18" customHeight="1">
      <c r="I9738" s="1" ph="1"/>
    </row>
    <row r="9753" spans="9:9" ht="18" customHeight="1">
      <c r="I9753" s="1" ph="1"/>
    </row>
    <row r="9806" spans="9:9" ht="18" customHeight="1">
      <c r="I9806" s="1" ph="1"/>
    </row>
    <row r="9818" spans="9:9" ht="18" customHeight="1">
      <c r="I9818" s="1" ph="1"/>
    </row>
    <row r="9919" spans="9:9" ht="18" customHeight="1">
      <c r="I9919" s="1" ph="1"/>
    </row>
    <row r="9925" spans="9:9" ht="18" customHeight="1">
      <c r="I9925" s="1" ph="1"/>
    </row>
    <row r="9961" spans="9:9" ht="18" customHeight="1">
      <c r="I9961" s="1" ph="1"/>
    </row>
    <row r="10016" spans="9:9" ht="18" customHeight="1">
      <c r="I10016" s="1" ph="1"/>
    </row>
    <row r="10017" spans="9:9" ht="18" customHeight="1">
      <c r="I10017" s="1" ph="1"/>
    </row>
    <row r="10109" spans="9:9" ht="18" customHeight="1">
      <c r="I10109" s="1" ph="1"/>
    </row>
    <row r="10122" spans="9:9" ht="18" customHeight="1">
      <c r="I10122" s="1" ph="1"/>
    </row>
    <row r="10161" spans="9:9" ht="18" customHeight="1">
      <c r="I10161" s="1" ph="1"/>
    </row>
    <row r="10203" spans="9:9" ht="18" customHeight="1">
      <c r="I10203" s="1" ph="1"/>
    </row>
    <row r="10211" spans="9:9" ht="18" customHeight="1">
      <c r="I10211" s="1" ph="1"/>
    </row>
    <row r="10250" spans="9:9" ht="18" customHeight="1">
      <c r="I10250" s="1" ph="1"/>
    </row>
    <row r="10321" spans="9:9" ht="18" customHeight="1">
      <c r="I10321" s="1" ph="1"/>
    </row>
    <row r="10327" spans="9:9" ht="18" customHeight="1">
      <c r="I10327" s="1" ph="1"/>
    </row>
    <row r="10475" spans="9:9" ht="18" customHeight="1">
      <c r="I10475" s="1" ph="1"/>
    </row>
    <row r="10479" spans="9:9" ht="18" customHeight="1">
      <c r="I10479" s="1" ph="1"/>
    </row>
    <row r="10480" spans="9:9" ht="18" customHeight="1">
      <c r="I10480" s="1" ph="1"/>
    </row>
    <row r="10507" spans="9:9" ht="18" customHeight="1">
      <c r="I10507" s="1" ph="1"/>
    </row>
    <row r="10552" spans="9:9" ht="18" customHeight="1">
      <c r="I10552" s="1" ph="1"/>
    </row>
    <row r="10564" spans="9:9" ht="18" customHeight="1">
      <c r="I10564" s="1" ph="1"/>
    </row>
    <row r="10568" spans="9:9" ht="18" customHeight="1">
      <c r="I10568" s="1" ph="1"/>
    </row>
    <row r="10569" spans="9:9" ht="18" customHeight="1">
      <c r="I10569" s="1" ph="1"/>
    </row>
    <row r="10570" spans="9:9" ht="18" customHeight="1">
      <c r="I10570" s="1" ph="1"/>
    </row>
    <row r="10571" spans="9:9" ht="18" customHeight="1">
      <c r="I10571" s="1" ph="1"/>
    </row>
    <row r="10572" spans="9:9" ht="18" customHeight="1">
      <c r="I10572" s="1" ph="1"/>
    </row>
    <row r="10574" spans="9:9" ht="18" customHeight="1">
      <c r="I10574" s="1" ph="1"/>
    </row>
    <row r="10575" spans="9:9" ht="18" customHeight="1">
      <c r="I10575" s="1" ph="1"/>
    </row>
    <row r="10576" spans="9:9" ht="18" customHeight="1">
      <c r="I10576" s="1" ph="1"/>
    </row>
    <row r="10577" spans="9:9" ht="18" customHeight="1">
      <c r="I10577" s="1" ph="1"/>
    </row>
    <row r="10578" spans="9:9" ht="18" customHeight="1">
      <c r="I10578" s="1" ph="1"/>
    </row>
    <row r="10580" spans="9:9" ht="18" customHeight="1">
      <c r="I10580" s="1" ph="1"/>
    </row>
    <row r="10584" spans="9:9" ht="18" customHeight="1">
      <c r="I10584" s="1" ph="1"/>
    </row>
    <row r="10585" spans="9:9" ht="18" customHeight="1">
      <c r="I10585" s="1" ph="1"/>
    </row>
    <row r="10586" spans="9:9" ht="18" customHeight="1">
      <c r="I10586" s="1" ph="1"/>
    </row>
    <row r="10588" spans="9:9" ht="18" customHeight="1">
      <c r="I10588" s="1" ph="1"/>
    </row>
    <row r="10590" spans="9:9" ht="18" customHeight="1">
      <c r="I10590" s="1" ph="1"/>
    </row>
    <row r="10591" spans="9:9" ht="18" customHeight="1">
      <c r="I10591" s="1" ph="1"/>
    </row>
    <row r="10592" spans="9:9" ht="18" customHeight="1">
      <c r="I10592" s="1" ph="1"/>
    </row>
    <row r="10594" spans="9:9" ht="18" customHeight="1">
      <c r="I10594" s="1" ph="1"/>
    </row>
    <row r="10595" spans="9:9" ht="18" customHeight="1">
      <c r="I10595" s="1" ph="1"/>
    </row>
    <row r="10596" spans="9:9" ht="18" customHeight="1">
      <c r="I10596" s="1" ph="1"/>
    </row>
    <row r="10597" spans="9:9" ht="18" customHeight="1">
      <c r="I10597" s="1" ph="1"/>
    </row>
    <row r="10598" spans="9:9" ht="18" customHeight="1">
      <c r="I10598" s="1" ph="1"/>
    </row>
    <row r="10600" spans="9:9" ht="18" customHeight="1">
      <c r="I10600" s="1" ph="1"/>
    </row>
    <row r="10602" spans="9:9" ht="18" customHeight="1">
      <c r="I10602" s="1" ph="1"/>
    </row>
    <row r="10604" spans="9:9" ht="18" customHeight="1">
      <c r="I10604" s="1" ph="1"/>
    </row>
    <row r="10605" spans="9:9" ht="18" customHeight="1">
      <c r="I10605" s="1" ph="1"/>
    </row>
    <row r="10606" spans="9:9" ht="18" customHeight="1">
      <c r="I10606" s="1" ph="1"/>
    </row>
    <row r="10608" spans="9:9" ht="18" customHeight="1">
      <c r="I10608" s="1" ph="1"/>
    </row>
    <row r="10609" spans="9:9" ht="18" customHeight="1">
      <c r="I10609" s="1" ph="1"/>
    </row>
    <row r="10610" spans="9:9" ht="18" customHeight="1">
      <c r="I10610" s="1" ph="1"/>
    </row>
    <row r="10611" spans="9:9" ht="18" customHeight="1">
      <c r="I10611" s="1" ph="1"/>
    </row>
    <row r="10612" spans="9:9" ht="18" customHeight="1">
      <c r="I10612" s="1" ph="1"/>
    </row>
    <row r="10613" spans="9:9" ht="18" customHeight="1">
      <c r="I10613" s="1" ph="1"/>
    </row>
    <row r="10614" spans="9:9" ht="18" customHeight="1">
      <c r="I10614" s="1" ph="1"/>
    </row>
    <row r="10615" spans="9:9" ht="18" customHeight="1">
      <c r="I10615" s="1" ph="1"/>
    </row>
    <row r="10616" spans="9:9" ht="18" customHeight="1">
      <c r="I10616" s="1" ph="1"/>
    </row>
    <row r="10618" spans="9:9" ht="18" customHeight="1">
      <c r="I10618" s="1" ph="1"/>
    </row>
    <row r="10620" spans="9:9" ht="18" customHeight="1">
      <c r="I10620" s="1" ph="1"/>
    </row>
    <row r="10621" spans="9:9" ht="18" customHeight="1">
      <c r="I10621" s="1" ph="1"/>
    </row>
    <row r="10622" spans="9:9" ht="18" customHeight="1">
      <c r="I10622" s="1" ph="1"/>
    </row>
    <row r="10623" spans="9:9" ht="18" customHeight="1">
      <c r="I10623" s="1" ph="1"/>
    </row>
    <row r="10624" spans="9:9" ht="18" customHeight="1">
      <c r="I10624" s="1" ph="1"/>
    </row>
    <row r="10625" spans="9:9" ht="18" customHeight="1">
      <c r="I10625" s="1" ph="1"/>
    </row>
    <row r="10626" spans="9:9" ht="18" customHeight="1">
      <c r="I10626" s="1" ph="1"/>
    </row>
    <row r="10627" spans="9:9" ht="18" customHeight="1">
      <c r="I10627" s="1" ph="1"/>
    </row>
    <row r="10628" spans="9:9" ht="18" customHeight="1">
      <c r="I10628" s="1" ph="1"/>
    </row>
    <row r="10629" spans="9:9" ht="18" customHeight="1">
      <c r="I10629" s="1" ph="1"/>
    </row>
    <row r="10630" spans="9:9" ht="18" customHeight="1">
      <c r="I10630" s="1" ph="1"/>
    </row>
    <row r="10631" spans="9:9" ht="18" customHeight="1">
      <c r="I10631" s="1" ph="1"/>
    </row>
    <row r="10632" spans="9:9" ht="18" customHeight="1">
      <c r="I10632" s="1" ph="1"/>
    </row>
    <row r="10633" spans="9:9" ht="18" customHeight="1">
      <c r="I10633" s="1" ph="1"/>
    </row>
    <row r="10634" spans="9:9" ht="18" customHeight="1">
      <c r="I10634" s="1" ph="1"/>
    </row>
    <row r="10635" spans="9:9" ht="18" customHeight="1">
      <c r="I10635" s="1" ph="1"/>
    </row>
    <row r="10636" spans="9:9" ht="18" customHeight="1">
      <c r="I10636" s="1" ph="1"/>
    </row>
    <row r="10637" spans="9:9" ht="18" customHeight="1">
      <c r="I10637" s="1" ph="1"/>
    </row>
    <row r="10638" spans="9:9" ht="18" customHeight="1">
      <c r="I10638" s="1" ph="1"/>
    </row>
    <row r="10639" spans="9:9" ht="18" customHeight="1">
      <c r="I10639" s="1" ph="1"/>
    </row>
    <row r="10640" spans="9:9" ht="18" customHeight="1">
      <c r="I10640" s="1" ph="1"/>
    </row>
    <row r="10641" spans="9:9" ht="18" customHeight="1">
      <c r="I10641" s="1" ph="1"/>
    </row>
    <row r="10642" spans="9:9" ht="18" customHeight="1">
      <c r="I10642" s="1" ph="1"/>
    </row>
    <row r="10643" spans="9:9" ht="18" customHeight="1">
      <c r="I10643" s="1" ph="1"/>
    </row>
    <row r="10644" spans="9:9" ht="18" customHeight="1">
      <c r="I10644" s="1" ph="1"/>
    </row>
    <row r="10645" spans="9:9" ht="18" customHeight="1">
      <c r="I10645" s="1" ph="1"/>
    </row>
    <row r="10646" spans="9:9" ht="18" customHeight="1">
      <c r="I10646" s="1" ph="1"/>
    </row>
    <row r="10647" spans="9:9" ht="18" customHeight="1">
      <c r="I10647" s="1" ph="1"/>
    </row>
    <row r="10648" spans="9:9" ht="18" customHeight="1">
      <c r="I10648" s="1" ph="1"/>
    </row>
    <row r="10649" spans="9:9" ht="18" customHeight="1">
      <c r="I10649" s="1" ph="1"/>
    </row>
    <row r="10650" spans="9:9" ht="18" customHeight="1">
      <c r="I10650" s="1" ph="1"/>
    </row>
    <row r="10651" spans="9:9" ht="18" customHeight="1">
      <c r="I10651" s="1" ph="1"/>
    </row>
    <row r="10652" spans="9:9" ht="18" customHeight="1">
      <c r="I10652" s="1" ph="1"/>
    </row>
    <row r="10653" spans="9:9" ht="18" customHeight="1">
      <c r="I10653" s="1" ph="1"/>
    </row>
    <row r="10654" spans="9:9" ht="18" customHeight="1">
      <c r="I10654" s="1" ph="1"/>
    </row>
    <row r="10655" spans="9:9" ht="18" customHeight="1">
      <c r="I10655" s="1" ph="1"/>
    </row>
    <row r="10656" spans="9:9" ht="18" customHeight="1">
      <c r="I10656" s="1" ph="1"/>
    </row>
    <row r="10657" spans="9:9" ht="18" customHeight="1">
      <c r="I10657" s="1" ph="1"/>
    </row>
    <row r="10658" spans="9:9" ht="18" customHeight="1">
      <c r="I10658" s="1" ph="1"/>
    </row>
    <row r="10659" spans="9:9" ht="18" customHeight="1">
      <c r="I10659" s="1" ph="1"/>
    </row>
    <row r="10660" spans="9:9" ht="18" customHeight="1">
      <c r="I10660" s="1" ph="1"/>
    </row>
    <row r="10661" spans="9:9" ht="18" customHeight="1">
      <c r="I10661" s="1" ph="1"/>
    </row>
    <row r="10662" spans="9:9" ht="18" customHeight="1">
      <c r="I10662" s="1" ph="1"/>
    </row>
    <row r="10663" spans="9:9" ht="18" customHeight="1">
      <c r="I10663" s="1" ph="1"/>
    </row>
    <row r="10664" spans="9:9" ht="18" customHeight="1">
      <c r="I10664" s="1" ph="1"/>
    </row>
    <row r="10665" spans="9:9" ht="18" customHeight="1">
      <c r="I10665" s="1" ph="1"/>
    </row>
    <row r="10666" spans="9:9" ht="18" customHeight="1">
      <c r="I10666" s="1" ph="1"/>
    </row>
    <row r="10667" spans="9:9" ht="18" customHeight="1">
      <c r="I10667" s="1" ph="1"/>
    </row>
    <row r="10668" spans="9:9" ht="18" customHeight="1">
      <c r="I10668" s="1" ph="1"/>
    </row>
    <row r="10669" spans="9:9" ht="18" customHeight="1">
      <c r="I10669" s="1" ph="1"/>
    </row>
    <row r="10670" spans="9:9" ht="18" customHeight="1">
      <c r="I10670" s="1" ph="1"/>
    </row>
    <row r="10671" spans="9:9" ht="18" customHeight="1">
      <c r="I10671" s="1" ph="1"/>
    </row>
    <row r="10672" spans="9:9" ht="18" customHeight="1">
      <c r="I10672" s="1" ph="1"/>
    </row>
    <row r="10673" spans="9:9" ht="18" customHeight="1">
      <c r="I10673" s="1" ph="1"/>
    </row>
    <row r="10674" spans="9:9" ht="18" customHeight="1">
      <c r="I10674" s="1" ph="1"/>
    </row>
    <row r="10675" spans="9:9" ht="18" customHeight="1">
      <c r="I10675" s="1" ph="1"/>
    </row>
    <row r="10676" spans="9:9" ht="18" customHeight="1">
      <c r="I10676" s="1" ph="1"/>
    </row>
    <row r="10677" spans="9:9" ht="18" customHeight="1">
      <c r="I10677" s="1" ph="1"/>
    </row>
    <row r="10678" spans="9:9" ht="18" customHeight="1">
      <c r="I10678" s="1" ph="1"/>
    </row>
    <row r="10679" spans="9:9" ht="18" customHeight="1">
      <c r="I10679" s="1" ph="1"/>
    </row>
    <row r="10680" spans="9:9" ht="18" customHeight="1">
      <c r="I10680" s="1" ph="1"/>
    </row>
    <row r="10681" spans="9:9" ht="18" customHeight="1">
      <c r="I10681" s="1" ph="1"/>
    </row>
    <row r="10682" spans="9:9" ht="18" customHeight="1">
      <c r="I10682" s="1" ph="1"/>
    </row>
    <row r="10683" spans="9:9" ht="18" customHeight="1">
      <c r="I10683" s="1" ph="1"/>
    </row>
    <row r="10684" spans="9:9" ht="18" customHeight="1">
      <c r="I10684" s="1" ph="1"/>
    </row>
    <row r="10685" spans="9:9" ht="18" customHeight="1">
      <c r="I10685" s="1" ph="1"/>
    </row>
    <row r="10686" spans="9:9" ht="18" customHeight="1">
      <c r="I10686" s="1" ph="1"/>
    </row>
    <row r="10687" spans="9:9" ht="18" customHeight="1">
      <c r="I10687" s="1" ph="1"/>
    </row>
    <row r="10688" spans="9:9" ht="18" customHeight="1">
      <c r="I10688" s="1" ph="1"/>
    </row>
    <row r="10689" spans="9:9" ht="18" customHeight="1">
      <c r="I10689" s="1" ph="1"/>
    </row>
    <row r="10690" spans="9:9" ht="18" customHeight="1">
      <c r="I10690" s="1" ph="1"/>
    </row>
    <row r="10691" spans="9:9" ht="18" customHeight="1">
      <c r="I10691" s="1" ph="1"/>
    </row>
    <row r="10692" spans="9:9" ht="18" customHeight="1">
      <c r="I10692" s="1" ph="1"/>
    </row>
    <row r="10693" spans="9:9" ht="18" customHeight="1">
      <c r="I10693" s="1" ph="1"/>
    </row>
    <row r="10694" spans="9:9" ht="18" customHeight="1">
      <c r="I10694" s="1" ph="1"/>
    </row>
    <row r="10695" spans="9:9" ht="18" customHeight="1">
      <c r="I10695" s="1" ph="1"/>
    </row>
    <row r="10696" spans="9:9" ht="18" customHeight="1">
      <c r="I10696" s="1" ph="1"/>
    </row>
    <row r="10697" spans="9:9" ht="18" customHeight="1">
      <c r="I10697" s="1" ph="1"/>
    </row>
    <row r="10698" spans="9:9" ht="18" customHeight="1">
      <c r="I10698" s="1" ph="1"/>
    </row>
    <row r="10699" spans="9:9" ht="18" customHeight="1">
      <c r="I10699" s="1" ph="1"/>
    </row>
    <row r="10700" spans="9:9" ht="18" customHeight="1">
      <c r="I10700" s="1" ph="1"/>
    </row>
    <row r="10701" spans="9:9" ht="18" customHeight="1">
      <c r="I10701" s="1" ph="1"/>
    </row>
    <row r="10702" spans="9:9" ht="18" customHeight="1">
      <c r="I10702" s="1" ph="1"/>
    </row>
    <row r="10703" spans="9:9" ht="18" customHeight="1">
      <c r="I10703" s="1" ph="1"/>
    </row>
    <row r="10704" spans="9:9" ht="18" customHeight="1">
      <c r="I10704" s="1" ph="1"/>
    </row>
    <row r="10705" spans="9:9" ht="18" customHeight="1">
      <c r="I10705" s="1" ph="1"/>
    </row>
    <row r="10706" spans="9:9" ht="18" customHeight="1">
      <c r="I10706" s="1" ph="1"/>
    </row>
    <row r="10707" spans="9:9" ht="18" customHeight="1">
      <c r="I10707" s="1" ph="1"/>
    </row>
    <row r="10708" spans="9:9" ht="18" customHeight="1">
      <c r="I10708" s="1" ph="1"/>
    </row>
    <row r="10709" spans="9:9" ht="18" customHeight="1">
      <c r="I10709" s="1" ph="1"/>
    </row>
    <row r="10710" spans="9:9" ht="18" customHeight="1">
      <c r="I10710" s="1" ph="1"/>
    </row>
    <row r="10711" spans="9:9" ht="18" customHeight="1">
      <c r="I10711" s="1" ph="1"/>
    </row>
    <row r="10712" spans="9:9" ht="18" customHeight="1">
      <c r="I10712" s="1" ph="1"/>
    </row>
    <row r="10713" spans="9:9" ht="18" customHeight="1">
      <c r="I10713" s="1" ph="1"/>
    </row>
    <row r="10714" spans="9:9" ht="18" customHeight="1">
      <c r="I10714" s="1" ph="1"/>
    </row>
    <row r="10715" spans="9:9" ht="18" customHeight="1">
      <c r="I10715" s="1" ph="1"/>
    </row>
    <row r="10716" spans="9:9" ht="18" customHeight="1">
      <c r="I10716" s="1" ph="1"/>
    </row>
    <row r="10717" spans="9:9" ht="18" customHeight="1">
      <c r="I10717" s="1" ph="1"/>
    </row>
    <row r="10718" spans="9:9" ht="18" customHeight="1">
      <c r="I10718" s="1" ph="1"/>
    </row>
    <row r="10719" spans="9:9" ht="18" customHeight="1">
      <c r="I10719" s="1" ph="1"/>
    </row>
    <row r="10720" spans="9:9" ht="18" customHeight="1">
      <c r="I10720" s="1" ph="1"/>
    </row>
    <row r="10721" spans="9:9" ht="18" customHeight="1">
      <c r="I10721" s="1" ph="1"/>
    </row>
    <row r="10722" spans="9:9" ht="18" customHeight="1">
      <c r="I10722" s="1" ph="1"/>
    </row>
    <row r="10723" spans="9:9" ht="18" customHeight="1">
      <c r="I10723" s="1" ph="1"/>
    </row>
    <row r="10724" spans="9:9" ht="18" customHeight="1">
      <c r="I10724" s="1" ph="1"/>
    </row>
    <row r="10725" spans="9:9" ht="18" customHeight="1">
      <c r="I10725" s="1" ph="1"/>
    </row>
    <row r="10726" spans="9:9" ht="18" customHeight="1">
      <c r="I10726" s="1" ph="1"/>
    </row>
    <row r="10727" spans="9:9" ht="18" customHeight="1">
      <c r="I10727" s="1" ph="1"/>
    </row>
    <row r="10728" spans="9:9" ht="18" customHeight="1">
      <c r="I10728" s="1" ph="1"/>
    </row>
    <row r="10729" spans="9:9" ht="18" customHeight="1">
      <c r="I10729" s="1" ph="1"/>
    </row>
    <row r="10730" spans="9:9" ht="18" customHeight="1">
      <c r="I10730" s="1" ph="1"/>
    </row>
    <row r="10731" spans="9:9" ht="18" customHeight="1">
      <c r="I10731" s="1" ph="1"/>
    </row>
    <row r="10732" spans="9:9" ht="18" customHeight="1">
      <c r="I10732" s="1" ph="1"/>
    </row>
    <row r="10733" spans="9:9" ht="18" customHeight="1">
      <c r="I10733" s="1" ph="1"/>
    </row>
    <row r="10734" spans="9:9" ht="18" customHeight="1">
      <c r="I10734" s="1" ph="1"/>
    </row>
    <row r="10735" spans="9:9" ht="18" customHeight="1">
      <c r="I10735" s="1" ph="1"/>
    </row>
    <row r="10736" spans="9:9" ht="18" customHeight="1">
      <c r="I10736" s="1" ph="1"/>
    </row>
    <row r="10737" spans="9:9" ht="18" customHeight="1">
      <c r="I10737" s="1" ph="1"/>
    </row>
    <row r="10738" spans="9:9" ht="18" customHeight="1">
      <c r="I10738" s="1" ph="1"/>
    </row>
    <row r="10739" spans="9:9" ht="18" customHeight="1">
      <c r="I10739" s="1" ph="1"/>
    </row>
    <row r="10740" spans="9:9" ht="18" customHeight="1">
      <c r="I10740" s="1" ph="1"/>
    </row>
    <row r="10741" spans="9:9" ht="18" customHeight="1">
      <c r="I10741" s="1" ph="1"/>
    </row>
    <row r="10742" spans="9:9" ht="18" customHeight="1">
      <c r="I10742" s="1" ph="1"/>
    </row>
    <row r="10743" spans="9:9" ht="18" customHeight="1">
      <c r="I10743" s="1" ph="1"/>
    </row>
    <row r="10744" spans="9:9" ht="18" customHeight="1">
      <c r="I10744" s="1" ph="1"/>
    </row>
    <row r="10745" spans="9:9" ht="18" customHeight="1">
      <c r="I10745" s="1" ph="1"/>
    </row>
    <row r="10746" spans="9:9" ht="18" customHeight="1">
      <c r="I10746" s="1" ph="1"/>
    </row>
    <row r="10747" spans="9:9" ht="18" customHeight="1">
      <c r="I10747" s="1" ph="1"/>
    </row>
    <row r="10748" spans="9:9" ht="18" customHeight="1">
      <c r="I10748" s="1" ph="1"/>
    </row>
    <row r="10749" spans="9:9" ht="18" customHeight="1">
      <c r="I10749" s="1" ph="1"/>
    </row>
    <row r="10750" spans="9:9" ht="18" customHeight="1">
      <c r="I10750" s="1" ph="1"/>
    </row>
    <row r="10751" spans="9:9" ht="18" customHeight="1">
      <c r="I10751" s="1" ph="1"/>
    </row>
    <row r="10752" spans="9:9" ht="18" customHeight="1">
      <c r="I10752" s="1" ph="1"/>
    </row>
    <row r="10753" spans="9:9" ht="18" customHeight="1">
      <c r="I10753" s="1" ph="1"/>
    </row>
    <row r="10754" spans="9:9" ht="18" customHeight="1">
      <c r="I10754" s="1" ph="1"/>
    </row>
    <row r="10755" spans="9:9" ht="18" customHeight="1">
      <c r="I10755" s="1" ph="1"/>
    </row>
    <row r="10756" spans="9:9" ht="18" customHeight="1">
      <c r="I10756" s="1" ph="1"/>
    </row>
    <row r="10757" spans="9:9" ht="18" customHeight="1">
      <c r="I10757" s="1" ph="1"/>
    </row>
    <row r="10758" spans="9:9" ht="18" customHeight="1">
      <c r="I10758" s="1" ph="1"/>
    </row>
    <row r="10759" spans="9:9" ht="18" customHeight="1">
      <c r="I10759" s="1" ph="1"/>
    </row>
    <row r="10760" spans="9:9" ht="18" customHeight="1">
      <c r="I10760" s="1" ph="1"/>
    </row>
    <row r="10761" spans="9:9" ht="18" customHeight="1">
      <c r="I10761" s="1" ph="1"/>
    </row>
    <row r="10762" spans="9:9" ht="18" customHeight="1">
      <c r="I10762" s="1" ph="1"/>
    </row>
    <row r="10763" spans="9:9" ht="18" customHeight="1">
      <c r="I10763" s="1" ph="1"/>
    </row>
    <row r="10764" spans="9:9" ht="18" customHeight="1">
      <c r="I10764" s="1" ph="1"/>
    </row>
    <row r="10765" spans="9:9" ht="18" customHeight="1">
      <c r="I10765" s="1" ph="1"/>
    </row>
    <row r="10766" spans="9:9" ht="18" customHeight="1">
      <c r="I10766" s="1" ph="1"/>
    </row>
    <row r="10767" spans="9:9" ht="18" customHeight="1">
      <c r="I10767" s="1" ph="1"/>
    </row>
    <row r="10768" spans="9:9" ht="18" customHeight="1">
      <c r="I10768" s="1" ph="1"/>
    </row>
    <row r="10769" spans="9:9" ht="18" customHeight="1">
      <c r="I10769" s="1" ph="1"/>
    </row>
    <row r="10770" spans="9:9" ht="18" customHeight="1">
      <c r="I10770" s="1" ph="1"/>
    </row>
    <row r="10771" spans="9:9" ht="18" customHeight="1">
      <c r="I10771" s="1" ph="1"/>
    </row>
    <row r="10772" spans="9:9" ht="18" customHeight="1">
      <c r="I10772" s="1" ph="1"/>
    </row>
    <row r="10773" spans="9:9" ht="18" customHeight="1">
      <c r="I10773" s="1" ph="1"/>
    </row>
    <row r="10774" spans="9:9" ht="18" customHeight="1">
      <c r="I10774" s="1" ph="1"/>
    </row>
    <row r="10775" spans="9:9" ht="18" customHeight="1">
      <c r="I10775" s="1" ph="1"/>
    </row>
    <row r="10776" spans="9:9" ht="18" customHeight="1">
      <c r="I10776" s="1" ph="1"/>
    </row>
    <row r="10777" spans="9:9" ht="18" customHeight="1">
      <c r="I10777" s="1" ph="1"/>
    </row>
    <row r="10778" spans="9:9" ht="18" customHeight="1">
      <c r="I10778" s="1" ph="1"/>
    </row>
    <row r="10779" spans="9:9" ht="18" customHeight="1">
      <c r="I10779" s="1" ph="1"/>
    </row>
    <row r="10780" spans="9:9" ht="18" customHeight="1">
      <c r="I10780" s="1" ph="1"/>
    </row>
    <row r="10781" spans="9:9" ht="18" customHeight="1">
      <c r="I10781" s="1" ph="1"/>
    </row>
    <row r="10782" spans="9:9" ht="18" customHeight="1">
      <c r="I10782" s="1" ph="1"/>
    </row>
    <row r="10783" spans="9:9" ht="18" customHeight="1">
      <c r="I10783" s="1" ph="1"/>
    </row>
    <row r="10784" spans="9:9" ht="18" customHeight="1">
      <c r="I10784" s="1" ph="1"/>
    </row>
    <row r="10785" spans="9:9" ht="18" customHeight="1">
      <c r="I10785" s="1" ph="1"/>
    </row>
    <row r="10786" spans="9:9" ht="18" customHeight="1">
      <c r="I10786" s="1" ph="1"/>
    </row>
    <row r="10787" spans="9:9" ht="18" customHeight="1">
      <c r="I10787" s="1" ph="1"/>
    </row>
    <row r="10788" spans="9:9" ht="18" customHeight="1">
      <c r="I10788" s="1" ph="1"/>
    </row>
    <row r="10789" spans="9:9" ht="18" customHeight="1">
      <c r="I10789" s="1" ph="1"/>
    </row>
    <row r="10790" spans="9:9" ht="18" customHeight="1">
      <c r="I10790" s="1" ph="1"/>
    </row>
    <row r="10791" spans="9:9" ht="18" customHeight="1">
      <c r="I10791" s="1" ph="1"/>
    </row>
    <row r="10792" spans="9:9" ht="18" customHeight="1">
      <c r="I10792" s="1" ph="1"/>
    </row>
    <row r="10793" spans="9:9" ht="18" customHeight="1">
      <c r="I10793" s="1" ph="1"/>
    </row>
    <row r="10794" spans="9:9" ht="18" customHeight="1">
      <c r="I10794" s="1" ph="1"/>
    </row>
    <row r="10795" spans="9:9" ht="18" customHeight="1">
      <c r="I10795" s="1" ph="1"/>
    </row>
    <row r="10796" spans="9:9" ht="18" customHeight="1">
      <c r="I10796" s="1" ph="1"/>
    </row>
    <row r="10797" spans="9:9" ht="18" customHeight="1">
      <c r="I10797" s="1" ph="1"/>
    </row>
    <row r="10798" spans="9:9" ht="18" customHeight="1">
      <c r="I10798" s="1" ph="1"/>
    </row>
    <row r="10799" spans="9:9" ht="18" customHeight="1">
      <c r="I10799" s="1" ph="1"/>
    </row>
    <row r="10800" spans="9:9" ht="18" customHeight="1">
      <c r="I10800" s="1" ph="1"/>
    </row>
    <row r="10801" spans="9:9" ht="18" customHeight="1">
      <c r="I10801" s="1" ph="1"/>
    </row>
    <row r="10802" spans="9:9" ht="18" customHeight="1">
      <c r="I10802" s="1" ph="1"/>
    </row>
    <row r="10803" spans="9:9" ht="18" customHeight="1">
      <c r="I10803" s="1" ph="1"/>
    </row>
    <row r="10804" spans="9:9" ht="18" customHeight="1">
      <c r="I10804" s="1" ph="1"/>
    </row>
    <row r="10805" spans="9:9" ht="18" customHeight="1">
      <c r="I10805" s="1" ph="1"/>
    </row>
    <row r="10806" spans="9:9" ht="18" customHeight="1">
      <c r="I10806" s="1" ph="1"/>
    </row>
    <row r="10807" spans="9:9" ht="18" customHeight="1">
      <c r="I10807" s="1" ph="1"/>
    </row>
    <row r="10808" spans="9:9" ht="18" customHeight="1">
      <c r="I10808" s="1" ph="1"/>
    </row>
    <row r="10809" spans="9:9" ht="18" customHeight="1">
      <c r="I10809" s="1" ph="1"/>
    </row>
    <row r="10810" spans="9:9" ht="18" customHeight="1">
      <c r="I10810" s="1" ph="1"/>
    </row>
    <row r="10811" spans="9:9" ht="18" customHeight="1">
      <c r="I10811" s="1" ph="1"/>
    </row>
    <row r="10812" spans="9:9" ht="18" customHeight="1">
      <c r="I10812" s="1" ph="1"/>
    </row>
    <row r="10813" spans="9:9" ht="18" customHeight="1">
      <c r="I10813" s="1" ph="1"/>
    </row>
    <row r="10814" spans="9:9" ht="18" customHeight="1">
      <c r="I10814" s="1" ph="1"/>
    </row>
    <row r="10815" spans="9:9" ht="18" customHeight="1">
      <c r="I10815" s="1" ph="1"/>
    </row>
    <row r="10816" spans="9:9" ht="18" customHeight="1">
      <c r="I10816" s="1" ph="1"/>
    </row>
    <row r="10817" spans="9:9" ht="18" customHeight="1">
      <c r="I10817" s="1" ph="1"/>
    </row>
    <row r="10818" spans="9:9" ht="18" customHeight="1">
      <c r="I10818" s="1" ph="1"/>
    </row>
    <row r="10819" spans="9:9" ht="18" customHeight="1">
      <c r="I10819" s="1" ph="1"/>
    </row>
    <row r="10820" spans="9:9" ht="18" customHeight="1">
      <c r="I10820" s="1" ph="1"/>
    </row>
    <row r="10821" spans="9:9" ht="18" customHeight="1">
      <c r="I10821" s="1" ph="1"/>
    </row>
    <row r="10822" spans="9:9" ht="18" customHeight="1">
      <c r="I10822" s="1" ph="1"/>
    </row>
    <row r="10823" spans="9:9" ht="18" customHeight="1">
      <c r="I10823" s="1" ph="1"/>
    </row>
    <row r="10824" spans="9:9" ht="18" customHeight="1">
      <c r="I10824" s="1" ph="1"/>
    </row>
    <row r="10825" spans="9:9" ht="18" customHeight="1">
      <c r="I10825" s="1" ph="1"/>
    </row>
    <row r="10826" spans="9:9" ht="18" customHeight="1">
      <c r="I10826" s="1" ph="1"/>
    </row>
    <row r="10827" spans="9:9" ht="18" customHeight="1">
      <c r="I10827" s="1" ph="1"/>
    </row>
    <row r="10828" spans="9:9" ht="18" customHeight="1">
      <c r="I10828" s="1" ph="1"/>
    </row>
    <row r="10829" spans="9:9" ht="18" customHeight="1">
      <c r="I10829" s="1" ph="1"/>
    </row>
    <row r="10830" spans="9:9" ht="18" customHeight="1">
      <c r="I10830" s="1" ph="1"/>
    </row>
    <row r="10831" spans="9:9" ht="18" customHeight="1">
      <c r="I10831" s="1" ph="1"/>
    </row>
    <row r="10832" spans="9:9" ht="18" customHeight="1">
      <c r="I10832" s="1" ph="1"/>
    </row>
    <row r="10833" spans="9:9" ht="18" customHeight="1">
      <c r="I10833" s="1" ph="1"/>
    </row>
    <row r="10834" spans="9:9" ht="18" customHeight="1">
      <c r="I10834" s="1" ph="1"/>
    </row>
    <row r="10835" spans="9:9" ht="18" customHeight="1">
      <c r="I10835" s="1" ph="1"/>
    </row>
    <row r="10836" spans="9:9" ht="18" customHeight="1">
      <c r="I10836" s="1" ph="1"/>
    </row>
    <row r="10837" spans="9:9" ht="18" customHeight="1">
      <c r="I10837" s="1" ph="1"/>
    </row>
    <row r="10838" spans="9:9" ht="18" customHeight="1">
      <c r="I10838" s="1" ph="1"/>
    </row>
    <row r="10839" spans="9:9" ht="18" customHeight="1">
      <c r="I10839" s="1" ph="1"/>
    </row>
    <row r="10840" spans="9:9" ht="18" customHeight="1">
      <c r="I10840" s="1" ph="1"/>
    </row>
    <row r="10841" spans="9:9" ht="18" customHeight="1">
      <c r="I10841" s="1" ph="1"/>
    </row>
    <row r="10842" spans="9:9" ht="18" customHeight="1">
      <c r="I10842" s="1" ph="1"/>
    </row>
    <row r="10843" spans="9:9" ht="18" customHeight="1">
      <c r="I10843" s="1" ph="1"/>
    </row>
    <row r="10844" spans="9:9" ht="18" customHeight="1">
      <c r="I10844" s="1" ph="1"/>
    </row>
    <row r="10845" spans="9:9" ht="18" customHeight="1">
      <c r="I10845" s="1" ph="1"/>
    </row>
    <row r="10846" spans="9:9" ht="18" customHeight="1">
      <c r="I10846" s="1" ph="1"/>
    </row>
    <row r="10847" spans="9:9" ht="18" customHeight="1">
      <c r="I10847" s="1" ph="1"/>
    </row>
    <row r="10848" spans="9:9" ht="18" customHeight="1">
      <c r="I10848" s="1" ph="1"/>
    </row>
    <row r="10849" spans="9:9" ht="18" customHeight="1">
      <c r="I10849" s="1" ph="1"/>
    </row>
    <row r="10850" spans="9:9" ht="18" customHeight="1">
      <c r="I10850" s="1" ph="1"/>
    </row>
    <row r="10851" spans="9:9" ht="18" customHeight="1">
      <c r="I10851" s="1" ph="1"/>
    </row>
    <row r="10852" spans="9:9" ht="18" customHeight="1">
      <c r="I10852" s="1" ph="1"/>
    </row>
    <row r="10853" spans="9:9" ht="18" customHeight="1">
      <c r="I10853" s="1" ph="1"/>
    </row>
    <row r="10854" spans="9:9" ht="18" customHeight="1">
      <c r="I10854" s="1" ph="1"/>
    </row>
    <row r="10855" spans="9:9" ht="18" customHeight="1">
      <c r="I10855" s="1" ph="1"/>
    </row>
    <row r="10856" spans="9:9" ht="18" customHeight="1">
      <c r="I10856" s="1" ph="1"/>
    </row>
    <row r="10857" spans="9:9" ht="18" customHeight="1">
      <c r="I10857" s="1" ph="1"/>
    </row>
    <row r="10858" spans="9:9" ht="18" customHeight="1">
      <c r="I10858" s="1" ph="1"/>
    </row>
    <row r="10859" spans="9:9" ht="18" customHeight="1">
      <c r="I10859" s="1" ph="1"/>
    </row>
    <row r="10860" spans="9:9" ht="18" customHeight="1">
      <c r="I10860" s="1" ph="1"/>
    </row>
    <row r="10861" spans="9:9" ht="18" customHeight="1">
      <c r="I10861" s="1" ph="1"/>
    </row>
    <row r="10862" spans="9:9" ht="18" customHeight="1">
      <c r="I10862" s="1" ph="1"/>
    </row>
    <row r="10863" spans="9:9" ht="18" customHeight="1">
      <c r="I10863" s="1" ph="1"/>
    </row>
    <row r="10864" spans="9:9" ht="18" customHeight="1">
      <c r="I10864" s="1" ph="1"/>
    </row>
    <row r="10865" spans="9:9" ht="18" customHeight="1">
      <c r="I10865" s="1" ph="1"/>
    </row>
    <row r="10866" spans="9:9" ht="18" customHeight="1">
      <c r="I10866" s="1" ph="1"/>
    </row>
    <row r="10867" spans="9:9" ht="18" customHeight="1">
      <c r="I10867" s="1" ph="1"/>
    </row>
    <row r="10868" spans="9:9" ht="18" customHeight="1">
      <c r="I10868" s="1" ph="1"/>
    </row>
    <row r="10869" spans="9:9" ht="18" customHeight="1">
      <c r="I10869" s="1" ph="1"/>
    </row>
    <row r="10870" spans="9:9" ht="18" customHeight="1">
      <c r="I10870" s="1" ph="1"/>
    </row>
    <row r="10871" spans="9:9" ht="18" customHeight="1">
      <c r="I10871" s="1" ph="1"/>
    </row>
    <row r="10872" spans="9:9" ht="18" customHeight="1">
      <c r="I10872" s="1" ph="1"/>
    </row>
    <row r="10873" spans="9:9" ht="18" customHeight="1">
      <c r="I10873" s="1" ph="1"/>
    </row>
    <row r="10874" spans="9:9" ht="18" customHeight="1">
      <c r="I10874" s="1" ph="1"/>
    </row>
    <row r="10875" spans="9:9" ht="18" customHeight="1">
      <c r="I10875" s="1" ph="1"/>
    </row>
    <row r="10876" spans="9:9" ht="18" customHeight="1">
      <c r="I10876" s="1" ph="1"/>
    </row>
    <row r="10877" spans="9:9" ht="18" customHeight="1">
      <c r="I10877" s="1" ph="1"/>
    </row>
    <row r="10878" spans="9:9" ht="18" customHeight="1">
      <c r="I10878" s="1" ph="1"/>
    </row>
    <row r="10879" spans="9:9" ht="18" customHeight="1">
      <c r="I10879" s="1" ph="1"/>
    </row>
    <row r="10880" spans="9:9" ht="18" customHeight="1">
      <c r="I10880" s="1" ph="1"/>
    </row>
    <row r="10881" spans="9:9" ht="18" customHeight="1">
      <c r="I10881" s="1" ph="1"/>
    </row>
    <row r="10882" spans="9:9" ht="18" customHeight="1">
      <c r="I10882" s="1" ph="1"/>
    </row>
    <row r="10883" spans="9:9" ht="18" customHeight="1">
      <c r="I10883" s="1" ph="1"/>
    </row>
    <row r="10884" spans="9:9" ht="18" customHeight="1">
      <c r="I10884" s="1" ph="1"/>
    </row>
    <row r="10885" spans="9:9" ht="18" customHeight="1">
      <c r="I10885" s="1" ph="1"/>
    </row>
    <row r="10886" spans="9:9" ht="18" customHeight="1">
      <c r="I10886" s="1" ph="1"/>
    </row>
    <row r="10887" spans="9:9" ht="18" customHeight="1">
      <c r="I10887" s="1" ph="1"/>
    </row>
    <row r="10888" spans="9:9" ht="18" customHeight="1">
      <c r="I10888" s="1" ph="1"/>
    </row>
    <row r="10889" spans="9:9" ht="18" customHeight="1">
      <c r="I10889" s="1" ph="1"/>
    </row>
    <row r="10890" spans="9:9" ht="18" customHeight="1">
      <c r="I10890" s="1" ph="1"/>
    </row>
    <row r="10891" spans="9:9" ht="18" customHeight="1">
      <c r="I10891" s="1" ph="1"/>
    </row>
    <row r="10892" spans="9:9" ht="18" customHeight="1">
      <c r="I10892" s="1" ph="1"/>
    </row>
    <row r="10893" spans="9:9" ht="18" customHeight="1">
      <c r="I10893" s="1" ph="1"/>
    </row>
    <row r="10894" spans="9:9" ht="18" customHeight="1">
      <c r="I10894" s="1" ph="1"/>
    </row>
    <row r="10895" spans="9:9" ht="18" customHeight="1">
      <c r="I10895" s="1" ph="1"/>
    </row>
    <row r="10896" spans="9:9" ht="18" customHeight="1">
      <c r="I10896" s="1" ph="1"/>
    </row>
    <row r="10897" spans="9:9" ht="18" customHeight="1">
      <c r="I10897" s="1" ph="1"/>
    </row>
    <row r="10898" spans="9:9" ht="18" customHeight="1">
      <c r="I10898" s="1" ph="1"/>
    </row>
    <row r="10899" spans="9:9" ht="18" customHeight="1">
      <c r="I10899" s="1" ph="1"/>
    </row>
    <row r="10900" spans="9:9" ht="18" customHeight="1">
      <c r="I10900" s="1" ph="1"/>
    </row>
    <row r="10901" spans="9:9" ht="18" customHeight="1">
      <c r="I10901" s="1" ph="1"/>
    </row>
    <row r="10902" spans="9:9" ht="18" customHeight="1">
      <c r="I10902" s="1" ph="1"/>
    </row>
    <row r="10903" spans="9:9" ht="18" customHeight="1">
      <c r="I10903" s="1" ph="1"/>
    </row>
    <row r="10904" spans="9:9" ht="18" customHeight="1">
      <c r="I10904" s="1" ph="1"/>
    </row>
    <row r="10905" spans="9:9" ht="18" customHeight="1">
      <c r="I10905" s="1" ph="1"/>
    </row>
    <row r="10906" spans="9:9" ht="18" customHeight="1">
      <c r="I10906" s="1" ph="1"/>
    </row>
    <row r="10907" spans="9:9" ht="18" customHeight="1">
      <c r="I10907" s="1" ph="1"/>
    </row>
    <row r="10908" spans="9:9" ht="18" customHeight="1">
      <c r="I10908" s="1" ph="1"/>
    </row>
    <row r="10909" spans="9:9" ht="18" customHeight="1">
      <c r="I10909" s="1" ph="1"/>
    </row>
    <row r="10910" spans="9:9" ht="18" customHeight="1">
      <c r="I10910" s="1" ph="1"/>
    </row>
    <row r="10911" spans="9:9" ht="18" customHeight="1">
      <c r="I10911" s="1" ph="1"/>
    </row>
    <row r="10912" spans="9:9" ht="18" customHeight="1">
      <c r="I10912" s="1" ph="1"/>
    </row>
    <row r="10913" spans="9:9" ht="18" customHeight="1">
      <c r="I10913" s="1" ph="1"/>
    </row>
    <row r="10914" spans="9:9" ht="18" customHeight="1">
      <c r="I10914" s="1" ph="1"/>
    </row>
    <row r="10915" spans="9:9" ht="18" customHeight="1">
      <c r="I10915" s="1" ph="1"/>
    </row>
    <row r="10916" spans="9:9" ht="18" customHeight="1">
      <c r="I10916" s="1" ph="1"/>
    </row>
    <row r="10917" spans="9:9" ht="18" customHeight="1">
      <c r="I10917" s="1" ph="1"/>
    </row>
    <row r="10918" spans="9:9" ht="18" customHeight="1">
      <c r="I10918" s="1" ph="1"/>
    </row>
    <row r="10919" spans="9:9" ht="18" customHeight="1">
      <c r="I10919" s="1" ph="1"/>
    </row>
    <row r="10920" spans="9:9" ht="18" customHeight="1">
      <c r="I10920" s="1" ph="1"/>
    </row>
    <row r="10921" spans="9:9" ht="18" customHeight="1">
      <c r="I10921" s="1" ph="1"/>
    </row>
    <row r="10922" spans="9:9" ht="18" customHeight="1">
      <c r="I10922" s="1" ph="1"/>
    </row>
    <row r="10923" spans="9:9" ht="18" customHeight="1">
      <c r="I10923" s="1" ph="1"/>
    </row>
    <row r="10924" spans="9:9" ht="18" customHeight="1">
      <c r="I10924" s="1" ph="1"/>
    </row>
    <row r="10925" spans="9:9" ht="18" customHeight="1">
      <c r="I10925" s="1" ph="1"/>
    </row>
    <row r="10926" spans="9:9" ht="18" customHeight="1">
      <c r="I10926" s="1" ph="1"/>
    </row>
    <row r="10927" spans="9:9" ht="18" customHeight="1">
      <c r="I10927" s="1" ph="1"/>
    </row>
    <row r="10928" spans="9:9" ht="18" customHeight="1">
      <c r="I10928" s="1" ph="1"/>
    </row>
    <row r="10929" spans="9:9" ht="18" customHeight="1">
      <c r="I10929" s="1" ph="1"/>
    </row>
    <row r="10930" spans="9:9" ht="18" customHeight="1">
      <c r="I10930" s="1" ph="1"/>
    </row>
    <row r="10931" spans="9:9" ht="18" customHeight="1">
      <c r="I10931" s="1" ph="1"/>
    </row>
    <row r="10932" spans="9:9" ht="18" customHeight="1">
      <c r="I10932" s="1" ph="1"/>
    </row>
    <row r="10933" spans="9:9" ht="18" customHeight="1">
      <c r="I10933" s="1" ph="1"/>
    </row>
    <row r="10934" spans="9:9" ht="18" customHeight="1">
      <c r="I10934" s="1" ph="1"/>
    </row>
    <row r="10935" spans="9:9" ht="18" customHeight="1">
      <c r="I10935" s="1" ph="1"/>
    </row>
    <row r="10936" spans="9:9" ht="18" customHeight="1">
      <c r="I10936" s="1" ph="1"/>
    </row>
    <row r="10937" spans="9:9" ht="18" customHeight="1">
      <c r="I10937" s="1" ph="1"/>
    </row>
    <row r="10938" spans="9:9" ht="18" customHeight="1">
      <c r="I10938" s="1" ph="1"/>
    </row>
    <row r="10939" spans="9:9" ht="18" customHeight="1">
      <c r="I10939" s="1" ph="1"/>
    </row>
    <row r="10940" spans="9:9" ht="18" customHeight="1">
      <c r="I10940" s="1" ph="1"/>
    </row>
    <row r="10941" spans="9:9" ht="18" customHeight="1">
      <c r="I10941" s="1" ph="1"/>
    </row>
    <row r="10942" spans="9:9" ht="18" customHeight="1">
      <c r="I10942" s="1" ph="1"/>
    </row>
    <row r="10943" spans="9:9" ht="18" customHeight="1">
      <c r="I10943" s="1" ph="1"/>
    </row>
    <row r="10944" spans="9:9" ht="18" customHeight="1">
      <c r="I10944" s="1" ph="1"/>
    </row>
    <row r="10945" spans="9:9" ht="18" customHeight="1">
      <c r="I10945" s="1" ph="1"/>
    </row>
    <row r="10946" spans="9:9" ht="18" customHeight="1">
      <c r="I10946" s="1" ph="1"/>
    </row>
    <row r="10947" spans="9:9" ht="18" customHeight="1">
      <c r="I10947" s="1" ph="1"/>
    </row>
    <row r="10948" spans="9:9" ht="18" customHeight="1">
      <c r="I10948" s="1" ph="1"/>
    </row>
    <row r="10949" spans="9:9" ht="18" customHeight="1">
      <c r="I10949" s="1" ph="1"/>
    </row>
    <row r="10950" spans="9:9" ht="18" customHeight="1">
      <c r="I10950" s="1" ph="1"/>
    </row>
    <row r="10951" spans="9:9" ht="18" customHeight="1">
      <c r="I10951" s="1" ph="1"/>
    </row>
    <row r="10952" spans="9:9" ht="18" customHeight="1">
      <c r="I10952" s="1" ph="1"/>
    </row>
    <row r="10953" spans="9:9" ht="18" customHeight="1">
      <c r="I10953" s="1" ph="1"/>
    </row>
    <row r="10954" spans="9:9" ht="18" customHeight="1">
      <c r="I10954" s="1" ph="1"/>
    </row>
    <row r="10955" spans="9:9" ht="18" customHeight="1">
      <c r="I10955" s="1" ph="1"/>
    </row>
    <row r="10956" spans="9:9" ht="18" customHeight="1">
      <c r="I10956" s="1" ph="1"/>
    </row>
    <row r="10957" spans="9:9" ht="18" customHeight="1">
      <c r="I10957" s="1" ph="1"/>
    </row>
    <row r="10958" spans="9:9" ht="18" customHeight="1">
      <c r="I10958" s="1" ph="1"/>
    </row>
    <row r="10959" spans="9:9" ht="18" customHeight="1">
      <c r="I10959" s="1" ph="1"/>
    </row>
    <row r="10960" spans="9:9" ht="18" customHeight="1">
      <c r="I10960" s="1" ph="1"/>
    </row>
    <row r="10961" spans="9:9" ht="18" customHeight="1">
      <c r="I10961" s="1" ph="1"/>
    </row>
    <row r="10962" spans="9:9" ht="18" customHeight="1">
      <c r="I10962" s="1" ph="1"/>
    </row>
    <row r="10963" spans="9:9" ht="18" customHeight="1">
      <c r="I10963" s="1" ph="1"/>
    </row>
    <row r="10964" spans="9:9" ht="18" customHeight="1">
      <c r="I10964" s="1" ph="1"/>
    </row>
    <row r="10965" spans="9:9" ht="18" customHeight="1">
      <c r="I10965" s="1" ph="1"/>
    </row>
    <row r="10966" spans="9:9" ht="18" customHeight="1">
      <c r="I10966" s="1" ph="1"/>
    </row>
    <row r="10967" spans="9:9" ht="18" customHeight="1">
      <c r="I10967" s="1" ph="1"/>
    </row>
    <row r="10968" spans="9:9" ht="18" customHeight="1">
      <c r="I10968" s="1" ph="1"/>
    </row>
    <row r="10969" spans="9:9" ht="18" customHeight="1">
      <c r="I10969" s="1" ph="1"/>
    </row>
    <row r="10970" spans="9:9" ht="18" customHeight="1">
      <c r="I10970" s="1" ph="1"/>
    </row>
    <row r="10971" spans="9:9" ht="18" customHeight="1">
      <c r="I10971" s="1" ph="1"/>
    </row>
    <row r="10972" spans="9:9" ht="18" customHeight="1">
      <c r="I10972" s="1" ph="1"/>
    </row>
    <row r="10973" spans="9:9" ht="18" customHeight="1">
      <c r="I10973" s="1" ph="1"/>
    </row>
    <row r="10974" spans="9:9" ht="18" customHeight="1">
      <c r="I10974" s="1" ph="1"/>
    </row>
    <row r="10975" spans="9:9" ht="18" customHeight="1">
      <c r="I10975" s="1" ph="1"/>
    </row>
    <row r="10976" spans="9:9" ht="18" customHeight="1">
      <c r="I10976" s="1" ph="1"/>
    </row>
    <row r="10977" spans="9:9" ht="18" customHeight="1">
      <c r="I10977" s="1" ph="1"/>
    </row>
    <row r="10978" spans="9:9" ht="18" customHeight="1">
      <c r="I10978" s="1" ph="1"/>
    </row>
    <row r="10979" spans="9:9" ht="18" customHeight="1">
      <c r="I10979" s="1" ph="1"/>
    </row>
    <row r="10980" spans="9:9" ht="18" customHeight="1">
      <c r="I10980" s="1" ph="1"/>
    </row>
    <row r="10981" spans="9:9" ht="18" customHeight="1">
      <c r="I10981" s="1" ph="1"/>
    </row>
    <row r="10982" spans="9:9" ht="18" customHeight="1">
      <c r="I10982" s="1" ph="1"/>
    </row>
    <row r="10983" spans="9:9" ht="18" customHeight="1">
      <c r="I10983" s="1" ph="1"/>
    </row>
    <row r="10984" spans="9:9" ht="18" customHeight="1">
      <c r="I10984" s="1" ph="1"/>
    </row>
    <row r="10985" spans="9:9" ht="18" customHeight="1">
      <c r="I10985" s="1" ph="1"/>
    </row>
    <row r="10986" spans="9:9" ht="18" customHeight="1">
      <c r="I10986" s="1" ph="1"/>
    </row>
    <row r="10987" spans="9:9" ht="18" customHeight="1">
      <c r="I10987" s="1" ph="1"/>
    </row>
    <row r="10988" spans="9:9" ht="18" customHeight="1">
      <c r="I10988" s="1" ph="1"/>
    </row>
    <row r="10989" spans="9:9" ht="18" customHeight="1">
      <c r="I10989" s="1" ph="1"/>
    </row>
    <row r="10990" spans="9:9" ht="18" customHeight="1">
      <c r="I10990" s="1" ph="1"/>
    </row>
    <row r="10991" spans="9:9" ht="18" customHeight="1">
      <c r="I10991" s="1" ph="1"/>
    </row>
    <row r="10992" spans="9:9" ht="18" customHeight="1">
      <c r="I10992" s="1" ph="1"/>
    </row>
    <row r="10993" spans="9:9" ht="18" customHeight="1">
      <c r="I10993" s="1" ph="1"/>
    </row>
    <row r="10994" spans="9:9" ht="18" customHeight="1">
      <c r="I10994" s="1" ph="1"/>
    </row>
    <row r="10995" spans="9:9" ht="18" customHeight="1">
      <c r="I10995" s="1" ph="1"/>
    </row>
    <row r="10996" spans="9:9" ht="18" customHeight="1">
      <c r="I10996" s="1" ph="1"/>
    </row>
    <row r="10997" spans="9:9" ht="18" customHeight="1">
      <c r="I10997" s="1" ph="1"/>
    </row>
    <row r="10998" spans="9:9" ht="18" customHeight="1">
      <c r="I10998" s="1" ph="1"/>
    </row>
    <row r="10999" spans="9:9" ht="18" customHeight="1">
      <c r="I10999" s="1" ph="1"/>
    </row>
    <row r="11000" spans="9:9" ht="18" customHeight="1">
      <c r="I11000" s="1" ph="1"/>
    </row>
    <row r="11001" spans="9:9" ht="18" customHeight="1">
      <c r="I11001" s="1" ph="1"/>
    </row>
    <row r="11002" spans="9:9" ht="18" customHeight="1">
      <c r="I11002" s="1" ph="1"/>
    </row>
    <row r="11003" spans="9:9" ht="18" customHeight="1">
      <c r="I11003" s="1" ph="1"/>
    </row>
    <row r="11004" spans="9:9" ht="18" customHeight="1">
      <c r="I11004" s="1" ph="1"/>
    </row>
    <row r="11005" spans="9:9" ht="18" customHeight="1">
      <c r="I11005" s="1" ph="1"/>
    </row>
    <row r="11006" spans="9:9" ht="18" customHeight="1">
      <c r="I11006" s="1" ph="1"/>
    </row>
    <row r="11007" spans="9:9" ht="18" customHeight="1">
      <c r="I11007" s="1" ph="1"/>
    </row>
    <row r="11008" spans="9:9" ht="18" customHeight="1">
      <c r="I11008" s="1" ph="1"/>
    </row>
    <row r="11009" spans="9:9" ht="18" customHeight="1">
      <c r="I11009" s="1" ph="1"/>
    </row>
    <row r="11010" spans="9:9" ht="18" customHeight="1">
      <c r="I11010" s="1" ph="1"/>
    </row>
    <row r="11011" spans="9:9" ht="18" customHeight="1">
      <c r="I11011" s="1" ph="1"/>
    </row>
    <row r="11012" spans="9:9" ht="18" customHeight="1">
      <c r="I11012" s="1" ph="1"/>
    </row>
    <row r="11013" spans="9:9" ht="18" customHeight="1">
      <c r="I11013" s="1" ph="1"/>
    </row>
    <row r="11014" spans="9:9" ht="18" customHeight="1">
      <c r="I11014" s="1" ph="1"/>
    </row>
    <row r="11015" spans="9:9" ht="18" customHeight="1">
      <c r="I11015" s="1" ph="1"/>
    </row>
    <row r="11016" spans="9:9" ht="18" customHeight="1">
      <c r="I11016" s="1" ph="1"/>
    </row>
    <row r="11017" spans="9:9" ht="18" customHeight="1">
      <c r="I11017" s="1" ph="1"/>
    </row>
    <row r="11018" spans="9:9" ht="18" customHeight="1">
      <c r="I11018" s="1" ph="1"/>
    </row>
    <row r="11019" spans="9:9" ht="18" customHeight="1">
      <c r="I11019" s="1" ph="1"/>
    </row>
    <row r="11020" spans="9:9" ht="18" customHeight="1">
      <c r="I11020" s="1" ph="1"/>
    </row>
    <row r="11021" spans="9:9" ht="18" customHeight="1">
      <c r="I11021" s="1" ph="1"/>
    </row>
    <row r="11022" spans="9:9" ht="18" customHeight="1">
      <c r="I11022" s="1" ph="1"/>
    </row>
    <row r="11023" spans="9:9" ht="18" customHeight="1">
      <c r="I11023" s="1" ph="1"/>
    </row>
    <row r="11024" spans="9:9" ht="18" customHeight="1">
      <c r="I11024" s="1" ph="1"/>
    </row>
    <row r="11025" spans="9:9" ht="18" customHeight="1">
      <c r="I11025" s="1" ph="1"/>
    </row>
    <row r="11026" spans="9:9" ht="18" customHeight="1">
      <c r="I11026" s="1" ph="1"/>
    </row>
    <row r="11027" spans="9:9" ht="18" customHeight="1">
      <c r="I11027" s="1" ph="1"/>
    </row>
    <row r="11028" spans="9:9" ht="18" customHeight="1">
      <c r="I11028" s="1" ph="1"/>
    </row>
    <row r="11029" spans="9:9" ht="18" customHeight="1">
      <c r="I11029" s="1" ph="1"/>
    </row>
    <row r="11030" spans="9:9" ht="18" customHeight="1">
      <c r="I11030" s="1" ph="1"/>
    </row>
    <row r="11031" spans="9:9" ht="18" customHeight="1">
      <c r="I11031" s="1" ph="1"/>
    </row>
    <row r="11032" spans="9:9" ht="18" customHeight="1">
      <c r="I11032" s="1" ph="1"/>
    </row>
    <row r="11033" spans="9:9" ht="18" customHeight="1">
      <c r="I11033" s="1" ph="1"/>
    </row>
    <row r="11034" spans="9:9" ht="18" customHeight="1">
      <c r="I11034" s="1" ph="1"/>
    </row>
    <row r="11035" spans="9:9" ht="18" customHeight="1">
      <c r="I11035" s="1" ph="1"/>
    </row>
    <row r="11036" spans="9:9" ht="18" customHeight="1">
      <c r="I11036" s="1" ph="1"/>
    </row>
    <row r="11037" spans="9:9" ht="18" customHeight="1">
      <c r="I11037" s="1" ph="1"/>
    </row>
    <row r="11038" spans="9:9" ht="18" customHeight="1">
      <c r="I11038" s="1" ph="1"/>
    </row>
    <row r="11039" spans="9:9" ht="18" customHeight="1">
      <c r="I11039" s="1" ph="1"/>
    </row>
    <row r="11040" spans="9:9" ht="18" customHeight="1">
      <c r="I11040" s="1" ph="1"/>
    </row>
    <row r="11041" spans="9:9" ht="18" customHeight="1">
      <c r="I11041" s="1" ph="1"/>
    </row>
    <row r="11042" spans="9:9" ht="18" customHeight="1">
      <c r="I11042" s="1" ph="1"/>
    </row>
    <row r="11043" spans="9:9" ht="18" customHeight="1">
      <c r="I11043" s="1" ph="1"/>
    </row>
    <row r="11044" spans="9:9" ht="18" customHeight="1">
      <c r="I11044" s="1" ph="1"/>
    </row>
    <row r="11045" spans="9:9" ht="18" customHeight="1">
      <c r="I11045" s="1" ph="1"/>
    </row>
    <row r="11046" spans="9:9" ht="18" customHeight="1">
      <c r="I11046" s="1" ph="1"/>
    </row>
    <row r="11047" spans="9:9" ht="18" customHeight="1">
      <c r="I11047" s="1" ph="1"/>
    </row>
    <row r="11048" spans="9:9" ht="18" customHeight="1">
      <c r="I11048" s="1" ph="1"/>
    </row>
    <row r="11049" spans="9:9" ht="18" customHeight="1">
      <c r="I11049" s="1" ph="1"/>
    </row>
    <row r="11050" spans="9:9" ht="18" customHeight="1">
      <c r="I11050" s="1" ph="1"/>
    </row>
    <row r="11051" spans="9:9" ht="18" customHeight="1">
      <c r="I11051" s="1" ph="1"/>
    </row>
    <row r="11052" spans="9:9" ht="18" customHeight="1">
      <c r="I11052" s="1" ph="1"/>
    </row>
    <row r="11053" spans="9:9" ht="18" customHeight="1">
      <c r="I11053" s="1" ph="1"/>
    </row>
    <row r="11054" spans="9:9" ht="18" customHeight="1">
      <c r="I11054" s="1" ph="1"/>
    </row>
    <row r="11055" spans="9:9" ht="18" customHeight="1">
      <c r="I11055" s="1" ph="1"/>
    </row>
    <row r="11056" spans="9:9" ht="18" customHeight="1">
      <c r="I11056" s="1" ph="1"/>
    </row>
    <row r="11057" spans="9:9" ht="18" customHeight="1">
      <c r="I11057" s="1" ph="1"/>
    </row>
    <row r="11058" spans="9:9" ht="18" customHeight="1">
      <c r="I11058" s="1" ph="1"/>
    </row>
    <row r="11059" spans="9:9" ht="18" customHeight="1">
      <c r="I11059" s="1" ph="1"/>
    </row>
    <row r="11060" spans="9:9" ht="18" customHeight="1">
      <c r="I11060" s="1" ph="1"/>
    </row>
    <row r="11061" spans="9:9" ht="18" customHeight="1">
      <c r="I11061" s="1" ph="1"/>
    </row>
    <row r="11062" spans="9:9" ht="18" customHeight="1">
      <c r="I11062" s="1" ph="1"/>
    </row>
    <row r="11063" spans="9:9" ht="18" customHeight="1">
      <c r="I11063" s="1" ph="1"/>
    </row>
    <row r="11064" spans="9:9" ht="18" customHeight="1">
      <c r="I11064" s="1" ph="1"/>
    </row>
    <row r="11065" spans="9:9" ht="18" customHeight="1">
      <c r="I11065" s="1" ph="1"/>
    </row>
    <row r="11066" spans="9:9" ht="18" customHeight="1">
      <c r="I11066" s="1" ph="1"/>
    </row>
    <row r="11067" spans="9:9" ht="18" customHeight="1">
      <c r="I11067" s="1" ph="1"/>
    </row>
    <row r="11068" spans="9:9" ht="18" customHeight="1">
      <c r="I11068" s="1" ph="1"/>
    </row>
    <row r="11069" spans="9:9" ht="18" customHeight="1">
      <c r="I11069" s="1" ph="1"/>
    </row>
    <row r="11070" spans="9:9" ht="18" customHeight="1">
      <c r="I11070" s="1" ph="1"/>
    </row>
    <row r="11071" spans="9:9" ht="18" customHeight="1">
      <c r="I11071" s="1" ph="1"/>
    </row>
    <row r="11072" spans="9:9" ht="18" customHeight="1">
      <c r="I11072" s="1" ph="1"/>
    </row>
    <row r="11073" spans="9:9" ht="18" customHeight="1">
      <c r="I11073" s="1" ph="1"/>
    </row>
    <row r="11074" spans="9:9" ht="18" customHeight="1">
      <c r="I11074" s="1" ph="1"/>
    </row>
    <row r="11075" spans="9:9" ht="18" customHeight="1">
      <c r="I11075" s="1" ph="1"/>
    </row>
    <row r="11076" spans="9:9" ht="18" customHeight="1">
      <c r="I11076" s="1" ph="1"/>
    </row>
    <row r="11077" spans="9:9" ht="18" customHeight="1">
      <c r="I11077" s="1" ph="1"/>
    </row>
    <row r="11078" spans="9:9" ht="18" customHeight="1">
      <c r="I11078" s="1" ph="1"/>
    </row>
    <row r="11079" spans="9:9" ht="18" customHeight="1">
      <c r="I11079" s="1" ph="1"/>
    </row>
    <row r="11080" spans="9:9" ht="18" customHeight="1">
      <c r="I11080" s="1" ph="1"/>
    </row>
    <row r="11081" spans="9:9" ht="18" customHeight="1">
      <c r="I11081" s="1" ph="1"/>
    </row>
    <row r="11082" spans="9:9" ht="18" customHeight="1">
      <c r="I11082" s="1" ph="1"/>
    </row>
    <row r="11083" spans="9:9" ht="18" customHeight="1">
      <c r="I11083" s="1" ph="1"/>
    </row>
    <row r="11084" spans="9:9" ht="18" customHeight="1">
      <c r="I11084" s="1" ph="1"/>
    </row>
    <row r="11085" spans="9:9" ht="18" customHeight="1">
      <c r="I11085" s="1" ph="1"/>
    </row>
    <row r="11086" spans="9:9" ht="18" customHeight="1">
      <c r="I11086" s="1" ph="1"/>
    </row>
    <row r="11087" spans="9:9" ht="18" customHeight="1">
      <c r="I11087" s="1" ph="1"/>
    </row>
    <row r="11088" spans="9:9" ht="18" customHeight="1">
      <c r="I11088" s="1" ph="1"/>
    </row>
    <row r="11089" spans="9:9" ht="18" customHeight="1">
      <c r="I11089" s="1" ph="1"/>
    </row>
    <row r="11090" spans="9:9" ht="18" customHeight="1">
      <c r="I11090" s="1" ph="1"/>
    </row>
    <row r="11091" spans="9:9" ht="18" customHeight="1">
      <c r="I11091" s="1" ph="1"/>
    </row>
    <row r="11092" spans="9:9" ht="18" customHeight="1">
      <c r="I11092" s="1" ph="1"/>
    </row>
    <row r="11093" spans="9:9" ht="18" customHeight="1">
      <c r="I11093" s="1" ph="1"/>
    </row>
    <row r="11094" spans="9:9" ht="18" customHeight="1">
      <c r="I11094" s="1" ph="1"/>
    </row>
    <row r="11095" spans="9:9" ht="18" customHeight="1">
      <c r="I11095" s="1" ph="1"/>
    </row>
    <row r="11096" spans="9:9" ht="18" customHeight="1">
      <c r="I11096" s="1" ph="1"/>
    </row>
    <row r="11097" spans="9:9" ht="18" customHeight="1">
      <c r="I11097" s="1" ph="1"/>
    </row>
    <row r="11098" spans="9:9" ht="18" customHeight="1">
      <c r="I11098" s="1" ph="1"/>
    </row>
    <row r="11099" spans="9:9" ht="18" customHeight="1">
      <c r="I11099" s="1" ph="1"/>
    </row>
    <row r="11100" spans="9:9" ht="18" customHeight="1">
      <c r="I11100" s="1" ph="1"/>
    </row>
    <row r="11101" spans="9:9" ht="18" customHeight="1">
      <c r="I11101" s="1" ph="1"/>
    </row>
    <row r="11102" spans="9:9" ht="18" customHeight="1">
      <c r="I11102" s="1" ph="1"/>
    </row>
    <row r="11103" spans="9:9" ht="18" customHeight="1">
      <c r="I11103" s="1" ph="1"/>
    </row>
    <row r="11104" spans="9:9" ht="18" customHeight="1">
      <c r="I11104" s="1" ph="1"/>
    </row>
    <row r="11105" spans="9:9" ht="18" customHeight="1">
      <c r="I11105" s="1" ph="1"/>
    </row>
    <row r="11106" spans="9:9" ht="18" customHeight="1">
      <c r="I11106" s="1" ph="1"/>
    </row>
    <row r="11107" spans="9:9" ht="18" customHeight="1">
      <c r="I11107" s="1" ph="1"/>
    </row>
    <row r="11108" spans="9:9" ht="18" customHeight="1">
      <c r="I11108" s="1" ph="1"/>
    </row>
    <row r="11109" spans="9:9" ht="18" customHeight="1">
      <c r="I11109" s="1" ph="1"/>
    </row>
    <row r="11110" spans="9:9" ht="18" customHeight="1">
      <c r="I11110" s="1" ph="1"/>
    </row>
    <row r="11111" spans="9:9" ht="18" customHeight="1">
      <c r="I11111" s="1" ph="1"/>
    </row>
    <row r="11112" spans="9:9" ht="18" customHeight="1">
      <c r="I11112" s="1" ph="1"/>
    </row>
    <row r="11113" spans="9:9" ht="18" customHeight="1">
      <c r="I11113" s="1" ph="1"/>
    </row>
    <row r="11114" spans="9:9" ht="18" customHeight="1">
      <c r="I11114" s="1" ph="1"/>
    </row>
    <row r="11115" spans="9:9" ht="18" customHeight="1">
      <c r="I11115" s="1" ph="1"/>
    </row>
    <row r="11116" spans="9:9" ht="18" customHeight="1">
      <c r="I11116" s="1" ph="1"/>
    </row>
    <row r="11117" spans="9:9" ht="18" customHeight="1">
      <c r="I11117" s="1" ph="1"/>
    </row>
    <row r="11118" spans="9:9" ht="18" customHeight="1">
      <c r="I11118" s="1" ph="1"/>
    </row>
    <row r="11119" spans="9:9" ht="18" customHeight="1">
      <c r="I11119" s="1" ph="1"/>
    </row>
    <row r="11120" spans="9:9" ht="18" customHeight="1">
      <c r="I11120" s="1" ph="1"/>
    </row>
    <row r="11121" spans="9:9" ht="18" customHeight="1">
      <c r="I11121" s="1" ph="1"/>
    </row>
    <row r="11122" spans="9:9" ht="18" customHeight="1">
      <c r="I11122" s="1" ph="1"/>
    </row>
    <row r="11123" spans="9:9" ht="18" customHeight="1">
      <c r="I11123" s="1" ph="1"/>
    </row>
    <row r="11124" spans="9:9" ht="18" customHeight="1">
      <c r="I11124" s="1" ph="1"/>
    </row>
    <row r="11125" spans="9:9" ht="18" customHeight="1">
      <c r="I11125" s="1" ph="1"/>
    </row>
    <row r="11126" spans="9:9" ht="18" customHeight="1">
      <c r="I11126" s="1" ph="1"/>
    </row>
    <row r="11127" spans="9:9" ht="18" customHeight="1">
      <c r="I11127" s="1" ph="1"/>
    </row>
    <row r="11128" spans="9:9" ht="18" customHeight="1">
      <c r="I11128" s="1" ph="1"/>
    </row>
    <row r="11129" spans="9:9" ht="18" customHeight="1">
      <c r="I11129" s="1" ph="1"/>
    </row>
    <row r="11130" spans="9:9" ht="18" customHeight="1">
      <c r="I11130" s="1" ph="1"/>
    </row>
    <row r="11131" spans="9:9" ht="18" customHeight="1">
      <c r="I11131" s="1" ph="1"/>
    </row>
    <row r="11132" spans="9:9" ht="18" customHeight="1">
      <c r="I11132" s="1" ph="1"/>
    </row>
    <row r="11133" spans="9:9" ht="18" customHeight="1">
      <c r="I11133" s="1" ph="1"/>
    </row>
    <row r="11134" spans="9:9" ht="18" customHeight="1">
      <c r="I11134" s="1" ph="1"/>
    </row>
    <row r="11135" spans="9:9" ht="18" customHeight="1">
      <c r="I11135" s="1" ph="1"/>
    </row>
    <row r="11136" spans="9:9" ht="18" customHeight="1">
      <c r="I11136" s="1" ph="1"/>
    </row>
    <row r="11137" spans="9:9" ht="18" customHeight="1">
      <c r="I11137" s="1" ph="1"/>
    </row>
    <row r="11138" spans="9:9" ht="18" customHeight="1">
      <c r="I11138" s="1" ph="1"/>
    </row>
    <row r="11139" spans="9:9" ht="18" customHeight="1">
      <c r="I11139" s="1" ph="1"/>
    </row>
    <row r="11140" spans="9:9" ht="18" customHeight="1">
      <c r="I11140" s="1" ph="1"/>
    </row>
    <row r="11141" spans="9:9" ht="18" customHeight="1">
      <c r="I11141" s="1" ph="1"/>
    </row>
    <row r="11142" spans="9:9" ht="18" customHeight="1">
      <c r="I11142" s="1" ph="1"/>
    </row>
    <row r="11143" spans="9:9" ht="18" customHeight="1">
      <c r="I11143" s="1" ph="1"/>
    </row>
    <row r="11144" spans="9:9" ht="18" customHeight="1">
      <c r="I11144" s="1" ph="1"/>
    </row>
    <row r="11145" spans="9:9" ht="18" customHeight="1">
      <c r="I11145" s="1" ph="1"/>
    </row>
    <row r="11146" spans="9:9" ht="18" customHeight="1">
      <c r="I11146" s="1" ph="1"/>
    </row>
    <row r="11147" spans="9:9" ht="18" customHeight="1">
      <c r="I11147" s="1" ph="1"/>
    </row>
    <row r="11148" spans="9:9" ht="18" customHeight="1">
      <c r="I11148" s="1" ph="1"/>
    </row>
    <row r="11149" spans="9:9" ht="18" customHeight="1">
      <c r="I11149" s="1" ph="1"/>
    </row>
    <row r="11150" spans="9:9" ht="18" customHeight="1">
      <c r="I11150" s="1" ph="1"/>
    </row>
    <row r="11151" spans="9:9" ht="18" customHeight="1">
      <c r="I11151" s="1" ph="1"/>
    </row>
    <row r="11152" spans="9:9" ht="18" customHeight="1">
      <c r="I11152" s="1" ph="1"/>
    </row>
    <row r="11153" spans="9:9" ht="18" customHeight="1">
      <c r="I11153" s="1" ph="1"/>
    </row>
    <row r="11154" spans="9:9" ht="18" customHeight="1">
      <c r="I11154" s="1" ph="1"/>
    </row>
    <row r="11155" spans="9:9" ht="18" customHeight="1">
      <c r="I11155" s="1" ph="1"/>
    </row>
    <row r="11156" spans="9:9" ht="18" customHeight="1">
      <c r="I11156" s="1" ph="1"/>
    </row>
    <row r="11157" spans="9:9" ht="18" customHeight="1">
      <c r="I11157" s="1" ph="1"/>
    </row>
    <row r="11158" spans="9:9" ht="18" customHeight="1">
      <c r="I11158" s="1" ph="1"/>
    </row>
    <row r="11159" spans="9:9" ht="18" customHeight="1">
      <c r="I11159" s="1" ph="1"/>
    </row>
    <row r="11160" spans="9:9" ht="18" customHeight="1">
      <c r="I11160" s="1" ph="1"/>
    </row>
    <row r="11161" spans="9:9" ht="18" customHeight="1">
      <c r="I11161" s="1" ph="1"/>
    </row>
    <row r="11162" spans="9:9" ht="18" customHeight="1">
      <c r="I11162" s="1" ph="1"/>
    </row>
    <row r="11163" spans="9:9" ht="18" customHeight="1">
      <c r="I11163" s="1" ph="1"/>
    </row>
    <row r="11164" spans="9:9" ht="18" customHeight="1">
      <c r="I11164" s="1" ph="1"/>
    </row>
    <row r="11165" spans="9:9" ht="18" customHeight="1">
      <c r="I11165" s="1" ph="1"/>
    </row>
    <row r="11166" spans="9:9" ht="18" customHeight="1">
      <c r="I11166" s="1" ph="1"/>
    </row>
    <row r="11167" spans="9:9" ht="18" customHeight="1">
      <c r="I11167" s="1" ph="1"/>
    </row>
    <row r="11168" spans="9:9" ht="18" customHeight="1">
      <c r="I11168" s="1" ph="1"/>
    </row>
    <row r="11169" spans="9:9" ht="18" customHeight="1">
      <c r="I11169" s="1" ph="1"/>
    </row>
    <row r="11170" spans="9:9" ht="18" customHeight="1">
      <c r="I11170" s="1" ph="1"/>
    </row>
    <row r="11171" spans="9:9" ht="18" customHeight="1">
      <c r="I11171" s="1" ph="1"/>
    </row>
    <row r="11172" spans="9:9" ht="18" customHeight="1">
      <c r="I11172" s="1" ph="1"/>
    </row>
    <row r="11173" spans="9:9" ht="18" customHeight="1">
      <c r="I11173" s="1" ph="1"/>
    </row>
    <row r="11174" spans="9:9" ht="18" customHeight="1">
      <c r="I11174" s="1" ph="1"/>
    </row>
    <row r="11175" spans="9:9" ht="18" customHeight="1">
      <c r="I11175" s="1" ph="1"/>
    </row>
    <row r="11176" spans="9:9" ht="18" customHeight="1">
      <c r="I11176" s="1" ph="1"/>
    </row>
    <row r="11177" spans="9:9" ht="18" customHeight="1">
      <c r="I11177" s="1" ph="1"/>
    </row>
    <row r="11178" spans="9:9" ht="18" customHeight="1">
      <c r="I11178" s="1" ph="1"/>
    </row>
    <row r="11179" spans="9:9" ht="18" customHeight="1">
      <c r="I11179" s="1" ph="1"/>
    </row>
    <row r="11180" spans="9:9" ht="18" customHeight="1">
      <c r="I11180" s="1" ph="1"/>
    </row>
    <row r="11181" spans="9:9" ht="18" customHeight="1">
      <c r="I11181" s="1" ph="1"/>
    </row>
    <row r="11182" spans="9:9" ht="18" customHeight="1">
      <c r="I11182" s="1" ph="1"/>
    </row>
    <row r="11183" spans="9:9" ht="18" customHeight="1">
      <c r="I11183" s="1" ph="1"/>
    </row>
    <row r="11184" spans="9:9" ht="18" customHeight="1">
      <c r="I11184" s="1" ph="1"/>
    </row>
    <row r="11185" spans="9:9" ht="18" customHeight="1">
      <c r="I11185" s="1" ph="1"/>
    </row>
    <row r="11186" spans="9:9" ht="18" customHeight="1">
      <c r="I11186" s="1" ph="1"/>
    </row>
    <row r="11187" spans="9:9" ht="18" customHeight="1">
      <c r="I11187" s="1" ph="1"/>
    </row>
    <row r="11188" spans="9:9" ht="18" customHeight="1">
      <c r="I11188" s="1" ph="1"/>
    </row>
    <row r="11189" spans="9:9" ht="18" customHeight="1">
      <c r="I11189" s="1" ph="1"/>
    </row>
    <row r="11190" spans="9:9" ht="18" customHeight="1">
      <c r="I11190" s="1" ph="1"/>
    </row>
    <row r="11191" spans="9:9" ht="18" customHeight="1">
      <c r="I11191" s="1" ph="1"/>
    </row>
    <row r="11192" spans="9:9" ht="18" customHeight="1">
      <c r="I11192" s="1" ph="1"/>
    </row>
    <row r="11193" spans="9:9" ht="18" customHeight="1">
      <c r="I11193" s="1" ph="1"/>
    </row>
    <row r="11194" spans="9:9" ht="18" customHeight="1">
      <c r="I11194" s="1" ph="1"/>
    </row>
    <row r="11195" spans="9:9" ht="18" customHeight="1">
      <c r="I11195" s="1" ph="1"/>
    </row>
    <row r="11196" spans="9:9" ht="18" customHeight="1">
      <c r="I11196" s="1" ph="1"/>
    </row>
    <row r="11197" spans="9:9" ht="18" customHeight="1">
      <c r="I11197" s="1" ph="1"/>
    </row>
    <row r="11198" spans="9:9" ht="18" customHeight="1">
      <c r="I11198" s="1" ph="1"/>
    </row>
    <row r="11199" spans="9:9" ht="18" customHeight="1">
      <c r="I11199" s="1" ph="1"/>
    </row>
    <row r="11200" spans="9:9" ht="18" customHeight="1">
      <c r="I11200" s="1" ph="1"/>
    </row>
    <row r="11201" spans="9:9" ht="18" customHeight="1">
      <c r="I11201" s="1" ph="1"/>
    </row>
    <row r="11202" spans="9:9" ht="18" customHeight="1">
      <c r="I11202" s="1" ph="1"/>
    </row>
    <row r="11203" spans="9:9" ht="18" customHeight="1">
      <c r="I11203" s="1" ph="1"/>
    </row>
    <row r="11204" spans="9:9" ht="18" customHeight="1">
      <c r="I11204" s="1" ph="1"/>
    </row>
    <row r="11205" spans="9:9" ht="18" customHeight="1">
      <c r="I11205" s="1" ph="1"/>
    </row>
    <row r="11206" spans="9:9" ht="18" customHeight="1">
      <c r="I11206" s="1" ph="1"/>
    </row>
    <row r="11207" spans="9:9" ht="18" customHeight="1">
      <c r="I11207" s="1" ph="1"/>
    </row>
    <row r="11208" spans="9:9" ht="18" customHeight="1">
      <c r="I11208" s="1" ph="1"/>
    </row>
    <row r="11209" spans="9:9" ht="18" customHeight="1">
      <c r="I11209" s="1" ph="1"/>
    </row>
    <row r="11210" spans="9:9" ht="18" customHeight="1">
      <c r="I11210" s="1" ph="1"/>
    </row>
    <row r="11211" spans="9:9" ht="18" customHeight="1">
      <c r="I11211" s="1" ph="1"/>
    </row>
    <row r="11212" spans="9:9" ht="18" customHeight="1">
      <c r="I11212" s="1" ph="1"/>
    </row>
    <row r="11213" spans="9:9" ht="18" customHeight="1">
      <c r="I11213" s="1" ph="1"/>
    </row>
    <row r="11214" spans="9:9" ht="18" customHeight="1">
      <c r="I11214" s="1" ph="1"/>
    </row>
    <row r="11215" spans="9:9" ht="18" customHeight="1">
      <c r="I11215" s="1" ph="1"/>
    </row>
    <row r="11216" spans="9:9" ht="18" customHeight="1">
      <c r="I11216" s="1" ph="1"/>
    </row>
    <row r="11217" spans="9:9" ht="18" customHeight="1">
      <c r="I11217" s="1" ph="1"/>
    </row>
    <row r="11218" spans="9:9" ht="18" customHeight="1">
      <c r="I11218" s="1" ph="1"/>
    </row>
    <row r="11219" spans="9:9" ht="18" customHeight="1">
      <c r="I11219" s="1" ph="1"/>
    </row>
    <row r="11220" spans="9:9" ht="18" customHeight="1">
      <c r="I11220" s="1" ph="1"/>
    </row>
    <row r="11221" spans="9:9" ht="18" customHeight="1">
      <c r="I11221" s="1" ph="1"/>
    </row>
    <row r="11222" spans="9:9" ht="18" customHeight="1">
      <c r="I11222" s="1" ph="1"/>
    </row>
    <row r="11223" spans="9:9" ht="18" customHeight="1">
      <c r="I11223" s="1" ph="1"/>
    </row>
    <row r="11224" spans="9:9" ht="18" customHeight="1">
      <c r="I11224" s="1" ph="1"/>
    </row>
    <row r="11225" spans="9:9" ht="18" customHeight="1">
      <c r="I11225" s="1" ph="1"/>
    </row>
    <row r="11226" spans="9:9" ht="18" customHeight="1">
      <c r="I11226" s="1" ph="1"/>
    </row>
    <row r="11227" spans="9:9" ht="18" customHeight="1">
      <c r="I11227" s="1" ph="1"/>
    </row>
    <row r="11228" spans="9:9" ht="18" customHeight="1">
      <c r="I11228" s="1" ph="1"/>
    </row>
    <row r="11229" spans="9:9" ht="18" customHeight="1">
      <c r="I11229" s="1" ph="1"/>
    </row>
    <row r="11230" spans="9:9" ht="18" customHeight="1">
      <c r="I11230" s="1" ph="1"/>
    </row>
    <row r="11231" spans="9:9" ht="18" customHeight="1">
      <c r="I11231" s="1" ph="1"/>
    </row>
    <row r="11232" spans="9:9" ht="18" customHeight="1">
      <c r="I11232" s="1" ph="1"/>
    </row>
    <row r="11233" spans="9:9" ht="18" customHeight="1">
      <c r="I11233" s="1" ph="1"/>
    </row>
    <row r="11234" spans="9:9" ht="18" customHeight="1">
      <c r="I11234" s="1" ph="1"/>
    </row>
    <row r="11235" spans="9:9" ht="18" customHeight="1">
      <c r="I11235" s="1" ph="1"/>
    </row>
    <row r="11236" spans="9:9" ht="18" customHeight="1">
      <c r="I11236" s="1" ph="1"/>
    </row>
    <row r="11237" spans="9:9" ht="18" customHeight="1">
      <c r="I11237" s="1" ph="1"/>
    </row>
    <row r="11238" spans="9:9" ht="18" customHeight="1">
      <c r="I11238" s="1" ph="1"/>
    </row>
    <row r="11239" spans="9:9" ht="18" customHeight="1">
      <c r="I11239" s="1" ph="1"/>
    </row>
    <row r="11240" spans="9:9" ht="18" customHeight="1">
      <c r="I11240" s="1" ph="1"/>
    </row>
    <row r="11241" spans="9:9" ht="18" customHeight="1">
      <c r="I11241" s="1" ph="1"/>
    </row>
    <row r="11242" spans="9:9" ht="18" customHeight="1">
      <c r="I11242" s="1" ph="1"/>
    </row>
    <row r="11243" spans="9:9" ht="18" customHeight="1">
      <c r="I11243" s="1" ph="1"/>
    </row>
    <row r="11244" spans="9:9" ht="18" customHeight="1">
      <c r="I11244" s="1" ph="1"/>
    </row>
    <row r="11245" spans="9:9" ht="18" customHeight="1">
      <c r="I11245" s="1" ph="1"/>
    </row>
    <row r="11246" spans="9:9" ht="18" customHeight="1">
      <c r="I11246" s="1" ph="1"/>
    </row>
    <row r="11247" spans="9:9" ht="18" customHeight="1">
      <c r="I11247" s="1" ph="1"/>
    </row>
    <row r="11248" spans="9:9" ht="18" customHeight="1">
      <c r="I11248" s="1" ph="1"/>
    </row>
    <row r="11249" spans="9:9" ht="18" customHeight="1">
      <c r="I11249" s="1" ph="1"/>
    </row>
    <row r="11250" spans="9:9" ht="18" customHeight="1">
      <c r="I11250" s="1" ph="1"/>
    </row>
    <row r="11251" spans="9:9" ht="18" customHeight="1">
      <c r="I11251" s="1" ph="1"/>
    </row>
    <row r="11252" spans="9:9" ht="18" customHeight="1">
      <c r="I11252" s="1" ph="1"/>
    </row>
    <row r="11253" spans="9:9" ht="18" customHeight="1">
      <c r="I11253" s="1" ph="1"/>
    </row>
    <row r="11254" spans="9:9" ht="18" customHeight="1">
      <c r="I11254" s="1" ph="1"/>
    </row>
    <row r="11255" spans="9:9" ht="18" customHeight="1">
      <c r="I11255" s="1" ph="1"/>
    </row>
    <row r="11256" spans="9:9" ht="18" customHeight="1">
      <c r="I11256" s="1" ph="1"/>
    </row>
    <row r="11257" spans="9:9" ht="18" customHeight="1">
      <c r="I11257" s="1" ph="1"/>
    </row>
    <row r="11258" spans="9:9" ht="18" customHeight="1">
      <c r="I11258" s="1" ph="1"/>
    </row>
    <row r="11259" spans="9:9" ht="18" customHeight="1">
      <c r="I11259" s="1" ph="1"/>
    </row>
    <row r="11260" spans="9:9" ht="18" customHeight="1">
      <c r="I11260" s="1" ph="1"/>
    </row>
    <row r="11261" spans="9:9" ht="18" customHeight="1">
      <c r="I11261" s="1" ph="1"/>
    </row>
    <row r="11262" spans="9:9" ht="18" customHeight="1">
      <c r="I11262" s="1" ph="1"/>
    </row>
    <row r="11263" spans="9:9" ht="18" customHeight="1">
      <c r="I11263" s="1" ph="1"/>
    </row>
    <row r="11264" spans="9:9" ht="18" customHeight="1">
      <c r="I11264" s="1" ph="1"/>
    </row>
    <row r="11265" spans="9:9" ht="18" customHeight="1">
      <c r="I11265" s="1" ph="1"/>
    </row>
    <row r="11266" spans="9:9" ht="18" customHeight="1">
      <c r="I11266" s="1" ph="1"/>
    </row>
    <row r="11267" spans="9:9" ht="18" customHeight="1">
      <c r="I11267" s="1" ph="1"/>
    </row>
    <row r="11268" spans="9:9" ht="18" customHeight="1">
      <c r="I11268" s="1" ph="1"/>
    </row>
    <row r="11269" spans="9:9" ht="18" customHeight="1">
      <c r="I11269" s="1" ph="1"/>
    </row>
    <row r="11270" spans="9:9" ht="18" customHeight="1">
      <c r="I11270" s="1" ph="1"/>
    </row>
    <row r="11271" spans="9:9" ht="18" customHeight="1">
      <c r="I11271" s="1" ph="1"/>
    </row>
    <row r="11272" spans="9:9" ht="18" customHeight="1">
      <c r="I11272" s="1" ph="1"/>
    </row>
    <row r="11273" spans="9:9" ht="18" customHeight="1">
      <c r="I11273" s="1" ph="1"/>
    </row>
    <row r="11274" spans="9:9" ht="18" customHeight="1">
      <c r="I11274" s="1" ph="1"/>
    </row>
    <row r="11275" spans="9:9" ht="18" customHeight="1">
      <c r="I11275" s="1" ph="1"/>
    </row>
    <row r="11276" spans="9:9" ht="18" customHeight="1">
      <c r="I11276" s="1" ph="1"/>
    </row>
    <row r="11277" spans="9:9" ht="18" customHeight="1">
      <c r="I11277" s="1" ph="1"/>
    </row>
    <row r="11278" spans="9:9" ht="18" customHeight="1">
      <c r="I11278" s="1" ph="1"/>
    </row>
    <row r="11279" spans="9:9" ht="18" customHeight="1">
      <c r="I11279" s="1" ph="1"/>
    </row>
    <row r="11280" spans="9:9" ht="18" customHeight="1">
      <c r="I11280" s="1" ph="1"/>
    </row>
    <row r="11281" spans="9:9" ht="18" customHeight="1">
      <c r="I11281" s="1" ph="1"/>
    </row>
    <row r="11282" spans="9:9" ht="18" customHeight="1">
      <c r="I11282" s="1" ph="1"/>
    </row>
    <row r="11283" spans="9:9" ht="18" customHeight="1">
      <c r="I11283" s="1" ph="1"/>
    </row>
    <row r="11284" spans="9:9" ht="18" customHeight="1">
      <c r="I11284" s="1" ph="1"/>
    </row>
    <row r="11285" spans="9:9" ht="18" customHeight="1">
      <c r="I11285" s="1" ph="1"/>
    </row>
    <row r="11286" spans="9:9" ht="18" customHeight="1">
      <c r="I11286" s="1" ph="1"/>
    </row>
    <row r="11287" spans="9:9" ht="18" customHeight="1">
      <c r="I11287" s="1" ph="1"/>
    </row>
    <row r="11288" spans="9:9" ht="18" customHeight="1">
      <c r="I11288" s="1" ph="1"/>
    </row>
    <row r="11289" spans="9:9" ht="18" customHeight="1">
      <c r="I11289" s="1" ph="1"/>
    </row>
    <row r="11290" spans="9:9" ht="18" customHeight="1">
      <c r="I11290" s="1" ph="1"/>
    </row>
    <row r="11291" spans="9:9" ht="18" customHeight="1">
      <c r="I11291" s="1" ph="1"/>
    </row>
    <row r="11292" spans="9:9" ht="18" customHeight="1">
      <c r="I11292" s="1" ph="1"/>
    </row>
    <row r="11293" spans="9:9" ht="18" customHeight="1">
      <c r="I11293" s="1" ph="1"/>
    </row>
    <row r="11294" spans="9:9" ht="18" customHeight="1">
      <c r="I11294" s="1" ph="1"/>
    </row>
    <row r="11295" spans="9:9" ht="18" customHeight="1">
      <c r="I11295" s="1" ph="1"/>
    </row>
    <row r="11296" spans="9:9" ht="18" customHeight="1">
      <c r="I11296" s="1" ph="1"/>
    </row>
    <row r="11297" spans="9:9" ht="18" customHeight="1">
      <c r="I11297" s="1" ph="1"/>
    </row>
    <row r="11298" spans="9:9" ht="18" customHeight="1">
      <c r="I11298" s="1" ph="1"/>
    </row>
    <row r="11299" spans="9:9" ht="18" customHeight="1">
      <c r="I11299" s="1" ph="1"/>
    </row>
    <row r="11300" spans="9:9" ht="18" customHeight="1">
      <c r="I11300" s="1" ph="1"/>
    </row>
    <row r="11301" spans="9:9" ht="18" customHeight="1">
      <c r="I11301" s="1" ph="1"/>
    </row>
    <row r="11302" spans="9:9" ht="18" customHeight="1">
      <c r="I11302" s="1" ph="1"/>
    </row>
    <row r="11303" spans="9:9" ht="18" customHeight="1">
      <c r="I11303" s="1" ph="1"/>
    </row>
    <row r="11304" spans="9:9" ht="18" customHeight="1">
      <c r="I11304" s="1" ph="1"/>
    </row>
    <row r="11305" spans="9:9" ht="18" customHeight="1">
      <c r="I11305" s="1" ph="1"/>
    </row>
    <row r="11306" spans="9:9" ht="18" customHeight="1">
      <c r="I11306" s="1" ph="1"/>
    </row>
    <row r="11307" spans="9:9" ht="18" customHeight="1">
      <c r="I11307" s="1" ph="1"/>
    </row>
    <row r="11308" spans="9:9" ht="18" customHeight="1">
      <c r="I11308" s="1" ph="1"/>
    </row>
    <row r="11309" spans="9:9" ht="18" customHeight="1">
      <c r="I11309" s="1" ph="1"/>
    </row>
    <row r="11310" spans="9:9" ht="18" customHeight="1">
      <c r="I11310" s="1" ph="1"/>
    </row>
    <row r="11311" spans="9:9" ht="18" customHeight="1">
      <c r="I11311" s="1" ph="1"/>
    </row>
    <row r="11312" spans="9:9" ht="18" customHeight="1">
      <c r="I11312" s="1" ph="1"/>
    </row>
    <row r="11313" spans="9:9" ht="18" customHeight="1">
      <c r="I11313" s="1" ph="1"/>
    </row>
    <row r="11314" spans="9:9" ht="18" customHeight="1">
      <c r="I11314" s="1" ph="1"/>
    </row>
    <row r="11315" spans="9:9" ht="18" customHeight="1">
      <c r="I11315" s="1" ph="1"/>
    </row>
    <row r="11316" spans="9:9" ht="18" customHeight="1">
      <c r="I11316" s="1" ph="1"/>
    </row>
    <row r="11317" spans="9:9" ht="18" customHeight="1">
      <c r="I11317" s="1" ph="1"/>
    </row>
    <row r="11318" spans="9:9" ht="18" customHeight="1">
      <c r="I11318" s="1" ph="1"/>
    </row>
    <row r="11319" spans="9:9" ht="18" customHeight="1">
      <c r="I11319" s="1" ph="1"/>
    </row>
    <row r="11320" spans="9:9" ht="18" customHeight="1">
      <c r="I11320" s="1" ph="1"/>
    </row>
    <row r="11321" spans="9:9" ht="18" customHeight="1">
      <c r="I11321" s="1" ph="1"/>
    </row>
    <row r="11322" spans="9:9" ht="18" customHeight="1">
      <c r="I11322" s="1" ph="1"/>
    </row>
    <row r="11323" spans="9:9" ht="18" customHeight="1">
      <c r="I11323" s="1" ph="1"/>
    </row>
    <row r="11324" spans="9:9" ht="18" customHeight="1">
      <c r="I11324" s="1" ph="1"/>
    </row>
    <row r="11325" spans="9:9" ht="18" customHeight="1">
      <c r="I11325" s="1" ph="1"/>
    </row>
    <row r="11326" spans="9:9" ht="18" customHeight="1">
      <c r="I11326" s="1" ph="1"/>
    </row>
    <row r="11327" spans="9:9" ht="18" customHeight="1">
      <c r="I11327" s="1" ph="1"/>
    </row>
    <row r="11328" spans="9:9" ht="18" customHeight="1">
      <c r="I11328" s="1" ph="1"/>
    </row>
    <row r="11329" spans="9:9" ht="18" customHeight="1">
      <c r="I11329" s="1" ph="1"/>
    </row>
    <row r="11330" spans="9:9" ht="18" customHeight="1">
      <c r="I11330" s="1" ph="1"/>
    </row>
    <row r="11331" spans="9:9" ht="18" customHeight="1">
      <c r="I11331" s="1" ph="1"/>
    </row>
    <row r="11332" spans="9:9" ht="18" customHeight="1">
      <c r="I11332" s="1" ph="1"/>
    </row>
    <row r="11333" spans="9:9" ht="18" customHeight="1">
      <c r="I11333" s="1" ph="1"/>
    </row>
    <row r="11334" spans="9:9" ht="18" customHeight="1">
      <c r="I11334" s="1" ph="1"/>
    </row>
    <row r="11335" spans="9:9" ht="18" customHeight="1">
      <c r="I11335" s="1" ph="1"/>
    </row>
    <row r="11336" spans="9:9" ht="18" customHeight="1">
      <c r="I11336" s="1" ph="1"/>
    </row>
    <row r="11337" spans="9:9" ht="18" customHeight="1">
      <c r="I11337" s="1" ph="1"/>
    </row>
    <row r="11338" spans="9:9" ht="18" customHeight="1">
      <c r="I11338" s="1" ph="1"/>
    </row>
    <row r="11339" spans="9:9" ht="18" customHeight="1">
      <c r="I11339" s="1" ph="1"/>
    </row>
    <row r="11340" spans="9:9" ht="18" customHeight="1">
      <c r="I11340" s="1" ph="1"/>
    </row>
    <row r="11341" spans="9:9" ht="18" customHeight="1">
      <c r="I11341" s="1" ph="1"/>
    </row>
    <row r="11342" spans="9:9" ht="18" customHeight="1">
      <c r="I11342" s="1" ph="1"/>
    </row>
    <row r="11343" spans="9:9" ht="18" customHeight="1">
      <c r="I11343" s="1" ph="1"/>
    </row>
    <row r="11344" spans="9:9" ht="18" customHeight="1">
      <c r="I11344" s="1" ph="1"/>
    </row>
    <row r="11345" spans="9:9" ht="18" customHeight="1">
      <c r="I11345" s="1" ph="1"/>
    </row>
    <row r="11346" spans="9:9" ht="18" customHeight="1">
      <c r="I11346" s="1" ph="1"/>
    </row>
    <row r="11347" spans="9:9" ht="18" customHeight="1">
      <c r="I11347" s="1" ph="1"/>
    </row>
    <row r="11348" spans="9:9" ht="18" customHeight="1">
      <c r="I11348" s="1" ph="1"/>
    </row>
    <row r="11349" spans="9:9" ht="18" customHeight="1">
      <c r="I11349" s="1" ph="1"/>
    </row>
    <row r="11350" spans="9:9" ht="18" customHeight="1">
      <c r="I11350" s="1" ph="1"/>
    </row>
    <row r="11351" spans="9:9" ht="18" customHeight="1">
      <c r="I11351" s="1" ph="1"/>
    </row>
    <row r="11352" spans="9:9" ht="18" customHeight="1">
      <c r="I11352" s="1" ph="1"/>
    </row>
    <row r="11353" spans="9:9" ht="18" customHeight="1">
      <c r="I11353" s="1" ph="1"/>
    </row>
    <row r="11354" spans="9:9" ht="18" customHeight="1">
      <c r="I11354" s="1" ph="1"/>
    </row>
    <row r="11355" spans="9:9" ht="18" customHeight="1">
      <c r="I11355" s="1" ph="1"/>
    </row>
    <row r="11356" spans="9:9" ht="18" customHeight="1">
      <c r="I11356" s="1" ph="1"/>
    </row>
    <row r="11357" spans="9:9" ht="18" customHeight="1">
      <c r="I11357" s="1" ph="1"/>
    </row>
    <row r="11358" spans="9:9" ht="18" customHeight="1">
      <c r="I11358" s="1" ph="1"/>
    </row>
    <row r="11359" spans="9:9" ht="18" customHeight="1">
      <c r="I11359" s="1" ph="1"/>
    </row>
    <row r="11360" spans="9:9" ht="18" customHeight="1">
      <c r="I11360" s="1" ph="1"/>
    </row>
    <row r="11361" spans="9:9" ht="18" customHeight="1">
      <c r="I11361" s="1" ph="1"/>
    </row>
    <row r="11362" spans="9:9" ht="18" customHeight="1">
      <c r="I11362" s="1" ph="1"/>
    </row>
    <row r="11363" spans="9:9" ht="18" customHeight="1">
      <c r="I11363" s="1" ph="1"/>
    </row>
    <row r="11364" spans="9:9" ht="18" customHeight="1">
      <c r="I11364" s="1" ph="1"/>
    </row>
    <row r="11365" spans="9:9" ht="18" customHeight="1">
      <c r="I11365" s="1" ph="1"/>
    </row>
    <row r="11366" spans="9:9" ht="18" customHeight="1">
      <c r="I11366" s="1" ph="1"/>
    </row>
    <row r="11367" spans="9:9" ht="18" customHeight="1">
      <c r="I11367" s="1" ph="1"/>
    </row>
    <row r="11368" spans="9:9" ht="18" customHeight="1">
      <c r="I11368" s="1" ph="1"/>
    </row>
    <row r="11369" spans="9:9" ht="18" customHeight="1">
      <c r="I11369" s="1" ph="1"/>
    </row>
    <row r="11370" spans="9:9" ht="18" customHeight="1">
      <c r="I11370" s="1" ph="1"/>
    </row>
    <row r="11371" spans="9:9" ht="18" customHeight="1">
      <c r="I11371" s="1" ph="1"/>
    </row>
    <row r="11372" spans="9:9" ht="18" customHeight="1">
      <c r="I11372" s="1" ph="1"/>
    </row>
    <row r="11373" spans="9:9" ht="18" customHeight="1">
      <c r="I11373" s="1" ph="1"/>
    </row>
    <row r="11374" spans="9:9" ht="18" customHeight="1">
      <c r="I11374" s="1" ph="1"/>
    </row>
    <row r="11375" spans="9:9" ht="18" customHeight="1">
      <c r="I11375" s="1" ph="1"/>
    </row>
    <row r="11376" spans="9:9" ht="18" customHeight="1">
      <c r="I11376" s="1" ph="1"/>
    </row>
    <row r="11377" spans="9:9" ht="18" customHeight="1">
      <c r="I11377" s="1" ph="1"/>
    </row>
    <row r="11378" spans="9:9" ht="18" customHeight="1">
      <c r="I11378" s="1" ph="1"/>
    </row>
    <row r="11379" spans="9:9" ht="18" customHeight="1">
      <c r="I11379" s="1" ph="1"/>
    </row>
    <row r="11380" spans="9:9" ht="18" customHeight="1">
      <c r="I11380" s="1" ph="1"/>
    </row>
    <row r="11381" spans="9:9" ht="18" customHeight="1">
      <c r="I11381" s="1" ph="1"/>
    </row>
    <row r="11382" spans="9:9" ht="18" customHeight="1">
      <c r="I11382" s="1" ph="1"/>
    </row>
    <row r="11383" spans="9:9" ht="18" customHeight="1">
      <c r="I11383" s="1" ph="1"/>
    </row>
    <row r="11384" spans="9:9" ht="18" customHeight="1">
      <c r="I11384" s="1" ph="1"/>
    </row>
    <row r="11385" spans="9:9" ht="18" customHeight="1">
      <c r="I11385" s="1" ph="1"/>
    </row>
    <row r="11386" spans="9:9" ht="18" customHeight="1">
      <c r="I11386" s="1" ph="1"/>
    </row>
    <row r="11387" spans="9:9" ht="18" customHeight="1">
      <c r="I11387" s="1" ph="1"/>
    </row>
    <row r="11388" spans="9:9" ht="18" customHeight="1">
      <c r="I11388" s="1" ph="1"/>
    </row>
    <row r="11389" spans="9:9" ht="18" customHeight="1">
      <c r="I11389" s="1" ph="1"/>
    </row>
    <row r="11390" spans="9:9" ht="18" customHeight="1">
      <c r="I11390" s="1" ph="1"/>
    </row>
    <row r="11391" spans="9:9" ht="18" customHeight="1">
      <c r="I11391" s="1" ph="1"/>
    </row>
    <row r="11392" spans="9:9" ht="18" customHeight="1">
      <c r="I11392" s="1" ph="1"/>
    </row>
    <row r="11393" spans="9:9" ht="18" customHeight="1">
      <c r="I11393" s="1" ph="1"/>
    </row>
    <row r="11394" spans="9:9" ht="18" customHeight="1">
      <c r="I11394" s="1" ph="1"/>
    </row>
    <row r="11395" spans="9:9" ht="18" customHeight="1">
      <c r="I11395" s="1" ph="1"/>
    </row>
    <row r="11396" spans="9:9" ht="18" customHeight="1">
      <c r="I11396" s="1" ph="1"/>
    </row>
    <row r="11397" spans="9:9" ht="18" customHeight="1">
      <c r="I11397" s="1" ph="1"/>
    </row>
    <row r="11398" spans="9:9" ht="18" customHeight="1">
      <c r="I11398" s="1" ph="1"/>
    </row>
    <row r="11399" spans="9:9" ht="18" customHeight="1">
      <c r="I11399" s="1" ph="1"/>
    </row>
    <row r="11400" spans="9:9" ht="18" customHeight="1">
      <c r="I11400" s="1" ph="1"/>
    </row>
    <row r="11401" spans="9:9" ht="18" customHeight="1">
      <c r="I11401" s="1" ph="1"/>
    </row>
    <row r="11402" spans="9:9" ht="18" customHeight="1">
      <c r="I11402" s="1" ph="1"/>
    </row>
    <row r="11403" spans="9:9" ht="18" customHeight="1">
      <c r="I11403" s="1" ph="1"/>
    </row>
    <row r="11404" spans="9:9" ht="18" customHeight="1">
      <c r="I11404" s="1" ph="1"/>
    </row>
    <row r="11405" spans="9:9" ht="18" customHeight="1">
      <c r="I11405" s="1" ph="1"/>
    </row>
    <row r="11406" spans="9:9" ht="18" customHeight="1">
      <c r="I11406" s="1" ph="1"/>
    </row>
    <row r="11407" spans="9:9" ht="18" customHeight="1">
      <c r="I11407" s="1" ph="1"/>
    </row>
    <row r="11408" spans="9:9" ht="18" customHeight="1">
      <c r="I11408" s="1" ph="1"/>
    </row>
    <row r="11409" spans="9:9" ht="18" customHeight="1">
      <c r="I11409" s="1" ph="1"/>
    </row>
    <row r="11410" spans="9:9" ht="18" customHeight="1">
      <c r="I11410" s="1" ph="1"/>
    </row>
    <row r="11411" spans="9:9" ht="18" customHeight="1">
      <c r="I11411" s="1" ph="1"/>
    </row>
    <row r="11412" spans="9:9" ht="18" customHeight="1">
      <c r="I11412" s="1" ph="1"/>
    </row>
    <row r="11413" spans="9:9" ht="18" customHeight="1">
      <c r="I11413" s="1" ph="1"/>
    </row>
    <row r="11414" spans="9:9" ht="18" customHeight="1">
      <c r="I11414" s="1" ph="1"/>
    </row>
    <row r="11415" spans="9:9" ht="18" customHeight="1">
      <c r="I11415" s="1" ph="1"/>
    </row>
    <row r="11416" spans="9:9" ht="18" customHeight="1">
      <c r="I11416" s="1" ph="1"/>
    </row>
    <row r="11417" spans="9:9" ht="18" customHeight="1">
      <c r="I11417" s="1" ph="1"/>
    </row>
    <row r="11418" spans="9:9" ht="18" customHeight="1">
      <c r="I11418" s="1" ph="1"/>
    </row>
    <row r="11419" spans="9:9" ht="18" customHeight="1">
      <c r="I11419" s="1" ph="1"/>
    </row>
    <row r="11420" spans="9:9" ht="18" customHeight="1">
      <c r="I11420" s="1" ph="1"/>
    </row>
    <row r="11421" spans="9:9" ht="18" customHeight="1">
      <c r="I11421" s="1" ph="1"/>
    </row>
    <row r="11422" spans="9:9" ht="18" customHeight="1">
      <c r="I11422" s="1" ph="1"/>
    </row>
    <row r="11423" spans="9:9" ht="18" customHeight="1">
      <c r="I11423" s="1" ph="1"/>
    </row>
    <row r="11424" spans="9:9" ht="18" customHeight="1">
      <c r="I11424" s="1" ph="1"/>
    </row>
    <row r="11425" spans="9:9" ht="18" customHeight="1">
      <c r="I11425" s="1" ph="1"/>
    </row>
    <row r="11426" spans="9:9" ht="18" customHeight="1">
      <c r="I11426" s="1" ph="1"/>
    </row>
    <row r="11427" spans="9:9" ht="18" customHeight="1">
      <c r="I11427" s="1" ph="1"/>
    </row>
    <row r="11428" spans="9:9" ht="18" customHeight="1">
      <c r="I11428" s="1" ph="1"/>
    </row>
    <row r="11429" spans="9:9" ht="18" customHeight="1">
      <c r="I11429" s="1" ph="1"/>
    </row>
    <row r="11430" spans="9:9" ht="18" customHeight="1">
      <c r="I11430" s="1" ph="1"/>
    </row>
    <row r="11431" spans="9:9" ht="18" customHeight="1">
      <c r="I11431" s="1" ph="1"/>
    </row>
    <row r="11432" spans="9:9" ht="18" customHeight="1">
      <c r="I11432" s="1" ph="1"/>
    </row>
    <row r="11433" spans="9:9" ht="18" customHeight="1">
      <c r="I11433" s="1" ph="1"/>
    </row>
    <row r="11434" spans="9:9" ht="18" customHeight="1">
      <c r="I11434" s="1" ph="1"/>
    </row>
    <row r="11435" spans="9:9" ht="18" customHeight="1">
      <c r="I11435" s="1" ph="1"/>
    </row>
    <row r="11436" spans="9:9" ht="18" customHeight="1">
      <c r="I11436" s="1" ph="1"/>
    </row>
    <row r="11437" spans="9:9" ht="18" customHeight="1">
      <c r="I11437" s="1" ph="1"/>
    </row>
    <row r="11438" spans="9:9" ht="18" customHeight="1">
      <c r="I11438" s="1" ph="1"/>
    </row>
    <row r="11439" spans="9:9" ht="18" customHeight="1">
      <c r="I11439" s="1" ph="1"/>
    </row>
    <row r="11440" spans="9:9" ht="18" customHeight="1">
      <c r="I11440" s="1" ph="1"/>
    </row>
    <row r="11441" spans="9:9" ht="18" customHeight="1">
      <c r="I11441" s="1" ph="1"/>
    </row>
    <row r="11442" spans="9:9" ht="18" customHeight="1">
      <c r="I11442" s="1" ph="1"/>
    </row>
    <row r="11443" spans="9:9" ht="18" customHeight="1">
      <c r="I11443" s="1" ph="1"/>
    </row>
    <row r="11444" spans="9:9" ht="18" customHeight="1">
      <c r="I11444" s="1" ph="1"/>
    </row>
    <row r="11445" spans="9:9" ht="18" customHeight="1">
      <c r="I11445" s="1" ph="1"/>
    </row>
    <row r="11446" spans="9:9" ht="18" customHeight="1">
      <c r="I11446" s="1" ph="1"/>
    </row>
    <row r="11447" spans="9:9" ht="18" customHeight="1">
      <c r="I11447" s="1" ph="1"/>
    </row>
    <row r="11448" spans="9:9" ht="18" customHeight="1">
      <c r="I11448" s="1" ph="1"/>
    </row>
    <row r="11449" spans="9:9" ht="18" customHeight="1">
      <c r="I11449" s="1" ph="1"/>
    </row>
    <row r="11450" spans="9:9" ht="18" customHeight="1">
      <c r="I11450" s="1" ph="1"/>
    </row>
    <row r="11451" spans="9:9" ht="18" customHeight="1">
      <c r="I11451" s="1" ph="1"/>
    </row>
    <row r="11452" spans="9:9" ht="18" customHeight="1">
      <c r="I11452" s="1" ph="1"/>
    </row>
    <row r="11453" spans="9:9" ht="18" customHeight="1">
      <c r="I11453" s="1" ph="1"/>
    </row>
    <row r="11454" spans="9:9" ht="18" customHeight="1">
      <c r="I11454" s="1" ph="1"/>
    </row>
    <row r="11455" spans="9:9" ht="18" customHeight="1">
      <c r="I11455" s="1" ph="1"/>
    </row>
    <row r="11456" spans="9:9" ht="18" customHeight="1">
      <c r="I11456" s="1" ph="1"/>
    </row>
    <row r="11457" spans="9:9" ht="18" customHeight="1">
      <c r="I11457" s="1" ph="1"/>
    </row>
    <row r="11458" spans="9:9" ht="18" customHeight="1">
      <c r="I11458" s="1" ph="1"/>
    </row>
    <row r="11459" spans="9:9" ht="18" customHeight="1">
      <c r="I11459" s="1" ph="1"/>
    </row>
    <row r="11460" spans="9:9" ht="18" customHeight="1">
      <c r="I11460" s="1" ph="1"/>
    </row>
    <row r="11461" spans="9:9" ht="18" customHeight="1">
      <c r="I11461" s="1" ph="1"/>
    </row>
    <row r="11462" spans="9:9" ht="18" customHeight="1">
      <c r="I11462" s="1" ph="1"/>
    </row>
    <row r="11463" spans="9:9" ht="18" customHeight="1">
      <c r="I11463" s="1" ph="1"/>
    </row>
    <row r="11464" spans="9:9" ht="18" customHeight="1">
      <c r="I11464" s="1" ph="1"/>
    </row>
    <row r="11465" spans="9:9" ht="18" customHeight="1">
      <c r="I11465" s="1" ph="1"/>
    </row>
    <row r="11466" spans="9:9" ht="18" customHeight="1">
      <c r="I11466" s="1" ph="1"/>
    </row>
    <row r="11467" spans="9:9" ht="18" customHeight="1">
      <c r="I11467" s="1" ph="1"/>
    </row>
    <row r="11468" spans="9:9" ht="18" customHeight="1">
      <c r="I11468" s="1" ph="1"/>
    </row>
    <row r="11469" spans="9:9" ht="18" customHeight="1">
      <c r="I11469" s="1" ph="1"/>
    </row>
    <row r="11470" spans="9:9" ht="18" customHeight="1">
      <c r="I11470" s="1" ph="1"/>
    </row>
    <row r="11471" spans="9:9" ht="18" customHeight="1">
      <c r="I11471" s="1" ph="1"/>
    </row>
    <row r="11472" spans="9:9" ht="18" customHeight="1">
      <c r="I11472" s="1" ph="1"/>
    </row>
    <row r="11473" spans="9:9" ht="18" customHeight="1">
      <c r="I11473" s="1" ph="1"/>
    </row>
    <row r="11474" spans="9:9" ht="18" customHeight="1">
      <c r="I11474" s="1" ph="1"/>
    </row>
    <row r="11475" spans="9:9" ht="18" customHeight="1">
      <c r="I11475" s="1" ph="1"/>
    </row>
    <row r="11476" spans="9:9" ht="18" customHeight="1">
      <c r="I11476" s="1" ph="1"/>
    </row>
    <row r="11477" spans="9:9" ht="18" customHeight="1">
      <c r="I11477" s="1" ph="1"/>
    </row>
    <row r="11478" spans="9:9" ht="18" customHeight="1">
      <c r="I11478" s="1" ph="1"/>
    </row>
    <row r="11479" spans="9:9" ht="18" customHeight="1">
      <c r="I11479" s="1" ph="1"/>
    </row>
    <row r="11480" spans="9:9" ht="18" customHeight="1">
      <c r="I11480" s="1" ph="1"/>
    </row>
    <row r="11481" spans="9:9" ht="18" customHeight="1">
      <c r="I11481" s="1" ph="1"/>
    </row>
    <row r="11482" spans="9:9" ht="18" customHeight="1">
      <c r="I11482" s="1" ph="1"/>
    </row>
    <row r="11483" spans="9:9" ht="18" customHeight="1">
      <c r="I11483" s="1" ph="1"/>
    </row>
    <row r="11484" spans="9:9" ht="18" customHeight="1">
      <c r="I11484" s="1" ph="1"/>
    </row>
    <row r="11485" spans="9:9" ht="18" customHeight="1">
      <c r="I11485" s="1" ph="1"/>
    </row>
    <row r="11486" spans="9:9" ht="18" customHeight="1">
      <c r="I11486" s="1" ph="1"/>
    </row>
    <row r="11487" spans="9:9" ht="18" customHeight="1">
      <c r="I11487" s="1" ph="1"/>
    </row>
    <row r="11488" spans="9:9" ht="18" customHeight="1">
      <c r="I11488" s="1" ph="1"/>
    </row>
    <row r="11489" spans="9:9" ht="18" customHeight="1">
      <c r="I11489" s="1" ph="1"/>
    </row>
    <row r="11490" spans="9:9" ht="18" customHeight="1">
      <c r="I11490" s="1" ph="1"/>
    </row>
    <row r="11491" spans="9:9" ht="18" customHeight="1">
      <c r="I11491" s="1" ph="1"/>
    </row>
    <row r="11492" spans="9:9" ht="18" customHeight="1">
      <c r="I11492" s="1" ph="1"/>
    </row>
    <row r="11493" spans="9:9" ht="18" customHeight="1">
      <c r="I11493" s="1" ph="1"/>
    </row>
    <row r="11494" spans="9:9" ht="18" customHeight="1">
      <c r="I11494" s="1" ph="1"/>
    </row>
    <row r="11495" spans="9:9" ht="18" customHeight="1">
      <c r="I11495" s="1" ph="1"/>
    </row>
    <row r="11496" spans="9:9" ht="18" customHeight="1">
      <c r="I11496" s="1" ph="1"/>
    </row>
    <row r="11497" spans="9:9" ht="18" customHeight="1">
      <c r="I11497" s="1" ph="1"/>
    </row>
    <row r="11498" spans="9:9" ht="18" customHeight="1">
      <c r="I11498" s="1" ph="1"/>
    </row>
    <row r="11499" spans="9:9" ht="18" customHeight="1">
      <c r="I11499" s="1" ph="1"/>
    </row>
    <row r="11500" spans="9:9" ht="18" customHeight="1">
      <c r="I11500" s="1" ph="1"/>
    </row>
    <row r="11501" spans="9:9" ht="18" customHeight="1">
      <c r="I11501" s="1" ph="1"/>
    </row>
    <row r="11502" spans="9:9" ht="18" customHeight="1">
      <c r="I11502" s="1" ph="1"/>
    </row>
    <row r="11503" spans="9:9" ht="18" customHeight="1">
      <c r="I11503" s="1" ph="1"/>
    </row>
    <row r="11504" spans="9:9" ht="18" customHeight="1">
      <c r="I11504" s="1" ph="1"/>
    </row>
    <row r="11505" spans="9:9" ht="18" customHeight="1">
      <c r="I11505" s="1" ph="1"/>
    </row>
    <row r="11506" spans="9:9" ht="18" customHeight="1">
      <c r="I11506" s="1" ph="1"/>
    </row>
    <row r="11507" spans="9:9" ht="18" customHeight="1">
      <c r="I11507" s="1" ph="1"/>
    </row>
    <row r="11508" spans="9:9" ht="18" customHeight="1">
      <c r="I11508" s="1" ph="1"/>
    </row>
    <row r="11509" spans="9:9" ht="18" customHeight="1">
      <c r="I11509" s="1" ph="1"/>
    </row>
    <row r="11510" spans="9:9" ht="18" customHeight="1">
      <c r="I11510" s="1" ph="1"/>
    </row>
    <row r="11511" spans="9:9" ht="18" customHeight="1">
      <c r="I11511" s="1" ph="1"/>
    </row>
    <row r="11512" spans="9:9" ht="18" customHeight="1">
      <c r="I11512" s="1" ph="1"/>
    </row>
    <row r="11513" spans="9:9" ht="18" customHeight="1">
      <c r="I11513" s="1" ph="1"/>
    </row>
    <row r="11514" spans="9:9" ht="18" customHeight="1">
      <c r="I11514" s="1" ph="1"/>
    </row>
    <row r="11515" spans="9:9" ht="18" customHeight="1">
      <c r="I11515" s="1" ph="1"/>
    </row>
    <row r="11516" spans="9:9" ht="18" customHeight="1">
      <c r="I11516" s="1" ph="1"/>
    </row>
    <row r="11517" spans="9:9" ht="18" customHeight="1">
      <c r="I11517" s="1" ph="1"/>
    </row>
    <row r="11518" spans="9:9" ht="18" customHeight="1">
      <c r="I11518" s="1" ph="1"/>
    </row>
    <row r="11519" spans="9:9" ht="18" customHeight="1">
      <c r="I11519" s="1" ph="1"/>
    </row>
    <row r="11520" spans="9:9" ht="18" customHeight="1">
      <c r="I11520" s="1" ph="1"/>
    </row>
    <row r="11521" spans="9:9" ht="18" customHeight="1">
      <c r="I11521" s="1" ph="1"/>
    </row>
    <row r="11522" spans="9:9" ht="18" customHeight="1">
      <c r="I11522" s="1" ph="1"/>
    </row>
    <row r="11523" spans="9:9" ht="18" customHeight="1">
      <c r="I11523" s="1" ph="1"/>
    </row>
    <row r="11524" spans="9:9" ht="18" customHeight="1">
      <c r="I11524" s="1" ph="1"/>
    </row>
    <row r="11525" spans="9:9" ht="18" customHeight="1">
      <c r="I11525" s="1" ph="1"/>
    </row>
    <row r="11526" spans="9:9" ht="18" customHeight="1">
      <c r="I11526" s="1" ph="1"/>
    </row>
    <row r="11527" spans="9:9" ht="18" customHeight="1">
      <c r="I11527" s="1" ph="1"/>
    </row>
    <row r="11528" spans="9:9" ht="18" customHeight="1">
      <c r="I11528" s="1" ph="1"/>
    </row>
    <row r="11529" spans="9:9" ht="18" customHeight="1">
      <c r="I11529" s="1" ph="1"/>
    </row>
    <row r="11530" spans="9:9" ht="18" customHeight="1">
      <c r="I11530" s="1" ph="1"/>
    </row>
    <row r="11531" spans="9:9" ht="18" customHeight="1">
      <c r="I11531" s="1" ph="1"/>
    </row>
    <row r="11532" spans="9:9" ht="18" customHeight="1">
      <c r="I11532" s="1" ph="1"/>
    </row>
    <row r="11533" spans="9:9" ht="18" customHeight="1">
      <c r="I11533" s="1" ph="1"/>
    </row>
    <row r="11534" spans="9:9" ht="18" customHeight="1">
      <c r="I11534" s="1" ph="1"/>
    </row>
    <row r="11535" spans="9:9" ht="18" customHeight="1">
      <c r="I11535" s="1" ph="1"/>
    </row>
    <row r="11536" spans="9:9" ht="18" customHeight="1">
      <c r="I11536" s="1" ph="1"/>
    </row>
    <row r="11537" spans="9:9" ht="18" customHeight="1">
      <c r="I11537" s="1" ph="1"/>
    </row>
    <row r="11538" spans="9:9" ht="18" customHeight="1">
      <c r="I11538" s="1" ph="1"/>
    </row>
    <row r="11539" spans="9:9" ht="18" customHeight="1">
      <c r="I11539" s="1" ph="1"/>
    </row>
    <row r="11540" spans="9:9" ht="18" customHeight="1">
      <c r="I11540" s="1" ph="1"/>
    </row>
    <row r="11541" spans="9:9" ht="18" customHeight="1">
      <c r="I11541" s="1" ph="1"/>
    </row>
    <row r="11542" spans="9:9" ht="18" customHeight="1">
      <c r="I11542" s="1" ph="1"/>
    </row>
    <row r="11543" spans="9:9" ht="18" customHeight="1">
      <c r="I11543" s="1" ph="1"/>
    </row>
    <row r="11544" spans="9:9" ht="18" customHeight="1">
      <c r="I11544" s="1" ph="1"/>
    </row>
    <row r="11545" spans="9:9" ht="18" customHeight="1">
      <c r="I11545" s="1" ph="1"/>
    </row>
    <row r="11546" spans="9:9" ht="18" customHeight="1">
      <c r="I11546" s="1" ph="1"/>
    </row>
    <row r="11547" spans="9:9" ht="18" customHeight="1">
      <c r="I11547" s="1" ph="1"/>
    </row>
    <row r="11548" spans="9:9" ht="18" customHeight="1">
      <c r="I11548" s="1" ph="1"/>
    </row>
    <row r="11549" spans="9:9" ht="18" customHeight="1">
      <c r="I11549" s="1" ph="1"/>
    </row>
    <row r="11550" spans="9:9" ht="18" customHeight="1">
      <c r="I11550" s="1" ph="1"/>
    </row>
    <row r="11551" spans="9:9" ht="18" customHeight="1">
      <c r="I11551" s="1" ph="1"/>
    </row>
    <row r="11552" spans="9:9" ht="18" customHeight="1">
      <c r="I11552" s="1" ph="1"/>
    </row>
    <row r="11553" spans="9:9" ht="18" customHeight="1">
      <c r="I11553" s="1" ph="1"/>
    </row>
    <row r="11554" spans="9:9" ht="18" customHeight="1">
      <c r="I11554" s="1" ph="1"/>
    </row>
    <row r="11555" spans="9:9" ht="18" customHeight="1">
      <c r="I11555" s="1" ph="1"/>
    </row>
    <row r="11556" spans="9:9" ht="18" customHeight="1">
      <c r="I11556" s="1" ph="1"/>
    </row>
    <row r="11557" spans="9:9" ht="18" customHeight="1">
      <c r="I11557" s="1" ph="1"/>
    </row>
    <row r="11558" spans="9:9" ht="18" customHeight="1">
      <c r="I11558" s="1" ph="1"/>
    </row>
    <row r="11559" spans="9:9" ht="18" customHeight="1">
      <c r="I11559" s="1" ph="1"/>
    </row>
    <row r="11560" spans="9:9" ht="18" customHeight="1">
      <c r="I11560" s="1" ph="1"/>
    </row>
    <row r="11561" spans="9:9" ht="18" customHeight="1">
      <c r="I11561" s="1" ph="1"/>
    </row>
    <row r="11562" spans="9:9" ht="18" customHeight="1">
      <c r="I11562" s="1" ph="1"/>
    </row>
    <row r="11563" spans="9:9" ht="18" customHeight="1">
      <c r="I11563" s="1" ph="1"/>
    </row>
    <row r="11564" spans="9:9" ht="18" customHeight="1">
      <c r="I11564" s="1" ph="1"/>
    </row>
    <row r="11565" spans="9:9" ht="18" customHeight="1">
      <c r="I11565" s="1" ph="1"/>
    </row>
    <row r="11566" spans="9:9" ht="18" customHeight="1">
      <c r="I11566" s="1" ph="1"/>
    </row>
    <row r="11567" spans="9:9" ht="18" customHeight="1">
      <c r="I11567" s="1" ph="1"/>
    </row>
    <row r="11568" spans="9:9" ht="18" customHeight="1">
      <c r="I11568" s="1" ph="1"/>
    </row>
    <row r="11569" spans="9:9" ht="18" customHeight="1">
      <c r="I11569" s="1" ph="1"/>
    </row>
    <row r="11570" spans="9:9" ht="18" customHeight="1">
      <c r="I11570" s="1" ph="1"/>
    </row>
    <row r="11571" spans="9:9" ht="18" customHeight="1">
      <c r="I11571" s="1" ph="1"/>
    </row>
    <row r="11572" spans="9:9" ht="18" customHeight="1">
      <c r="I11572" s="1" ph="1"/>
    </row>
    <row r="11573" spans="9:9" ht="18" customHeight="1">
      <c r="I11573" s="1" ph="1"/>
    </row>
    <row r="11574" spans="9:9" ht="18" customHeight="1">
      <c r="I11574" s="1" ph="1"/>
    </row>
    <row r="11575" spans="9:9" ht="18" customHeight="1">
      <c r="I11575" s="1" ph="1"/>
    </row>
    <row r="11576" spans="9:9" ht="18" customHeight="1">
      <c r="I11576" s="1" ph="1"/>
    </row>
    <row r="11577" spans="9:9" ht="18" customHeight="1">
      <c r="I11577" s="1" ph="1"/>
    </row>
    <row r="11578" spans="9:9" ht="18" customHeight="1">
      <c r="I11578" s="1" ph="1"/>
    </row>
    <row r="11579" spans="9:9" ht="18" customHeight="1">
      <c r="I11579" s="1" ph="1"/>
    </row>
    <row r="11580" spans="9:9" ht="18" customHeight="1">
      <c r="I11580" s="1" ph="1"/>
    </row>
    <row r="11581" spans="9:9" ht="18" customHeight="1">
      <c r="I11581" s="1" ph="1"/>
    </row>
    <row r="11582" spans="9:9" ht="18" customHeight="1">
      <c r="I11582" s="1" ph="1"/>
    </row>
    <row r="11583" spans="9:9" ht="18" customHeight="1">
      <c r="I11583" s="1" ph="1"/>
    </row>
    <row r="11584" spans="9:9" ht="18" customHeight="1">
      <c r="I11584" s="1" ph="1"/>
    </row>
    <row r="11585" spans="9:9" ht="18" customHeight="1">
      <c r="I11585" s="1" ph="1"/>
    </row>
    <row r="11586" spans="9:9" ht="18" customHeight="1">
      <c r="I11586" s="1" ph="1"/>
    </row>
    <row r="11587" spans="9:9" ht="18" customHeight="1">
      <c r="I11587" s="1" ph="1"/>
    </row>
    <row r="11588" spans="9:9" ht="18" customHeight="1">
      <c r="I11588" s="1" ph="1"/>
    </row>
    <row r="11589" spans="9:9" ht="18" customHeight="1">
      <c r="I11589" s="1" ph="1"/>
    </row>
    <row r="11590" spans="9:9" ht="18" customHeight="1">
      <c r="I11590" s="1" ph="1"/>
    </row>
    <row r="11591" spans="9:9" ht="18" customHeight="1">
      <c r="I11591" s="1" ph="1"/>
    </row>
    <row r="11592" spans="9:9" ht="18" customHeight="1">
      <c r="I11592" s="1" ph="1"/>
    </row>
    <row r="11593" spans="9:9" ht="18" customHeight="1">
      <c r="I11593" s="1" ph="1"/>
    </row>
    <row r="11594" spans="9:9" ht="18" customHeight="1">
      <c r="I11594" s="1" ph="1"/>
    </row>
    <row r="11595" spans="9:9" ht="18" customHeight="1">
      <c r="I11595" s="1" ph="1"/>
    </row>
    <row r="11596" spans="9:9" ht="18" customHeight="1">
      <c r="I11596" s="1" ph="1"/>
    </row>
    <row r="11597" spans="9:9" ht="18" customHeight="1">
      <c r="I11597" s="1" ph="1"/>
    </row>
    <row r="11598" spans="9:9" ht="18" customHeight="1">
      <c r="I11598" s="1" ph="1"/>
    </row>
    <row r="11599" spans="9:9" ht="18" customHeight="1">
      <c r="I11599" s="1" ph="1"/>
    </row>
    <row r="11600" spans="9:9" ht="18" customHeight="1">
      <c r="I11600" s="1" ph="1"/>
    </row>
    <row r="11601" spans="9:9" ht="18" customHeight="1">
      <c r="I11601" s="1" ph="1"/>
    </row>
    <row r="11602" spans="9:9" ht="18" customHeight="1">
      <c r="I11602" s="1" ph="1"/>
    </row>
    <row r="11603" spans="9:9" ht="18" customHeight="1">
      <c r="I11603" s="1" ph="1"/>
    </row>
    <row r="11604" spans="9:9" ht="18" customHeight="1">
      <c r="I11604" s="1" ph="1"/>
    </row>
    <row r="11605" spans="9:9" ht="18" customHeight="1">
      <c r="I11605" s="1" ph="1"/>
    </row>
    <row r="11606" spans="9:9" ht="18" customHeight="1">
      <c r="I11606" s="1" ph="1"/>
    </row>
    <row r="11607" spans="9:9" ht="18" customHeight="1">
      <c r="I11607" s="1" ph="1"/>
    </row>
    <row r="11608" spans="9:9" ht="18" customHeight="1">
      <c r="I11608" s="1" ph="1"/>
    </row>
    <row r="11609" spans="9:9" ht="18" customHeight="1">
      <c r="I11609" s="1" ph="1"/>
    </row>
    <row r="11610" spans="9:9" ht="18" customHeight="1">
      <c r="I11610" s="1" ph="1"/>
    </row>
    <row r="11611" spans="9:9" ht="18" customHeight="1">
      <c r="I11611" s="1" ph="1"/>
    </row>
    <row r="11612" spans="9:9" ht="18" customHeight="1">
      <c r="I11612" s="1" ph="1"/>
    </row>
    <row r="11613" spans="9:9" ht="18" customHeight="1">
      <c r="I11613" s="1" ph="1"/>
    </row>
    <row r="11614" spans="9:9" ht="18" customHeight="1">
      <c r="I11614" s="1" ph="1"/>
    </row>
    <row r="11615" spans="9:9" ht="18" customHeight="1">
      <c r="I11615" s="1" ph="1"/>
    </row>
    <row r="11616" spans="9:9" ht="18" customHeight="1">
      <c r="I11616" s="1" ph="1"/>
    </row>
    <row r="11617" spans="9:9" ht="18" customHeight="1">
      <c r="I11617" s="1" ph="1"/>
    </row>
    <row r="11618" spans="9:9" ht="18" customHeight="1">
      <c r="I11618" s="1" ph="1"/>
    </row>
    <row r="11619" spans="9:9" ht="18" customHeight="1">
      <c r="I11619" s="1" ph="1"/>
    </row>
    <row r="11620" spans="9:9" ht="18" customHeight="1">
      <c r="I11620" s="1" ph="1"/>
    </row>
    <row r="11621" spans="9:9" ht="18" customHeight="1">
      <c r="I11621" s="1" ph="1"/>
    </row>
    <row r="11622" spans="9:9" ht="18" customHeight="1">
      <c r="I11622" s="1" ph="1"/>
    </row>
    <row r="11623" spans="9:9" ht="18" customHeight="1">
      <c r="I11623" s="1" ph="1"/>
    </row>
    <row r="11624" spans="9:9" ht="18" customHeight="1">
      <c r="I11624" s="1" ph="1"/>
    </row>
    <row r="11625" spans="9:9" ht="18" customHeight="1">
      <c r="I11625" s="1" ph="1"/>
    </row>
    <row r="11626" spans="9:9" ht="18" customHeight="1">
      <c r="I11626" s="1" ph="1"/>
    </row>
    <row r="11627" spans="9:9" ht="18" customHeight="1">
      <c r="I11627" s="1" ph="1"/>
    </row>
    <row r="11628" spans="9:9" ht="18" customHeight="1">
      <c r="I11628" s="1" ph="1"/>
    </row>
    <row r="11629" spans="9:9" ht="18" customHeight="1">
      <c r="I11629" s="1" ph="1"/>
    </row>
    <row r="11630" spans="9:9" ht="18" customHeight="1">
      <c r="I11630" s="1" ph="1"/>
    </row>
    <row r="11631" spans="9:9" ht="18" customHeight="1">
      <c r="I11631" s="1" ph="1"/>
    </row>
    <row r="11632" spans="9:9" ht="18" customHeight="1">
      <c r="I11632" s="1" ph="1"/>
    </row>
    <row r="11633" spans="9:9" ht="18" customHeight="1">
      <c r="I11633" s="1" ph="1"/>
    </row>
    <row r="11634" spans="9:9" ht="18" customHeight="1">
      <c r="I11634" s="1" ph="1"/>
    </row>
    <row r="11635" spans="9:9" ht="18" customHeight="1">
      <c r="I11635" s="1" ph="1"/>
    </row>
    <row r="11636" spans="9:9" ht="18" customHeight="1">
      <c r="I11636" s="1" ph="1"/>
    </row>
    <row r="11637" spans="9:9" ht="18" customHeight="1">
      <c r="I11637" s="1" ph="1"/>
    </row>
    <row r="11638" spans="9:9" ht="18" customHeight="1">
      <c r="I11638" s="1" ph="1"/>
    </row>
    <row r="11639" spans="9:9" ht="18" customHeight="1">
      <c r="I11639" s="1" ph="1"/>
    </row>
    <row r="11640" spans="9:9" ht="18" customHeight="1">
      <c r="I11640" s="1" ph="1"/>
    </row>
    <row r="11641" spans="9:9" ht="18" customHeight="1">
      <c r="I11641" s="1" ph="1"/>
    </row>
    <row r="11642" spans="9:9" ht="18" customHeight="1">
      <c r="I11642" s="1" ph="1"/>
    </row>
    <row r="11643" spans="9:9" ht="18" customHeight="1">
      <c r="I11643" s="1" ph="1"/>
    </row>
    <row r="11644" spans="9:9" ht="18" customHeight="1">
      <c r="I11644" s="1" ph="1"/>
    </row>
    <row r="11645" spans="9:9" ht="18" customHeight="1">
      <c r="I11645" s="1" ph="1"/>
    </row>
    <row r="11646" spans="9:9" ht="18" customHeight="1">
      <c r="I11646" s="1" ph="1"/>
    </row>
    <row r="11647" spans="9:9" ht="18" customHeight="1">
      <c r="I11647" s="1" ph="1"/>
    </row>
    <row r="11648" spans="9:9" ht="18" customHeight="1">
      <c r="I11648" s="1" ph="1"/>
    </row>
    <row r="11649" spans="9:9" ht="18" customHeight="1">
      <c r="I11649" s="1" ph="1"/>
    </row>
  </sheetData>
  <autoFilter ref="C20:W5282" xr:uid="{00000000-0001-0000-0000-000000000000}"/>
  <phoneticPr fontId="3"/>
  <pageMargins left="0.39370078740157483" right="0" top="0.59055118110236227" bottom="0" header="0.51181102362204722" footer="0.51181102362204722"/>
  <pageSetup paperSize="9" scale="10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J180"/>
  <sheetViews>
    <sheetView topLeftCell="C139" zoomScale="85" zoomScaleNormal="85" workbookViewId="0">
      <selection activeCell="E156" sqref="E156:I156"/>
    </sheetView>
  </sheetViews>
  <sheetFormatPr defaultColWidth="9" defaultRowHeight="15"/>
  <cols>
    <col min="1" max="1" width="13.125" style="437" bestFit="1" customWidth="1"/>
    <col min="2" max="2" width="9" style="437"/>
    <col min="3" max="3" width="58" style="437" bestFit="1" customWidth="1"/>
    <col min="4" max="4" width="10" style="437" bestFit="1" customWidth="1"/>
    <col min="5" max="5" width="45.5" style="437" bestFit="1" customWidth="1"/>
    <col min="6" max="6" width="57.75" style="437" bestFit="1" customWidth="1"/>
    <col min="7" max="7" width="44.75" style="437" bestFit="1" customWidth="1"/>
    <col min="8" max="8" width="29.5" style="437" bestFit="1" customWidth="1"/>
    <col min="9" max="9" width="24.5" style="437" bestFit="1" customWidth="1"/>
    <col min="10" max="10" width="20.125" style="437" bestFit="1" customWidth="1"/>
    <col min="11" max="16384" width="9" style="437"/>
  </cols>
  <sheetData>
    <row r="1" spans="1:10" ht="18.75">
      <c r="A1" s="440" t="s">
        <v>1115</v>
      </c>
      <c r="B1" s="440" t="s">
        <v>1116</v>
      </c>
      <c r="C1" s="441" t="s">
        <v>1120</v>
      </c>
      <c r="D1" s="437" t="s">
        <v>850</v>
      </c>
      <c r="E1" s="437" t="s">
        <v>851</v>
      </c>
      <c r="F1" s="437" t="s">
        <v>852</v>
      </c>
      <c r="G1" s="437" t="s">
        <v>853</v>
      </c>
      <c r="H1" s="437" t="s">
        <v>854</v>
      </c>
      <c r="I1" s="437" t="s">
        <v>858</v>
      </c>
      <c r="J1" s="437" t="s">
        <v>1890</v>
      </c>
    </row>
    <row r="2" spans="1:10">
      <c r="A2" s="437">
        <v>6001</v>
      </c>
      <c r="C2" s="437" t="s">
        <v>488</v>
      </c>
      <c r="D2" s="437">
        <v>10003</v>
      </c>
      <c r="E2" s="437" t="s">
        <v>4174</v>
      </c>
      <c r="F2" s="437" t="s">
        <v>859</v>
      </c>
      <c r="G2" s="437" t="s">
        <v>492</v>
      </c>
      <c r="J2" s="437" t="s">
        <v>4175</v>
      </c>
    </row>
    <row r="3" spans="1:10">
      <c r="A3" s="437">
        <v>6002</v>
      </c>
      <c r="C3" s="437" t="s">
        <v>4176</v>
      </c>
      <c r="E3" s="437" t="s">
        <v>489</v>
      </c>
      <c r="F3" s="437" t="s">
        <v>860</v>
      </c>
      <c r="G3" s="437" t="s">
        <v>322</v>
      </c>
      <c r="H3" s="437" t="s">
        <v>1123</v>
      </c>
    </row>
    <row r="4" spans="1:10">
      <c r="C4" s="437" t="s">
        <v>4177</v>
      </c>
      <c r="D4" s="437">
        <v>518120</v>
      </c>
      <c r="E4" s="437" t="s">
        <v>4178</v>
      </c>
      <c r="F4" s="437" t="s">
        <v>4179</v>
      </c>
      <c r="G4" s="437" t="s">
        <v>322</v>
      </c>
      <c r="H4" s="437" t="s">
        <v>4180</v>
      </c>
    </row>
    <row r="5" spans="1:10">
      <c r="A5" s="437" t="s">
        <v>977</v>
      </c>
      <c r="C5" s="437" t="s">
        <v>978</v>
      </c>
      <c r="D5" s="437">
        <v>400025</v>
      </c>
      <c r="E5" s="437" t="s">
        <v>979</v>
      </c>
      <c r="F5" s="437" t="s">
        <v>1089</v>
      </c>
      <c r="G5" s="437" t="s">
        <v>1088</v>
      </c>
      <c r="H5" s="437" t="s">
        <v>1172</v>
      </c>
    </row>
    <row r="6" spans="1:10">
      <c r="A6" s="437">
        <v>6005</v>
      </c>
      <c r="C6" s="437" t="s">
        <v>490</v>
      </c>
      <c r="D6" s="437">
        <v>90014</v>
      </c>
      <c r="E6" s="437" t="s">
        <v>491</v>
      </c>
      <c r="F6" s="437" t="s">
        <v>862</v>
      </c>
      <c r="G6" s="437" t="s">
        <v>492</v>
      </c>
      <c r="H6" s="437" t="s">
        <v>1173</v>
      </c>
      <c r="I6" s="437" t="s">
        <v>493</v>
      </c>
    </row>
    <row r="7" spans="1:10">
      <c r="A7" s="437">
        <v>6006</v>
      </c>
      <c r="C7" s="437" t="s">
        <v>494</v>
      </c>
      <c r="D7" s="437">
        <v>10013</v>
      </c>
      <c r="E7" s="437" t="s">
        <v>495</v>
      </c>
      <c r="F7" s="437" t="s">
        <v>864</v>
      </c>
      <c r="G7" s="437" t="s">
        <v>492</v>
      </c>
      <c r="H7" s="437" t="s">
        <v>496</v>
      </c>
    </row>
    <row r="8" spans="1:10">
      <c r="A8" s="437">
        <v>6007</v>
      </c>
      <c r="C8" s="437" t="s">
        <v>497</v>
      </c>
      <c r="D8" s="437">
        <v>10018</v>
      </c>
      <c r="E8" s="437" t="s">
        <v>498</v>
      </c>
      <c r="F8" s="437" t="s">
        <v>864</v>
      </c>
      <c r="G8" s="437" t="s">
        <v>492</v>
      </c>
      <c r="H8" s="437" t="s">
        <v>1124</v>
      </c>
      <c r="I8" s="437" t="s">
        <v>499</v>
      </c>
    </row>
    <row r="9" spans="1:10">
      <c r="A9" s="437">
        <v>7020</v>
      </c>
      <c r="C9" s="437" t="s">
        <v>720</v>
      </c>
      <c r="D9" s="437">
        <v>75011</v>
      </c>
      <c r="E9" s="437" t="s">
        <v>721</v>
      </c>
      <c r="F9" s="437" t="s">
        <v>722</v>
      </c>
      <c r="G9" s="437" t="s">
        <v>930</v>
      </c>
      <c r="H9" s="437" t="s">
        <v>1174</v>
      </c>
      <c r="I9" s="437" t="s">
        <v>723</v>
      </c>
    </row>
    <row r="10" spans="1:10">
      <c r="A10" s="437">
        <v>6008</v>
      </c>
      <c r="C10" s="437" t="s">
        <v>500</v>
      </c>
      <c r="D10" s="437">
        <v>90046</v>
      </c>
      <c r="E10" s="437" t="s">
        <v>501</v>
      </c>
      <c r="F10" s="437" t="s">
        <v>862</v>
      </c>
      <c r="G10" s="437" t="s">
        <v>492</v>
      </c>
      <c r="H10" s="437" t="s">
        <v>1125</v>
      </c>
      <c r="I10" s="437" t="s">
        <v>502</v>
      </c>
    </row>
    <row r="11" spans="1:10">
      <c r="A11" s="437">
        <v>6009</v>
      </c>
      <c r="C11" s="437" t="s">
        <v>503</v>
      </c>
      <c r="D11" s="437">
        <v>10018</v>
      </c>
      <c r="E11" s="437" t="s">
        <v>504</v>
      </c>
      <c r="F11" s="437" t="s">
        <v>864</v>
      </c>
      <c r="G11" s="437" t="s">
        <v>492</v>
      </c>
      <c r="H11" s="437" t="s">
        <v>1126</v>
      </c>
      <c r="I11" s="437" t="s">
        <v>505</v>
      </c>
    </row>
    <row r="12" spans="1:10">
      <c r="A12" s="437">
        <v>6011</v>
      </c>
      <c r="C12" s="437" t="s">
        <v>506</v>
      </c>
      <c r="D12" s="437">
        <v>75207</v>
      </c>
      <c r="E12" s="437" t="s">
        <v>507</v>
      </c>
      <c r="F12" s="437" t="s">
        <v>865</v>
      </c>
      <c r="G12" s="437" t="s">
        <v>492</v>
      </c>
      <c r="H12" s="437" t="s">
        <v>508</v>
      </c>
    </row>
    <row r="13" spans="1:10">
      <c r="A13" s="437">
        <v>6012</v>
      </c>
      <c r="C13" s="437" t="s">
        <v>509</v>
      </c>
      <c r="D13" s="437">
        <v>10018</v>
      </c>
      <c r="E13" s="437" t="s">
        <v>510</v>
      </c>
      <c r="F13" s="437" t="s">
        <v>864</v>
      </c>
      <c r="G13" s="437" t="s">
        <v>492</v>
      </c>
      <c r="H13" s="437" t="s">
        <v>1127</v>
      </c>
      <c r="I13" s="437" t="s">
        <v>511</v>
      </c>
    </row>
    <row r="14" spans="1:10">
      <c r="A14" s="437">
        <v>6014</v>
      </c>
      <c r="C14" s="437" t="s">
        <v>512</v>
      </c>
      <c r="D14" s="437">
        <v>90015</v>
      </c>
      <c r="E14" s="437" t="s">
        <v>513</v>
      </c>
      <c r="F14" s="437" t="s">
        <v>862</v>
      </c>
      <c r="G14" s="437" t="s">
        <v>492</v>
      </c>
      <c r="H14" s="437" t="s">
        <v>1128</v>
      </c>
      <c r="I14" s="437" t="s">
        <v>514</v>
      </c>
    </row>
    <row r="15" spans="1:10">
      <c r="A15" s="437">
        <v>7023</v>
      </c>
      <c r="C15" s="437" t="s">
        <v>724</v>
      </c>
      <c r="D15" s="437">
        <v>230088</v>
      </c>
      <c r="E15" s="437" t="s">
        <v>725</v>
      </c>
      <c r="F15" s="437" t="s">
        <v>931</v>
      </c>
      <c r="G15" s="437" t="s">
        <v>322</v>
      </c>
      <c r="H15" s="437" t="s">
        <v>1175</v>
      </c>
      <c r="I15" s="437" t="s">
        <v>726</v>
      </c>
    </row>
    <row r="16" spans="1:10">
      <c r="A16" s="437">
        <v>6015</v>
      </c>
      <c r="C16" s="437" t="s">
        <v>515</v>
      </c>
      <c r="D16" s="437">
        <v>10018</v>
      </c>
      <c r="E16" s="437" t="s">
        <v>516</v>
      </c>
      <c r="F16" s="437" t="s">
        <v>864</v>
      </c>
      <c r="G16" s="437" t="s">
        <v>492</v>
      </c>
      <c r="H16" s="437" t="s">
        <v>517</v>
      </c>
    </row>
    <row r="17" spans="1:10">
      <c r="A17" s="437">
        <v>6020</v>
      </c>
      <c r="C17" s="437" t="s">
        <v>518</v>
      </c>
      <c r="D17" s="437">
        <v>90015</v>
      </c>
      <c r="E17" s="437" t="s">
        <v>519</v>
      </c>
      <c r="F17" s="437" t="s">
        <v>862</v>
      </c>
      <c r="G17" s="437" t="s">
        <v>492</v>
      </c>
      <c r="H17" s="437" t="s">
        <v>520</v>
      </c>
    </row>
    <row r="18" spans="1:10">
      <c r="A18" s="437">
        <v>6021</v>
      </c>
      <c r="C18" s="437" t="s">
        <v>521</v>
      </c>
      <c r="E18" s="437" t="s">
        <v>522</v>
      </c>
      <c r="F18" s="437" t="s">
        <v>861</v>
      </c>
      <c r="G18" s="437" t="s">
        <v>322</v>
      </c>
      <c r="H18" s="437" t="s">
        <v>1129</v>
      </c>
      <c r="I18" s="437" t="s">
        <v>524</v>
      </c>
    </row>
    <row r="19" spans="1:10">
      <c r="A19" s="437">
        <v>7030</v>
      </c>
      <c r="C19" s="437" t="s">
        <v>727</v>
      </c>
      <c r="D19" s="437">
        <v>75002</v>
      </c>
      <c r="E19" s="437" t="s">
        <v>728</v>
      </c>
      <c r="F19" s="437" t="s">
        <v>722</v>
      </c>
      <c r="G19" s="437" t="s">
        <v>930</v>
      </c>
      <c r="H19" s="437" t="s">
        <v>1176</v>
      </c>
      <c r="I19" s="437" t="s">
        <v>729</v>
      </c>
    </row>
    <row r="20" spans="1:10">
      <c r="A20" s="437">
        <v>7042</v>
      </c>
      <c r="C20" s="437" t="s">
        <v>730</v>
      </c>
      <c r="D20" s="437">
        <v>75116</v>
      </c>
      <c r="E20" s="437" t="s">
        <v>731</v>
      </c>
      <c r="F20" s="437" t="s">
        <v>722</v>
      </c>
      <c r="G20" s="437" t="s">
        <v>930</v>
      </c>
      <c r="H20" s="437" t="s">
        <v>1177</v>
      </c>
      <c r="I20" s="437" t="s">
        <v>732</v>
      </c>
    </row>
    <row r="21" spans="1:10">
      <c r="A21" s="437">
        <v>6041</v>
      </c>
      <c r="C21" s="437" t="s">
        <v>525</v>
      </c>
      <c r="D21" s="437">
        <v>90058</v>
      </c>
      <c r="E21" s="437" t="s">
        <v>526</v>
      </c>
      <c r="F21" s="437" t="s">
        <v>866</v>
      </c>
      <c r="G21" s="437" t="s">
        <v>492</v>
      </c>
      <c r="H21" s="437" t="s">
        <v>1130</v>
      </c>
      <c r="I21" s="437" t="s">
        <v>527</v>
      </c>
    </row>
    <row r="22" spans="1:10">
      <c r="A22" s="437">
        <v>6045</v>
      </c>
      <c r="C22" s="437" t="s">
        <v>528</v>
      </c>
      <c r="D22" s="437">
        <v>92663</v>
      </c>
      <c r="E22" s="437" t="s">
        <v>529</v>
      </c>
      <c r="F22" s="437" t="s">
        <v>867</v>
      </c>
      <c r="G22" s="437" t="s">
        <v>492</v>
      </c>
      <c r="H22" s="437" t="s">
        <v>1131</v>
      </c>
      <c r="I22" s="437" t="s">
        <v>530</v>
      </c>
    </row>
    <row r="23" spans="1:10">
      <c r="A23" s="437">
        <v>6046</v>
      </c>
      <c r="C23" s="437" t="s">
        <v>531</v>
      </c>
      <c r="D23" s="437">
        <v>60647</v>
      </c>
      <c r="E23" s="437" t="s">
        <v>532</v>
      </c>
      <c r="F23" s="437" t="s">
        <v>868</v>
      </c>
      <c r="G23" s="437" t="s">
        <v>492</v>
      </c>
      <c r="H23" s="437" t="s">
        <v>1132</v>
      </c>
      <c r="I23" s="437" t="s">
        <v>533</v>
      </c>
    </row>
    <row r="24" spans="1:10">
      <c r="A24" s="437">
        <v>7047</v>
      </c>
      <c r="C24" s="437" t="s">
        <v>733</v>
      </c>
      <c r="D24" s="437">
        <v>75002</v>
      </c>
      <c r="E24" s="437" t="s">
        <v>734</v>
      </c>
      <c r="F24" s="437" t="s">
        <v>722</v>
      </c>
      <c r="G24" s="437" t="s">
        <v>930</v>
      </c>
      <c r="H24" s="437" t="s">
        <v>1178</v>
      </c>
      <c r="I24" s="437" t="s">
        <v>735</v>
      </c>
    </row>
    <row r="25" spans="1:10">
      <c r="A25" s="437">
        <v>6050</v>
      </c>
      <c r="C25" s="437" t="s">
        <v>534</v>
      </c>
      <c r="D25" s="437">
        <v>10013</v>
      </c>
      <c r="E25" s="437" t="s">
        <v>535</v>
      </c>
      <c r="F25" s="437" t="s">
        <v>864</v>
      </c>
      <c r="G25" s="437" t="s">
        <v>492</v>
      </c>
      <c r="H25" s="437" t="s">
        <v>1133</v>
      </c>
    </row>
    <row r="26" spans="1:10">
      <c r="A26" s="437">
        <v>7065</v>
      </c>
      <c r="C26" s="437" t="s">
        <v>736</v>
      </c>
      <c r="D26" s="437">
        <v>75116</v>
      </c>
      <c r="E26" s="437" t="s">
        <v>737</v>
      </c>
      <c r="F26" s="437" t="s">
        <v>722</v>
      </c>
      <c r="G26" s="437" t="s">
        <v>930</v>
      </c>
      <c r="H26" s="437" t="s">
        <v>1179</v>
      </c>
      <c r="I26" s="437" t="s">
        <v>738</v>
      </c>
    </row>
    <row r="27" spans="1:10">
      <c r="A27" s="437">
        <v>7068</v>
      </c>
      <c r="C27" s="437" t="s">
        <v>739</v>
      </c>
      <c r="D27" s="437">
        <v>4004</v>
      </c>
      <c r="E27" s="437" t="s">
        <v>740</v>
      </c>
      <c r="F27" s="437" t="s">
        <v>741</v>
      </c>
      <c r="G27" s="437" t="s">
        <v>932</v>
      </c>
      <c r="H27" s="437" t="s">
        <v>1180</v>
      </c>
      <c r="I27" s="437" t="s">
        <v>742</v>
      </c>
    </row>
    <row r="28" spans="1:10">
      <c r="A28" s="437" t="s">
        <v>986</v>
      </c>
      <c r="C28" s="437" t="s">
        <v>987</v>
      </c>
      <c r="D28" s="437">
        <v>10013</v>
      </c>
      <c r="E28" s="437" t="s">
        <v>988</v>
      </c>
      <c r="F28" s="437" t="s">
        <v>864</v>
      </c>
      <c r="G28" s="437" t="s">
        <v>492</v>
      </c>
      <c r="H28" s="437" t="s">
        <v>1181</v>
      </c>
    </row>
    <row r="29" spans="1:10">
      <c r="A29" s="437">
        <v>6060</v>
      </c>
      <c r="C29" s="437" t="s">
        <v>536</v>
      </c>
      <c r="D29" s="437">
        <v>90007</v>
      </c>
      <c r="E29" s="437" t="s">
        <v>537</v>
      </c>
      <c r="F29" s="437" t="s">
        <v>862</v>
      </c>
      <c r="G29" s="437" t="s">
        <v>492</v>
      </c>
      <c r="H29" s="437" t="s">
        <v>1134</v>
      </c>
      <c r="I29" s="437" t="s">
        <v>538</v>
      </c>
    </row>
    <row r="30" spans="1:10">
      <c r="A30" s="437" t="s">
        <v>1006</v>
      </c>
      <c r="C30" s="437" t="s">
        <v>1007</v>
      </c>
      <c r="D30" s="437">
        <v>4475309</v>
      </c>
      <c r="E30" s="437" t="s">
        <v>1008</v>
      </c>
      <c r="F30" s="437" t="s">
        <v>1095</v>
      </c>
      <c r="G30" s="437" t="s">
        <v>1096</v>
      </c>
      <c r="H30" s="437" t="s">
        <v>1182</v>
      </c>
    </row>
    <row r="31" spans="1:10">
      <c r="A31" s="437" t="s">
        <v>1067</v>
      </c>
      <c r="C31" s="437" t="s">
        <v>1068</v>
      </c>
      <c r="D31" s="437">
        <v>10018</v>
      </c>
      <c r="E31" s="437" t="s">
        <v>1069</v>
      </c>
      <c r="F31" s="437" t="s">
        <v>859</v>
      </c>
      <c r="G31" s="437" t="s">
        <v>492</v>
      </c>
      <c r="J31" s="437" t="s">
        <v>1923</v>
      </c>
    </row>
    <row r="32" spans="1:10">
      <c r="A32" s="437">
        <v>6080</v>
      </c>
      <c r="C32" s="437" t="s">
        <v>539</v>
      </c>
      <c r="D32" s="437">
        <v>10018</v>
      </c>
      <c r="E32" s="437" t="s">
        <v>540</v>
      </c>
      <c r="F32" s="437" t="s">
        <v>864</v>
      </c>
      <c r="G32" s="437" t="s">
        <v>492</v>
      </c>
      <c r="H32" s="437" t="s">
        <v>541</v>
      </c>
      <c r="I32" s="437" t="s">
        <v>542</v>
      </c>
    </row>
    <row r="33" spans="1:9">
      <c r="A33" s="437">
        <v>7085</v>
      </c>
      <c r="C33" s="437" t="s">
        <v>743</v>
      </c>
      <c r="D33" s="437" t="s">
        <v>744</v>
      </c>
      <c r="E33" s="437" t="s">
        <v>948</v>
      </c>
      <c r="F33" s="437" t="s">
        <v>947</v>
      </c>
      <c r="G33" s="437" t="s">
        <v>1093</v>
      </c>
      <c r="H33" s="437" t="s">
        <v>1183</v>
      </c>
      <c r="I33" s="437" t="s">
        <v>745</v>
      </c>
    </row>
    <row r="34" spans="1:9">
      <c r="A34" s="437">
        <v>6085</v>
      </c>
      <c r="C34" s="437" t="s">
        <v>543</v>
      </c>
      <c r="D34" s="437">
        <v>27406</v>
      </c>
      <c r="E34" s="437" t="s">
        <v>544</v>
      </c>
      <c r="F34" s="437" t="s">
        <v>869</v>
      </c>
      <c r="G34" s="437" t="s">
        <v>492</v>
      </c>
      <c r="I34" s="437" t="s">
        <v>545</v>
      </c>
    </row>
    <row r="35" spans="1:9">
      <c r="A35" s="437">
        <v>6088</v>
      </c>
      <c r="C35" s="437" t="s">
        <v>546</v>
      </c>
      <c r="D35" s="437">
        <v>213000</v>
      </c>
      <c r="E35" s="437" t="s">
        <v>547</v>
      </c>
      <c r="F35" s="437" t="s">
        <v>870</v>
      </c>
      <c r="G35" s="437" t="s">
        <v>548</v>
      </c>
      <c r="H35" s="437" t="s">
        <v>1135</v>
      </c>
      <c r="I35" s="437" t="s">
        <v>549</v>
      </c>
    </row>
    <row r="36" spans="1:9">
      <c r="A36" s="437" t="s">
        <v>1027</v>
      </c>
      <c r="C36" s="437" t="s">
        <v>1028</v>
      </c>
      <c r="D36" s="437">
        <v>521000</v>
      </c>
      <c r="E36" s="437" t="s">
        <v>1029</v>
      </c>
      <c r="F36" s="437" t="s">
        <v>1102</v>
      </c>
      <c r="G36" s="437" t="s">
        <v>322</v>
      </c>
      <c r="H36" s="437" t="s">
        <v>1147</v>
      </c>
    </row>
    <row r="37" spans="1:9">
      <c r="A37" s="437">
        <v>6089</v>
      </c>
      <c r="C37" s="437" t="s">
        <v>550</v>
      </c>
      <c r="D37" s="437">
        <v>213200</v>
      </c>
      <c r="E37" s="437" t="s">
        <v>871</v>
      </c>
      <c r="F37" s="437" t="s">
        <v>870</v>
      </c>
      <c r="G37" s="437" t="s">
        <v>322</v>
      </c>
      <c r="H37" s="437" t="s">
        <v>1166</v>
      </c>
      <c r="I37" s="437" t="s">
        <v>551</v>
      </c>
    </row>
    <row r="38" spans="1:9">
      <c r="A38" s="437" t="s">
        <v>972</v>
      </c>
      <c r="C38" s="437" t="s">
        <v>973</v>
      </c>
      <c r="D38" s="437">
        <v>518000</v>
      </c>
      <c r="E38" s="437" t="s">
        <v>1076</v>
      </c>
      <c r="F38" s="437" t="s">
        <v>1085</v>
      </c>
      <c r="G38" s="437" t="s">
        <v>322</v>
      </c>
      <c r="H38" s="437" t="s">
        <v>1184</v>
      </c>
    </row>
    <row r="39" spans="1:9">
      <c r="A39" s="437">
        <v>6090</v>
      </c>
      <c r="C39" s="437" t="s">
        <v>552</v>
      </c>
      <c r="D39" s="437">
        <v>311100</v>
      </c>
      <c r="E39" s="437" t="s">
        <v>553</v>
      </c>
      <c r="F39" s="437" t="s">
        <v>872</v>
      </c>
      <c r="G39" s="437" t="s">
        <v>322</v>
      </c>
      <c r="H39" s="437" t="s">
        <v>1136</v>
      </c>
      <c r="I39" s="437" t="s">
        <v>554</v>
      </c>
    </row>
    <row r="40" spans="1:9">
      <c r="A40" s="437" t="s">
        <v>1064</v>
      </c>
      <c r="C40" s="437" t="s">
        <v>1065</v>
      </c>
      <c r="E40" s="437" t="s">
        <v>1066</v>
      </c>
      <c r="F40" s="437" t="s">
        <v>1111</v>
      </c>
      <c r="G40" s="437" t="s">
        <v>322</v>
      </c>
    </row>
    <row r="41" spans="1:9">
      <c r="A41" s="437">
        <v>6091</v>
      </c>
      <c r="C41" s="437" t="s">
        <v>555</v>
      </c>
      <c r="E41" s="437" t="s">
        <v>556</v>
      </c>
      <c r="F41" s="437" t="s">
        <v>557</v>
      </c>
      <c r="G41" s="437" t="s">
        <v>322</v>
      </c>
      <c r="H41" s="437" t="s">
        <v>1137</v>
      </c>
      <c r="I41" s="437" t="s">
        <v>558</v>
      </c>
    </row>
    <row r="42" spans="1:9">
      <c r="A42" s="437">
        <v>6092</v>
      </c>
      <c r="C42" s="437" t="s">
        <v>559</v>
      </c>
      <c r="D42" s="437">
        <v>90011</v>
      </c>
      <c r="E42" s="437" t="s">
        <v>560</v>
      </c>
      <c r="F42" s="437" t="s">
        <v>862</v>
      </c>
      <c r="G42" s="437" t="s">
        <v>492</v>
      </c>
      <c r="H42" s="437" t="s">
        <v>1138</v>
      </c>
    </row>
    <row r="43" spans="1:9">
      <c r="A43" s="437" t="s">
        <v>1038</v>
      </c>
      <c r="C43" s="437" t="s">
        <v>1039</v>
      </c>
      <c r="D43" s="437">
        <v>90039</v>
      </c>
      <c r="E43" s="437" t="s">
        <v>898</v>
      </c>
      <c r="F43" s="437" t="s">
        <v>862</v>
      </c>
      <c r="G43" s="437" t="s">
        <v>492</v>
      </c>
      <c r="H43" s="437" t="s">
        <v>1185</v>
      </c>
    </row>
    <row r="44" spans="1:9">
      <c r="A44" s="437">
        <v>6098</v>
      </c>
      <c r="C44" s="437" t="s">
        <v>561</v>
      </c>
      <c r="D44" s="437">
        <v>36000</v>
      </c>
      <c r="E44" s="437" t="s">
        <v>562</v>
      </c>
      <c r="F44" s="437" t="s">
        <v>873</v>
      </c>
      <c r="G44" s="437" t="s">
        <v>874</v>
      </c>
      <c r="H44" s="437" t="s">
        <v>563</v>
      </c>
    </row>
    <row r="45" spans="1:9">
      <c r="A45" s="437">
        <v>7101</v>
      </c>
      <c r="C45" s="437" t="s">
        <v>746</v>
      </c>
      <c r="D45" s="437">
        <v>75001</v>
      </c>
      <c r="E45" s="437" t="s">
        <v>747</v>
      </c>
      <c r="F45" s="437" t="s">
        <v>722</v>
      </c>
      <c r="G45" s="437" t="s">
        <v>930</v>
      </c>
      <c r="H45" s="437" t="s">
        <v>1186</v>
      </c>
      <c r="I45" s="437" t="s">
        <v>748</v>
      </c>
    </row>
    <row r="46" spans="1:9">
      <c r="A46" s="437">
        <v>6102</v>
      </c>
      <c r="C46" s="437" t="s">
        <v>564</v>
      </c>
      <c r="D46" s="437">
        <v>10001</v>
      </c>
      <c r="E46" s="437" t="s">
        <v>565</v>
      </c>
      <c r="F46" s="437" t="s">
        <v>864</v>
      </c>
      <c r="G46" s="437" t="s">
        <v>492</v>
      </c>
      <c r="H46" s="437" t="s">
        <v>1139</v>
      </c>
      <c r="I46" s="437" t="s">
        <v>566</v>
      </c>
    </row>
    <row r="47" spans="1:9">
      <c r="A47" s="437">
        <v>7105</v>
      </c>
      <c r="C47" s="437" t="s">
        <v>749</v>
      </c>
      <c r="D47" s="437">
        <v>75008</v>
      </c>
      <c r="E47" s="437" t="s">
        <v>750</v>
      </c>
      <c r="F47" s="437" t="s">
        <v>722</v>
      </c>
      <c r="G47" s="437" t="s">
        <v>930</v>
      </c>
      <c r="H47" s="437" t="s">
        <v>1187</v>
      </c>
      <c r="I47" s="437" t="s">
        <v>751</v>
      </c>
    </row>
    <row r="48" spans="1:9">
      <c r="A48" s="437" t="s">
        <v>1061</v>
      </c>
      <c r="C48" s="437" t="s">
        <v>1062</v>
      </c>
      <c r="D48" s="437">
        <v>90277</v>
      </c>
      <c r="E48" s="437" t="s">
        <v>1063</v>
      </c>
      <c r="F48" s="437" t="s">
        <v>1114</v>
      </c>
      <c r="G48" s="437" t="s">
        <v>492</v>
      </c>
    </row>
    <row r="49" spans="1:10">
      <c r="A49" s="437" t="s">
        <v>1070</v>
      </c>
      <c r="C49" s="437" t="s">
        <v>1071</v>
      </c>
      <c r="D49" s="437">
        <v>400001</v>
      </c>
      <c r="E49" s="437" t="s">
        <v>1072</v>
      </c>
      <c r="F49" s="437" t="s">
        <v>1112</v>
      </c>
      <c r="G49" s="437" t="s">
        <v>1088</v>
      </c>
    </row>
    <row r="50" spans="1:10">
      <c r="A50" s="437">
        <v>6105</v>
      </c>
      <c r="C50" s="437" t="s">
        <v>567</v>
      </c>
      <c r="D50" s="438" t="s">
        <v>876</v>
      </c>
      <c r="E50" s="437" t="s">
        <v>568</v>
      </c>
      <c r="F50" s="437" t="s">
        <v>877</v>
      </c>
      <c r="G50" s="437" t="s">
        <v>492</v>
      </c>
    </row>
    <row r="51" spans="1:10">
      <c r="A51" s="437">
        <v>7115</v>
      </c>
      <c r="C51" s="437" t="s">
        <v>752</v>
      </c>
      <c r="D51" s="437">
        <v>77210</v>
      </c>
      <c r="E51" s="437" t="s">
        <v>753</v>
      </c>
      <c r="F51" s="437" t="s">
        <v>754</v>
      </c>
      <c r="G51" s="437" t="s">
        <v>930</v>
      </c>
      <c r="H51" s="437" t="s">
        <v>1188</v>
      </c>
      <c r="I51" s="437" t="s">
        <v>755</v>
      </c>
    </row>
    <row r="52" spans="1:10">
      <c r="A52" s="437">
        <v>6120</v>
      </c>
      <c r="C52" s="437" t="s">
        <v>855</v>
      </c>
      <c r="D52" s="437">
        <v>10018</v>
      </c>
      <c r="E52" s="437" t="s">
        <v>569</v>
      </c>
      <c r="F52" s="437" t="s">
        <v>864</v>
      </c>
      <c r="G52" s="437" t="s">
        <v>492</v>
      </c>
      <c r="H52" s="437" t="s">
        <v>1140</v>
      </c>
      <c r="I52" s="437" t="s">
        <v>570</v>
      </c>
      <c r="J52" s="437" t="s">
        <v>1924</v>
      </c>
    </row>
    <row r="53" spans="1:10">
      <c r="A53" s="437">
        <v>6121</v>
      </c>
      <c r="C53" s="437" t="s">
        <v>571</v>
      </c>
      <c r="D53" s="437">
        <v>10018</v>
      </c>
      <c r="E53" s="437" t="s">
        <v>572</v>
      </c>
      <c r="F53" s="437" t="s">
        <v>864</v>
      </c>
      <c r="G53" s="437" t="s">
        <v>492</v>
      </c>
      <c r="H53" s="437" t="s">
        <v>573</v>
      </c>
    </row>
    <row r="54" spans="1:10">
      <c r="A54" s="437">
        <v>6125</v>
      </c>
      <c r="C54" s="437" t="s">
        <v>574</v>
      </c>
      <c r="D54" s="437">
        <v>90014</v>
      </c>
      <c r="E54" s="437" t="s">
        <v>875</v>
      </c>
      <c r="F54" s="437" t="s">
        <v>862</v>
      </c>
      <c r="G54" s="437" t="s">
        <v>856</v>
      </c>
      <c r="H54" s="437" t="s">
        <v>1141</v>
      </c>
      <c r="I54" s="437" t="s">
        <v>575</v>
      </c>
    </row>
    <row r="55" spans="1:10">
      <c r="A55" s="437">
        <v>7125</v>
      </c>
      <c r="C55" s="437" t="s">
        <v>756</v>
      </c>
      <c r="D55" s="437">
        <v>75002</v>
      </c>
      <c r="E55" s="437" t="s">
        <v>757</v>
      </c>
      <c r="F55" s="437" t="s">
        <v>722</v>
      </c>
      <c r="G55" s="437" t="s">
        <v>930</v>
      </c>
      <c r="H55" s="437" t="s">
        <v>1189</v>
      </c>
      <c r="I55" s="437" t="s">
        <v>758</v>
      </c>
    </row>
    <row r="56" spans="1:10">
      <c r="A56" s="437">
        <v>6127</v>
      </c>
      <c r="C56" s="437" t="s">
        <v>576</v>
      </c>
      <c r="D56" s="437">
        <v>850000</v>
      </c>
      <c r="E56" s="437" t="s">
        <v>577</v>
      </c>
      <c r="F56" s="437" t="s">
        <v>878</v>
      </c>
      <c r="G56" s="437" t="s">
        <v>879</v>
      </c>
      <c r="H56" s="437" t="s">
        <v>1190</v>
      </c>
      <c r="I56" s="437" t="s">
        <v>578</v>
      </c>
    </row>
    <row r="57" spans="1:10">
      <c r="A57" s="437">
        <v>7155</v>
      </c>
      <c r="C57" s="437" t="s">
        <v>759</v>
      </c>
      <c r="D57" s="437">
        <v>75017</v>
      </c>
      <c r="E57" s="437" t="s">
        <v>760</v>
      </c>
      <c r="F57" s="437" t="s">
        <v>722</v>
      </c>
      <c r="G57" s="437" t="s">
        <v>930</v>
      </c>
      <c r="H57" s="437" t="s">
        <v>1191</v>
      </c>
      <c r="I57" s="437" t="s">
        <v>761</v>
      </c>
    </row>
    <row r="58" spans="1:10">
      <c r="A58" s="437" t="s">
        <v>969</v>
      </c>
      <c r="C58" s="437" t="s">
        <v>970</v>
      </c>
      <c r="E58" s="437" t="s">
        <v>971</v>
      </c>
      <c r="F58" s="437" t="s">
        <v>1084</v>
      </c>
      <c r="G58" s="437" t="s">
        <v>322</v>
      </c>
      <c r="H58" s="437" t="s">
        <v>1192</v>
      </c>
    </row>
    <row r="59" spans="1:10">
      <c r="A59" s="437" t="s">
        <v>1058</v>
      </c>
      <c r="C59" s="437" t="s">
        <v>1059</v>
      </c>
      <c r="E59" s="437" t="s">
        <v>1060</v>
      </c>
      <c r="F59" s="437" t="s">
        <v>1110</v>
      </c>
      <c r="G59" s="437" t="s">
        <v>322</v>
      </c>
    </row>
    <row r="60" spans="1:10">
      <c r="A60" s="437">
        <v>6185</v>
      </c>
      <c r="C60" s="437" t="s">
        <v>579</v>
      </c>
      <c r="D60" s="437">
        <v>91745</v>
      </c>
      <c r="E60" s="437" t="s">
        <v>580</v>
      </c>
      <c r="F60" s="437" t="s">
        <v>881</v>
      </c>
      <c r="G60" s="437" t="s">
        <v>492</v>
      </c>
      <c r="H60" s="437" t="s">
        <v>1193</v>
      </c>
    </row>
    <row r="61" spans="1:10">
      <c r="A61" s="437">
        <v>7168</v>
      </c>
      <c r="C61" s="437" t="s">
        <v>762</v>
      </c>
      <c r="D61" s="437">
        <v>92614</v>
      </c>
      <c r="E61" s="437" t="s">
        <v>763</v>
      </c>
      <c r="F61" s="437" t="s">
        <v>933</v>
      </c>
      <c r="G61" s="437" t="s">
        <v>930</v>
      </c>
      <c r="H61" s="437" t="s">
        <v>1194</v>
      </c>
      <c r="I61" s="437" t="s">
        <v>764</v>
      </c>
    </row>
    <row r="62" spans="1:10">
      <c r="A62" s="437">
        <v>6190</v>
      </c>
      <c r="C62" s="437" t="s">
        <v>581</v>
      </c>
      <c r="D62" s="437">
        <v>90058</v>
      </c>
      <c r="E62" s="437" t="s">
        <v>582</v>
      </c>
      <c r="F62" s="437" t="s">
        <v>866</v>
      </c>
      <c r="G62" s="437" t="s">
        <v>583</v>
      </c>
      <c r="H62" s="437" t="s">
        <v>1195</v>
      </c>
      <c r="I62" s="437" t="s">
        <v>584</v>
      </c>
    </row>
    <row r="63" spans="1:10">
      <c r="A63" s="437" t="s">
        <v>1003</v>
      </c>
      <c r="C63" s="437" t="s">
        <v>1004</v>
      </c>
      <c r="E63" s="437" t="s">
        <v>1005</v>
      </c>
      <c r="F63" s="437" t="s">
        <v>1094</v>
      </c>
      <c r="G63" s="437" t="s">
        <v>322</v>
      </c>
      <c r="H63" s="437" t="s">
        <v>1196</v>
      </c>
    </row>
    <row r="64" spans="1:10">
      <c r="A64" s="437">
        <v>7207</v>
      </c>
      <c r="C64" s="437" t="s">
        <v>765</v>
      </c>
      <c r="E64" s="437" t="s">
        <v>766</v>
      </c>
      <c r="F64" s="437" t="s">
        <v>523</v>
      </c>
      <c r="G64" s="437" t="s">
        <v>322</v>
      </c>
      <c r="H64" s="437" t="s">
        <v>1197</v>
      </c>
      <c r="I64" s="437" t="s">
        <v>767</v>
      </c>
    </row>
    <row r="65" spans="1:10">
      <c r="A65" s="437">
        <v>6210</v>
      </c>
      <c r="C65" s="437" t="s">
        <v>585</v>
      </c>
      <c r="E65" s="437" t="s">
        <v>586</v>
      </c>
      <c r="F65" s="437" t="s">
        <v>880</v>
      </c>
      <c r="G65" s="437" t="s">
        <v>322</v>
      </c>
      <c r="H65" s="437" t="s">
        <v>1198</v>
      </c>
      <c r="I65" s="437" t="s">
        <v>587</v>
      </c>
    </row>
    <row r="66" spans="1:10">
      <c r="A66" s="437" t="s">
        <v>1000</v>
      </c>
      <c r="C66" s="437" t="s">
        <v>1001</v>
      </c>
      <c r="D66" s="437">
        <v>90016</v>
      </c>
      <c r="E66" s="437" t="s">
        <v>1002</v>
      </c>
      <c r="F66" s="437" t="s">
        <v>862</v>
      </c>
      <c r="G66" s="437" t="s">
        <v>492</v>
      </c>
      <c r="H66" s="437" t="s">
        <v>1199</v>
      </c>
    </row>
    <row r="67" spans="1:10">
      <c r="A67" s="437">
        <v>6215</v>
      </c>
      <c r="C67" s="437" t="s">
        <v>588</v>
      </c>
      <c r="D67" s="437">
        <v>90292</v>
      </c>
      <c r="E67" s="439" t="s">
        <v>857</v>
      </c>
      <c r="F67" s="439" t="s">
        <v>882</v>
      </c>
      <c r="G67" s="437" t="s">
        <v>492</v>
      </c>
    </row>
    <row r="68" spans="1:10">
      <c r="A68" s="437" t="s">
        <v>980</v>
      </c>
      <c r="C68" s="437" t="s">
        <v>981</v>
      </c>
      <c r="D68" s="437">
        <v>70000</v>
      </c>
      <c r="E68" s="437" t="s">
        <v>982</v>
      </c>
      <c r="F68" s="437" t="s">
        <v>1090</v>
      </c>
      <c r="G68" s="437" t="s">
        <v>879</v>
      </c>
      <c r="H68" s="437" t="s">
        <v>1200</v>
      </c>
    </row>
    <row r="69" spans="1:10">
      <c r="A69" s="437" t="s">
        <v>1020</v>
      </c>
      <c r="C69" s="437" t="s">
        <v>1021</v>
      </c>
      <c r="D69" s="437">
        <v>39000</v>
      </c>
      <c r="E69" s="437" t="s">
        <v>1022</v>
      </c>
      <c r="F69" s="437" t="s">
        <v>1101</v>
      </c>
      <c r="G69" s="437" t="s">
        <v>879</v>
      </c>
      <c r="H69" s="437" t="s">
        <v>1144</v>
      </c>
    </row>
    <row r="70" spans="1:10">
      <c r="A70" s="437" t="s">
        <v>992</v>
      </c>
      <c r="C70" s="437" t="s">
        <v>993</v>
      </c>
      <c r="E70" s="437" t="s">
        <v>994</v>
      </c>
      <c r="F70" s="437" t="s">
        <v>995</v>
      </c>
      <c r="G70" s="437" t="s">
        <v>322</v>
      </c>
      <c r="H70" s="437" t="s">
        <v>1201</v>
      </c>
    </row>
    <row r="71" spans="1:10">
      <c r="A71" s="437" t="s">
        <v>1050</v>
      </c>
      <c r="C71" s="437" t="s">
        <v>1051</v>
      </c>
      <c r="D71" s="437">
        <v>92704</v>
      </c>
      <c r="E71" s="437" t="s">
        <v>1052</v>
      </c>
      <c r="F71" s="437" t="s">
        <v>1107</v>
      </c>
      <c r="G71" s="437" t="s">
        <v>492</v>
      </c>
      <c r="H71" s="437" t="s">
        <v>1202</v>
      </c>
    </row>
    <row r="72" spans="1:10">
      <c r="A72" s="437">
        <v>6255</v>
      </c>
      <c r="C72" s="437" t="s">
        <v>589</v>
      </c>
      <c r="D72" s="437">
        <v>10016</v>
      </c>
      <c r="E72" s="437" t="s">
        <v>590</v>
      </c>
      <c r="F72" s="437" t="s">
        <v>864</v>
      </c>
      <c r="G72" s="437" t="s">
        <v>492</v>
      </c>
      <c r="H72" s="437" t="s">
        <v>1203</v>
      </c>
      <c r="I72" s="437" t="s">
        <v>591</v>
      </c>
    </row>
    <row r="73" spans="1:10">
      <c r="A73" s="437">
        <v>6256</v>
      </c>
      <c r="C73" s="437" t="s">
        <v>592</v>
      </c>
      <c r="D73" s="437">
        <v>523108</v>
      </c>
      <c r="E73" s="437" t="s">
        <v>884</v>
      </c>
      <c r="F73" s="437" t="s">
        <v>883</v>
      </c>
      <c r="G73" s="437" t="s">
        <v>322</v>
      </c>
      <c r="H73" s="437" t="s">
        <v>1204</v>
      </c>
    </row>
    <row r="74" spans="1:10">
      <c r="A74" s="437" t="s">
        <v>1009</v>
      </c>
      <c r="C74" s="437" t="s">
        <v>1010</v>
      </c>
      <c r="E74" s="437" t="s">
        <v>1097</v>
      </c>
      <c r="F74" s="437" t="s">
        <v>1098</v>
      </c>
      <c r="G74" s="437" t="s">
        <v>322</v>
      </c>
      <c r="H74" s="437" t="s">
        <v>1205</v>
      </c>
    </row>
    <row r="75" spans="1:10">
      <c r="A75" s="437">
        <v>7281</v>
      </c>
      <c r="C75" s="437" t="s">
        <v>768</v>
      </c>
      <c r="D75" s="437">
        <v>311200</v>
      </c>
      <c r="E75" s="437" t="s">
        <v>769</v>
      </c>
      <c r="F75" s="437" t="s">
        <v>934</v>
      </c>
      <c r="G75" s="437" t="s">
        <v>322</v>
      </c>
      <c r="H75" s="437" t="s">
        <v>1206</v>
      </c>
      <c r="I75" s="437" t="s">
        <v>770</v>
      </c>
    </row>
    <row r="76" spans="1:10">
      <c r="C76" s="437" t="s">
        <v>1241</v>
      </c>
      <c r="E76" s="437" t="s">
        <v>1242</v>
      </c>
      <c r="F76" s="437" t="s">
        <v>1243</v>
      </c>
      <c r="G76" s="437" t="s">
        <v>322</v>
      </c>
      <c r="H76" s="437" t="s">
        <v>1244</v>
      </c>
      <c r="I76" s="437" t="s">
        <v>1245</v>
      </c>
    </row>
    <row r="77" spans="1:10">
      <c r="A77" s="437">
        <v>6280</v>
      </c>
      <c r="C77" s="437" t="s">
        <v>593</v>
      </c>
      <c r="D77" s="437">
        <v>11206</v>
      </c>
      <c r="E77" s="437" t="s">
        <v>594</v>
      </c>
      <c r="F77" s="437" t="s">
        <v>885</v>
      </c>
      <c r="G77" s="437" t="s">
        <v>492</v>
      </c>
      <c r="I77" s="437" t="s">
        <v>595</v>
      </c>
    </row>
    <row r="78" spans="1:10">
      <c r="A78" s="437">
        <v>6281</v>
      </c>
      <c r="C78" s="437" t="s">
        <v>596</v>
      </c>
      <c r="D78" s="437">
        <v>10950</v>
      </c>
      <c r="E78" s="437" t="s">
        <v>597</v>
      </c>
      <c r="F78" s="437" t="s">
        <v>886</v>
      </c>
      <c r="G78" s="437" t="s">
        <v>492</v>
      </c>
      <c r="H78" s="437" t="s">
        <v>1167</v>
      </c>
      <c r="I78" s="437" t="s">
        <v>598</v>
      </c>
    </row>
    <row r="79" spans="1:10">
      <c r="A79" s="437">
        <v>6290</v>
      </c>
      <c r="C79" s="437" t="s">
        <v>599</v>
      </c>
      <c r="D79" s="437">
        <v>10012</v>
      </c>
      <c r="E79" s="437" t="s">
        <v>887</v>
      </c>
      <c r="F79" s="437" t="s">
        <v>863</v>
      </c>
      <c r="G79" s="437" t="s">
        <v>492</v>
      </c>
      <c r="H79" s="437" t="s">
        <v>1168</v>
      </c>
      <c r="I79" s="437" t="s">
        <v>600</v>
      </c>
      <c r="J79" s="437" t="s">
        <v>1925</v>
      </c>
    </row>
    <row r="80" spans="1:10">
      <c r="A80" s="437" t="s">
        <v>1011</v>
      </c>
      <c r="C80" s="437" t="s">
        <v>1012</v>
      </c>
      <c r="E80" s="437" t="s">
        <v>1013</v>
      </c>
      <c r="F80" s="437" t="s">
        <v>1099</v>
      </c>
      <c r="G80" s="437" t="s">
        <v>322</v>
      </c>
      <c r="H80" s="437" t="s">
        <v>1143</v>
      </c>
    </row>
    <row r="81" spans="1:9">
      <c r="A81" s="437" t="s">
        <v>1014</v>
      </c>
      <c r="C81" s="437" t="s">
        <v>1015</v>
      </c>
      <c r="D81" s="437">
        <v>515041</v>
      </c>
      <c r="E81" s="437" t="s">
        <v>1016</v>
      </c>
      <c r="F81" s="437" t="s">
        <v>1100</v>
      </c>
      <c r="G81" s="437" t="s">
        <v>322</v>
      </c>
      <c r="H81" s="437" t="s">
        <v>626</v>
      </c>
    </row>
    <row r="82" spans="1:9">
      <c r="A82" s="437" t="s">
        <v>1017</v>
      </c>
      <c r="C82" s="437" t="s">
        <v>1018</v>
      </c>
      <c r="D82" s="437">
        <v>10014</v>
      </c>
      <c r="E82" s="437" t="s">
        <v>1019</v>
      </c>
      <c r="F82" s="437" t="s">
        <v>864</v>
      </c>
      <c r="G82" s="437" t="s">
        <v>492</v>
      </c>
      <c r="H82" s="437" t="s">
        <v>1207</v>
      </c>
    </row>
    <row r="83" spans="1:9">
      <c r="A83" s="437">
        <v>6291</v>
      </c>
      <c r="C83" s="437" t="s">
        <v>601</v>
      </c>
      <c r="D83" s="438" t="s">
        <v>890</v>
      </c>
      <c r="E83" s="437" t="s">
        <v>891</v>
      </c>
      <c r="F83" s="437" t="s">
        <v>892</v>
      </c>
      <c r="G83" s="437" t="s">
        <v>492</v>
      </c>
      <c r="I83" s="437" t="s">
        <v>602</v>
      </c>
    </row>
    <row r="84" spans="1:9">
      <c r="A84" s="437">
        <v>6292</v>
      </c>
      <c r="C84" s="437" t="s">
        <v>603</v>
      </c>
      <c r="D84" s="438" t="s">
        <v>888</v>
      </c>
      <c r="E84" s="437" t="s">
        <v>604</v>
      </c>
      <c r="F84" s="437" t="s">
        <v>605</v>
      </c>
      <c r="G84" s="437" t="s">
        <v>889</v>
      </c>
      <c r="H84" s="437" t="s">
        <v>606</v>
      </c>
    </row>
    <row r="85" spans="1:9">
      <c r="A85" s="437">
        <v>7301</v>
      </c>
      <c r="C85" s="437" t="s">
        <v>771</v>
      </c>
      <c r="E85" s="437" t="s">
        <v>772</v>
      </c>
      <c r="F85" s="439" t="s">
        <v>935</v>
      </c>
      <c r="G85" s="437" t="s">
        <v>322</v>
      </c>
      <c r="H85" s="437" t="s">
        <v>1208</v>
      </c>
      <c r="I85" s="437" t="s">
        <v>773</v>
      </c>
    </row>
    <row r="86" spans="1:9">
      <c r="A86" s="437">
        <v>6300</v>
      </c>
      <c r="C86" s="437" t="s">
        <v>607</v>
      </c>
      <c r="D86" s="437">
        <v>10012</v>
      </c>
      <c r="E86" s="437" t="s">
        <v>608</v>
      </c>
      <c r="F86" s="437" t="s">
        <v>864</v>
      </c>
      <c r="G86" s="437" t="s">
        <v>492</v>
      </c>
      <c r="H86" s="437" t="s">
        <v>1142</v>
      </c>
      <c r="I86" s="437" t="s">
        <v>609</v>
      </c>
    </row>
    <row r="87" spans="1:9">
      <c r="A87" s="437">
        <v>7324</v>
      </c>
      <c r="C87" s="437" t="s">
        <v>774</v>
      </c>
      <c r="D87" s="437">
        <v>314003</v>
      </c>
      <c r="E87" s="437" t="s">
        <v>775</v>
      </c>
      <c r="F87" s="437" t="s">
        <v>936</v>
      </c>
      <c r="G87" s="437" t="s">
        <v>322</v>
      </c>
    </row>
    <row r="88" spans="1:9">
      <c r="A88" s="437">
        <v>7331</v>
      </c>
      <c r="C88" s="437" t="s">
        <v>776</v>
      </c>
      <c r="D88" s="437">
        <v>49455</v>
      </c>
      <c r="E88" s="437" t="s">
        <v>777</v>
      </c>
      <c r="F88" s="437" t="s">
        <v>778</v>
      </c>
      <c r="G88" s="437" t="s">
        <v>930</v>
      </c>
      <c r="H88" s="437" t="s">
        <v>1209</v>
      </c>
      <c r="I88" s="437" t="s">
        <v>738</v>
      </c>
    </row>
    <row r="89" spans="1:9">
      <c r="A89" s="437" t="s">
        <v>1023</v>
      </c>
      <c r="C89" s="437" t="s">
        <v>1024</v>
      </c>
      <c r="D89" s="437">
        <v>11362</v>
      </c>
      <c r="E89" s="437" t="s">
        <v>1025</v>
      </c>
      <c r="F89" s="437" t="s">
        <v>1026</v>
      </c>
      <c r="G89" s="437" t="s">
        <v>492</v>
      </c>
      <c r="H89" s="437" t="s">
        <v>1146</v>
      </c>
    </row>
    <row r="90" spans="1:9">
      <c r="A90" s="437">
        <v>6360</v>
      </c>
      <c r="C90" s="437" t="s">
        <v>610</v>
      </c>
      <c r="D90" s="437">
        <v>11021</v>
      </c>
      <c r="E90" s="437" t="s">
        <v>611</v>
      </c>
      <c r="F90" s="437" t="s">
        <v>893</v>
      </c>
      <c r="G90" s="437" t="s">
        <v>492</v>
      </c>
      <c r="H90" s="437" t="s">
        <v>612</v>
      </c>
    </row>
    <row r="91" spans="1:9">
      <c r="A91" s="437">
        <v>6361</v>
      </c>
      <c r="C91" s="437" t="s">
        <v>613</v>
      </c>
      <c r="D91" s="437">
        <v>201108</v>
      </c>
      <c r="E91" s="437" t="s">
        <v>614</v>
      </c>
      <c r="F91" s="437" t="s">
        <v>894</v>
      </c>
      <c r="G91" s="437" t="s">
        <v>322</v>
      </c>
      <c r="H91" s="437" t="s">
        <v>1169</v>
      </c>
      <c r="I91" s="437" t="s">
        <v>615</v>
      </c>
    </row>
    <row r="92" spans="1:9">
      <c r="C92" s="437" t="s">
        <v>1926</v>
      </c>
      <c r="D92" s="437">
        <v>10001</v>
      </c>
      <c r="E92" s="437" t="s">
        <v>1927</v>
      </c>
      <c r="F92" s="437" t="s">
        <v>864</v>
      </c>
      <c r="G92" s="437" t="s">
        <v>1892</v>
      </c>
      <c r="H92" s="437" t="s">
        <v>1928</v>
      </c>
    </row>
    <row r="93" spans="1:9">
      <c r="A93" s="437">
        <v>6365</v>
      </c>
      <c r="C93" s="437" t="s">
        <v>616</v>
      </c>
      <c r="D93" s="437">
        <v>10018</v>
      </c>
      <c r="E93" s="437" t="s">
        <v>617</v>
      </c>
      <c r="F93" s="437" t="s">
        <v>864</v>
      </c>
      <c r="G93" s="437" t="s">
        <v>492</v>
      </c>
      <c r="H93" s="437" t="s">
        <v>1170</v>
      </c>
    </row>
    <row r="94" spans="1:9">
      <c r="A94" s="437">
        <v>6390</v>
      </c>
      <c r="C94" s="437" t="s">
        <v>619</v>
      </c>
      <c r="D94" s="437">
        <v>90025</v>
      </c>
      <c r="E94" s="437" t="s">
        <v>620</v>
      </c>
      <c r="F94" s="437" t="s">
        <v>862</v>
      </c>
      <c r="G94" s="437" t="s">
        <v>492</v>
      </c>
      <c r="H94" s="437" t="s">
        <v>1205</v>
      </c>
      <c r="I94" s="437" t="s">
        <v>621</v>
      </c>
    </row>
    <row r="95" spans="1:9">
      <c r="A95" s="437" t="s">
        <v>989</v>
      </c>
      <c r="C95" s="437" t="s">
        <v>990</v>
      </c>
      <c r="D95" s="437">
        <v>90021</v>
      </c>
      <c r="E95" s="437" t="s">
        <v>991</v>
      </c>
      <c r="F95" s="437" t="s">
        <v>862</v>
      </c>
      <c r="G95" s="437" t="s">
        <v>492</v>
      </c>
      <c r="H95" s="437" t="s">
        <v>1137</v>
      </c>
    </row>
    <row r="96" spans="1:9">
      <c r="A96" s="437">
        <v>6380</v>
      </c>
      <c r="C96" s="437" t="s">
        <v>618</v>
      </c>
      <c r="D96" s="437">
        <v>90058</v>
      </c>
      <c r="E96" s="437" t="s">
        <v>1929</v>
      </c>
      <c r="F96" s="437" t="s">
        <v>862</v>
      </c>
      <c r="G96" s="437" t="s">
        <v>583</v>
      </c>
      <c r="H96" s="437" t="s">
        <v>1930</v>
      </c>
    </row>
    <row r="97" spans="1:9">
      <c r="C97" s="437" t="s">
        <v>1237</v>
      </c>
      <c r="D97" s="437">
        <v>90069</v>
      </c>
      <c r="E97" s="437" t="s">
        <v>1238</v>
      </c>
      <c r="F97" s="437" t="s">
        <v>1239</v>
      </c>
      <c r="G97" s="437" t="s">
        <v>492</v>
      </c>
      <c r="H97" s="437" t="s">
        <v>1240</v>
      </c>
    </row>
    <row r="98" spans="1:9">
      <c r="A98" s="437">
        <v>7381</v>
      </c>
      <c r="C98" s="437" t="s">
        <v>779</v>
      </c>
      <c r="D98" s="437">
        <v>310051</v>
      </c>
      <c r="E98" s="437" t="s">
        <v>780</v>
      </c>
      <c r="F98" s="437" t="s">
        <v>781</v>
      </c>
      <c r="G98" s="437" t="s">
        <v>322</v>
      </c>
      <c r="H98" s="437" t="s">
        <v>1210</v>
      </c>
      <c r="I98" s="437" t="s">
        <v>782</v>
      </c>
    </row>
    <row r="99" spans="1:9">
      <c r="A99" s="437">
        <v>6401</v>
      </c>
      <c r="C99" s="437" t="s">
        <v>622</v>
      </c>
      <c r="D99" s="437">
        <v>90023</v>
      </c>
      <c r="E99" s="437" t="s">
        <v>623</v>
      </c>
      <c r="F99" s="437" t="s">
        <v>862</v>
      </c>
      <c r="G99" s="437" t="s">
        <v>492</v>
      </c>
      <c r="H99" s="437" t="s">
        <v>1143</v>
      </c>
    </row>
    <row r="100" spans="1:9">
      <c r="A100" s="437" t="s">
        <v>1030</v>
      </c>
      <c r="C100" s="437" t="s">
        <v>1031</v>
      </c>
      <c r="D100" s="437">
        <v>90023</v>
      </c>
      <c r="E100" s="437" t="s">
        <v>1105</v>
      </c>
      <c r="F100" s="437" t="s">
        <v>862</v>
      </c>
      <c r="G100" s="437" t="s">
        <v>492</v>
      </c>
      <c r="H100" s="437" t="s">
        <v>1149</v>
      </c>
    </row>
    <row r="101" spans="1:9">
      <c r="A101" s="437">
        <v>6410</v>
      </c>
      <c r="C101" s="437" t="s">
        <v>624</v>
      </c>
      <c r="D101" s="437">
        <v>90048</v>
      </c>
      <c r="E101" s="437" t="s">
        <v>625</v>
      </c>
      <c r="F101" s="437" t="s">
        <v>862</v>
      </c>
      <c r="G101" s="437" t="s">
        <v>492</v>
      </c>
      <c r="H101" s="437" t="s">
        <v>626</v>
      </c>
    </row>
    <row r="102" spans="1:9">
      <c r="A102" s="437">
        <v>6425</v>
      </c>
      <c r="C102" s="437" t="s">
        <v>627</v>
      </c>
      <c r="D102" s="437">
        <v>91604</v>
      </c>
      <c r="E102" s="437" t="s">
        <v>628</v>
      </c>
      <c r="F102" s="437" t="s">
        <v>895</v>
      </c>
      <c r="G102" s="437" t="s">
        <v>492</v>
      </c>
      <c r="I102" s="437" t="s">
        <v>629</v>
      </c>
    </row>
    <row r="103" spans="1:9">
      <c r="A103" s="437" t="s">
        <v>962</v>
      </c>
      <c r="C103" s="437" t="s">
        <v>963</v>
      </c>
      <c r="D103" s="437">
        <v>26220</v>
      </c>
      <c r="E103" s="437" t="s">
        <v>964</v>
      </c>
      <c r="F103" s="437" t="s">
        <v>965</v>
      </c>
      <c r="G103" s="437" t="s">
        <v>1081</v>
      </c>
    </row>
    <row r="104" spans="1:9">
      <c r="A104" s="437">
        <v>6440</v>
      </c>
      <c r="C104" s="437" t="s">
        <v>630</v>
      </c>
      <c r="D104" s="437">
        <v>90040</v>
      </c>
      <c r="E104" s="437" t="s">
        <v>896</v>
      </c>
      <c r="F104" s="437" t="s">
        <v>897</v>
      </c>
      <c r="G104" s="437" t="s">
        <v>492</v>
      </c>
      <c r="H104" s="437" t="s">
        <v>1144</v>
      </c>
      <c r="I104" s="437" t="s">
        <v>631</v>
      </c>
    </row>
    <row r="105" spans="1:9">
      <c r="A105" s="437">
        <v>6445</v>
      </c>
      <c r="C105" s="437" t="s">
        <v>632</v>
      </c>
      <c r="D105" s="437">
        <v>90014</v>
      </c>
      <c r="E105" s="437" t="s">
        <v>633</v>
      </c>
      <c r="F105" s="437" t="s">
        <v>862</v>
      </c>
      <c r="G105" s="437" t="s">
        <v>492</v>
      </c>
      <c r="H105" s="437" t="s">
        <v>1145</v>
      </c>
      <c r="I105" s="437" t="s">
        <v>634</v>
      </c>
    </row>
    <row r="106" spans="1:9">
      <c r="A106" s="437">
        <v>7461</v>
      </c>
      <c r="C106" s="437" t="s">
        <v>783</v>
      </c>
      <c r="D106" s="437">
        <v>85600</v>
      </c>
      <c r="E106" s="437" t="s">
        <v>784</v>
      </c>
      <c r="F106" s="437" t="s">
        <v>945</v>
      </c>
      <c r="G106" s="437" t="s">
        <v>930</v>
      </c>
      <c r="H106" s="437" t="s">
        <v>1209</v>
      </c>
      <c r="I106" s="437" t="s">
        <v>738</v>
      </c>
    </row>
    <row r="107" spans="1:9">
      <c r="A107" s="437">
        <v>6470</v>
      </c>
      <c r="C107" s="437" t="s">
        <v>635</v>
      </c>
      <c r="D107" s="437">
        <v>90039</v>
      </c>
      <c r="E107" s="437" t="s">
        <v>898</v>
      </c>
      <c r="F107" s="437" t="s">
        <v>862</v>
      </c>
      <c r="G107" s="437" t="s">
        <v>492</v>
      </c>
      <c r="H107" s="437" t="s">
        <v>1146</v>
      </c>
    </row>
    <row r="108" spans="1:9">
      <c r="A108" s="437">
        <v>6477</v>
      </c>
      <c r="C108" s="437" t="s">
        <v>636</v>
      </c>
      <c r="D108" s="437">
        <v>90015</v>
      </c>
      <c r="E108" s="437" t="s">
        <v>899</v>
      </c>
      <c r="F108" s="437" t="s">
        <v>862</v>
      </c>
      <c r="G108" s="437" t="s">
        <v>492</v>
      </c>
      <c r="H108" s="437" t="s">
        <v>637</v>
      </c>
    </row>
    <row r="109" spans="1:9">
      <c r="A109" s="437">
        <v>6490</v>
      </c>
      <c r="C109" s="437" t="s">
        <v>642</v>
      </c>
      <c r="D109" s="437">
        <v>90011</v>
      </c>
      <c r="E109" s="437" t="s">
        <v>643</v>
      </c>
      <c r="G109" s="437" t="s">
        <v>492</v>
      </c>
      <c r="H109" s="437" t="s">
        <v>1147</v>
      </c>
      <c r="I109" s="437" t="s">
        <v>644</v>
      </c>
    </row>
    <row r="110" spans="1:9">
      <c r="A110" s="437">
        <v>7481</v>
      </c>
      <c r="C110" s="437" t="s">
        <v>785</v>
      </c>
      <c r="D110" s="437">
        <v>92614</v>
      </c>
      <c r="E110" s="437" t="s">
        <v>786</v>
      </c>
      <c r="F110" s="437" t="s">
        <v>787</v>
      </c>
      <c r="G110" s="437" t="s">
        <v>930</v>
      </c>
      <c r="H110" s="437" t="s">
        <v>1211</v>
      </c>
      <c r="I110" s="437" t="s">
        <v>788</v>
      </c>
    </row>
    <row r="111" spans="1:9">
      <c r="A111" s="437">
        <v>7482</v>
      </c>
      <c r="C111" s="437" t="s">
        <v>789</v>
      </c>
      <c r="D111" s="437">
        <v>75009</v>
      </c>
      <c r="E111" s="437" t="s">
        <v>790</v>
      </c>
      <c r="F111" s="437" t="s">
        <v>722</v>
      </c>
      <c r="G111" s="437" t="s">
        <v>930</v>
      </c>
      <c r="H111" s="437" t="s">
        <v>1212</v>
      </c>
      <c r="I111" s="437" t="s">
        <v>791</v>
      </c>
    </row>
    <row r="112" spans="1:9">
      <c r="A112" s="437">
        <v>7483</v>
      </c>
      <c r="C112" s="437" t="s">
        <v>792</v>
      </c>
      <c r="D112" s="437">
        <v>75007</v>
      </c>
      <c r="E112" s="437" t="s">
        <v>793</v>
      </c>
      <c r="F112" s="437" t="s">
        <v>722</v>
      </c>
      <c r="G112" s="437" t="s">
        <v>930</v>
      </c>
      <c r="H112" s="437" t="s">
        <v>1213</v>
      </c>
      <c r="I112" s="437" t="s">
        <v>794</v>
      </c>
    </row>
    <row r="113" spans="1:9">
      <c r="A113" s="437">
        <v>7484</v>
      </c>
      <c r="C113" s="437" t="s">
        <v>795</v>
      </c>
      <c r="D113" s="437">
        <v>75001</v>
      </c>
      <c r="E113" s="437" t="s">
        <v>796</v>
      </c>
      <c r="F113" s="437" t="s">
        <v>722</v>
      </c>
      <c r="G113" s="437" t="s">
        <v>930</v>
      </c>
      <c r="H113" s="437" t="s">
        <v>1214</v>
      </c>
      <c r="I113" s="437" t="s">
        <v>797</v>
      </c>
    </row>
    <row r="114" spans="1:9">
      <c r="A114" s="437">
        <v>6481</v>
      </c>
      <c r="C114" s="437" t="s">
        <v>638</v>
      </c>
      <c r="D114" s="437">
        <v>10011</v>
      </c>
      <c r="E114" s="437" t="s">
        <v>900</v>
      </c>
      <c r="F114" s="437" t="s">
        <v>864</v>
      </c>
      <c r="G114" s="437" t="s">
        <v>492</v>
      </c>
      <c r="H114" s="437" t="s">
        <v>1148</v>
      </c>
    </row>
    <row r="115" spans="1:9">
      <c r="A115" s="437">
        <v>7485</v>
      </c>
      <c r="C115" s="437" t="s">
        <v>798</v>
      </c>
      <c r="D115" s="437">
        <v>200001</v>
      </c>
      <c r="E115" s="437" t="s">
        <v>799</v>
      </c>
      <c r="F115" s="437" t="s">
        <v>944</v>
      </c>
      <c r="G115" s="437" t="s">
        <v>322</v>
      </c>
      <c r="H115" s="437" t="s">
        <v>1215</v>
      </c>
      <c r="I115" s="437" t="s">
        <v>800</v>
      </c>
    </row>
    <row r="116" spans="1:9">
      <c r="A116" s="437">
        <v>7486</v>
      </c>
      <c r="C116" s="437" t="s">
        <v>801</v>
      </c>
      <c r="D116" s="437">
        <v>75017</v>
      </c>
      <c r="E116" s="437" t="s">
        <v>760</v>
      </c>
      <c r="F116" s="437" t="s">
        <v>722</v>
      </c>
      <c r="G116" s="437" t="s">
        <v>930</v>
      </c>
      <c r="H116" s="437" t="s">
        <v>1191</v>
      </c>
      <c r="I116" s="437" t="s">
        <v>761</v>
      </c>
    </row>
    <row r="117" spans="1:9">
      <c r="A117" s="437">
        <v>6482</v>
      </c>
      <c r="C117" s="437" t="s">
        <v>639</v>
      </c>
      <c r="D117" s="437">
        <v>90292</v>
      </c>
      <c r="E117" s="437" t="s">
        <v>902</v>
      </c>
      <c r="F117" s="437" t="s">
        <v>901</v>
      </c>
      <c r="G117" s="437" t="s">
        <v>492</v>
      </c>
      <c r="H117" s="437" t="s">
        <v>1149</v>
      </c>
      <c r="I117" s="437" t="s">
        <v>639</v>
      </c>
    </row>
    <row r="118" spans="1:9">
      <c r="A118" s="437">
        <v>7489</v>
      </c>
      <c r="C118" s="437" t="s">
        <v>802</v>
      </c>
      <c r="D118" s="437">
        <v>11000</v>
      </c>
      <c r="E118" s="437" t="s">
        <v>803</v>
      </c>
      <c r="F118" s="437" t="s">
        <v>943</v>
      </c>
      <c r="G118" s="437" t="s">
        <v>909</v>
      </c>
      <c r="H118" s="437" t="s">
        <v>1216</v>
      </c>
      <c r="I118" s="437" t="s">
        <v>804</v>
      </c>
    </row>
    <row r="119" spans="1:9">
      <c r="A119" s="437" t="s">
        <v>960</v>
      </c>
      <c r="C119" s="437" t="s">
        <v>802</v>
      </c>
      <c r="D119" s="437">
        <v>11000</v>
      </c>
      <c r="E119" s="437" t="s">
        <v>961</v>
      </c>
      <c r="F119" s="437" t="s">
        <v>1080</v>
      </c>
      <c r="G119" s="437" t="s">
        <v>908</v>
      </c>
      <c r="H119" s="437" t="s">
        <v>1216</v>
      </c>
    </row>
    <row r="120" spans="1:9">
      <c r="A120" s="437" t="s">
        <v>1046</v>
      </c>
      <c r="C120" s="437" t="s">
        <v>1047</v>
      </c>
      <c r="D120" s="437">
        <v>523170</v>
      </c>
      <c r="E120" s="437" t="s">
        <v>1048</v>
      </c>
      <c r="F120" s="437" t="s">
        <v>1049</v>
      </c>
      <c r="G120" s="437" t="s">
        <v>322</v>
      </c>
      <c r="H120" s="437" t="s">
        <v>1217</v>
      </c>
    </row>
    <row r="121" spans="1:9">
      <c r="A121" s="437">
        <v>6489</v>
      </c>
      <c r="C121" s="437" t="s">
        <v>640</v>
      </c>
      <c r="D121" s="437">
        <v>92662</v>
      </c>
      <c r="E121" s="437" t="s">
        <v>641</v>
      </c>
      <c r="F121" s="437" t="s">
        <v>903</v>
      </c>
      <c r="G121" s="437" t="s">
        <v>492</v>
      </c>
    </row>
    <row r="122" spans="1:9">
      <c r="A122" s="437" t="s">
        <v>974</v>
      </c>
      <c r="C122" s="437" t="s">
        <v>975</v>
      </c>
      <c r="E122" s="437" t="s">
        <v>976</v>
      </c>
      <c r="F122" s="437" t="s">
        <v>1087</v>
      </c>
      <c r="G122" s="437" t="s">
        <v>1086</v>
      </c>
      <c r="H122" s="437" t="s">
        <v>1218</v>
      </c>
    </row>
    <row r="123" spans="1:9">
      <c r="A123" s="437">
        <v>6501</v>
      </c>
      <c r="C123" s="437" t="s">
        <v>645</v>
      </c>
      <c r="D123" s="438" t="s">
        <v>904</v>
      </c>
      <c r="E123" s="437" t="s">
        <v>646</v>
      </c>
      <c r="F123" s="437" t="s">
        <v>905</v>
      </c>
      <c r="G123" s="437" t="s">
        <v>492</v>
      </c>
    </row>
    <row r="124" spans="1:9">
      <c r="A124" s="437">
        <v>6502</v>
      </c>
      <c r="C124" s="437" t="s">
        <v>647</v>
      </c>
      <c r="D124" s="437">
        <v>90058</v>
      </c>
      <c r="E124" s="437" t="s">
        <v>648</v>
      </c>
      <c r="F124" s="437" t="s">
        <v>866</v>
      </c>
      <c r="G124" s="437" t="s">
        <v>492</v>
      </c>
      <c r="H124" s="437" t="s">
        <v>649</v>
      </c>
    </row>
    <row r="125" spans="1:9">
      <c r="A125" s="437">
        <v>6503</v>
      </c>
      <c r="C125" s="437" t="s">
        <v>650</v>
      </c>
      <c r="D125" s="437">
        <v>10012</v>
      </c>
      <c r="E125" s="437" t="s">
        <v>651</v>
      </c>
      <c r="F125" s="437" t="s">
        <v>864</v>
      </c>
      <c r="G125" s="437" t="s">
        <v>492</v>
      </c>
      <c r="H125" s="437" t="s">
        <v>1150</v>
      </c>
    </row>
    <row r="126" spans="1:9">
      <c r="A126" s="437">
        <v>6504</v>
      </c>
      <c r="C126" s="437" t="s">
        <v>653</v>
      </c>
      <c r="D126" s="437">
        <v>10012</v>
      </c>
      <c r="E126" s="437" t="s">
        <v>907</v>
      </c>
      <c r="F126" s="437" t="s">
        <v>864</v>
      </c>
      <c r="G126" s="437" t="s">
        <v>492</v>
      </c>
      <c r="H126" s="437" t="s">
        <v>654</v>
      </c>
      <c r="I126" s="437" t="s">
        <v>906</v>
      </c>
    </row>
    <row r="127" spans="1:9">
      <c r="A127" s="437">
        <v>6521</v>
      </c>
      <c r="C127" s="437" t="s">
        <v>655</v>
      </c>
      <c r="D127" s="437">
        <v>10200</v>
      </c>
      <c r="E127" s="437" t="s">
        <v>910</v>
      </c>
      <c r="F127" s="437" t="s">
        <v>911</v>
      </c>
      <c r="G127" s="437" t="s">
        <v>909</v>
      </c>
      <c r="H127" s="437" t="s">
        <v>656</v>
      </c>
    </row>
    <row r="128" spans="1:9">
      <c r="A128" s="437">
        <v>7568</v>
      </c>
      <c r="C128" s="437" t="s">
        <v>805</v>
      </c>
      <c r="D128" s="437">
        <v>75006</v>
      </c>
      <c r="E128" s="437" t="s">
        <v>806</v>
      </c>
      <c r="F128" s="437" t="s">
        <v>807</v>
      </c>
      <c r="G128" s="437" t="s">
        <v>930</v>
      </c>
      <c r="H128" s="437" t="s">
        <v>1219</v>
      </c>
      <c r="I128" s="437" t="s">
        <v>808</v>
      </c>
    </row>
    <row r="129" spans="1:9">
      <c r="A129" s="437" t="s">
        <v>955</v>
      </c>
      <c r="C129" s="437" t="s">
        <v>956</v>
      </c>
      <c r="E129" s="437" t="s">
        <v>957</v>
      </c>
      <c r="F129" s="437" t="s">
        <v>1077</v>
      </c>
      <c r="G129" s="437" t="s">
        <v>322</v>
      </c>
      <c r="H129" s="437" t="s">
        <v>1220</v>
      </c>
    </row>
    <row r="130" spans="1:9">
      <c r="A130" s="437">
        <v>6522</v>
      </c>
      <c r="C130" s="437" t="s">
        <v>657</v>
      </c>
      <c r="D130" s="437">
        <v>10018</v>
      </c>
      <c r="E130" s="437" t="s">
        <v>658</v>
      </c>
      <c r="F130" s="437" t="s">
        <v>864</v>
      </c>
      <c r="G130" s="437" t="s">
        <v>492</v>
      </c>
      <c r="H130" s="437" t="s">
        <v>659</v>
      </c>
    </row>
    <row r="131" spans="1:9">
      <c r="A131" s="437">
        <v>7601</v>
      </c>
      <c r="C131" s="437" t="s">
        <v>809</v>
      </c>
      <c r="D131" s="437">
        <v>75008</v>
      </c>
      <c r="E131" s="437" t="s">
        <v>810</v>
      </c>
      <c r="F131" s="437" t="s">
        <v>722</v>
      </c>
      <c r="G131" s="437" t="s">
        <v>930</v>
      </c>
      <c r="H131" s="437" t="s">
        <v>1221</v>
      </c>
    </row>
    <row r="132" spans="1:9">
      <c r="A132" s="437">
        <v>6523</v>
      </c>
      <c r="C132" s="437" t="s">
        <v>660</v>
      </c>
      <c r="D132" s="437">
        <v>90015</v>
      </c>
      <c r="E132" s="437" t="s">
        <v>661</v>
      </c>
      <c r="F132" s="437" t="s">
        <v>862</v>
      </c>
      <c r="G132" s="437" t="s">
        <v>492</v>
      </c>
      <c r="H132" s="437" t="s">
        <v>1151</v>
      </c>
      <c r="I132" s="437" t="s">
        <v>662</v>
      </c>
    </row>
    <row r="133" spans="1:9">
      <c r="A133" s="437">
        <v>7602</v>
      </c>
      <c r="C133" s="437" t="s">
        <v>811</v>
      </c>
      <c r="D133" s="437">
        <v>43122</v>
      </c>
      <c r="E133" s="437" t="s">
        <v>812</v>
      </c>
      <c r="F133" s="437" t="s">
        <v>813</v>
      </c>
      <c r="G133" s="437" t="s">
        <v>942</v>
      </c>
      <c r="H133" s="437" t="s">
        <v>1222</v>
      </c>
      <c r="I133" s="437" t="s">
        <v>814</v>
      </c>
    </row>
    <row r="134" spans="1:9">
      <c r="A134" s="437">
        <v>6528</v>
      </c>
      <c r="C134" s="437" t="s">
        <v>912</v>
      </c>
      <c r="E134" s="437" t="s">
        <v>913</v>
      </c>
      <c r="F134" s="437" t="s">
        <v>914</v>
      </c>
      <c r="G134" s="437" t="s">
        <v>916</v>
      </c>
      <c r="H134" s="437" t="s">
        <v>1152</v>
      </c>
      <c r="I134" s="437" t="s">
        <v>663</v>
      </c>
    </row>
    <row r="135" spans="1:9">
      <c r="A135" s="437">
        <v>7613</v>
      </c>
      <c r="C135" s="437" t="s">
        <v>815</v>
      </c>
      <c r="D135" s="437">
        <v>10146</v>
      </c>
      <c r="E135" s="437" t="s">
        <v>816</v>
      </c>
      <c r="F135" s="437" t="s">
        <v>940</v>
      </c>
      <c r="G135" s="437" t="s">
        <v>941</v>
      </c>
      <c r="H135" s="437" t="s">
        <v>1223</v>
      </c>
      <c r="I135" s="437" t="s">
        <v>815</v>
      </c>
    </row>
    <row r="136" spans="1:9">
      <c r="A136" s="437" t="s">
        <v>1032</v>
      </c>
      <c r="C136" s="437" t="s">
        <v>1033</v>
      </c>
      <c r="D136" s="437">
        <v>90014</v>
      </c>
      <c r="E136" s="437" t="s">
        <v>1034</v>
      </c>
      <c r="F136" s="437" t="s">
        <v>862</v>
      </c>
      <c r="G136" s="437" t="s">
        <v>492</v>
      </c>
      <c r="H136" s="437" t="s">
        <v>1224</v>
      </c>
    </row>
    <row r="137" spans="1:9">
      <c r="A137" s="437">
        <v>7621</v>
      </c>
      <c r="C137" s="437" t="s">
        <v>817</v>
      </c>
      <c r="D137" s="437">
        <v>59142</v>
      </c>
      <c r="E137" s="437" t="s">
        <v>818</v>
      </c>
      <c r="F137" s="437" t="s">
        <v>819</v>
      </c>
      <c r="G137" s="437" t="s">
        <v>930</v>
      </c>
      <c r="H137" s="437" t="s">
        <v>1225</v>
      </c>
      <c r="I137" s="437" t="s">
        <v>820</v>
      </c>
    </row>
    <row r="138" spans="1:9">
      <c r="A138" s="437">
        <v>6545</v>
      </c>
      <c r="C138" s="437" t="s">
        <v>664</v>
      </c>
      <c r="D138" s="437">
        <v>75800</v>
      </c>
      <c r="E138" s="437" t="s">
        <v>665</v>
      </c>
      <c r="F138" s="437" t="s">
        <v>915</v>
      </c>
      <c r="G138" s="437" t="s">
        <v>666</v>
      </c>
      <c r="H138" s="437" t="s">
        <v>1226</v>
      </c>
      <c r="I138" s="437" t="s">
        <v>667</v>
      </c>
    </row>
    <row r="139" spans="1:9">
      <c r="A139" s="437">
        <v>7625</v>
      </c>
      <c r="C139" s="437" t="s">
        <v>821</v>
      </c>
      <c r="D139" s="437">
        <v>49450</v>
      </c>
      <c r="E139" s="437" t="s">
        <v>822</v>
      </c>
      <c r="F139" s="437" t="s">
        <v>939</v>
      </c>
      <c r="G139" s="437" t="s">
        <v>930</v>
      </c>
      <c r="H139" s="437" t="s">
        <v>1227</v>
      </c>
      <c r="I139" s="437" t="s">
        <v>823</v>
      </c>
    </row>
    <row r="140" spans="1:9">
      <c r="A140" s="437">
        <v>6548</v>
      </c>
      <c r="C140" s="437" t="s">
        <v>668</v>
      </c>
      <c r="D140" s="437">
        <v>10001</v>
      </c>
      <c r="E140" s="437" t="s">
        <v>669</v>
      </c>
      <c r="F140" s="437" t="s">
        <v>864</v>
      </c>
      <c r="G140" s="437" t="s">
        <v>492</v>
      </c>
      <c r="H140" s="437" t="s">
        <v>1153</v>
      </c>
      <c r="I140" s="437" t="s">
        <v>670</v>
      </c>
    </row>
    <row r="141" spans="1:9">
      <c r="A141" s="437">
        <v>6561</v>
      </c>
      <c r="C141" s="437" t="s">
        <v>671</v>
      </c>
      <c r="D141" s="437">
        <v>92780</v>
      </c>
      <c r="E141" s="437" t="s">
        <v>917</v>
      </c>
      <c r="F141" s="437" t="s">
        <v>918</v>
      </c>
      <c r="G141" s="437" t="s">
        <v>492</v>
      </c>
      <c r="H141" s="437" t="s">
        <v>1202</v>
      </c>
      <c r="I141" s="437" t="s">
        <v>1259</v>
      </c>
    </row>
    <row r="142" spans="1:9">
      <c r="A142" s="437" t="s">
        <v>1056</v>
      </c>
      <c r="C142" s="437" t="s">
        <v>1057</v>
      </c>
      <c r="D142" s="437">
        <v>92780</v>
      </c>
      <c r="E142" s="437" t="s">
        <v>1109</v>
      </c>
      <c r="F142" s="437" t="s">
        <v>918</v>
      </c>
      <c r="G142" s="437" t="s">
        <v>492</v>
      </c>
      <c r="H142" s="437" t="s">
        <v>705</v>
      </c>
    </row>
    <row r="143" spans="1:9">
      <c r="A143" s="437" t="s">
        <v>958</v>
      </c>
      <c r="C143" s="437" t="s">
        <v>959</v>
      </c>
      <c r="D143" s="437">
        <v>35603</v>
      </c>
      <c r="E143" s="437" t="s">
        <v>1078</v>
      </c>
      <c r="F143" s="437" t="s">
        <v>1079</v>
      </c>
      <c r="G143" s="437" t="s">
        <v>929</v>
      </c>
      <c r="H143" s="437" t="s">
        <v>1228</v>
      </c>
    </row>
    <row r="144" spans="1:9">
      <c r="A144" s="437">
        <v>7728</v>
      </c>
      <c r="C144" s="437" t="s">
        <v>824</v>
      </c>
      <c r="D144" s="437">
        <v>75006</v>
      </c>
      <c r="E144" s="437" t="s">
        <v>825</v>
      </c>
      <c r="F144" s="437" t="s">
        <v>722</v>
      </c>
      <c r="G144" s="437" t="s">
        <v>930</v>
      </c>
      <c r="H144" s="437" t="s">
        <v>1229</v>
      </c>
      <c r="I144" s="437" t="s">
        <v>826</v>
      </c>
    </row>
    <row r="145" spans="1:9">
      <c r="A145" s="437">
        <v>6568</v>
      </c>
      <c r="C145" s="437" t="s">
        <v>672</v>
      </c>
      <c r="D145" s="437">
        <v>10017</v>
      </c>
      <c r="E145" s="437" t="s">
        <v>4182</v>
      </c>
      <c r="F145" s="437" t="s">
        <v>864</v>
      </c>
      <c r="G145" s="437" t="s">
        <v>492</v>
      </c>
      <c r="H145" s="437" t="s">
        <v>4181</v>
      </c>
      <c r="I145" s="437" t="s">
        <v>673</v>
      </c>
    </row>
    <row r="146" spans="1:9">
      <c r="A146" s="437">
        <v>7733</v>
      </c>
      <c r="C146" s="437" t="s">
        <v>827</v>
      </c>
      <c r="D146" s="437">
        <v>75002</v>
      </c>
      <c r="E146" s="437" t="s">
        <v>828</v>
      </c>
      <c r="F146" s="437" t="s">
        <v>722</v>
      </c>
      <c r="G146" s="437" t="s">
        <v>930</v>
      </c>
      <c r="H146" s="437" t="s">
        <v>1230</v>
      </c>
      <c r="I146" s="437" t="s">
        <v>827</v>
      </c>
    </row>
    <row r="147" spans="1:9">
      <c r="A147" s="437">
        <v>6581</v>
      </c>
      <c r="C147" s="437" t="s">
        <v>674</v>
      </c>
      <c r="D147" s="437">
        <v>91106</v>
      </c>
      <c r="E147" s="437" t="s">
        <v>675</v>
      </c>
      <c r="F147" s="437" t="s">
        <v>919</v>
      </c>
      <c r="G147" s="437" t="s">
        <v>492</v>
      </c>
    </row>
    <row r="148" spans="1:9">
      <c r="A148" s="437">
        <v>6582</v>
      </c>
      <c r="C148" s="437" t="s">
        <v>676</v>
      </c>
      <c r="E148" s="437" t="s">
        <v>677</v>
      </c>
      <c r="F148" s="437" t="s">
        <v>523</v>
      </c>
      <c r="G148" s="437" t="s">
        <v>322</v>
      </c>
      <c r="H148" s="437" t="s">
        <v>1154</v>
      </c>
      <c r="I148" s="437" t="s">
        <v>678</v>
      </c>
    </row>
    <row r="149" spans="1:9">
      <c r="A149" s="437">
        <v>6601</v>
      </c>
      <c r="C149" s="437" t="s">
        <v>679</v>
      </c>
      <c r="D149" s="437">
        <v>90502</v>
      </c>
      <c r="E149" s="437" t="s">
        <v>680</v>
      </c>
      <c r="F149" s="437" t="s">
        <v>921</v>
      </c>
      <c r="G149" s="437" t="s">
        <v>492</v>
      </c>
      <c r="H149" s="437" t="s">
        <v>1155</v>
      </c>
      <c r="I149" s="437" t="s">
        <v>681</v>
      </c>
    </row>
    <row r="150" spans="1:9">
      <c r="A150" s="437">
        <v>6602</v>
      </c>
      <c r="C150" s="437" t="s">
        <v>682</v>
      </c>
      <c r="D150" s="438" t="s">
        <v>920</v>
      </c>
      <c r="E150" s="437" t="s">
        <v>683</v>
      </c>
      <c r="F150" s="437" t="s">
        <v>922</v>
      </c>
      <c r="G150" s="437" t="s">
        <v>492</v>
      </c>
      <c r="H150" s="437" t="s">
        <v>1156</v>
      </c>
      <c r="I150" s="437" t="s">
        <v>684</v>
      </c>
    </row>
    <row r="151" spans="1:9">
      <c r="A151" s="437">
        <v>7764</v>
      </c>
      <c r="C151" s="437" t="s">
        <v>829</v>
      </c>
      <c r="D151" s="437">
        <v>62520</v>
      </c>
      <c r="E151" s="437" t="s">
        <v>830</v>
      </c>
      <c r="F151" s="437" t="s">
        <v>831</v>
      </c>
      <c r="G151" s="437" t="s">
        <v>938</v>
      </c>
    </row>
    <row r="152" spans="1:9">
      <c r="A152" s="437" t="s">
        <v>1053</v>
      </c>
      <c r="C152" s="437" t="s">
        <v>1054</v>
      </c>
      <c r="D152" s="437">
        <v>312400</v>
      </c>
      <c r="E152" s="437" t="s">
        <v>1055</v>
      </c>
      <c r="F152" s="437" t="s">
        <v>1108</v>
      </c>
      <c r="G152" s="437" t="s">
        <v>322</v>
      </c>
      <c r="H152" s="437" t="s">
        <v>1154</v>
      </c>
    </row>
    <row r="153" spans="1:9">
      <c r="A153" s="437">
        <v>6610</v>
      </c>
      <c r="C153" s="437" t="s">
        <v>925</v>
      </c>
      <c r="D153" s="437">
        <v>518100</v>
      </c>
      <c r="E153" s="437" t="s">
        <v>924</v>
      </c>
      <c r="F153" s="437" t="s">
        <v>923</v>
      </c>
      <c r="G153" s="437" t="s">
        <v>322</v>
      </c>
      <c r="H153" s="437" t="s">
        <v>1157</v>
      </c>
    </row>
    <row r="154" spans="1:9">
      <c r="A154" s="437" t="s">
        <v>1040</v>
      </c>
      <c r="C154" s="437" t="s">
        <v>1041</v>
      </c>
      <c r="D154" s="437">
        <v>10018</v>
      </c>
      <c r="E154" s="437" t="s">
        <v>1104</v>
      </c>
      <c r="F154" s="437" t="s">
        <v>864</v>
      </c>
      <c r="G154" s="437" t="s">
        <v>492</v>
      </c>
      <c r="H154" s="437" t="s">
        <v>1231</v>
      </c>
    </row>
    <row r="155" spans="1:9">
      <c r="A155" s="437" t="s">
        <v>1042</v>
      </c>
      <c r="C155" s="437" t="s">
        <v>1043</v>
      </c>
      <c r="D155" s="437">
        <v>700046</v>
      </c>
      <c r="E155" s="437" t="s">
        <v>1044</v>
      </c>
      <c r="F155" s="437" t="s">
        <v>1106</v>
      </c>
      <c r="G155" s="437" t="s">
        <v>1045</v>
      </c>
      <c r="H155" s="437" t="s">
        <v>1217</v>
      </c>
    </row>
    <row r="156" spans="1:9">
      <c r="C156" s="437" t="s">
        <v>1258</v>
      </c>
      <c r="D156" s="437">
        <v>10018</v>
      </c>
      <c r="E156" s="437" t="s">
        <v>6367</v>
      </c>
      <c r="F156" s="437" t="s">
        <v>864</v>
      </c>
      <c r="G156" s="437" t="s">
        <v>492</v>
      </c>
      <c r="I156" s="437" t="s">
        <v>6368</v>
      </c>
    </row>
    <row r="157" spans="1:9">
      <c r="A157" s="437">
        <v>6629</v>
      </c>
      <c r="C157" s="437" t="s">
        <v>685</v>
      </c>
      <c r="D157" s="437">
        <v>34406</v>
      </c>
      <c r="E157" s="437" t="s">
        <v>686</v>
      </c>
      <c r="F157" s="437" t="s">
        <v>926</v>
      </c>
      <c r="G157" s="437" t="s">
        <v>687</v>
      </c>
      <c r="H157" s="437" t="s">
        <v>1158</v>
      </c>
      <c r="I157" s="437" t="s">
        <v>688</v>
      </c>
    </row>
    <row r="158" spans="1:9">
      <c r="A158" s="437">
        <v>6631</v>
      </c>
      <c r="C158" s="437" t="s">
        <v>689</v>
      </c>
      <c r="D158" s="437">
        <v>90049</v>
      </c>
      <c r="E158" s="437" t="s">
        <v>690</v>
      </c>
      <c r="F158" s="437" t="s">
        <v>862</v>
      </c>
      <c r="G158" s="437" t="s">
        <v>492</v>
      </c>
      <c r="I158" s="437" t="s">
        <v>691</v>
      </c>
    </row>
    <row r="159" spans="1:9">
      <c r="A159" s="437">
        <v>7807</v>
      </c>
      <c r="C159" s="437" t="s">
        <v>954</v>
      </c>
      <c r="D159" s="437" t="s">
        <v>949</v>
      </c>
      <c r="E159" s="437" t="s">
        <v>946</v>
      </c>
      <c r="F159" s="437" t="s">
        <v>947</v>
      </c>
      <c r="G159" s="437" t="s">
        <v>1093</v>
      </c>
      <c r="H159" s="437" t="s">
        <v>1159</v>
      </c>
      <c r="I159" s="437" t="s">
        <v>950</v>
      </c>
    </row>
    <row r="160" spans="1:9">
      <c r="A160" s="437" t="s">
        <v>983</v>
      </c>
      <c r="C160" s="437" t="s">
        <v>984</v>
      </c>
      <c r="D160" s="437">
        <v>6560108</v>
      </c>
      <c r="E160" s="437" t="s">
        <v>985</v>
      </c>
      <c r="F160" s="437" t="s">
        <v>1091</v>
      </c>
      <c r="G160" s="437" t="s">
        <v>1092</v>
      </c>
      <c r="H160" s="437" t="s">
        <v>1134</v>
      </c>
    </row>
    <row r="161" spans="1:10">
      <c r="A161" s="437">
        <v>7808</v>
      </c>
      <c r="C161" s="437" t="s">
        <v>832</v>
      </c>
      <c r="D161" s="437">
        <v>2010</v>
      </c>
      <c r="E161" s="437" t="s">
        <v>952</v>
      </c>
      <c r="F161" s="437" t="s">
        <v>953</v>
      </c>
      <c r="G161" s="437" t="s">
        <v>951</v>
      </c>
      <c r="H161" s="437" t="s">
        <v>1232</v>
      </c>
      <c r="I161" s="437" t="s">
        <v>833</v>
      </c>
    </row>
    <row r="162" spans="1:10">
      <c r="A162" s="437">
        <v>6651</v>
      </c>
      <c r="C162" s="437" t="s">
        <v>692</v>
      </c>
      <c r="D162" s="437">
        <v>90021</v>
      </c>
      <c r="E162" s="437" t="s">
        <v>693</v>
      </c>
      <c r="F162" s="437" t="s">
        <v>862</v>
      </c>
      <c r="G162" s="437" t="s">
        <v>492</v>
      </c>
      <c r="H162" s="437" t="s">
        <v>1160</v>
      </c>
    </row>
    <row r="163" spans="1:10">
      <c r="A163" s="437">
        <v>7811</v>
      </c>
      <c r="C163" s="437" t="s">
        <v>834</v>
      </c>
      <c r="D163" s="437">
        <v>75017</v>
      </c>
      <c r="E163" s="437" t="s">
        <v>835</v>
      </c>
      <c r="F163" s="437" t="s">
        <v>722</v>
      </c>
      <c r="G163" s="437" t="s">
        <v>930</v>
      </c>
      <c r="H163" s="437" t="s">
        <v>1233</v>
      </c>
      <c r="I163" s="437" t="s">
        <v>836</v>
      </c>
    </row>
    <row r="164" spans="1:10">
      <c r="A164" s="437">
        <v>6652</v>
      </c>
      <c r="C164" s="437" t="s">
        <v>694</v>
      </c>
      <c r="D164" s="437">
        <v>10014</v>
      </c>
      <c r="E164" s="437" t="s">
        <v>695</v>
      </c>
      <c r="F164" s="437" t="s">
        <v>864</v>
      </c>
      <c r="G164" s="437" t="s">
        <v>492</v>
      </c>
      <c r="H164" s="437" t="s">
        <v>1161</v>
      </c>
      <c r="I164" s="437" t="s">
        <v>697</v>
      </c>
    </row>
    <row r="165" spans="1:10">
      <c r="A165" s="437">
        <v>6661</v>
      </c>
      <c r="C165" s="437" t="s">
        <v>698</v>
      </c>
      <c r="D165" s="437">
        <v>11201</v>
      </c>
      <c r="E165" s="437" t="s">
        <v>699</v>
      </c>
      <c r="F165" s="437" t="s">
        <v>885</v>
      </c>
      <c r="G165" s="437" t="s">
        <v>492</v>
      </c>
      <c r="H165" s="437" t="s">
        <v>1162</v>
      </c>
      <c r="I165" s="437" t="s">
        <v>698</v>
      </c>
    </row>
    <row r="166" spans="1:10">
      <c r="A166" s="437">
        <v>6662</v>
      </c>
      <c r="C166" s="437" t="s">
        <v>700</v>
      </c>
      <c r="D166" s="437">
        <v>10011</v>
      </c>
      <c r="E166" s="437" t="s">
        <v>701</v>
      </c>
      <c r="F166" s="437" t="s">
        <v>864</v>
      </c>
      <c r="G166" s="437" t="s">
        <v>492</v>
      </c>
      <c r="H166" s="437" t="s">
        <v>1163</v>
      </c>
      <c r="I166" s="437" t="s">
        <v>702</v>
      </c>
    </row>
    <row r="167" spans="1:10">
      <c r="A167" s="437">
        <v>6665</v>
      </c>
      <c r="C167" s="437" t="s">
        <v>703</v>
      </c>
      <c r="E167" s="437" t="s">
        <v>704</v>
      </c>
      <c r="F167" s="437" t="s">
        <v>927</v>
      </c>
      <c r="G167" s="437" t="s">
        <v>322</v>
      </c>
      <c r="H167" s="437" t="s">
        <v>705</v>
      </c>
    </row>
    <row r="168" spans="1:10">
      <c r="A168" s="437">
        <v>6666</v>
      </c>
      <c r="C168" s="437" t="s">
        <v>706</v>
      </c>
      <c r="D168" s="437">
        <v>10013</v>
      </c>
      <c r="E168" s="437" t="s">
        <v>707</v>
      </c>
      <c r="F168" s="437" t="s">
        <v>864</v>
      </c>
      <c r="G168" s="437" t="s">
        <v>492</v>
      </c>
      <c r="J168" s="437" t="s">
        <v>1923</v>
      </c>
    </row>
    <row r="169" spans="1:10">
      <c r="A169" s="437">
        <v>6695</v>
      </c>
      <c r="C169" s="437" t="s">
        <v>708</v>
      </c>
      <c r="D169" s="437">
        <v>10012</v>
      </c>
      <c r="E169" s="437" t="s">
        <v>709</v>
      </c>
      <c r="F169" s="437" t="s">
        <v>652</v>
      </c>
      <c r="G169" s="437" t="s">
        <v>492</v>
      </c>
      <c r="H169" s="437" t="s">
        <v>1164</v>
      </c>
      <c r="I169" s="437" t="s">
        <v>710</v>
      </c>
    </row>
    <row r="170" spans="1:10">
      <c r="A170" s="437">
        <v>6705</v>
      </c>
      <c r="C170" s="437" t="s">
        <v>711</v>
      </c>
      <c r="D170" s="437">
        <v>10014</v>
      </c>
      <c r="E170" s="437" t="s">
        <v>712</v>
      </c>
      <c r="F170" s="437" t="s">
        <v>696</v>
      </c>
      <c r="G170" s="437" t="s">
        <v>492</v>
      </c>
      <c r="H170" s="437" t="s">
        <v>1171</v>
      </c>
      <c r="I170" s="437" t="s">
        <v>713</v>
      </c>
    </row>
    <row r="171" spans="1:10">
      <c r="A171" s="437">
        <v>7841</v>
      </c>
      <c r="C171" s="437" t="s">
        <v>837</v>
      </c>
      <c r="D171" s="437">
        <v>75002</v>
      </c>
      <c r="E171" s="437" t="s">
        <v>838</v>
      </c>
      <c r="F171" s="437" t="s">
        <v>722</v>
      </c>
      <c r="G171" s="437" t="s">
        <v>930</v>
      </c>
      <c r="H171" s="437" t="s">
        <v>1234</v>
      </c>
      <c r="I171" s="437" t="s">
        <v>839</v>
      </c>
    </row>
    <row r="172" spans="1:10">
      <c r="A172" s="437">
        <v>6727</v>
      </c>
      <c r="C172" s="437" t="s">
        <v>714</v>
      </c>
      <c r="D172" s="437">
        <v>10010</v>
      </c>
      <c r="E172" s="437" t="s">
        <v>715</v>
      </c>
      <c r="F172" s="437" t="s">
        <v>716</v>
      </c>
      <c r="G172" s="437" t="s">
        <v>492</v>
      </c>
    </row>
    <row r="173" spans="1:10">
      <c r="A173" s="437" t="s">
        <v>1073</v>
      </c>
      <c r="C173" s="437" t="s">
        <v>1074</v>
      </c>
      <c r="D173" s="437">
        <v>33414</v>
      </c>
      <c r="E173" s="437" t="s">
        <v>1075</v>
      </c>
      <c r="F173" s="437" t="s">
        <v>1113</v>
      </c>
      <c r="G173" s="437" t="s">
        <v>492</v>
      </c>
    </row>
    <row r="174" spans="1:10">
      <c r="A174" s="437">
        <v>7847</v>
      </c>
      <c r="C174" s="437" t="s">
        <v>840</v>
      </c>
      <c r="D174" s="437">
        <v>75012</v>
      </c>
      <c r="E174" s="437" t="s">
        <v>841</v>
      </c>
      <c r="F174" s="437" t="s">
        <v>937</v>
      </c>
      <c r="G174" s="437" t="s">
        <v>930</v>
      </c>
      <c r="H174" s="437" t="s">
        <v>1235</v>
      </c>
      <c r="I174" s="437" t="s">
        <v>842</v>
      </c>
    </row>
    <row r="175" spans="1:10">
      <c r="A175" s="437">
        <v>6733</v>
      </c>
      <c r="C175" s="437" t="s">
        <v>717</v>
      </c>
      <c r="E175" s="437" t="s">
        <v>718</v>
      </c>
      <c r="F175" s="437" t="s">
        <v>928</v>
      </c>
      <c r="G175" s="437" t="s">
        <v>322</v>
      </c>
      <c r="H175" s="437" t="s">
        <v>1165</v>
      </c>
      <c r="I175" s="437" t="s">
        <v>719</v>
      </c>
    </row>
    <row r="176" spans="1:10">
      <c r="A176" s="437" t="s">
        <v>966</v>
      </c>
      <c r="C176" s="437" t="s">
        <v>967</v>
      </c>
      <c r="E176" s="437" t="s">
        <v>968</v>
      </c>
      <c r="F176" s="437" t="s">
        <v>1082</v>
      </c>
      <c r="G176" s="437" t="s">
        <v>1083</v>
      </c>
    </row>
    <row r="177" spans="1:9">
      <c r="A177" s="437" t="s">
        <v>996</v>
      </c>
      <c r="C177" s="437" t="s">
        <v>997</v>
      </c>
      <c r="D177" s="437">
        <v>52100</v>
      </c>
      <c r="E177" s="437" t="s">
        <v>998</v>
      </c>
      <c r="F177" s="437" t="s">
        <v>999</v>
      </c>
      <c r="G177" s="437" t="s">
        <v>322</v>
      </c>
      <c r="H177" s="437" t="s">
        <v>1168</v>
      </c>
    </row>
    <row r="178" spans="1:9">
      <c r="A178" s="437" t="s">
        <v>1035</v>
      </c>
      <c r="C178" s="437" t="s">
        <v>1036</v>
      </c>
      <c r="D178" s="437">
        <v>3111108</v>
      </c>
      <c r="E178" s="437" t="s">
        <v>1037</v>
      </c>
      <c r="F178" s="437" t="s">
        <v>1103</v>
      </c>
      <c r="G178" s="437" t="s">
        <v>322</v>
      </c>
      <c r="H178" s="437" t="s">
        <v>649</v>
      </c>
    </row>
    <row r="179" spans="1:9">
      <c r="A179" s="437">
        <v>7921</v>
      </c>
      <c r="C179" s="437" t="s">
        <v>843</v>
      </c>
      <c r="D179" s="437">
        <v>75010</v>
      </c>
      <c r="E179" s="437" t="s">
        <v>844</v>
      </c>
      <c r="F179" s="437" t="s">
        <v>722</v>
      </c>
      <c r="G179" s="437" t="s">
        <v>930</v>
      </c>
      <c r="H179" s="437" t="s">
        <v>1236</v>
      </c>
      <c r="I179" s="437" t="s">
        <v>845</v>
      </c>
    </row>
    <row r="180" spans="1:9">
      <c r="A180" s="437">
        <v>7961</v>
      </c>
      <c r="C180" s="437" t="s">
        <v>846</v>
      </c>
      <c r="D180" s="437">
        <v>75010</v>
      </c>
      <c r="E180" s="437" t="s">
        <v>847</v>
      </c>
      <c r="F180" s="437" t="s">
        <v>848</v>
      </c>
      <c r="G180" s="437" t="s">
        <v>930</v>
      </c>
      <c r="H180" s="437" t="s">
        <v>1931</v>
      </c>
      <c r="I180" s="437" t="s">
        <v>849</v>
      </c>
    </row>
  </sheetData>
  <autoFilter ref="A1:J185" xr:uid="{00000000-0001-0000-0100-000000000000}">
    <sortState xmlns:xlrd2="http://schemas.microsoft.com/office/spreadsheetml/2017/richdata2" ref="A2:J185">
      <sortCondition ref="C1:C185"/>
    </sortState>
  </autoFilter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CE719-EB6D-43A9-A2B3-8D661D02D0BE}">
  <sheetPr codeName="Sheet10"/>
  <dimension ref="A1:I139"/>
  <sheetViews>
    <sheetView workbookViewId="0">
      <selection activeCell="A9" sqref="A9:G9"/>
    </sheetView>
  </sheetViews>
  <sheetFormatPr defaultColWidth="9" defaultRowHeight="15"/>
  <cols>
    <col min="1" max="1" width="13.125" style="435" customWidth="1"/>
    <col min="2" max="2" width="29" style="435" bestFit="1" customWidth="1"/>
    <col min="3" max="3" width="9" style="435"/>
    <col min="4" max="4" width="39.75" style="435" bestFit="1" customWidth="1"/>
    <col min="5" max="5" width="24.5" style="435" bestFit="1" customWidth="1"/>
    <col min="6" max="7" width="12.625" style="435" bestFit="1" customWidth="1"/>
    <col min="8" max="16384" width="9" style="435"/>
  </cols>
  <sheetData>
    <row r="1" spans="1:9" ht="18.75">
      <c r="A1" s="435" t="s">
        <v>1812</v>
      </c>
      <c r="B1" s="435" t="s">
        <v>1809</v>
      </c>
      <c r="C1" s="435" t="s">
        <v>1813</v>
      </c>
      <c r="D1" s="435" t="s">
        <v>1814</v>
      </c>
      <c r="E1" s="435" t="s">
        <v>1815</v>
      </c>
      <c r="F1" s="435" t="s">
        <v>1810</v>
      </c>
      <c r="G1" s="435" t="s">
        <v>1811</v>
      </c>
      <c r="H1" s="442" t="s">
        <v>1269</v>
      </c>
      <c r="I1" s="442" t="s">
        <v>1271</v>
      </c>
    </row>
    <row r="2" spans="1:9">
      <c r="A2" s="435">
        <v>13</v>
      </c>
      <c r="B2" s="435" t="s">
        <v>1569</v>
      </c>
      <c r="D2" s="435" t="s">
        <v>1570</v>
      </c>
    </row>
    <row r="3" spans="1:9">
      <c r="A3" s="435">
        <v>17</v>
      </c>
      <c r="B3" s="435" t="s">
        <v>1571</v>
      </c>
      <c r="C3" s="435" t="s">
        <v>1275</v>
      </c>
      <c r="D3" s="435" t="s">
        <v>1572</v>
      </c>
      <c r="F3" s="435" t="s">
        <v>1276</v>
      </c>
      <c r="G3" s="435" t="s">
        <v>1277</v>
      </c>
    </row>
    <row r="4" spans="1:9">
      <c r="A4" s="435">
        <v>18</v>
      </c>
      <c r="B4" s="435" t="s">
        <v>1573</v>
      </c>
      <c r="C4" s="435" t="s">
        <v>1278</v>
      </c>
      <c r="D4" s="435" t="s">
        <v>1574</v>
      </c>
      <c r="F4" s="435" t="s">
        <v>1279</v>
      </c>
      <c r="G4" s="435" t="s">
        <v>1280</v>
      </c>
    </row>
    <row r="5" spans="1:9">
      <c r="A5" s="435">
        <v>20</v>
      </c>
      <c r="B5" s="435" t="s">
        <v>1575</v>
      </c>
      <c r="C5" s="435" t="s">
        <v>1281</v>
      </c>
      <c r="D5" s="435" t="s">
        <v>1576</v>
      </c>
      <c r="F5" s="435" t="s">
        <v>1282</v>
      </c>
      <c r="G5" s="435" t="s">
        <v>1283</v>
      </c>
    </row>
    <row r="6" spans="1:9">
      <c r="A6" s="435">
        <v>30</v>
      </c>
      <c r="B6" s="435" t="s">
        <v>1577</v>
      </c>
      <c r="C6" s="435" t="s">
        <v>1284</v>
      </c>
      <c r="D6" s="435" t="s">
        <v>1578</v>
      </c>
      <c r="E6" s="435" t="s">
        <v>1285</v>
      </c>
      <c r="F6" s="435" t="s">
        <v>1286</v>
      </c>
      <c r="G6" s="435" t="s">
        <v>1287</v>
      </c>
    </row>
    <row r="7" spans="1:9">
      <c r="A7" s="435">
        <v>31</v>
      </c>
      <c r="B7" s="435" t="s">
        <v>1579</v>
      </c>
      <c r="C7" s="435" t="s">
        <v>1288</v>
      </c>
      <c r="D7" s="435" t="s">
        <v>1580</v>
      </c>
      <c r="F7" s="435" t="s">
        <v>1289</v>
      </c>
      <c r="G7" s="435" t="s">
        <v>1290</v>
      </c>
    </row>
    <row r="8" spans="1:9">
      <c r="A8" s="435">
        <v>35</v>
      </c>
      <c r="B8" s="435" t="s">
        <v>1581</v>
      </c>
      <c r="C8" s="435" t="s">
        <v>1291</v>
      </c>
      <c r="D8" s="435" t="s">
        <v>1582</v>
      </c>
      <c r="F8" s="435" t="s">
        <v>1292</v>
      </c>
      <c r="G8" s="435" t="s">
        <v>1293</v>
      </c>
    </row>
    <row r="9" spans="1:9">
      <c r="A9" s="435">
        <v>36</v>
      </c>
      <c r="B9" s="435" t="s">
        <v>1583</v>
      </c>
      <c r="C9" s="435" t="s">
        <v>1294</v>
      </c>
      <c r="D9" s="435" t="s">
        <v>1584</v>
      </c>
      <c r="F9" s="435" t="s">
        <v>1295</v>
      </c>
      <c r="G9" s="435" t="s">
        <v>1296</v>
      </c>
    </row>
    <row r="10" spans="1:9">
      <c r="A10" s="435">
        <v>37</v>
      </c>
      <c r="B10" s="435" t="s">
        <v>1585</v>
      </c>
      <c r="C10" s="435" t="s">
        <v>1294</v>
      </c>
      <c r="D10" s="435" t="s">
        <v>1586</v>
      </c>
      <c r="F10" s="435" t="s">
        <v>1297</v>
      </c>
      <c r="G10" s="435" t="s">
        <v>1298</v>
      </c>
    </row>
    <row r="11" spans="1:9">
      <c r="A11" s="435">
        <v>38</v>
      </c>
      <c r="B11" s="435" t="s">
        <v>1587</v>
      </c>
      <c r="C11" s="435" t="s">
        <v>1299</v>
      </c>
      <c r="D11" s="435" t="s">
        <v>1588</v>
      </c>
      <c r="F11" s="435" t="s">
        <v>1300</v>
      </c>
      <c r="G11" s="435" t="s">
        <v>1301</v>
      </c>
    </row>
    <row r="12" spans="1:9">
      <c r="A12" s="435">
        <v>40</v>
      </c>
      <c r="B12" s="435" t="s">
        <v>1302</v>
      </c>
      <c r="C12" s="435" t="s">
        <v>1303</v>
      </c>
      <c r="D12" s="435" t="s">
        <v>1589</v>
      </c>
      <c r="F12" s="435" t="s">
        <v>1304</v>
      </c>
      <c r="G12" s="435" t="s">
        <v>1305</v>
      </c>
    </row>
    <row r="13" spans="1:9">
      <c r="A13" s="435">
        <v>46</v>
      </c>
      <c r="B13" s="435" t="s">
        <v>1590</v>
      </c>
      <c r="C13" s="435" t="s">
        <v>1306</v>
      </c>
      <c r="D13" s="435" t="s">
        <v>1591</v>
      </c>
      <c r="F13" s="435" t="s">
        <v>1307</v>
      </c>
      <c r="G13" s="435" t="s">
        <v>1308</v>
      </c>
    </row>
    <row r="14" spans="1:9">
      <c r="A14" s="435">
        <v>47</v>
      </c>
      <c r="B14" s="435" t="s">
        <v>1592</v>
      </c>
      <c r="C14" s="435" t="s">
        <v>1309</v>
      </c>
      <c r="D14" s="1197" t="s">
        <v>4600</v>
      </c>
      <c r="F14" s="435" t="s">
        <v>1310</v>
      </c>
      <c r="G14" s="435" t="s">
        <v>1311</v>
      </c>
    </row>
    <row r="15" spans="1:9">
      <c r="A15" s="435">
        <v>51</v>
      </c>
      <c r="B15" s="435" t="s">
        <v>1593</v>
      </c>
    </row>
    <row r="16" spans="1:9">
      <c r="A16" s="435">
        <v>62</v>
      </c>
      <c r="B16" s="435" t="s">
        <v>1594</v>
      </c>
      <c r="C16" s="435" t="s">
        <v>1312</v>
      </c>
      <c r="D16" s="435" t="s">
        <v>1595</v>
      </c>
      <c r="F16" s="435" t="s">
        <v>1313</v>
      </c>
      <c r="G16" s="435" t="s">
        <v>1314</v>
      </c>
    </row>
    <row r="17" spans="1:7">
      <c r="A17" s="435">
        <v>64</v>
      </c>
      <c r="B17" s="435" t="s">
        <v>1596</v>
      </c>
      <c r="C17" s="435" t="s">
        <v>1315</v>
      </c>
      <c r="D17" s="435" t="s">
        <v>1597</v>
      </c>
      <c r="E17" s="435" t="s">
        <v>1598</v>
      </c>
      <c r="F17" s="435" t="s">
        <v>1316</v>
      </c>
      <c r="G17" s="435" t="s">
        <v>1317</v>
      </c>
    </row>
    <row r="18" spans="1:7">
      <c r="A18" s="435">
        <v>65</v>
      </c>
      <c r="B18" s="435" t="s">
        <v>1599</v>
      </c>
      <c r="C18" s="435" t="s">
        <v>1318</v>
      </c>
      <c r="D18" s="435" t="s">
        <v>1600</v>
      </c>
      <c r="F18" s="435" t="s">
        <v>1319</v>
      </c>
      <c r="G18" s="435" t="s">
        <v>1320</v>
      </c>
    </row>
    <row r="19" spans="1:7">
      <c r="A19" s="435">
        <v>69</v>
      </c>
      <c r="B19" s="435" t="s">
        <v>1601</v>
      </c>
      <c r="C19" s="435" t="s">
        <v>1321</v>
      </c>
      <c r="D19" s="435" t="s">
        <v>1602</v>
      </c>
      <c r="E19" s="435" t="s">
        <v>1285</v>
      </c>
      <c r="F19" s="435" t="s">
        <v>1322</v>
      </c>
      <c r="G19" s="435" t="s">
        <v>1323</v>
      </c>
    </row>
    <row r="20" spans="1:7">
      <c r="A20" s="435">
        <v>79</v>
      </c>
      <c r="B20" s="435" t="s">
        <v>1603</v>
      </c>
    </row>
    <row r="21" spans="1:7">
      <c r="A21" s="435">
        <v>81</v>
      </c>
      <c r="B21" s="435" t="s">
        <v>1604</v>
      </c>
      <c r="C21" s="435" t="s">
        <v>1324</v>
      </c>
      <c r="D21" s="435" t="s">
        <v>1605</v>
      </c>
      <c r="F21" s="435" t="s">
        <v>1325</v>
      </c>
      <c r="G21" s="435" t="s">
        <v>1326</v>
      </c>
    </row>
    <row r="22" spans="1:7">
      <c r="A22" s="435">
        <v>83</v>
      </c>
      <c r="B22" s="435" t="s">
        <v>1606</v>
      </c>
      <c r="C22" s="435" t="s">
        <v>1327</v>
      </c>
      <c r="D22" s="435" t="s">
        <v>1607</v>
      </c>
      <c r="F22" s="435" t="s">
        <v>1328</v>
      </c>
      <c r="G22" s="435" t="s">
        <v>1329</v>
      </c>
    </row>
    <row r="23" spans="1:7">
      <c r="A23" s="435">
        <v>91</v>
      </c>
      <c r="B23" s="435" t="s">
        <v>1608</v>
      </c>
      <c r="C23" s="435" t="s">
        <v>1330</v>
      </c>
      <c r="D23" s="435" t="s">
        <v>1609</v>
      </c>
      <c r="F23" s="435" t="s">
        <v>1331</v>
      </c>
      <c r="G23" s="435" t="s">
        <v>1332</v>
      </c>
    </row>
    <row r="24" spans="1:7">
      <c r="A24" s="435">
        <v>95</v>
      </c>
      <c r="B24" s="435" t="s">
        <v>1610</v>
      </c>
      <c r="C24" s="435" t="s">
        <v>1333</v>
      </c>
      <c r="D24" s="435" t="s">
        <v>1611</v>
      </c>
      <c r="F24" s="435" t="s">
        <v>1334</v>
      </c>
      <c r="G24" s="435" t="s">
        <v>1335</v>
      </c>
    </row>
    <row r="25" spans="1:7">
      <c r="A25" s="435">
        <v>97</v>
      </c>
      <c r="B25" s="435" t="s">
        <v>1612</v>
      </c>
      <c r="D25" s="435" t="s">
        <v>1613</v>
      </c>
    </row>
    <row r="26" spans="1:7">
      <c r="A26" s="435">
        <v>104</v>
      </c>
      <c r="B26" s="435" t="s">
        <v>1614</v>
      </c>
      <c r="C26" s="435" t="s">
        <v>1336</v>
      </c>
      <c r="D26" s="435" t="s">
        <v>1615</v>
      </c>
      <c r="F26" s="435" t="s">
        <v>1337</v>
      </c>
      <c r="G26" s="435" t="s">
        <v>1338</v>
      </c>
    </row>
    <row r="27" spans="1:7">
      <c r="A27" s="435">
        <v>114</v>
      </c>
      <c r="B27" s="435" t="s">
        <v>1616</v>
      </c>
      <c r="C27" s="435" t="s">
        <v>1339</v>
      </c>
      <c r="D27" s="435" t="s">
        <v>1617</v>
      </c>
      <c r="F27" s="435" t="s">
        <v>1340</v>
      </c>
      <c r="G27" s="435" t="s">
        <v>1341</v>
      </c>
    </row>
    <row r="28" spans="1:7">
      <c r="A28" s="435">
        <v>115</v>
      </c>
      <c r="B28" s="435" t="s">
        <v>1618</v>
      </c>
      <c r="C28" s="435" t="s">
        <v>1342</v>
      </c>
      <c r="D28" s="435" t="s">
        <v>1619</v>
      </c>
      <c r="F28" s="435" t="s">
        <v>1343</v>
      </c>
      <c r="G28" s="435" t="s">
        <v>1344</v>
      </c>
    </row>
    <row r="29" spans="1:7">
      <c r="A29" s="435">
        <v>116</v>
      </c>
      <c r="B29" s="435" t="s">
        <v>1620</v>
      </c>
      <c r="C29" s="435" t="s">
        <v>1345</v>
      </c>
      <c r="D29" s="435" t="s">
        <v>1621</v>
      </c>
      <c r="F29" s="435" t="s">
        <v>1346</v>
      </c>
      <c r="G29" s="435" t="s">
        <v>1347</v>
      </c>
    </row>
    <row r="30" spans="1:7">
      <c r="A30" s="435">
        <v>120</v>
      </c>
      <c r="B30" s="435" t="s">
        <v>1622</v>
      </c>
      <c r="D30" s="435" t="s">
        <v>1623</v>
      </c>
    </row>
    <row r="31" spans="1:7">
      <c r="A31" s="435">
        <v>122</v>
      </c>
      <c r="B31" s="435" t="s">
        <v>1624</v>
      </c>
      <c r="D31" s="435" t="s">
        <v>1623</v>
      </c>
    </row>
    <row r="32" spans="1:7">
      <c r="A32" s="435">
        <v>127</v>
      </c>
      <c r="B32" s="435" t="s">
        <v>1625</v>
      </c>
      <c r="D32" s="435" t="s">
        <v>1626</v>
      </c>
      <c r="F32" s="435" t="s">
        <v>1348</v>
      </c>
      <c r="G32" s="435" t="s">
        <v>1349</v>
      </c>
    </row>
    <row r="33" spans="1:7">
      <c r="A33" s="435">
        <v>128</v>
      </c>
      <c r="B33" s="435" t="s">
        <v>1627</v>
      </c>
      <c r="C33" s="435" t="s">
        <v>1350</v>
      </c>
      <c r="D33" s="435" t="s">
        <v>1626</v>
      </c>
      <c r="F33" s="435" t="s">
        <v>1348</v>
      </c>
      <c r="G33" s="435" t="s">
        <v>1351</v>
      </c>
    </row>
    <row r="34" spans="1:7">
      <c r="A34" s="435">
        <v>129</v>
      </c>
      <c r="B34" s="435" t="s">
        <v>1628</v>
      </c>
      <c r="C34" s="435" t="s">
        <v>1352</v>
      </c>
      <c r="D34" s="435" t="s">
        <v>1629</v>
      </c>
      <c r="F34" s="435" t="s">
        <v>1353</v>
      </c>
      <c r="G34" s="435" t="s">
        <v>1354</v>
      </c>
    </row>
    <row r="35" spans="1:7">
      <c r="A35" s="435">
        <v>146</v>
      </c>
      <c r="B35" s="435" t="s">
        <v>1630</v>
      </c>
      <c r="C35" s="435" t="s">
        <v>1355</v>
      </c>
      <c r="D35" s="435" t="s">
        <v>1631</v>
      </c>
      <c r="F35" s="435" t="s">
        <v>1356</v>
      </c>
      <c r="G35" s="435" t="s">
        <v>1357</v>
      </c>
    </row>
    <row r="36" spans="1:7" ht="18.75">
      <c r="A36" s="435">
        <v>148</v>
      </c>
      <c r="B36" s="435" t="s">
        <v>1632</v>
      </c>
      <c r="C36" s="435" t="s">
        <v>5129</v>
      </c>
      <c r="D36" s="1197" t="s">
        <v>5130</v>
      </c>
      <c r="F36" s="435" t="s">
        <v>1358</v>
      </c>
      <c r="G36" s="435" t="s">
        <v>1359</v>
      </c>
    </row>
    <row r="37" spans="1:7">
      <c r="A37" s="435">
        <v>151</v>
      </c>
      <c r="B37" s="435" t="s">
        <v>1633</v>
      </c>
      <c r="C37" s="435" t="s">
        <v>1360</v>
      </c>
      <c r="D37" s="435" t="s">
        <v>1634</v>
      </c>
      <c r="F37" s="435" t="s">
        <v>1361</v>
      </c>
      <c r="G37" s="435" t="s">
        <v>1362</v>
      </c>
    </row>
    <row r="38" spans="1:7">
      <c r="A38" s="435">
        <v>152</v>
      </c>
      <c r="B38" s="435" t="s">
        <v>1635</v>
      </c>
      <c r="C38" s="435" t="s">
        <v>1363</v>
      </c>
      <c r="D38" s="435" t="s">
        <v>1636</v>
      </c>
      <c r="F38" s="435" t="s">
        <v>1364</v>
      </c>
      <c r="G38" s="435" t="s">
        <v>1365</v>
      </c>
    </row>
    <row r="39" spans="1:7">
      <c r="A39" s="435">
        <v>157</v>
      </c>
      <c r="B39" s="435" t="s">
        <v>1637</v>
      </c>
      <c r="C39" s="435" t="s">
        <v>1333</v>
      </c>
      <c r="D39" s="435" t="s">
        <v>1638</v>
      </c>
      <c r="F39" s="435" t="s">
        <v>1366</v>
      </c>
      <c r="G39" s="435" t="s">
        <v>1367</v>
      </c>
    </row>
    <row r="40" spans="1:7">
      <c r="A40" s="435">
        <v>179</v>
      </c>
      <c r="B40" s="435" t="s">
        <v>1639</v>
      </c>
      <c r="D40" s="435" t="s">
        <v>1623</v>
      </c>
    </row>
    <row r="41" spans="1:7">
      <c r="A41" s="435">
        <v>180</v>
      </c>
      <c r="B41" s="435" t="s">
        <v>1640</v>
      </c>
      <c r="D41" s="435" t="s">
        <v>1641</v>
      </c>
      <c r="E41" s="435" t="s">
        <v>1642</v>
      </c>
    </row>
    <row r="42" spans="1:7">
      <c r="A42" s="435">
        <v>183</v>
      </c>
      <c r="B42" s="435" t="s">
        <v>1643</v>
      </c>
      <c r="C42" s="435" t="s">
        <v>1368</v>
      </c>
      <c r="D42" s="435" t="s">
        <v>1644</v>
      </c>
      <c r="F42" s="435" t="s">
        <v>1369</v>
      </c>
      <c r="G42" s="435" t="s">
        <v>1370</v>
      </c>
    </row>
    <row r="43" spans="1:7">
      <c r="A43" s="435">
        <v>188</v>
      </c>
      <c r="B43" s="435" t="s">
        <v>1645</v>
      </c>
      <c r="C43" s="435" t="s">
        <v>1371</v>
      </c>
      <c r="D43" s="435" t="s">
        <v>1646</v>
      </c>
      <c r="E43" s="435" t="s">
        <v>1647</v>
      </c>
      <c r="F43" s="435" t="s">
        <v>1372</v>
      </c>
      <c r="G43" s="435" t="s">
        <v>1373</v>
      </c>
    </row>
    <row r="44" spans="1:7">
      <c r="A44" s="435">
        <v>189</v>
      </c>
      <c r="B44" s="435" t="s">
        <v>1648</v>
      </c>
      <c r="D44" s="435" t="s">
        <v>1623</v>
      </c>
    </row>
    <row r="45" spans="1:7">
      <c r="A45" s="435">
        <v>197</v>
      </c>
      <c r="B45" s="435" t="s">
        <v>1649</v>
      </c>
      <c r="C45" s="435" t="s">
        <v>1374</v>
      </c>
      <c r="D45" s="435" t="s">
        <v>1650</v>
      </c>
      <c r="F45" s="435" t="s">
        <v>1375</v>
      </c>
      <c r="G45" s="435" t="s">
        <v>1376</v>
      </c>
    </row>
    <row r="46" spans="1:7">
      <c r="A46" s="435">
        <v>201</v>
      </c>
      <c r="B46" s="435" t="s">
        <v>1651</v>
      </c>
      <c r="C46" s="435" t="s">
        <v>1377</v>
      </c>
      <c r="D46" s="435" t="s">
        <v>1652</v>
      </c>
      <c r="F46" s="435" t="s">
        <v>1378</v>
      </c>
      <c r="G46" s="435" t="s">
        <v>1379</v>
      </c>
    </row>
    <row r="47" spans="1:7">
      <c r="A47" s="435">
        <v>202</v>
      </c>
      <c r="B47" s="435" t="s">
        <v>1651</v>
      </c>
      <c r="C47" s="435" t="s">
        <v>1377</v>
      </c>
      <c r="D47" s="435" t="s">
        <v>1652</v>
      </c>
      <c r="F47" s="435" t="s">
        <v>1378</v>
      </c>
      <c r="G47" s="435" t="s">
        <v>1379</v>
      </c>
    </row>
    <row r="48" spans="1:7">
      <c r="A48" s="435">
        <v>204</v>
      </c>
      <c r="B48" s="442" t="s">
        <v>1932</v>
      </c>
      <c r="C48" s="435" t="s">
        <v>1278</v>
      </c>
      <c r="D48" s="435" t="s">
        <v>1653</v>
      </c>
      <c r="E48" s="435" t="s">
        <v>1654</v>
      </c>
      <c r="F48" s="435" t="s">
        <v>1380</v>
      </c>
      <c r="G48" s="435" t="s">
        <v>1381</v>
      </c>
    </row>
    <row r="49" spans="1:7">
      <c r="A49" s="435">
        <v>221</v>
      </c>
      <c r="B49" s="435" t="s">
        <v>1655</v>
      </c>
      <c r="C49" s="435" t="s">
        <v>1382</v>
      </c>
      <c r="D49" s="435" t="s">
        <v>1656</v>
      </c>
      <c r="F49" s="435" t="s">
        <v>1383</v>
      </c>
      <c r="G49" s="435" t="s">
        <v>1384</v>
      </c>
    </row>
    <row r="50" spans="1:7">
      <c r="A50" s="435">
        <v>234</v>
      </c>
      <c r="B50" s="435" t="s">
        <v>1657</v>
      </c>
      <c r="C50" s="435" t="s">
        <v>1385</v>
      </c>
      <c r="D50" s="435" t="s">
        <v>1658</v>
      </c>
      <c r="F50" s="435" t="s">
        <v>1386</v>
      </c>
      <c r="G50" s="435" t="s">
        <v>1387</v>
      </c>
    </row>
    <row r="51" spans="1:7">
      <c r="A51" s="435">
        <v>239</v>
      </c>
      <c r="B51" s="435" t="s">
        <v>1659</v>
      </c>
      <c r="C51" s="435" t="s">
        <v>1388</v>
      </c>
      <c r="D51" s="435" t="s">
        <v>1660</v>
      </c>
      <c r="F51" s="435" t="s">
        <v>1389</v>
      </c>
      <c r="G51" s="435" t="s">
        <v>1390</v>
      </c>
    </row>
    <row r="52" spans="1:7">
      <c r="A52" s="435">
        <v>241</v>
      </c>
      <c r="B52" s="435" t="s">
        <v>1661</v>
      </c>
      <c r="C52" s="435" t="s">
        <v>1391</v>
      </c>
      <c r="D52" s="435" t="s">
        <v>1662</v>
      </c>
      <c r="F52" s="435" t="s">
        <v>1392</v>
      </c>
      <c r="G52" s="435" t="s">
        <v>1393</v>
      </c>
    </row>
    <row r="53" spans="1:7">
      <c r="A53" s="435">
        <v>245</v>
      </c>
      <c r="B53" s="435" t="s">
        <v>1663</v>
      </c>
      <c r="C53" s="435" t="s">
        <v>1394</v>
      </c>
      <c r="D53" s="435" t="s">
        <v>1664</v>
      </c>
      <c r="F53" s="435" t="s">
        <v>1395</v>
      </c>
      <c r="G53" s="435" t="s">
        <v>1396</v>
      </c>
    </row>
    <row r="54" spans="1:7">
      <c r="A54" s="435">
        <v>259</v>
      </c>
      <c r="B54" s="435" t="s">
        <v>1665</v>
      </c>
      <c r="C54" s="435" t="s">
        <v>1397</v>
      </c>
      <c r="D54" s="435" t="s">
        <v>1666</v>
      </c>
      <c r="F54" s="435" t="s">
        <v>1398</v>
      </c>
      <c r="G54" s="435" t="s">
        <v>1399</v>
      </c>
    </row>
    <row r="55" spans="1:7">
      <c r="A55" s="435">
        <v>265</v>
      </c>
      <c r="B55" s="435" t="s">
        <v>1667</v>
      </c>
      <c r="C55" s="435" t="s">
        <v>1400</v>
      </c>
      <c r="D55" s="435" t="s">
        <v>1668</v>
      </c>
      <c r="F55" s="435" t="s">
        <v>1401</v>
      </c>
      <c r="G55" s="435" t="s">
        <v>1402</v>
      </c>
    </row>
    <row r="56" spans="1:7">
      <c r="A56" s="435">
        <v>291</v>
      </c>
      <c r="B56" s="435" t="s">
        <v>1669</v>
      </c>
      <c r="C56" s="435" t="s">
        <v>1403</v>
      </c>
      <c r="D56" s="435" t="s">
        <v>1670</v>
      </c>
      <c r="F56" s="435" t="s">
        <v>1404</v>
      </c>
      <c r="G56" s="435" t="s">
        <v>1405</v>
      </c>
    </row>
    <row r="57" spans="1:7">
      <c r="A57" s="435">
        <v>307</v>
      </c>
      <c r="B57" s="435" t="s">
        <v>1671</v>
      </c>
      <c r="C57" s="435" t="s">
        <v>1406</v>
      </c>
      <c r="D57" s="435" t="s">
        <v>1672</v>
      </c>
      <c r="F57" s="435" t="s">
        <v>1407</v>
      </c>
      <c r="G57" s="435" t="s">
        <v>1408</v>
      </c>
    </row>
    <row r="58" spans="1:7">
      <c r="A58" s="435">
        <v>308</v>
      </c>
      <c r="B58" s="435" t="s">
        <v>1673</v>
      </c>
      <c r="C58" s="435" t="s">
        <v>1406</v>
      </c>
      <c r="D58" s="435" t="s">
        <v>1672</v>
      </c>
      <c r="F58" s="435" t="s">
        <v>1407</v>
      </c>
      <c r="G58" s="435" t="s">
        <v>1408</v>
      </c>
    </row>
    <row r="59" spans="1:7">
      <c r="A59" s="435">
        <v>312</v>
      </c>
      <c r="B59" s="435" t="s">
        <v>1674</v>
      </c>
      <c r="C59" s="435" t="s">
        <v>1409</v>
      </c>
      <c r="D59" s="435" t="s">
        <v>1675</v>
      </c>
      <c r="F59" s="435" t="s">
        <v>1410</v>
      </c>
      <c r="G59" s="435" t="s">
        <v>1411</v>
      </c>
    </row>
    <row r="60" spans="1:7">
      <c r="A60" s="435">
        <v>321</v>
      </c>
      <c r="B60" s="435" t="s">
        <v>1676</v>
      </c>
      <c r="C60" s="435" t="s">
        <v>1412</v>
      </c>
      <c r="D60" s="435" t="s">
        <v>1677</v>
      </c>
      <c r="F60" s="435" t="s">
        <v>1413</v>
      </c>
      <c r="G60" s="435" t="s">
        <v>1414</v>
      </c>
    </row>
    <row r="61" spans="1:7">
      <c r="A61" s="435">
        <v>326</v>
      </c>
      <c r="B61" s="435" t="s">
        <v>1678</v>
      </c>
      <c r="C61" s="435" t="s">
        <v>1415</v>
      </c>
      <c r="D61" s="435" t="s">
        <v>1679</v>
      </c>
      <c r="F61" s="435" t="s">
        <v>1416</v>
      </c>
      <c r="G61" s="435" t="s">
        <v>1417</v>
      </c>
    </row>
    <row r="62" spans="1:7">
      <c r="A62" s="435">
        <v>329</v>
      </c>
      <c r="B62" s="435" t="s">
        <v>1680</v>
      </c>
      <c r="C62" s="435" t="s">
        <v>1418</v>
      </c>
      <c r="D62" s="435" t="s">
        <v>1681</v>
      </c>
      <c r="F62" s="435" t="s">
        <v>1419</v>
      </c>
      <c r="G62" s="435" t="s">
        <v>1420</v>
      </c>
    </row>
    <row r="63" spans="1:7">
      <c r="A63" s="435">
        <v>355</v>
      </c>
      <c r="B63" s="435" t="s">
        <v>1682</v>
      </c>
      <c r="D63" s="435" t="s">
        <v>1623</v>
      </c>
    </row>
    <row r="64" spans="1:7">
      <c r="A64" s="435">
        <v>357</v>
      </c>
      <c r="B64" s="435" t="s">
        <v>1683</v>
      </c>
      <c r="D64" s="435" t="s">
        <v>1623</v>
      </c>
    </row>
    <row r="65" spans="1:7">
      <c r="A65" s="435">
        <v>358</v>
      </c>
      <c r="B65" s="435" t="s">
        <v>1684</v>
      </c>
      <c r="D65" s="435" t="s">
        <v>1623</v>
      </c>
    </row>
    <row r="66" spans="1:7">
      <c r="A66" s="435">
        <v>361</v>
      </c>
      <c r="B66" s="435" t="s">
        <v>1685</v>
      </c>
      <c r="C66" s="435" t="s">
        <v>1421</v>
      </c>
      <c r="D66" s="435" t="s">
        <v>1686</v>
      </c>
      <c r="F66" s="435" t="s">
        <v>1422</v>
      </c>
      <c r="G66" s="435" t="s">
        <v>1423</v>
      </c>
    </row>
    <row r="67" spans="1:7">
      <c r="A67" s="435">
        <v>373</v>
      </c>
      <c r="B67" s="435" t="s">
        <v>1687</v>
      </c>
      <c r="D67" s="435" t="s">
        <v>1623</v>
      </c>
    </row>
    <row r="68" spans="1:7">
      <c r="A68" s="435">
        <v>379</v>
      </c>
      <c r="B68" s="435" t="s">
        <v>1688</v>
      </c>
      <c r="C68" s="435" t="s">
        <v>1278</v>
      </c>
      <c r="D68" s="435" t="s">
        <v>1689</v>
      </c>
      <c r="E68" s="435" t="s">
        <v>1690</v>
      </c>
      <c r="F68" s="435" t="s">
        <v>1424</v>
      </c>
      <c r="G68" s="435" t="s">
        <v>1425</v>
      </c>
    </row>
    <row r="69" spans="1:7">
      <c r="A69" s="435">
        <v>391</v>
      </c>
      <c r="B69" s="435" t="s">
        <v>1691</v>
      </c>
      <c r="C69" s="435" t="s">
        <v>1426</v>
      </c>
      <c r="D69" s="435" t="s">
        <v>1692</v>
      </c>
      <c r="F69" s="435" t="s">
        <v>1427</v>
      </c>
      <c r="G69" s="435" t="s">
        <v>1428</v>
      </c>
    </row>
    <row r="70" spans="1:7">
      <c r="A70" s="435">
        <v>392</v>
      </c>
      <c r="B70" s="435" t="s">
        <v>1693</v>
      </c>
      <c r="C70" s="435" t="s">
        <v>1429</v>
      </c>
      <c r="D70" s="435" t="s">
        <v>1694</v>
      </c>
      <c r="F70" s="435" t="s">
        <v>1430</v>
      </c>
      <c r="G70" s="435" t="s">
        <v>1431</v>
      </c>
    </row>
    <row r="71" spans="1:7">
      <c r="A71" s="435">
        <v>395</v>
      </c>
      <c r="B71" s="435" t="s">
        <v>1695</v>
      </c>
      <c r="C71" s="435" t="s">
        <v>1432</v>
      </c>
      <c r="D71" s="435" t="s">
        <v>1696</v>
      </c>
      <c r="F71" s="435" t="s">
        <v>1433</v>
      </c>
      <c r="G71" s="435" t="s">
        <v>1433</v>
      </c>
    </row>
    <row r="72" spans="1:7">
      <c r="A72" s="435">
        <v>397</v>
      </c>
      <c r="B72" s="435" t="s">
        <v>1697</v>
      </c>
      <c r="D72" s="435" t="s">
        <v>1623</v>
      </c>
    </row>
    <row r="73" spans="1:7">
      <c r="A73" s="435">
        <v>398</v>
      </c>
      <c r="B73" s="435" t="s">
        <v>1698</v>
      </c>
      <c r="C73" s="435" t="s">
        <v>1434</v>
      </c>
      <c r="D73" s="435" t="s">
        <v>1699</v>
      </c>
      <c r="F73" s="435" t="s">
        <v>1435</v>
      </c>
      <c r="G73" s="435" t="s">
        <v>1436</v>
      </c>
    </row>
    <row r="74" spans="1:7">
      <c r="A74" s="435">
        <v>401</v>
      </c>
      <c r="B74" s="435" t="s">
        <v>1700</v>
      </c>
      <c r="C74" s="435" t="s">
        <v>1437</v>
      </c>
      <c r="D74" s="435" t="s">
        <v>1701</v>
      </c>
      <c r="F74" s="435" t="s">
        <v>1438</v>
      </c>
      <c r="G74" s="435" t="s">
        <v>1439</v>
      </c>
    </row>
    <row r="75" spans="1:7">
      <c r="A75" s="435">
        <v>407</v>
      </c>
      <c r="B75" s="435" t="s">
        <v>1702</v>
      </c>
      <c r="C75" s="435" t="s">
        <v>1440</v>
      </c>
      <c r="D75" s="435" t="s">
        <v>1703</v>
      </c>
      <c r="F75" s="435" t="s">
        <v>1441</v>
      </c>
      <c r="G75" s="435" t="s">
        <v>1442</v>
      </c>
    </row>
    <row r="76" spans="1:7">
      <c r="A76" s="435">
        <v>408</v>
      </c>
      <c r="B76" s="435" t="s">
        <v>1704</v>
      </c>
      <c r="D76" s="435" t="s">
        <v>1623</v>
      </c>
    </row>
    <row r="77" spans="1:7">
      <c r="A77" s="435">
        <v>409</v>
      </c>
      <c r="B77" s="435" t="s">
        <v>1705</v>
      </c>
      <c r="C77" s="435" t="s">
        <v>1443</v>
      </c>
      <c r="D77" s="435" t="s">
        <v>1706</v>
      </c>
      <c r="F77" s="435" t="s">
        <v>1444</v>
      </c>
      <c r="G77" s="435" t="s">
        <v>1445</v>
      </c>
    </row>
    <row r="78" spans="1:7">
      <c r="A78" s="435">
        <v>410</v>
      </c>
      <c r="B78" s="435" t="s">
        <v>1707</v>
      </c>
      <c r="D78" s="435" t="s">
        <v>1623</v>
      </c>
    </row>
    <row r="79" spans="1:7">
      <c r="A79" s="435">
        <v>411</v>
      </c>
      <c r="B79" s="435" t="s">
        <v>1708</v>
      </c>
      <c r="C79" s="435" t="s">
        <v>1446</v>
      </c>
      <c r="D79" s="435" t="s">
        <v>1709</v>
      </c>
      <c r="F79" s="435" t="s">
        <v>1447</v>
      </c>
      <c r="G79" s="435" t="s">
        <v>1448</v>
      </c>
    </row>
    <row r="80" spans="1:7">
      <c r="A80" s="435">
        <v>419</v>
      </c>
      <c r="B80" s="435" t="s">
        <v>1710</v>
      </c>
      <c r="D80" s="435" t="s">
        <v>1623</v>
      </c>
    </row>
    <row r="81" spans="1:7">
      <c r="A81" s="435">
        <v>426</v>
      </c>
      <c r="B81" s="435" t="s">
        <v>1711</v>
      </c>
      <c r="C81" s="435" t="s">
        <v>1449</v>
      </c>
      <c r="D81" s="435" t="s">
        <v>1712</v>
      </c>
      <c r="F81" s="435" t="s">
        <v>1450</v>
      </c>
      <c r="G81" s="435" t="s">
        <v>1451</v>
      </c>
    </row>
    <row r="82" spans="1:7">
      <c r="A82" s="435">
        <v>427</v>
      </c>
      <c r="B82" s="435" t="s">
        <v>1713</v>
      </c>
      <c r="C82" s="435" t="s">
        <v>1452</v>
      </c>
      <c r="D82" s="435" t="s">
        <v>1714</v>
      </c>
      <c r="F82" s="435" t="s">
        <v>1453</v>
      </c>
      <c r="G82" s="435" t="s">
        <v>1454</v>
      </c>
    </row>
    <row r="83" spans="1:7">
      <c r="A83" s="435">
        <v>429</v>
      </c>
      <c r="B83" s="435" t="s">
        <v>1715</v>
      </c>
      <c r="C83" s="435" t="s">
        <v>1455</v>
      </c>
      <c r="D83" s="435" t="s">
        <v>1716</v>
      </c>
      <c r="F83" s="435" t="s">
        <v>1456</v>
      </c>
      <c r="G83" s="435" t="s">
        <v>1457</v>
      </c>
    </row>
    <row r="84" spans="1:7">
      <c r="A84" s="435">
        <v>431</v>
      </c>
      <c r="B84" s="435" t="s">
        <v>1717</v>
      </c>
      <c r="C84" s="435" t="s">
        <v>1458</v>
      </c>
      <c r="D84" s="435" t="s">
        <v>1718</v>
      </c>
      <c r="F84" s="435" t="s">
        <v>1459</v>
      </c>
      <c r="G84" s="435" t="s">
        <v>1460</v>
      </c>
    </row>
    <row r="85" spans="1:7">
      <c r="A85" s="435">
        <v>432</v>
      </c>
      <c r="B85" s="435" t="s">
        <v>1719</v>
      </c>
      <c r="D85" s="435" t="s">
        <v>1623</v>
      </c>
    </row>
    <row r="86" spans="1:7">
      <c r="A86" s="435">
        <v>433</v>
      </c>
      <c r="B86" s="435" t="s">
        <v>1719</v>
      </c>
      <c r="D86" s="435" t="s">
        <v>1623</v>
      </c>
    </row>
    <row r="87" spans="1:7">
      <c r="A87" s="435">
        <v>436</v>
      </c>
      <c r="B87" s="435" t="s">
        <v>1720</v>
      </c>
      <c r="C87" s="435" t="s">
        <v>1461</v>
      </c>
      <c r="D87" s="435" t="s">
        <v>1721</v>
      </c>
      <c r="F87" s="435" t="s">
        <v>1462</v>
      </c>
    </row>
    <row r="88" spans="1:7">
      <c r="A88" s="435">
        <v>504</v>
      </c>
      <c r="B88" s="435" t="s">
        <v>1722</v>
      </c>
      <c r="C88" s="435" t="s">
        <v>1463</v>
      </c>
      <c r="D88" s="435" t="s">
        <v>1723</v>
      </c>
      <c r="F88" s="435" t="s">
        <v>1464</v>
      </c>
      <c r="G88" s="435" t="s">
        <v>1465</v>
      </c>
    </row>
    <row r="89" spans="1:7">
      <c r="A89" s="435">
        <v>507</v>
      </c>
      <c r="B89" s="435" t="s">
        <v>1724</v>
      </c>
      <c r="C89" s="435" t="s">
        <v>1466</v>
      </c>
      <c r="D89" s="435" t="s">
        <v>1725</v>
      </c>
      <c r="F89" s="435" t="s">
        <v>1467</v>
      </c>
      <c r="G89" s="435" t="s">
        <v>1468</v>
      </c>
    </row>
    <row r="90" spans="1:7">
      <c r="A90" s="435">
        <v>513</v>
      </c>
      <c r="B90" s="435" t="s">
        <v>1726</v>
      </c>
      <c r="C90" s="435" t="s">
        <v>1469</v>
      </c>
      <c r="D90" s="435" t="s">
        <v>1727</v>
      </c>
      <c r="F90" s="435" t="s">
        <v>1470</v>
      </c>
      <c r="G90" s="435" t="s">
        <v>1471</v>
      </c>
    </row>
    <row r="91" spans="1:7">
      <c r="A91" s="435">
        <v>516</v>
      </c>
      <c r="B91" s="435" t="s">
        <v>1728</v>
      </c>
      <c r="D91" s="435" t="s">
        <v>1623</v>
      </c>
    </row>
    <row r="92" spans="1:7">
      <c r="A92" s="435">
        <v>517</v>
      </c>
      <c r="B92" s="435" t="s">
        <v>1729</v>
      </c>
      <c r="C92" s="435" t="s">
        <v>1472</v>
      </c>
      <c r="D92" s="435" t="s">
        <v>1730</v>
      </c>
      <c r="F92" s="435" t="s">
        <v>1473</v>
      </c>
      <c r="G92" s="435" t="s">
        <v>1474</v>
      </c>
    </row>
    <row r="93" spans="1:7">
      <c r="A93" s="435">
        <v>518</v>
      </c>
      <c r="B93" s="435" t="s">
        <v>1731</v>
      </c>
      <c r="D93" s="435" t="s">
        <v>1623</v>
      </c>
    </row>
    <row r="94" spans="1:7">
      <c r="A94" s="435">
        <v>525</v>
      </c>
      <c r="B94" s="435" t="s">
        <v>1732</v>
      </c>
      <c r="C94" s="435" t="s">
        <v>1475</v>
      </c>
      <c r="D94" s="435" t="s">
        <v>1733</v>
      </c>
      <c r="F94" s="435" t="s">
        <v>1476</v>
      </c>
      <c r="G94" s="435" t="s">
        <v>1477</v>
      </c>
    </row>
    <row r="95" spans="1:7">
      <c r="A95" s="435">
        <v>532</v>
      </c>
      <c r="B95" s="435" t="s">
        <v>1734</v>
      </c>
      <c r="C95" s="435" t="s">
        <v>1478</v>
      </c>
      <c r="D95" s="435" t="s">
        <v>1735</v>
      </c>
      <c r="F95" s="435" t="s">
        <v>1479</v>
      </c>
      <c r="G95" s="435" t="s">
        <v>1480</v>
      </c>
    </row>
    <row r="96" spans="1:7">
      <c r="A96" s="435">
        <v>536</v>
      </c>
      <c r="B96" s="435" t="s">
        <v>1736</v>
      </c>
      <c r="C96" s="435" t="s">
        <v>1481</v>
      </c>
      <c r="D96" s="435" t="s">
        <v>1737</v>
      </c>
      <c r="F96" s="435" t="s">
        <v>1482</v>
      </c>
      <c r="G96" s="435" t="s">
        <v>1483</v>
      </c>
    </row>
    <row r="97" spans="1:7">
      <c r="A97" s="435">
        <v>537</v>
      </c>
      <c r="B97" s="435" t="s">
        <v>1736</v>
      </c>
      <c r="D97" s="435" t="s">
        <v>1623</v>
      </c>
    </row>
    <row r="98" spans="1:7">
      <c r="A98" s="435">
        <v>538</v>
      </c>
      <c r="B98" s="435" t="s">
        <v>1738</v>
      </c>
      <c r="C98" s="435" t="s">
        <v>1484</v>
      </c>
      <c r="D98" s="435" t="s">
        <v>1739</v>
      </c>
      <c r="F98" s="435" t="s">
        <v>1485</v>
      </c>
      <c r="G98" s="435" t="s">
        <v>1486</v>
      </c>
    </row>
    <row r="99" spans="1:7">
      <c r="A99" s="435">
        <v>549</v>
      </c>
      <c r="B99" s="435" t="s">
        <v>1740</v>
      </c>
      <c r="D99" s="435" t="s">
        <v>1623</v>
      </c>
    </row>
    <row r="100" spans="1:7">
      <c r="A100" s="435">
        <v>551</v>
      </c>
      <c r="B100" s="435" t="s">
        <v>1741</v>
      </c>
      <c r="C100" s="435" t="s">
        <v>1487</v>
      </c>
      <c r="D100" s="435" t="s">
        <v>1742</v>
      </c>
      <c r="F100" s="435" t="s">
        <v>1488</v>
      </c>
      <c r="G100" s="435" t="s">
        <v>1489</v>
      </c>
    </row>
    <row r="101" spans="1:7">
      <c r="A101" s="435">
        <v>552</v>
      </c>
      <c r="B101" s="435" t="s">
        <v>1743</v>
      </c>
      <c r="D101" s="435" t="s">
        <v>1623</v>
      </c>
    </row>
    <row r="102" spans="1:7">
      <c r="A102" s="435">
        <v>553</v>
      </c>
      <c r="B102" s="435" t="s">
        <v>1744</v>
      </c>
      <c r="C102" s="435" t="s">
        <v>1418</v>
      </c>
      <c r="D102" s="435" t="s">
        <v>1745</v>
      </c>
      <c r="F102" s="435" t="s">
        <v>1490</v>
      </c>
      <c r="G102" s="435" t="s">
        <v>1491</v>
      </c>
    </row>
    <row r="103" spans="1:7">
      <c r="A103" s="435">
        <v>554</v>
      </c>
      <c r="B103" s="435" t="s">
        <v>1746</v>
      </c>
      <c r="C103" s="435" t="s">
        <v>1333</v>
      </c>
      <c r="D103" s="435" t="s">
        <v>1747</v>
      </c>
      <c r="F103" s="435" t="s">
        <v>1492</v>
      </c>
      <c r="G103" s="435" t="s">
        <v>1493</v>
      </c>
    </row>
    <row r="104" spans="1:7">
      <c r="A104" s="435">
        <v>555</v>
      </c>
      <c r="B104" s="435" t="s">
        <v>1748</v>
      </c>
      <c r="C104" s="435" t="s">
        <v>1443</v>
      </c>
      <c r="D104" s="435" t="s">
        <v>1749</v>
      </c>
      <c r="F104" s="435" t="s">
        <v>1494</v>
      </c>
      <c r="G104" s="435" t="s">
        <v>1495</v>
      </c>
    </row>
    <row r="105" spans="1:7">
      <c r="A105" s="435">
        <v>558</v>
      </c>
      <c r="B105" s="435" t="s">
        <v>1750</v>
      </c>
      <c r="C105" s="435" t="s">
        <v>1496</v>
      </c>
      <c r="D105" s="435" t="s">
        <v>1751</v>
      </c>
      <c r="E105" s="435" t="s">
        <v>1752</v>
      </c>
      <c r="F105" s="435" t="s">
        <v>1497</v>
      </c>
      <c r="G105" s="435" t="s">
        <v>1498</v>
      </c>
    </row>
    <row r="106" spans="1:7">
      <c r="A106" s="435">
        <v>593</v>
      </c>
      <c r="B106" s="435" t="s">
        <v>1753</v>
      </c>
      <c r="D106" s="435" t="s">
        <v>1623</v>
      </c>
    </row>
    <row r="107" spans="1:7">
      <c r="A107" s="435">
        <v>595</v>
      </c>
      <c r="B107" s="435" t="s">
        <v>1754</v>
      </c>
      <c r="C107" s="435" t="s">
        <v>1499</v>
      </c>
      <c r="D107" s="435" t="s">
        <v>1755</v>
      </c>
      <c r="F107" s="435" t="s">
        <v>1500</v>
      </c>
      <c r="G107" s="435" t="s">
        <v>1501</v>
      </c>
    </row>
    <row r="108" spans="1:7">
      <c r="A108" s="435">
        <v>603</v>
      </c>
      <c r="B108" s="435" t="s">
        <v>1302</v>
      </c>
      <c r="C108" s="435" t="s">
        <v>1303</v>
      </c>
      <c r="D108" s="435" t="s">
        <v>1589</v>
      </c>
      <c r="F108" s="435" t="s">
        <v>1304</v>
      </c>
      <c r="G108" s="435" t="s">
        <v>1305</v>
      </c>
    </row>
    <row r="109" spans="1:7">
      <c r="A109" s="435">
        <v>623</v>
      </c>
      <c r="B109" s="435" t="s">
        <v>1756</v>
      </c>
      <c r="C109" s="435" t="s">
        <v>1502</v>
      </c>
      <c r="D109" s="435" t="s">
        <v>1757</v>
      </c>
      <c r="F109" s="435" t="s">
        <v>1503</v>
      </c>
      <c r="G109" s="435" t="s">
        <v>1504</v>
      </c>
    </row>
    <row r="110" spans="1:7">
      <c r="A110" s="435">
        <v>625</v>
      </c>
      <c r="B110" s="435" t="s">
        <v>1758</v>
      </c>
      <c r="C110" s="435" t="s">
        <v>1505</v>
      </c>
      <c r="D110" s="435" t="s">
        <v>1759</v>
      </c>
      <c r="F110" s="435" t="s">
        <v>1506</v>
      </c>
      <c r="G110" s="435" t="s">
        <v>1507</v>
      </c>
    </row>
    <row r="111" spans="1:7">
      <c r="A111" s="435">
        <v>629</v>
      </c>
      <c r="B111" s="435" t="s">
        <v>1760</v>
      </c>
      <c r="C111" s="435" t="s">
        <v>1508</v>
      </c>
      <c r="D111" s="435" t="s">
        <v>1761</v>
      </c>
      <c r="F111" s="435" t="s">
        <v>1509</v>
      </c>
      <c r="G111" s="435" t="s">
        <v>1510</v>
      </c>
    </row>
    <row r="112" spans="1:7">
      <c r="A112" s="435">
        <v>643</v>
      </c>
      <c r="B112" s="435" t="s">
        <v>1762</v>
      </c>
      <c r="C112" s="435" t="s">
        <v>1511</v>
      </c>
      <c r="D112" s="435" t="s">
        <v>1763</v>
      </c>
      <c r="F112" s="435" t="s">
        <v>1512</v>
      </c>
      <c r="G112" s="435" t="s">
        <v>1513</v>
      </c>
    </row>
    <row r="113" spans="1:7">
      <c r="A113" s="435">
        <v>644</v>
      </c>
      <c r="B113" s="435" t="s">
        <v>1764</v>
      </c>
      <c r="C113" s="435" t="s">
        <v>1514</v>
      </c>
      <c r="D113" s="435" t="s">
        <v>1765</v>
      </c>
      <c r="F113" s="435" t="s">
        <v>1515</v>
      </c>
      <c r="G113" s="435" t="s">
        <v>1516</v>
      </c>
    </row>
    <row r="114" spans="1:7">
      <c r="A114" s="435">
        <v>645</v>
      </c>
      <c r="B114" s="435" t="s">
        <v>1766</v>
      </c>
      <c r="C114" s="435" t="s">
        <v>1517</v>
      </c>
      <c r="D114" s="435" t="s">
        <v>1767</v>
      </c>
      <c r="F114" s="435" t="s">
        <v>1518</v>
      </c>
      <c r="G114" s="435" t="s">
        <v>1519</v>
      </c>
    </row>
    <row r="115" spans="1:7">
      <c r="A115" s="435">
        <v>649</v>
      </c>
      <c r="B115" s="435" t="s">
        <v>1768</v>
      </c>
      <c r="C115" s="435" t="s">
        <v>1520</v>
      </c>
      <c r="D115" s="435" t="s">
        <v>1769</v>
      </c>
      <c r="F115" s="435" t="s">
        <v>1521</v>
      </c>
      <c r="G115" s="435" t="s">
        <v>1522</v>
      </c>
    </row>
    <row r="116" spans="1:7">
      <c r="A116" s="435">
        <v>672</v>
      </c>
      <c r="B116" s="435" t="s">
        <v>1770</v>
      </c>
      <c r="C116" s="435" t="s">
        <v>1523</v>
      </c>
      <c r="D116" s="435" t="s">
        <v>1771</v>
      </c>
      <c r="F116" s="435" t="s">
        <v>1524</v>
      </c>
      <c r="G116" s="435" t="s">
        <v>1525</v>
      </c>
    </row>
    <row r="117" spans="1:7">
      <c r="A117" s="435">
        <v>674</v>
      </c>
      <c r="B117" s="435" t="s">
        <v>1772</v>
      </c>
      <c r="C117" s="435" t="s">
        <v>1526</v>
      </c>
      <c r="D117" s="435" t="s">
        <v>1773</v>
      </c>
      <c r="F117" s="435" t="s">
        <v>1527</v>
      </c>
      <c r="G117" s="435" t="s">
        <v>1528</v>
      </c>
    </row>
    <row r="118" spans="1:7">
      <c r="A118" s="435">
        <v>681</v>
      </c>
      <c r="B118" s="435" t="s">
        <v>1774</v>
      </c>
      <c r="C118" s="435" t="s">
        <v>1529</v>
      </c>
      <c r="D118" s="435" t="s">
        <v>1775</v>
      </c>
      <c r="F118" s="435" t="s">
        <v>1530</v>
      </c>
      <c r="G118" s="435" t="s">
        <v>1531</v>
      </c>
    </row>
    <row r="119" spans="1:7">
      <c r="A119" s="435">
        <v>686</v>
      </c>
      <c r="B119" s="435" t="s">
        <v>1776</v>
      </c>
      <c r="C119" s="435" t="s">
        <v>1532</v>
      </c>
      <c r="D119" s="435" t="s">
        <v>1777</v>
      </c>
      <c r="F119" s="435" t="s">
        <v>1533</v>
      </c>
      <c r="G119" s="435" t="s">
        <v>1534</v>
      </c>
    </row>
    <row r="120" spans="1:7">
      <c r="A120" s="435">
        <v>703</v>
      </c>
      <c r="B120" s="435" t="s">
        <v>1778</v>
      </c>
      <c r="C120" s="435" t="s">
        <v>1535</v>
      </c>
      <c r="D120" s="435" t="s">
        <v>1779</v>
      </c>
    </row>
    <row r="121" spans="1:7">
      <c r="A121" s="435">
        <v>706</v>
      </c>
      <c r="B121" s="435" t="s">
        <v>1780</v>
      </c>
      <c r="C121" s="435" t="s">
        <v>1536</v>
      </c>
      <c r="D121" s="435" t="s">
        <v>1781</v>
      </c>
      <c r="F121" s="435" t="s">
        <v>1537</v>
      </c>
      <c r="G121" s="435" t="s">
        <v>1538</v>
      </c>
    </row>
    <row r="122" spans="1:7">
      <c r="A122" s="435">
        <v>707</v>
      </c>
      <c r="B122" s="435" t="s">
        <v>1782</v>
      </c>
      <c r="C122" s="435" t="s">
        <v>1539</v>
      </c>
      <c r="D122" s="435" t="s">
        <v>1783</v>
      </c>
      <c r="F122" s="435" t="s">
        <v>1540</v>
      </c>
      <c r="G122" s="435" t="s">
        <v>1541</v>
      </c>
    </row>
    <row r="123" spans="1:7">
      <c r="A123" s="435">
        <v>708</v>
      </c>
      <c r="B123" s="435" t="s">
        <v>1784</v>
      </c>
      <c r="D123" s="435" t="s">
        <v>1623</v>
      </c>
    </row>
    <row r="124" spans="1:7">
      <c r="A124" s="435">
        <v>709</v>
      </c>
      <c r="B124" s="435" t="s">
        <v>1785</v>
      </c>
      <c r="C124" s="435" t="s">
        <v>1542</v>
      </c>
      <c r="D124" s="435" t="s">
        <v>1786</v>
      </c>
      <c r="F124" s="435" t="s">
        <v>1543</v>
      </c>
      <c r="G124" s="435" t="s">
        <v>1544</v>
      </c>
    </row>
    <row r="125" spans="1:7">
      <c r="A125" s="435">
        <v>713</v>
      </c>
      <c r="B125" s="435" t="s">
        <v>1787</v>
      </c>
      <c r="D125" s="435" t="s">
        <v>1623</v>
      </c>
    </row>
    <row r="126" spans="1:7">
      <c r="A126" s="435">
        <v>715</v>
      </c>
      <c r="B126" s="435" t="s">
        <v>1788</v>
      </c>
      <c r="C126" s="435" t="s">
        <v>1545</v>
      </c>
      <c r="D126" s="435" t="s">
        <v>1789</v>
      </c>
      <c r="F126" s="435" t="s">
        <v>1546</v>
      </c>
      <c r="G126" s="435" t="s">
        <v>1547</v>
      </c>
    </row>
    <row r="127" spans="1:7">
      <c r="A127" s="435">
        <v>716</v>
      </c>
      <c r="B127" s="435" t="s">
        <v>1790</v>
      </c>
      <c r="C127" s="435" t="s">
        <v>1548</v>
      </c>
      <c r="D127" s="435" t="s">
        <v>1791</v>
      </c>
      <c r="F127" s="435" t="s">
        <v>1549</v>
      </c>
      <c r="G127" s="435" t="s">
        <v>1550</v>
      </c>
    </row>
    <row r="128" spans="1:7">
      <c r="A128" s="435">
        <v>719</v>
      </c>
      <c r="B128" s="435" t="s">
        <v>1792</v>
      </c>
      <c r="C128" s="435" t="s">
        <v>1551</v>
      </c>
      <c r="D128" s="435" t="s">
        <v>1793</v>
      </c>
      <c r="F128" s="435" t="s">
        <v>1552</v>
      </c>
      <c r="G128" s="435" t="s">
        <v>1553</v>
      </c>
    </row>
    <row r="129" spans="1:7">
      <c r="A129" s="435">
        <v>731</v>
      </c>
      <c r="B129" s="435" t="s">
        <v>1794</v>
      </c>
      <c r="D129" s="435" t="s">
        <v>1623</v>
      </c>
      <c r="G129" s="435" t="s">
        <v>1554</v>
      </c>
    </row>
    <row r="130" spans="1:7">
      <c r="A130" s="435">
        <v>745</v>
      </c>
      <c r="B130" s="435" t="s">
        <v>1795</v>
      </c>
      <c r="C130" s="435" t="s">
        <v>1555</v>
      </c>
      <c r="D130" s="435" t="s">
        <v>1796</v>
      </c>
      <c r="F130" s="435" t="s">
        <v>1556</v>
      </c>
      <c r="G130" s="435" t="s">
        <v>1557</v>
      </c>
    </row>
    <row r="131" spans="1:7">
      <c r="A131" s="435">
        <v>746</v>
      </c>
      <c r="B131" s="435" t="s">
        <v>1797</v>
      </c>
      <c r="C131" s="435" t="s">
        <v>1418</v>
      </c>
      <c r="D131" s="435" t="s">
        <v>1798</v>
      </c>
      <c r="F131" s="435" t="s">
        <v>1558</v>
      </c>
      <c r="G131" s="435" t="s">
        <v>1559</v>
      </c>
    </row>
    <row r="132" spans="1:7">
      <c r="A132" s="435">
        <v>802</v>
      </c>
      <c r="B132" s="435" t="s">
        <v>1799</v>
      </c>
      <c r="C132" s="435" t="s">
        <v>1560</v>
      </c>
      <c r="D132" s="435" t="s">
        <v>1800</v>
      </c>
      <c r="F132" s="435" t="s">
        <v>1561</v>
      </c>
      <c r="G132" s="435" t="s">
        <v>1562</v>
      </c>
    </row>
    <row r="133" spans="1:7">
      <c r="A133" s="435">
        <v>906</v>
      </c>
      <c r="B133" s="435" t="s">
        <v>1801</v>
      </c>
      <c r="C133" s="435" t="s">
        <v>1563</v>
      </c>
      <c r="D133" s="435" t="s">
        <v>1802</v>
      </c>
      <c r="F133" s="435" t="s">
        <v>1564</v>
      </c>
      <c r="G133" s="435" t="s">
        <v>1565</v>
      </c>
    </row>
    <row r="134" spans="1:7">
      <c r="A134" s="435">
        <v>908</v>
      </c>
      <c r="B134" s="435" t="s">
        <v>1803</v>
      </c>
      <c r="C134" s="435" t="s">
        <v>1566</v>
      </c>
      <c r="D134" s="435" t="s">
        <v>1804</v>
      </c>
      <c r="F134" s="435" t="s">
        <v>1567</v>
      </c>
      <c r="G134" s="435" t="s">
        <v>1568</v>
      </c>
    </row>
    <row r="135" spans="1:7">
      <c r="A135" s="435">
        <v>959</v>
      </c>
      <c r="B135" s="435" t="s">
        <v>1805</v>
      </c>
      <c r="D135" s="435" t="s">
        <v>1623</v>
      </c>
    </row>
    <row r="136" spans="1:7">
      <c r="A136" s="435">
        <v>990</v>
      </c>
      <c r="B136" s="435" t="s">
        <v>1806</v>
      </c>
      <c r="D136" s="435" t="s">
        <v>1623</v>
      </c>
    </row>
    <row r="137" spans="1:7">
      <c r="A137" s="435">
        <v>992</v>
      </c>
      <c r="B137" s="435" t="s">
        <v>1807</v>
      </c>
      <c r="D137" s="435" t="s">
        <v>1623</v>
      </c>
    </row>
    <row r="138" spans="1:7">
      <c r="A138" s="435">
        <v>993</v>
      </c>
      <c r="B138" s="435" t="s">
        <v>1808</v>
      </c>
      <c r="D138" s="435" t="s">
        <v>1623</v>
      </c>
    </row>
    <row r="139" spans="1:7">
      <c r="A139" s="435">
        <v>1</v>
      </c>
      <c r="B139" s="435" t="s">
        <v>5167</v>
      </c>
      <c r="C139" s="435" t="s">
        <v>5168</v>
      </c>
      <c r="D139" s="1346" t="s">
        <v>5169</v>
      </c>
      <c r="F139" s="435" t="s">
        <v>5170</v>
      </c>
      <c r="G139" s="435" t="s">
        <v>5171</v>
      </c>
    </row>
  </sheetData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5"/>
    <pageSetUpPr fitToPage="1"/>
  </sheetPr>
  <dimension ref="A1:Q80"/>
  <sheetViews>
    <sheetView showGridLines="0" zoomScale="115" zoomScaleNormal="115" zoomScaleSheetLayoutView="85" workbookViewId="0">
      <selection activeCell="B14" sqref="B14:E17"/>
    </sheetView>
  </sheetViews>
  <sheetFormatPr defaultColWidth="9" defaultRowHeight="18.75" customHeight="1" outlineLevelRow="1"/>
  <cols>
    <col min="1" max="1" width="16.75" style="575" bestFit="1" customWidth="1"/>
    <col min="2" max="2" width="25.375" style="518" customWidth="1"/>
    <col min="3" max="3" width="22.5" style="518" customWidth="1"/>
    <col min="4" max="4" width="12.375" style="518" customWidth="1"/>
    <col min="5" max="5" width="25" style="519" customWidth="1"/>
    <col min="6" max="8" width="12.375" style="518" customWidth="1"/>
    <col min="9" max="9" width="14.125" style="518" customWidth="1"/>
    <col min="10" max="10" width="12.375" style="518" customWidth="1"/>
    <col min="11" max="16" width="12.5" style="518" customWidth="1"/>
    <col min="17" max="16384" width="9" style="518"/>
  </cols>
  <sheetData>
    <row r="1" spans="1:17" ht="17.25" customHeight="1" thickBot="1">
      <c r="A1" s="498"/>
      <c r="D1" s="516"/>
      <c r="E1" s="517"/>
      <c r="F1" s="572"/>
      <c r="G1" s="516"/>
      <c r="H1" s="501">
        <v>1</v>
      </c>
      <c r="L1" s="516"/>
      <c r="M1" s="516"/>
      <c r="N1" s="516"/>
      <c r="O1" s="516"/>
      <c r="P1" s="516"/>
      <c r="Q1" s="516"/>
    </row>
    <row r="2" spans="1:17" ht="17.25" customHeight="1" thickBot="1">
      <c r="A2" s="623" t="s">
        <v>1896</v>
      </c>
      <c r="B2" s="624" t="s">
        <v>1117</v>
      </c>
      <c r="C2" s="625">
        <v>7852</v>
      </c>
      <c r="F2" s="573" t="s">
        <v>1897</v>
      </c>
      <c r="G2" s="516"/>
      <c r="J2" s="573" t="s">
        <v>1898</v>
      </c>
      <c r="L2" s="516"/>
      <c r="M2" s="516"/>
      <c r="N2" s="516"/>
      <c r="O2" s="516"/>
      <c r="P2" s="516"/>
      <c r="Q2" s="516"/>
    </row>
    <row r="3" spans="1:17" ht="17.25" customHeight="1">
      <c r="A3" s="623" t="s">
        <v>1899</v>
      </c>
      <c r="B3" s="626" t="s">
        <v>1118</v>
      </c>
      <c r="C3" s="627" t="s">
        <v>1120</v>
      </c>
      <c r="D3" s="1790" t="s">
        <v>1900</v>
      </c>
      <c r="E3" s="1791"/>
      <c r="G3" s="516"/>
      <c r="H3" s="516"/>
      <c r="J3" s="695" t="s">
        <v>1920</v>
      </c>
      <c r="K3" s="696"/>
      <c r="L3" s="695" t="s">
        <v>1921</v>
      </c>
      <c r="M3" s="696"/>
      <c r="N3" s="697" t="s">
        <v>1922</v>
      </c>
      <c r="O3" s="696"/>
      <c r="P3" s="516"/>
      <c r="Q3" s="516"/>
    </row>
    <row r="4" spans="1:17" ht="17.25" customHeight="1">
      <c r="A4" s="623" t="s">
        <v>1901</v>
      </c>
      <c r="B4" s="626" t="s">
        <v>1119</v>
      </c>
      <c r="C4" s="627" t="s">
        <v>1120</v>
      </c>
      <c r="D4" s="628" t="s">
        <v>1274</v>
      </c>
      <c r="E4" s="629" t="s">
        <v>3421</v>
      </c>
      <c r="G4" s="516"/>
      <c r="H4" s="516"/>
      <c r="J4" s="656"/>
      <c r="K4" s="657"/>
      <c r="L4" s="659"/>
      <c r="M4" s="657"/>
      <c r="N4" s="656"/>
      <c r="O4" s="657"/>
    </row>
    <row r="5" spans="1:17" ht="17.25" customHeight="1">
      <c r="A5" s="623" t="s">
        <v>1902</v>
      </c>
      <c r="B5" s="626" t="s">
        <v>1820</v>
      </c>
      <c r="C5" s="630">
        <v>5151</v>
      </c>
      <c r="D5" s="631" t="s">
        <v>1274</v>
      </c>
      <c r="E5" s="632">
        <f>MATCH(TEXT(E4,"@"),'NY BackOrder'!C:C,0)</f>
        <v>2655</v>
      </c>
      <c r="G5" s="516"/>
      <c r="H5" s="516"/>
      <c r="J5" s="656"/>
      <c r="K5" s="658"/>
      <c r="L5" s="659"/>
      <c r="M5" s="658"/>
      <c r="N5" s="659"/>
      <c r="O5" s="658"/>
      <c r="P5" s="516"/>
      <c r="Q5" s="516"/>
    </row>
    <row r="6" spans="1:17" ht="17.25" customHeight="1" thickBot="1">
      <c r="A6" s="623" t="s">
        <v>1903</v>
      </c>
      <c r="B6" s="626" t="s">
        <v>1821</v>
      </c>
      <c r="C6" s="630">
        <v>5153</v>
      </c>
      <c r="D6" s="633" t="s">
        <v>1256</v>
      </c>
      <c r="E6" s="634">
        <f>E5+COUNTIF('NY BackOrder'!C:C,TEXT(E4,"@"))-2</f>
        <v>2658</v>
      </c>
      <c r="F6" s="635"/>
      <c r="G6" s="574" t="s">
        <v>1904</v>
      </c>
      <c r="H6" s="516"/>
      <c r="J6" s="659"/>
      <c r="K6" s="658"/>
      <c r="L6" s="659"/>
      <c r="M6" s="658"/>
      <c r="N6" s="659"/>
      <c r="O6" s="658"/>
      <c r="P6" s="516"/>
      <c r="Q6" s="516"/>
    </row>
    <row r="7" spans="1:17" ht="17.25" customHeight="1" thickBot="1">
      <c r="A7" s="623" t="s">
        <v>1905</v>
      </c>
      <c r="B7" s="636" t="s">
        <v>1859</v>
      </c>
      <c r="C7" s="637">
        <v>36</v>
      </c>
      <c r="D7" s="638"/>
      <c r="E7" s="639"/>
      <c r="I7" s="516"/>
      <c r="J7" s="660"/>
      <c r="K7" s="661"/>
      <c r="L7" s="660"/>
      <c r="M7" s="661"/>
      <c r="N7" s="660"/>
      <c r="O7" s="661"/>
      <c r="P7" s="516"/>
      <c r="Q7" s="516"/>
    </row>
    <row r="8" spans="1:17" ht="17.25" hidden="1" customHeight="1" outlineLevel="1">
      <c r="A8" s="1792" t="s">
        <v>1906</v>
      </c>
      <c r="B8" s="640" t="s">
        <v>1822</v>
      </c>
      <c r="C8" s="641">
        <f>C6-C5+C7</f>
        <v>38</v>
      </c>
      <c r="D8" s="642" t="s">
        <v>1246</v>
      </c>
      <c r="E8" s="643" t="str">
        <f>IF(H1=1,"Invoice "&amp;C2&amp;" (NY)","Invoice "&amp;C2&amp;" (LA)")</f>
        <v>Invoice 7852 (NY)</v>
      </c>
      <c r="F8" s="444"/>
    </row>
    <row r="9" spans="1:17" ht="17.25" hidden="1" customHeight="1" outlineLevel="1">
      <c r="A9" s="1793"/>
      <c r="B9" s="644" t="s">
        <v>1860</v>
      </c>
      <c r="C9" s="645">
        <v>36</v>
      </c>
      <c r="D9" s="646" t="s">
        <v>1884</v>
      </c>
      <c r="E9" s="647" t="str" cm="1">
        <f t="array" aca="1" ref="E9" ca="1">RIGHT(CELL("filename",A1),LEN(CELL("filename",A1))-FIND("]",CELL("filename",A1)))</f>
        <v>Invoice(SF米国)</v>
      </c>
      <c r="F9" s="516"/>
      <c r="G9" s="516"/>
      <c r="H9" s="516"/>
    </row>
    <row r="10" spans="1:17" ht="17.25" hidden="1" customHeight="1" outlineLevel="1">
      <c r="A10" s="1793"/>
      <c r="B10" s="644" t="s">
        <v>1861</v>
      </c>
      <c r="C10" s="645">
        <v>68</v>
      </c>
      <c r="D10" s="646" t="s">
        <v>1885</v>
      </c>
      <c r="E10" s="648" t="str" cm="1">
        <f t="array" aca="1" ref="E10" ca="1">RIGHT(CELL("filename",'Invoice(SF大阪)'!A1),LEN(CELL("filename",'Invoice(SF大阪)'!A1))-FIND("]",CELL("filename",'Invoice(SF大阪)'!A1)))</f>
        <v>Invoice(SF大阪)</v>
      </c>
      <c r="F10" s="516"/>
      <c r="G10" s="516"/>
      <c r="H10" s="516"/>
      <c r="I10" s="516"/>
      <c r="J10" s="516"/>
      <c r="K10" s="516"/>
      <c r="L10" s="516"/>
      <c r="M10" s="516"/>
      <c r="N10" s="516"/>
      <c r="O10" s="516"/>
      <c r="P10" s="516"/>
      <c r="Q10" s="516"/>
    </row>
    <row r="11" spans="1:17" ht="17.25" hidden="1" customHeight="1" outlineLevel="1">
      <c r="A11" s="1793"/>
      <c r="B11" s="649" t="s">
        <v>1907</v>
      </c>
      <c r="C11" s="650">
        <f>ROW(A69)</f>
        <v>69</v>
      </c>
      <c r="D11" s="651" t="s">
        <v>1886</v>
      </c>
      <c r="E11" s="648" t="str" cm="1">
        <f t="array" aca="1" ref="E11" ca="1">RIGHT(CELL("filename",'NY BackOrder'!A1),LEN(CELL("filename",'NY BackOrder'!A1))-FIND("]",CELL("filename",'NY BackOrder'!A1)))</f>
        <v>NY BackOrder</v>
      </c>
      <c r="F11" s="516"/>
      <c r="G11" s="516"/>
      <c r="H11" s="516"/>
      <c r="I11" s="516"/>
      <c r="J11" s="516"/>
      <c r="K11" s="516"/>
      <c r="L11" s="516"/>
      <c r="M11" s="516"/>
      <c r="N11" s="516"/>
      <c r="O11" s="516"/>
      <c r="P11" s="516"/>
      <c r="Q11" s="516"/>
    </row>
    <row r="12" spans="1:17" ht="17.25" hidden="1" customHeight="1" outlineLevel="1" thickBot="1">
      <c r="A12" s="1794"/>
      <c r="B12" s="652" t="s">
        <v>1908</v>
      </c>
      <c r="C12" s="653" t="str" cm="1">
        <f t="array" aca="1" ref="C12" ca="1">LEFT(MID(CELL("filename",A2),10,99),FIND("B",MID(CELL("filename",A2),10,99))-2)</f>
        <v>chiba</v>
      </c>
      <c r="D12" s="654" t="s">
        <v>1909</v>
      </c>
      <c r="E12" s="655" t="str">
        <f>IF(H1=1,"NY","LA")</f>
        <v>NY</v>
      </c>
      <c r="F12" s="572"/>
      <c r="G12" s="516"/>
      <c r="H12" s="516"/>
      <c r="I12" s="516"/>
      <c r="J12" s="516"/>
      <c r="K12" s="516"/>
      <c r="L12" s="516"/>
      <c r="M12" s="516"/>
      <c r="N12" s="516"/>
      <c r="O12" s="516"/>
      <c r="P12" s="516"/>
      <c r="Q12" s="516"/>
    </row>
    <row r="13" spans="1:17" ht="17.25" customHeight="1" collapsed="1">
      <c r="A13" s="571"/>
      <c r="B13" s="571"/>
      <c r="C13" s="574"/>
      <c r="D13" s="516"/>
      <c r="E13" s="517"/>
      <c r="F13" s="572"/>
      <c r="G13" s="516"/>
      <c r="H13" s="516"/>
      <c r="I13" s="516"/>
      <c r="J13" s="516"/>
      <c r="K13" s="516"/>
      <c r="L13" s="516"/>
      <c r="M13" s="516"/>
      <c r="N13" s="516"/>
      <c r="O13" s="516"/>
      <c r="P13" s="516"/>
      <c r="Q13" s="516"/>
    </row>
    <row r="14" spans="1:17" ht="18.75" customHeight="1">
      <c r="B14" s="1795" t="s">
        <v>6381</v>
      </c>
      <c r="C14" s="1796"/>
      <c r="D14" s="1796"/>
      <c r="E14" s="1796"/>
      <c r="F14" s="1798" t="s">
        <v>477</v>
      </c>
      <c r="G14" s="1798"/>
      <c r="H14" s="1798"/>
      <c r="I14" s="1798"/>
      <c r="J14" s="1798"/>
      <c r="K14" s="1798"/>
    </row>
    <row r="15" spans="1:17" ht="18.75" customHeight="1">
      <c r="B15" s="1796"/>
      <c r="C15" s="1796"/>
      <c r="D15" s="1796"/>
      <c r="E15" s="1796"/>
      <c r="F15" s="1798"/>
      <c r="G15" s="1798"/>
      <c r="H15" s="1798"/>
      <c r="I15" s="1798"/>
      <c r="J15" s="1798"/>
      <c r="K15" s="1798"/>
    </row>
    <row r="16" spans="1:17" ht="18.75" customHeight="1">
      <c r="B16" s="1796"/>
      <c r="C16" s="1796"/>
      <c r="D16" s="1796"/>
      <c r="E16" s="1796"/>
      <c r="F16" s="576" t="s">
        <v>474</v>
      </c>
      <c r="G16" s="1799">
        <f>C2</f>
        <v>7852</v>
      </c>
      <c r="H16" s="1799"/>
      <c r="I16" s="1799"/>
      <c r="J16" s="1799"/>
      <c r="K16" s="1799"/>
    </row>
    <row r="17" spans="2:12" ht="18.75" customHeight="1">
      <c r="B17" s="1797"/>
      <c r="C17" s="1797"/>
      <c r="D17" s="1797"/>
      <c r="E17" s="1797"/>
      <c r="F17" s="577" t="s">
        <v>475</v>
      </c>
      <c r="G17" s="566" t="s">
        <v>1250</v>
      </c>
      <c r="H17" s="566" t="s">
        <v>1249</v>
      </c>
      <c r="I17" s="577" t="s">
        <v>476</v>
      </c>
      <c r="J17" s="1800">
        <f ca="1">TODAY()</f>
        <v>46114</v>
      </c>
      <c r="K17" s="1800"/>
      <c r="L17" s="578" t="s">
        <v>1254</v>
      </c>
    </row>
    <row r="18" spans="2:12" ht="18.75" customHeight="1">
      <c r="B18" s="579" t="s">
        <v>462</v>
      </c>
      <c r="C18" s="580" t="str">
        <f>C3</f>
        <v>(SELECT) - 顧客名</v>
      </c>
      <c r="D18" s="581"/>
      <c r="E18" s="582"/>
      <c r="F18" s="583" t="s">
        <v>468</v>
      </c>
      <c r="G18" s="584"/>
      <c r="H18" s="585"/>
      <c r="I18" s="583" t="s">
        <v>471</v>
      </c>
      <c r="J18" s="584"/>
      <c r="K18" s="585"/>
    </row>
    <row r="19" spans="2:12" ht="18.75" customHeight="1">
      <c r="B19" s="563"/>
      <c r="C19" s="586" t="str">
        <f>IFERROR(VLOOKUP(C3,取引先マスタ!C:E,3,FALSE),"")</f>
        <v>ADDRESS 1</v>
      </c>
      <c r="D19" s="524"/>
      <c r="E19" s="525"/>
      <c r="F19" s="520"/>
      <c r="G19" s="521"/>
      <c r="H19" s="522"/>
      <c r="I19" s="520"/>
      <c r="J19" s="521"/>
      <c r="K19" s="522"/>
    </row>
    <row r="20" spans="2:12" ht="18.75" customHeight="1">
      <c r="B20" s="563"/>
      <c r="C20" s="586" t="str">
        <f>IFERROR(VLOOKUP(C3,取引先マスタ!C:F,4,FALSE),"")</f>
        <v>ADDRESS 2</v>
      </c>
      <c r="D20" s="524"/>
      <c r="E20" s="525"/>
      <c r="F20" s="583" t="s">
        <v>469</v>
      </c>
      <c r="G20" s="584"/>
      <c r="H20" s="585"/>
      <c r="I20" s="583" t="s">
        <v>470</v>
      </c>
      <c r="J20" s="584"/>
      <c r="K20" s="585"/>
    </row>
    <row r="21" spans="2:12" ht="18.75" customHeight="1">
      <c r="B21" s="563"/>
      <c r="C21" s="587" t="str">
        <f>IFERROR(IF(VLOOKUP(C3,取引先マスタ!C:G,5,FALSE)=0,"Country: ","Country: "&amp;VLOOKUP(C3,取引先マスタ!C:G,5,FALSE)),"")</f>
        <v>Country: COUNTRY</v>
      </c>
      <c r="D21" s="524" t="str">
        <f>IFERROR(IF(VLOOKUP(C3,取引先マスタ!C:D,2,FALSE)=0,"Zip Code: ","Zip Code: "&amp;VLOOKUP(C3,取引先マスタ!C:D,2,FALSE)),"")</f>
        <v>Zip Code: ZIP CODE</v>
      </c>
      <c r="E21" s="525"/>
      <c r="F21" s="619"/>
      <c r="G21" s="521"/>
      <c r="H21" s="522"/>
      <c r="I21" s="520"/>
      <c r="J21" s="521"/>
      <c r="K21" s="522"/>
    </row>
    <row r="22" spans="2:12" ht="18.75" customHeight="1">
      <c r="B22" s="563"/>
      <c r="C22" s="587" t="str">
        <f>IFERROR(IF(VLOOKUP(C3,取引先マスタ!C:H,6,FALSE)=0,"Tel: ",VLOOKUP(C3,取引先マスタ!C:H,6,FALSE)),"")</f>
        <v>TEL</v>
      </c>
      <c r="D22" s="524" t="str">
        <f>IFERROR(IF(VLOOKUP(C3,取引先マスタ!C:I,7,FALSE)=0,"Attn: ","Attn: "&amp;VLOOKUP(C3,取引先マスタ!C:I,7,FALSE)),"")</f>
        <v>Attn: ATTENTION</v>
      </c>
      <c r="E22" s="525"/>
      <c r="F22" s="583" t="s">
        <v>464</v>
      </c>
      <c r="G22" s="584"/>
      <c r="H22" s="584"/>
      <c r="I22" s="584"/>
      <c r="J22" s="584"/>
      <c r="K22" s="585"/>
    </row>
    <row r="23" spans="2:12" ht="18.75" customHeight="1">
      <c r="B23" s="565"/>
      <c r="C23" s="569"/>
      <c r="D23" s="521"/>
      <c r="E23" s="522"/>
      <c r="F23" s="588" t="s">
        <v>465</v>
      </c>
      <c r="G23" s="523" t="s">
        <v>425</v>
      </c>
      <c r="H23" s="524"/>
      <c r="I23" s="524"/>
      <c r="J23" s="524"/>
      <c r="K23" s="525"/>
    </row>
    <row r="24" spans="2:12" ht="18.75" customHeight="1">
      <c r="B24" s="579" t="s">
        <v>461</v>
      </c>
      <c r="C24" s="580" t="str">
        <f>C4</f>
        <v>(SELECT) - 顧客名</v>
      </c>
      <c r="D24" s="581"/>
      <c r="E24" s="582"/>
      <c r="F24" s="588" t="s">
        <v>466</v>
      </c>
      <c r="G24" s="523" t="s">
        <v>478</v>
      </c>
      <c r="H24" s="524"/>
      <c r="I24" s="524"/>
      <c r="J24" s="524"/>
      <c r="K24" s="525"/>
    </row>
    <row r="25" spans="2:12" ht="18.75" customHeight="1">
      <c r="B25" s="563"/>
      <c r="C25" s="586" t="str">
        <f>IFERROR(VLOOKUP(C4,取引先マスタ!C:E,3,FALSE),"")</f>
        <v>ADDRESS 1</v>
      </c>
      <c r="D25" s="524"/>
      <c r="E25" s="525"/>
      <c r="F25" s="588" t="s">
        <v>423</v>
      </c>
      <c r="G25" s="523" t="s">
        <v>1258</v>
      </c>
      <c r="H25" s="524"/>
      <c r="I25" s="524"/>
      <c r="J25" s="524"/>
      <c r="K25" s="525"/>
    </row>
    <row r="26" spans="2:12" ht="18.75" customHeight="1">
      <c r="B26" s="563"/>
      <c r="C26" s="586" t="str">
        <f>IFERROR(VLOOKUP(C4,取引先マスタ!C:F,4,FALSE),"")</f>
        <v>ADDRESS 2</v>
      </c>
      <c r="D26" s="524"/>
      <c r="E26" s="525"/>
      <c r="F26" s="588" t="s">
        <v>467</v>
      </c>
      <c r="G26" s="523" t="s">
        <v>479</v>
      </c>
      <c r="H26" s="524"/>
      <c r="I26" s="524"/>
      <c r="J26" s="524"/>
      <c r="K26" s="525"/>
    </row>
    <row r="27" spans="2:12" ht="18.75" customHeight="1">
      <c r="B27" s="563"/>
      <c r="C27" s="587" t="str">
        <f>IFERROR(IF(VLOOKUP(C4,取引先マスタ!C:G,5,FALSE)=0,"Country: ","Country: "&amp;VLOOKUP(C4,取引先マスタ!C:G,5,FALSE)),"")</f>
        <v>Country: COUNTRY</v>
      </c>
      <c r="D27" s="524" t="str">
        <f>IFERROR(IF(VLOOKUP(C4,取引先マスタ!C:D,2,FALSE)=0,"Zip Code: ","Zip Code: "&amp;VLOOKUP(C4,取引先マスタ!C:D,2,FALSE)),"")</f>
        <v>Zip Code: ZIP CODE</v>
      </c>
      <c r="E27" s="525"/>
      <c r="F27" s="520" t="s">
        <v>473</v>
      </c>
      <c r="G27" s="526" t="s">
        <v>1895</v>
      </c>
      <c r="H27" s="521"/>
      <c r="I27" s="527" t="s">
        <v>472</v>
      </c>
      <c r="J27" s="527" t="s">
        <v>422</v>
      </c>
      <c r="K27" s="522"/>
    </row>
    <row r="28" spans="2:12" ht="18.75" customHeight="1">
      <c r="B28" s="563"/>
      <c r="C28" s="587" t="str">
        <f>IFERROR(IF(VLOOKUP(C4,取引先マスタ!C:H,6,FALSE)=0,"Tel: ",VLOOKUP(C4,取引先マスタ!C:H,6,FALSE)),"")</f>
        <v>TEL</v>
      </c>
      <c r="D28" s="524" t="str">
        <f>IFERROR(IF(VLOOKUP(C4,取引先マスタ!C:I,7,FALSE)=0,"Attn: ","Attn: "&amp;VLOOKUP(C4,取引先マスタ!C:I,7,FALSE)),"")</f>
        <v>Attn: ATTENTION</v>
      </c>
      <c r="E28" s="525"/>
      <c r="F28" s="583" t="s">
        <v>463</v>
      </c>
      <c r="G28" s="584"/>
      <c r="H28" s="584"/>
      <c r="I28" s="584"/>
      <c r="J28" s="583" t="s">
        <v>1889</v>
      </c>
      <c r="K28" s="585"/>
    </row>
    <row r="29" spans="2:12" ht="18.75" customHeight="1">
      <c r="B29" s="563"/>
      <c r="C29" s="569"/>
      <c r="D29" s="521"/>
      <c r="E29" s="522"/>
      <c r="F29" s="1772" t="s">
        <v>4248</v>
      </c>
      <c r="G29" s="1773"/>
      <c r="H29" s="1674" t="s">
        <v>6255</v>
      </c>
      <c r="I29" s="1675"/>
      <c r="J29" s="613">
        <f ca="1">J17+30</f>
        <v>46144</v>
      </c>
      <c r="K29" s="614"/>
    </row>
    <row r="30" spans="2:12" ht="18.75" customHeight="1">
      <c r="B30" s="583" t="s">
        <v>454</v>
      </c>
      <c r="C30" s="589"/>
      <c r="D30" s="583" t="s">
        <v>455</v>
      </c>
      <c r="E30" s="590"/>
      <c r="F30" s="583" t="s">
        <v>457</v>
      </c>
      <c r="G30" s="591"/>
      <c r="H30" s="589"/>
      <c r="I30" s="583" t="s">
        <v>459</v>
      </c>
      <c r="J30" s="592"/>
      <c r="K30" s="593"/>
    </row>
    <row r="31" spans="2:12" ht="18.75" customHeight="1">
      <c r="B31" s="615" t="s">
        <v>433</v>
      </c>
      <c r="C31" s="522"/>
      <c r="D31" s="1787" t="s">
        <v>1888</v>
      </c>
      <c r="E31" s="1786"/>
      <c r="F31" s="1784">
        <f ca="1">J17</f>
        <v>46114</v>
      </c>
      <c r="G31" s="1785"/>
      <c r="H31" s="1786"/>
      <c r="I31" s="594" t="s">
        <v>480</v>
      </c>
      <c r="J31" s="595"/>
      <c r="K31" s="596"/>
      <c r="L31" s="578" t="s">
        <v>1255</v>
      </c>
    </row>
    <row r="32" spans="2:12" ht="18.75" customHeight="1">
      <c r="B32" s="583" t="s">
        <v>453</v>
      </c>
      <c r="C32" s="589"/>
      <c r="D32" s="583" t="s">
        <v>456</v>
      </c>
      <c r="E32" s="590"/>
      <c r="F32" s="583" t="s">
        <v>458</v>
      </c>
      <c r="G32" s="591"/>
      <c r="H32" s="589"/>
      <c r="I32" s="565" t="str">
        <f>IFERROR(IF(VLOOKUP(C18,取引先マスタ!C:J,8,FALSE)=0,"",VLOOKUP(C18,取引先マスタ!C:J,8,FALSE)),"")</f>
        <v>Courier Account#</v>
      </c>
      <c r="J32" s="617" t="s">
        <v>4245</v>
      </c>
      <c r="K32" s="618"/>
      <c r="L32" s="572" t="s">
        <v>1910</v>
      </c>
    </row>
    <row r="33" spans="2:16" ht="18.75" customHeight="1" thickBot="1">
      <c r="B33" s="1788" t="s">
        <v>4246</v>
      </c>
      <c r="C33" s="1789"/>
      <c r="D33" s="1788" t="s">
        <v>4247</v>
      </c>
      <c r="E33" s="1789"/>
      <c r="F33" s="1803" t="s">
        <v>1893</v>
      </c>
      <c r="G33" s="1804"/>
      <c r="H33" s="1805"/>
      <c r="I33" s="597" t="s">
        <v>460</v>
      </c>
      <c r="J33" s="1801" t="s">
        <v>246</v>
      </c>
      <c r="K33" s="1802"/>
    </row>
    <row r="34" spans="2:16" ht="18.75" customHeight="1" thickTop="1">
      <c r="B34" s="1770" t="s">
        <v>447</v>
      </c>
      <c r="C34" s="1774" t="s">
        <v>481</v>
      </c>
      <c r="D34" s="1774"/>
      <c r="E34" s="1774"/>
      <c r="F34" s="1775" t="s">
        <v>482</v>
      </c>
      <c r="G34" s="1776"/>
      <c r="H34" s="1777"/>
      <c r="I34" s="1782" t="s">
        <v>451</v>
      </c>
      <c r="J34" s="1780" t="s">
        <v>452</v>
      </c>
      <c r="K34" s="1778" t="s">
        <v>321</v>
      </c>
    </row>
    <row r="35" spans="2:16" ht="18.75" customHeight="1" thickBot="1">
      <c r="B35" s="1771"/>
      <c r="C35" s="598" t="s">
        <v>327</v>
      </c>
      <c r="D35" s="598" t="s">
        <v>35</v>
      </c>
      <c r="E35" s="599" t="s">
        <v>36</v>
      </c>
      <c r="F35" s="598" t="s">
        <v>448</v>
      </c>
      <c r="G35" s="598" t="s">
        <v>449</v>
      </c>
      <c r="H35" s="598" t="s">
        <v>450</v>
      </c>
      <c r="I35" s="1783"/>
      <c r="J35" s="1781"/>
      <c r="K35" s="1779"/>
    </row>
    <row r="36" spans="2:16" ht="18.75" customHeight="1" thickTop="1">
      <c r="B36" s="528" t="s">
        <v>6406</v>
      </c>
      <c r="C36" s="529" t="s">
        <v>6407</v>
      </c>
      <c r="D36" s="530"/>
      <c r="E36" s="1721"/>
      <c r="F36" s="1722"/>
      <c r="G36" s="1722"/>
      <c r="H36" s="1722"/>
      <c r="I36" s="530" t="s">
        <v>101</v>
      </c>
      <c r="J36" s="1652"/>
      <c r="K36" s="1723"/>
      <c r="L36" s="600"/>
      <c r="M36" s="601"/>
      <c r="N36" s="602"/>
      <c r="O36" s="603"/>
      <c r="P36" s="603"/>
    </row>
    <row r="37" spans="2:16" ht="18.75" customHeight="1">
      <c r="B37" s="531" t="s">
        <v>6406</v>
      </c>
      <c r="C37" s="532" t="s">
        <v>5680</v>
      </c>
      <c r="D37" s="539"/>
      <c r="E37" s="539" t="s">
        <v>6159</v>
      </c>
      <c r="F37" s="1724"/>
      <c r="G37" s="534"/>
      <c r="H37" s="536">
        <v>30</v>
      </c>
      <c r="I37" s="535">
        <v>2.4500000000000002</v>
      </c>
      <c r="J37" s="535">
        <v>73.5</v>
      </c>
      <c r="K37" s="535" t="s">
        <v>6402</v>
      </c>
      <c r="L37" s="600"/>
      <c r="M37" s="601"/>
      <c r="N37" s="604"/>
      <c r="O37" s="604"/>
      <c r="P37" s="604"/>
    </row>
    <row r="38" spans="2:16" ht="18.75" customHeight="1">
      <c r="B38" s="531" t="s">
        <v>6406</v>
      </c>
      <c r="C38" s="532"/>
      <c r="D38" s="538"/>
      <c r="E38" s="539" t="s">
        <v>363</v>
      </c>
      <c r="F38" s="536"/>
      <c r="G38" s="534"/>
      <c r="H38" s="540">
        <v>1</v>
      </c>
      <c r="I38" s="535">
        <v>12</v>
      </c>
      <c r="J38" s="535">
        <v>12</v>
      </c>
      <c r="K38" s="535"/>
      <c r="L38" s="600"/>
      <c r="M38" s="601"/>
      <c r="N38" s="604"/>
      <c r="O38" s="604"/>
      <c r="P38" s="604"/>
    </row>
    <row r="39" spans="2:16" ht="18.75" customHeight="1">
      <c r="B39" s="531"/>
      <c r="C39" s="532"/>
      <c r="D39" s="538"/>
      <c r="E39" s="533"/>
      <c r="F39" s="544"/>
      <c r="G39" s="543"/>
      <c r="H39" s="536"/>
      <c r="I39" s="535"/>
      <c r="J39" s="535"/>
      <c r="K39" s="535"/>
      <c r="L39" s="600"/>
      <c r="M39" s="601"/>
      <c r="N39" s="604"/>
      <c r="O39" s="604"/>
      <c r="P39" s="604"/>
    </row>
    <row r="40" spans="2:16" ht="18.75" customHeight="1">
      <c r="B40" s="531"/>
      <c r="C40" s="532"/>
      <c r="D40" s="538"/>
      <c r="E40" s="533"/>
      <c r="F40" s="536"/>
      <c r="G40" s="534"/>
      <c r="H40" s="540"/>
      <c r="I40" s="535"/>
      <c r="J40" s="535"/>
      <c r="K40" s="535"/>
      <c r="L40" s="600"/>
      <c r="M40" s="601"/>
      <c r="N40" s="604"/>
      <c r="O40" s="604"/>
      <c r="P40" s="604"/>
    </row>
    <row r="41" spans="2:16" ht="18.75" customHeight="1">
      <c r="B41" s="531"/>
      <c r="C41" s="532"/>
      <c r="D41" s="538"/>
      <c r="E41" s="539"/>
      <c r="F41" s="536"/>
      <c r="G41" s="534"/>
      <c r="H41" s="540"/>
      <c r="I41" s="535"/>
      <c r="J41" s="535"/>
      <c r="K41" s="535"/>
      <c r="L41" s="600"/>
      <c r="M41" s="601"/>
      <c r="N41" s="602"/>
      <c r="O41" s="604"/>
      <c r="P41" s="604"/>
    </row>
    <row r="42" spans="2:16" ht="18.75" customHeight="1">
      <c r="B42" s="531"/>
      <c r="C42" s="532"/>
      <c r="D42" s="538"/>
      <c r="E42" s="533"/>
      <c r="F42" s="536"/>
      <c r="G42" s="534"/>
      <c r="H42" s="540"/>
      <c r="I42" s="535"/>
      <c r="J42" s="535"/>
      <c r="K42" s="535"/>
    </row>
    <row r="43" spans="2:16" ht="18.75" customHeight="1">
      <c r="B43" s="531"/>
      <c r="C43" s="532"/>
      <c r="D43" s="538"/>
      <c r="E43" s="533"/>
      <c r="F43" s="536"/>
      <c r="G43" s="534"/>
      <c r="H43" s="540"/>
      <c r="I43" s="535"/>
      <c r="J43" s="535"/>
      <c r="K43" s="535"/>
    </row>
    <row r="44" spans="2:16" ht="18.75" customHeight="1">
      <c r="B44" s="531"/>
      <c r="C44" s="532"/>
      <c r="D44" s="538"/>
      <c r="E44" s="533"/>
      <c r="F44" s="536"/>
      <c r="G44" s="534"/>
      <c r="H44" s="540"/>
      <c r="I44" s="535"/>
      <c r="J44" s="535"/>
      <c r="K44" s="535"/>
    </row>
    <row r="45" spans="2:16" ht="18.75" customHeight="1">
      <c r="B45" s="531"/>
      <c r="C45" s="532"/>
      <c r="D45" s="539"/>
      <c r="E45" s="533"/>
      <c r="F45" s="536"/>
      <c r="G45" s="534"/>
      <c r="H45" s="544"/>
      <c r="I45" s="1417"/>
      <c r="J45" s="535"/>
      <c r="K45" s="535"/>
    </row>
    <row r="46" spans="2:16" ht="18.75" customHeight="1">
      <c r="B46" s="531"/>
      <c r="C46" s="532"/>
      <c r="D46" s="539"/>
      <c r="E46" s="533"/>
      <c r="F46" s="536"/>
      <c r="G46" s="534"/>
      <c r="H46" s="544"/>
      <c r="I46" s="1417"/>
      <c r="J46" s="535"/>
      <c r="K46" s="535"/>
    </row>
    <row r="47" spans="2:16" ht="18.75" customHeight="1">
      <c r="B47" s="531"/>
      <c r="C47" s="532"/>
      <c r="D47" s="539"/>
      <c r="E47" s="533"/>
      <c r="F47" s="536"/>
      <c r="G47" s="534"/>
      <c r="H47" s="544"/>
      <c r="I47" s="1417"/>
      <c r="J47" s="535"/>
      <c r="K47" s="535"/>
    </row>
    <row r="48" spans="2:16" ht="18.75" customHeight="1">
      <c r="B48" s="531"/>
      <c r="C48" s="532"/>
      <c r="D48" s="539"/>
      <c r="E48" s="533"/>
      <c r="F48" s="536"/>
      <c r="G48" s="534"/>
      <c r="H48" s="544"/>
      <c r="I48" s="1417"/>
      <c r="J48" s="535"/>
      <c r="K48" s="535"/>
    </row>
    <row r="49" spans="2:11" ht="18.75" customHeight="1">
      <c r="B49" s="531"/>
      <c r="C49" s="532"/>
      <c r="D49" s="538"/>
      <c r="E49" s="539"/>
      <c r="F49" s="536"/>
      <c r="G49" s="534"/>
      <c r="H49" s="540"/>
      <c r="I49" s="535"/>
      <c r="J49" s="535"/>
      <c r="K49" s="535"/>
    </row>
    <row r="50" spans="2:11" ht="18.75" customHeight="1">
      <c r="B50" s="531"/>
      <c r="C50" s="532"/>
      <c r="D50" s="541"/>
      <c r="E50" s="533"/>
      <c r="F50" s="544"/>
      <c r="G50" s="543"/>
      <c r="H50" s="544"/>
      <c r="I50" s="533"/>
      <c r="J50" s="537"/>
      <c r="K50" s="537"/>
    </row>
    <row r="51" spans="2:11" ht="18.75" customHeight="1">
      <c r="B51" s="531"/>
      <c r="C51" s="532"/>
      <c r="D51" s="541"/>
      <c r="E51" s="533"/>
      <c r="F51" s="536"/>
      <c r="G51" s="534"/>
      <c r="H51" s="536"/>
      <c r="I51" s="542"/>
      <c r="J51" s="535"/>
      <c r="K51" s="535"/>
    </row>
    <row r="52" spans="2:11" ht="18.75" customHeight="1">
      <c r="B52" s="531"/>
      <c r="C52" s="532"/>
      <c r="D52" s="541"/>
      <c r="E52" s="533"/>
      <c r="F52" s="544"/>
      <c r="G52" s="543"/>
      <c r="H52" s="544"/>
      <c r="I52" s="533"/>
      <c r="J52" s="537"/>
      <c r="K52" s="537"/>
    </row>
    <row r="53" spans="2:11" ht="18.75" customHeight="1">
      <c r="B53" s="531"/>
      <c r="C53" s="532"/>
      <c r="D53" s="541"/>
      <c r="E53" s="533"/>
      <c r="F53" s="536"/>
      <c r="G53" s="534"/>
      <c r="H53" s="536"/>
      <c r="I53" s="542"/>
      <c r="J53" s="535"/>
      <c r="K53" s="535"/>
    </row>
    <row r="54" spans="2:11" ht="18.75" customHeight="1">
      <c r="B54" s="531"/>
      <c r="C54" s="532"/>
      <c r="D54" s="538"/>
      <c r="E54" s="539"/>
      <c r="F54" s="536"/>
      <c r="G54" s="534"/>
      <c r="H54" s="536"/>
      <c r="I54" s="535"/>
      <c r="J54" s="535"/>
      <c r="K54" s="537"/>
    </row>
    <row r="55" spans="2:11" ht="18.75" customHeight="1">
      <c r="B55" s="531"/>
      <c r="C55" s="532"/>
      <c r="D55" s="538"/>
      <c r="E55" s="539"/>
      <c r="F55" s="536"/>
      <c r="G55" s="534"/>
      <c r="H55" s="540"/>
      <c r="I55" s="535"/>
      <c r="J55" s="535"/>
      <c r="K55" s="537"/>
    </row>
    <row r="56" spans="2:11" ht="18.75" customHeight="1">
      <c r="B56" s="531"/>
      <c r="C56" s="532"/>
      <c r="D56" s="539"/>
      <c r="E56" s="539"/>
      <c r="F56" s="545"/>
      <c r="G56" s="545"/>
      <c r="H56" s="546"/>
      <c r="I56" s="535"/>
      <c r="J56" s="535"/>
      <c r="K56" s="535"/>
    </row>
    <row r="57" spans="2:11" ht="18.75" customHeight="1">
      <c r="B57" s="547"/>
      <c r="C57" s="532"/>
      <c r="D57" s="533"/>
      <c r="E57" s="533"/>
      <c r="F57" s="533"/>
      <c r="G57" s="533"/>
      <c r="H57" s="533"/>
      <c r="I57" s="548"/>
      <c r="J57" s="548"/>
      <c r="K57" s="533"/>
    </row>
    <row r="58" spans="2:11" ht="18.75" customHeight="1">
      <c r="B58" s="547"/>
      <c r="C58" s="532"/>
      <c r="D58" s="533"/>
      <c r="E58" s="533"/>
      <c r="F58" s="533"/>
      <c r="G58" s="533"/>
      <c r="H58" s="533"/>
      <c r="I58" s="548"/>
      <c r="J58" s="548"/>
      <c r="K58" s="533"/>
    </row>
    <row r="59" spans="2:11" ht="18.75" customHeight="1">
      <c r="B59" s="547"/>
      <c r="C59" s="532"/>
      <c r="D59" s="533"/>
      <c r="E59" s="533"/>
      <c r="F59" s="533"/>
      <c r="G59" s="533"/>
      <c r="H59" s="533"/>
      <c r="I59" s="548"/>
      <c r="J59" s="548"/>
      <c r="K59" s="533"/>
    </row>
    <row r="60" spans="2:11" ht="18.75" customHeight="1">
      <c r="B60" s="547"/>
      <c r="C60" s="532"/>
      <c r="D60" s="533"/>
      <c r="E60" s="533"/>
      <c r="F60" s="533"/>
      <c r="G60" s="533"/>
      <c r="H60" s="533"/>
      <c r="I60" s="548"/>
      <c r="J60" s="548"/>
      <c r="K60" s="533"/>
    </row>
    <row r="61" spans="2:11" ht="18.75" customHeight="1">
      <c r="B61" s="547"/>
      <c r="C61" s="532"/>
      <c r="D61" s="533"/>
      <c r="E61" s="533"/>
      <c r="F61" s="533"/>
      <c r="G61" s="533"/>
      <c r="H61" s="533"/>
      <c r="I61" s="548"/>
      <c r="J61" s="548"/>
      <c r="K61" s="533"/>
    </row>
    <row r="62" spans="2:11" ht="18.75" customHeight="1">
      <c r="B62" s="547"/>
      <c r="C62" s="532"/>
      <c r="D62" s="533"/>
      <c r="E62" s="533"/>
      <c r="F62" s="533"/>
      <c r="G62" s="533"/>
      <c r="H62" s="533"/>
      <c r="I62" s="548"/>
      <c r="J62" s="548"/>
      <c r="K62" s="533"/>
    </row>
    <row r="63" spans="2:11" ht="18.75" customHeight="1">
      <c r="B63" s="547"/>
      <c r="C63" s="532"/>
      <c r="D63" s="533"/>
      <c r="E63" s="533"/>
      <c r="F63" s="533"/>
      <c r="G63" s="533"/>
      <c r="H63" s="533"/>
      <c r="I63" s="548"/>
      <c r="J63" s="548"/>
      <c r="K63" s="533"/>
    </row>
    <row r="64" spans="2:11" ht="18.75" customHeight="1">
      <c r="B64" s="547"/>
      <c r="C64" s="532"/>
      <c r="D64" s="533"/>
      <c r="E64" s="533"/>
      <c r="F64" s="533"/>
      <c r="G64" s="533"/>
      <c r="H64" s="533"/>
      <c r="I64" s="548"/>
      <c r="J64" s="548"/>
      <c r="K64" s="533"/>
    </row>
    <row r="65" spans="1:11" ht="18.75" customHeight="1">
      <c r="B65" s="547"/>
      <c r="C65" s="532"/>
      <c r="D65" s="533"/>
      <c r="E65" s="533"/>
      <c r="F65" s="533"/>
      <c r="G65" s="533"/>
      <c r="H65" s="533"/>
      <c r="I65" s="548"/>
      <c r="J65" s="548"/>
      <c r="K65" s="533"/>
    </row>
    <row r="66" spans="1:11" ht="18.75" customHeight="1">
      <c r="B66" s="547"/>
      <c r="C66" s="532"/>
      <c r="D66" s="533"/>
      <c r="E66" s="533"/>
      <c r="F66" s="533"/>
      <c r="G66" s="533"/>
      <c r="H66" s="533"/>
      <c r="I66" s="548"/>
      <c r="J66" s="548"/>
      <c r="K66" s="533"/>
    </row>
    <row r="67" spans="1:11" ht="18.75" customHeight="1">
      <c r="B67" s="547"/>
      <c r="C67" s="532"/>
      <c r="D67" s="533"/>
      <c r="E67" s="533"/>
      <c r="F67" s="533"/>
      <c r="G67" s="533"/>
      <c r="H67" s="533"/>
      <c r="I67" s="548"/>
      <c r="J67" s="548"/>
      <c r="K67" s="533"/>
    </row>
    <row r="68" spans="1:11" ht="18.75" customHeight="1">
      <c r="B68" s="549"/>
      <c r="C68" s="550"/>
      <c r="D68" s="551"/>
      <c r="E68" s="551"/>
      <c r="F68" s="551"/>
      <c r="G68" s="551"/>
      <c r="H68" s="551"/>
      <c r="I68" s="552"/>
      <c r="J68" s="552"/>
      <c r="K68" s="551"/>
    </row>
    <row r="69" spans="1:11" ht="18.75" customHeight="1">
      <c r="A69" s="662" t="s">
        <v>1911</v>
      </c>
      <c r="G69" s="605"/>
      <c r="H69" s="553" t="s">
        <v>1253</v>
      </c>
      <c r="I69" s="554" t="s">
        <v>5803</v>
      </c>
      <c r="J69" s="555">
        <f>IFERROR(SUMIF(K36:K68,I69,J36:J68),"")</f>
        <v>73.5</v>
      </c>
    </row>
    <row r="70" spans="1:11" ht="18.75" customHeight="1">
      <c r="B70" s="606" t="s">
        <v>437</v>
      </c>
      <c r="D70" s="577" t="s">
        <v>484</v>
      </c>
      <c r="G70" s="605"/>
      <c r="H70" s="556" t="str" cm="1">
        <f t="array" ref="H70">IF(OR(SUMPRODUCT((K36:K68&lt;&gt;"")/COUNTIF(K36:K68,K36:K68&amp;""))=1,SUMPRODUCT((K36:K68&lt;&gt;"")/COUNTIF(K36:K68,K36:K68&amp;""))=0),"","Made In")</f>
        <v/>
      </c>
      <c r="I70" s="525"/>
      <c r="J70" s="548" t="str">
        <f>IFERROR(IF(I70="","",SUMIF(K36:K68,I70,J36:J68)),"")</f>
        <v/>
      </c>
    </row>
    <row r="71" spans="1:11" ht="18.75" customHeight="1">
      <c r="B71" s="607" t="s">
        <v>438</v>
      </c>
      <c r="D71" s="605" t="s">
        <v>4190</v>
      </c>
      <c r="E71" s="519" t="s">
        <v>5305</v>
      </c>
      <c r="G71" s="605"/>
      <c r="H71" s="557" t="str" cm="1">
        <f t="array" ref="H71">IF(SUMPRODUCT((K36:K68&lt;&gt;"")/COUNTIF(K36:K68,K36:K68&amp;""))&lt;&gt;3,"","Made In")</f>
        <v/>
      </c>
      <c r="I71" s="522"/>
      <c r="J71" s="552" t="str">
        <f>IFERROR(IF(I71="","",SUMIF(K37:K69,I71,J37:J69)),"")</f>
        <v/>
      </c>
    </row>
    <row r="72" spans="1:11" ht="18.75" customHeight="1" thickBot="1">
      <c r="B72" s="607" t="s">
        <v>439</v>
      </c>
      <c r="D72" s="608" t="s">
        <v>487</v>
      </c>
      <c r="H72" s="1769" t="s">
        <v>1247</v>
      </c>
      <c r="I72" s="1769"/>
      <c r="J72" s="558" t="s">
        <v>4189</v>
      </c>
    </row>
    <row r="73" spans="1:11" ht="18.75" customHeight="1" thickBot="1">
      <c r="B73" s="607" t="s">
        <v>440</v>
      </c>
      <c r="D73" s="605" t="s">
        <v>485</v>
      </c>
      <c r="E73" s="519" t="s">
        <v>5306</v>
      </c>
      <c r="H73" s="1767" t="s">
        <v>483</v>
      </c>
      <c r="I73" s="1768"/>
      <c r="J73" s="620">
        <f>SUM(J36:J68,J72)</f>
        <v>85.5</v>
      </c>
    </row>
    <row r="74" spans="1:11" ht="18.75" customHeight="1">
      <c r="B74" s="607" t="s">
        <v>441</v>
      </c>
      <c r="D74" s="605" t="s">
        <v>1121</v>
      </c>
      <c r="E74" s="519" t="s">
        <v>5307</v>
      </c>
    </row>
    <row r="76" spans="1:11" ht="18.75" customHeight="1">
      <c r="B76" s="607" t="s">
        <v>1122</v>
      </c>
      <c r="H76" s="606" t="s">
        <v>445</v>
      </c>
    </row>
    <row r="77" spans="1:11" ht="18.75" customHeight="1">
      <c r="B77" s="559"/>
      <c r="C77" s="560"/>
      <c r="D77" s="560"/>
      <c r="E77" s="561"/>
      <c r="F77" s="562"/>
    </row>
    <row r="78" spans="1:11" ht="18.75" customHeight="1">
      <c r="B78" s="563"/>
      <c r="F78" s="564"/>
    </row>
    <row r="79" spans="1:11" ht="18.75" customHeight="1">
      <c r="B79" s="563"/>
      <c r="F79" s="564"/>
    </row>
    <row r="80" spans="1:11" ht="18.75" customHeight="1">
      <c r="B80" s="565"/>
      <c r="C80" s="566"/>
      <c r="D80" s="566"/>
      <c r="E80" s="567"/>
      <c r="F80" s="568"/>
      <c r="H80" s="566"/>
      <c r="I80" s="566"/>
      <c r="J80" s="566"/>
      <c r="K80" s="566"/>
    </row>
  </sheetData>
  <mergeCells count="21">
    <mergeCell ref="D3:E3"/>
    <mergeCell ref="A8:A12"/>
    <mergeCell ref="B33:C33"/>
    <mergeCell ref="B14:E17"/>
    <mergeCell ref="F14:K15"/>
    <mergeCell ref="G16:K16"/>
    <mergeCell ref="J17:K17"/>
    <mergeCell ref="J33:K33"/>
    <mergeCell ref="F33:H33"/>
    <mergeCell ref="K34:K35"/>
    <mergeCell ref="J34:J35"/>
    <mergeCell ref="I34:I35"/>
    <mergeCell ref="F31:H31"/>
    <mergeCell ref="D31:E31"/>
    <mergeCell ref="D33:E33"/>
    <mergeCell ref="H73:I73"/>
    <mergeCell ref="H72:I72"/>
    <mergeCell ref="B34:B35"/>
    <mergeCell ref="F29:G29"/>
    <mergeCell ref="C34:E34"/>
    <mergeCell ref="F34:H34"/>
  </mergeCells>
  <phoneticPr fontId="3"/>
  <conditionalFormatting sqref="B31">
    <cfRule type="expression" dxfId="90" priority="11" stopIfTrue="1">
      <formula>$B$31="(SELECT)"</formula>
    </cfRule>
  </conditionalFormatting>
  <conditionalFormatting sqref="F31:H31 C34 F34 B33:H33">
    <cfRule type="containsBlanks" dxfId="89" priority="14" stopIfTrue="1">
      <formula>LEN(TRIM(B31))=0</formula>
    </cfRule>
  </conditionalFormatting>
  <conditionalFormatting sqref="F29">
    <cfRule type="expression" dxfId="88" priority="10" stopIfTrue="1">
      <formula>$F$29="(SELECT)"</formula>
    </cfRule>
  </conditionalFormatting>
  <conditionalFormatting sqref="C18:C20 C24:C26 C21:D22 C27:D28">
    <cfRule type="containsBlanks" dxfId="87" priority="12" stopIfTrue="1">
      <formula>LEN(TRIM(C18))=0</formula>
    </cfRule>
  </conditionalFormatting>
  <conditionalFormatting sqref="C31">
    <cfRule type="expression" dxfId="86" priority="7" stopIfTrue="1">
      <formula>$B$31="Vessel"</formula>
    </cfRule>
    <cfRule type="expression" dxfId="85" priority="8" stopIfTrue="1">
      <formula>$B$31="AIR"</formula>
    </cfRule>
    <cfRule type="expression" dxfId="84" priority="9" stopIfTrue="1">
      <formula>$B$31="Other"</formula>
    </cfRule>
  </conditionalFormatting>
  <conditionalFormatting sqref="C36:K68">
    <cfRule type="expression" dxfId="83" priority="4" stopIfTrue="1">
      <formula>COUNTIF($I36,"*per*")</formula>
    </cfRule>
  </conditionalFormatting>
  <dataValidations count="2">
    <dataValidation type="list" allowBlank="1" showInputMessage="1" showErrorMessage="1" sqref="B31" xr:uid="{00000000-0002-0000-0200-000000000000}">
      <formula1>"(SELECT),FedEx,UPS,DHL,Other,Vessel,AIR"</formula1>
    </dataValidation>
    <dataValidation type="list" allowBlank="1" showInputMessage="1" showErrorMessage="1" sqref="F29:G29" xr:uid="{5C0A3626-5B10-4FE7-ACD1-A05D9D48494A}">
      <formula1>"(SELECT),　,Advanced Payment,NET 30days,NET 60days"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6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Option Button 1">
              <controlPr defaultSize="0" autoFill="0" autoLine="0" autoPict="0">
                <anchor moveWithCells="1">
                  <from>
                    <xdr:col>6</xdr:col>
                    <xdr:colOff>28575</xdr:colOff>
                    <xdr:row>15</xdr:row>
                    <xdr:rowOff>228600</xdr:rowOff>
                  </from>
                  <to>
                    <xdr:col>6</xdr:col>
                    <xdr:colOff>333375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Option Button 2">
              <controlPr defaultSize="0" autoFill="0" autoLine="0" autoPict="0">
                <anchor moveWithCells="1">
                  <from>
                    <xdr:col>7</xdr:col>
                    <xdr:colOff>19050</xdr:colOff>
                    <xdr:row>15</xdr:row>
                    <xdr:rowOff>228600</xdr:rowOff>
                  </from>
                  <to>
                    <xdr:col>7</xdr:col>
                    <xdr:colOff>323850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DataCopy_Invoice_SFAmerica">
                <anchor moveWithCells="1" sizeWithCells="1">
                  <from>
                    <xdr:col>5</xdr:col>
                    <xdr:colOff>57150</xdr:colOff>
                    <xdr:row>2</xdr:row>
                    <xdr:rowOff>0</xdr:rowOff>
                  </from>
                  <to>
                    <xdr:col>5</xdr:col>
                    <xdr:colOff>904875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DataCopy_Invoice_SFOsaka">
                <anchor moveWithCells="1" sizeWithCells="1">
                  <from>
                    <xdr:col>6</xdr:col>
                    <xdr:colOff>57150</xdr:colOff>
                    <xdr:row>2</xdr:row>
                    <xdr:rowOff>0</xdr:rowOff>
                  </from>
                  <to>
                    <xdr:col>6</xdr:col>
                    <xdr:colOff>904875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INVOICE明細クリア">
                <anchor moveWithCells="1" sizeWithCells="1">
                  <from>
                    <xdr:col>7</xdr:col>
                    <xdr:colOff>57150</xdr:colOff>
                    <xdr:row>2</xdr:row>
                    <xdr:rowOff>0</xdr:rowOff>
                  </from>
                  <to>
                    <xdr:col>7</xdr:col>
                    <xdr:colOff>904875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改行設定">
                <anchor moveWithCells="1" sizeWithCells="1">
                  <from>
                    <xdr:col>8</xdr:col>
                    <xdr:colOff>47625</xdr:colOff>
                    <xdr:row>2</xdr:row>
                    <xdr:rowOff>0</xdr:rowOff>
                  </from>
                  <to>
                    <xdr:col>8</xdr:col>
                    <xdr:colOff>895350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2000000}">
          <x14:formula1>
            <xm:f>取引先マスタ!$C:$C</xm:f>
          </x14:formula1>
          <xm:sqref>E5:E6 C3:C4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4"/>
    <pageSetUpPr fitToPage="1"/>
  </sheetPr>
  <dimension ref="A1:K80"/>
  <sheetViews>
    <sheetView showGridLines="0" zoomScale="85" zoomScaleNormal="85" zoomScaleSheetLayoutView="85" workbookViewId="0">
      <selection activeCell="K36" sqref="K36:K38"/>
    </sheetView>
  </sheetViews>
  <sheetFormatPr defaultColWidth="9" defaultRowHeight="18.75" customHeight="1" outlineLevelRow="1"/>
  <cols>
    <col min="1" max="1" width="16.75" style="575" bestFit="1" customWidth="1"/>
    <col min="2" max="2" width="15" style="518" customWidth="1"/>
    <col min="3" max="3" width="22.5" style="518" customWidth="1"/>
    <col min="4" max="4" width="12.375" style="518" customWidth="1"/>
    <col min="5" max="5" width="25" style="519" customWidth="1"/>
    <col min="6" max="10" width="12.375" style="518" customWidth="1"/>
    <col min="11" max="11" width="12.5" style="518" customWidth="1"/>
    <col min="12" max="16384" width="9" style="518"/>
  </cols>
  <sheetData>
    <row r="1" spans="1:11" s="516" customFormat="1" ht="17.25" customHeight="1" thickBot="1">
      <c r="A1" s="498"/>
      <c r="D1" s="444"/>
      <c r="E1" s="446"/>
      <c r="F1" s="445"/>
      <c r="G1" s="444"/>
      <c r="H1" s="444"/>
    </row>
    <row r="2" spans="1:11" s="516" customFormat="1" ht="17.25" customHeight="1" thickBot="1">
      <c r="A2" s="623" t="s">
        <v>1868</v>
      </c>
      <c r="B2" s="624" t="s">
        <v>1117</v>
      </c>
      <c r="C2" s="625">
        <f>'Invoice(SF米国)'!C2</f>
        <v>7852</v>
      </c>
      <c r="D2" s="518"/>
      <c r="E2" s="519"/>
      <c r="F2" s="571"/>
      <c r="H2" s="501" t="str">
        <f>'Invoice(SF米国)'!E12</f>
        <v>NY</v>
      </c>
    </row>
    <row r="3" spans="1:11" s="516" customFormat="1" ht="17.25" customHeight="1">
      <c r="A3" s="623" t="s">
        <v>1868</v>
      </c>
      <c r="B3" s="626" t="s">
        <v>1118</v>
      </c>
      <c r="C3" s="627" t="str">
        <f>'Invoice(SF米国)'!C3</f>
        <v>(SELECT) - 顧客名</v>
      </c>
      <c r="D3" s="1790" t="s">
        <v>1900</v>
      </c>
      <c r="E3" s="1791"/>
      <c r="H3" s="444"/>
    </row>
    <row r="4" spans="1:11" s="516" customFormat="1" ht="17.25" customHeight="1">
      <c r="A4" s="623" t="s">
        <v>1260</v>
      </c>
      <c r="B4" s="626" t="s">
        <v>1119</v>
      </c>
      <c r="C4" s="627" t="s">
        <v>1257</v>
      </c>
      <c r="D4" s="628" t="s">
        <v>1274</v>
      </c>
      <c r="E4" s="629" t="str">
        <f>'Invoice(SF米国)'!E4</f>
        <v>PO-02618 Punto Group</v>
      </c>
      <c r="H4" s="444"/>
    </row>
    <row r="5" spans="1:11" s="516" customFormat="1" ht="17.25" customHeight="1">
      <c r="A5" s="623" t="s">
        <v>1868</v>
      </c>
      <c r="B5" s="626" t="s">
        <v>1820</v>
      </c>
      <c r="C5" s="630">
        <f>'Invoice(SF米国)'!C5</f>
        <v>5151</v>
      </c>
      <c r="D5" s="631" t="s">
        <v>1274</v>
      </c>
      <c r="E5" s="632">
        <f>MATCH(TEXT(E4,"@"),'NY BackOrder'!C:C,0)</f>
        <v>2655</v>
      </c>
      <c r="H5" s="444"/>
      <c r="I5" s="444"/>
      <c r="J5" s="444"/>
      <c r="K5" s="444"/>
    </row>
    <row r="6" spans="1:11" s="516" customFormat="1" ht="17.25" customHeight="1" thickBot="1">
      <c r="A6" s="623" t="s">
        <v>1868</v>
      </c>
      <c r="B6" s="626" t="s">
        <v>1821</v>
      </c>
      <c r="C6" s="630">
        <f>'Invoice(SF米国)'!C6</f>
        <v>5153</v>
      </c>
      <c r="D6" s="633" t="s">
        <v>1256</v>
      </c>
      <c r="E6" s="634">
        <f>E5+COUNTIF('NY BackOrder'!C:C,TEXT(E4,"@"))-2</f>
        <v>2658</v>
      </c>
      <c r="H6" s="444"/>
      <c r="I6" s="444"/>
      <c r="J6" s="444"/>
      <c r="K6" s="444"/>
    </row>
    <row r="7" spans="1:11" s="516" customFormat="1" ht="17.25" customHeight="1" thickBot="1">
      <c r="A7" s="623" t="s">
        <v>1868</v>
      </c>
      <c r="B7" s="636" t="s">
        <v>1859</v>
      </c>
      <c r="C7" s="637">
        <f>'Invoice(SF米国)'!C7</f>
        <v>36</v>
      </c>
      <c r="D7" s="638"/>
      <c r="E7" s="639"/>
      <c r="F7" s="445"/>
      <c r="G7" s="444"/>
      <c r="H7" s="444"/>
      <c r="I7" s="444"/>
      <c r="J7" s="444"/>
      <c r="K7" s="444"/>
    </row>
    <row r="8" spans="1:11" s="516" customFormat="1" ht="17.25" hidden="1" customHeight="1" outlineLevel="1">
      <c r="A8" s="1792" t="s">
        <v>1906</v>
      </c>
      <c r="B8" s="640" t="s">
        <v>1822</v>
      </c>
      <c r="C8" s="641">
        <f>C6-C5+C7</f>
        <v>38</v>
      </c>
      <c r="D8" s="642" t="s">
        <v>1246</v>
      </c>
      <c r="E8" s="643" t="str">
        <f>"Invoice "&amp;C2&amp;" (OSAKA)"</f>
        <v>Invoice 7852 (OSAKA)</v>
      </c>
      <c r="F8" s="444"/>
      <c r="G8" s="444"/>
      <c r="H8" s="444"/>
      <c r="I8" s="444"/>
      <c r="J8" s="444"/>
      <c r="K8" s="444"/>
    </row>
    <row r="9" spans="1:11" s="516" customFormat="1" ht="17.25" hidden="1" customHeight="1" outlineLevel="1">
      <c r="A9" s="1793"/>
      <c r="B9" s="644" t="s">
        <v>1860</v>
      </c>
      <c r="C9" s="645">
        <f>'Invoice(SF米国)'!C9</f>
        <v>36</v>
      </c>
      <c r="D9" s="646" t="s">
        <v>1884</v>
      </c>
      <c r="E9" s="647" t="str">
        <f ca="1">'Invoice(SF米国)'!E9</f>
        <v>Invoice(SF米国)</v>
      </c>
      <c r="G9" s="444"/>
      <c r="H9" s="444"/>
      <c r="I9" s="444"/>
      <c r="J9" s="444"/>
      <c r="K9" s="444"/>
    </row>
    <row r="10" spans="1:11" s="516" customFormat="1" ht="17.25" hidden="1" customHeight="1" outlineLevel="1">
      <c r="A10" s="1793"/>
      <c r="B10" s="644" t="s">
        <v>1861</v>
      </c>
      <c r="C10" s="645">
        <f>'Invoice(SF米国)'!C10</f>
        <v>68</v>
      </c>
      <c r="D10" s="646" t="s">
        <v>1885</v>
      </c>
      <c r="E10" s="648" t="str">
        <f ca="1">'Invoice(SF米国)'!E10</f>
        <v>Invoice(SF大阪)</v>
      </c>
      <c r="G10" s="444"/>
      <c r="H10" s="444"/>
      <c r="I10" s="444"/>
      <c r="J10" s="444"/>
      <c r="K10" s="444"/>
    </row>
    <row r="11" spans="1:11" s="516" customFormat="1" ht="17.25" hidden="1" customHeight="1" outlineLevel="1">
      <c r="A11" s="1793"/>
      <c r="B11" s="649" t="s">
        <v>1907</v>
      </c>
      <c r="C11" s="650">
        <f>ROW(A69)</f>
        <v>69</v>
      </c>
      <c r="D11" s="651" t="s">
        <v>1886</v>
      </c>
      <c r="E11" s="648" t="str">
        <f ca="1">'Invoice(SF米国)'!E11</f>
        <v>NY BackOrder</v>
      </c>
    </row>
    <row r="12" spans="1:11" s="516" customFormat="1" ht="17.25" hidden="1" customHeight="1" outlineLevel="1" thickBot="1">
      <c r="A12" s="1794"/>
      <c r="B12" s="652" t="s">
        <v>1908</v>
      </c>
      <c r="C12" s="653" t="str" cm="1">
        <f t="array" aca="1" ref="C12" ca="1">LEFT(MID(CELL("filename",A2),10,99),FIND("B",MID(CELL("filename",A2),10,99))-2)</f>
        <v>chiba</v>
      </c>
      <c r="D12" s="654" t="s">
        <v>1909</v>
      </c>
      <c r="E12" s="655" t="str">
        <f>'Invoice(SF米国)'!E12</f>
        <v>NY</v>
      </c>
      <c r="F12" s="572"/>
    </row>
    <row r="13" spans="1:11" s="516" customFormat="1" ht="17.25" customHeight="1" collapsed="1">
      <c r="A13" s="571"/>
      <c r="B13" s="571"/>
      <c r="C13" s="574"/>
      <c r="E13" s="517"/>
      <c r="F13" s="572"/>
    </row>
    <row r="14" spans="1:11" ht="18.75" customHeight="1">
      <c r="B14" s="1795" t="s">
        <v>4238</v>
      </c>
      <c r="C14" s="1796"/>
      <c r="D14" s="1796"/>
      <c r="E14" s="1796"/>
      <c r="F14" s="1798" t="s">
        <v>1248</v>
      </c>
      <c r="G14" s="1798"/>
      <c r="H14" s="1798"/>
      <c r="I14" s="1798"/>
      <c r="J14" s="1798"/>
      <c r="K14" s="1798"/>
    </row>
    <row r="15" spans="1:11" ht="18.75" customHeight="1">
      <c r="B15" s="1796"/>
      <c r="C15" s="1796"/>
      <c r="D15" s="1796"/>
      <c r="E15" s="1796"/>
      <c r="F15" s="1798"/>
      <c r="G15" s="1798"/>
      <c r="H15" s="1798"/>
      <c r="I15" s="1798"/>
      <c r="J15" s="1798"/>
      <c r="K15" s="1798"/>
    </row>
    <row r="16" spans="1:11" ht="18.75" customHeight="1">
      <c r="B16" s="1796"/>
      <c r="C16" s="1796"/>
      <c r="D16" s="1796"/>
      <c r="E16" s="1796"/>
      <c r="F16" s="576" t="s">
        <v>474</v>
      </c>
      <c r="G16" s="1799">
        <f>C2</f>
        <v>7852</v>
      </c>
      <c r="H16" s="1799"/>
      <c r="I16" s="1799"/>
      <c r="J16" s="1799"/>
      <c r="K16" s="1799"/>
    </row>
    <row r="17" spans="2:11" ht="18.75" customHeight="1">
      <c r="B17" s="1797"/>
      <c r="C17" s="1797"/>
      <c r="D17" s="1797"/>
      <c r="E17" s="1797"/>
      <c r="F17" s="577" t="s">
        <v>475</v>
      </c>
      <c r="G17" s="566" t="s">
        <v>486</v>
      </c>
      <c r="H17" s="566" t="s">
        <v>1251</v>
      </c>
      <c r="I17" s="577" t="s">
        <v>476</v>
      </c>
      <c r="J17" s="1800">
        <f ca="1">IF('Invoice(SF米国)'!J17="","",'Invoice(SF米国)'!J17)</f>
        <v>46114</v>
      </c>
      <c r="K17" s="1800"/>
    </row>
    <row r="18" spans="2:11" ht="18.75" customHeight="1">
      <c r="B18" s="579" t="s">
        <v>462</v>
      </c>
      <c r="C18" s="580" t="str">
        <f>C3</f>
        <v>(SELECT) - 顧客名</v>
      </c>
      <c r="D18" s="581"/>
      <c r="E18" s="582"/>
      <c r="F18" s="583" t="s">
        <v>468</v>
      </c>
      <c r="G18" s="584"/>
      <c r="H18" s="585"/>
      <c r="I18" s="583" t="s">
        <v>471</v>
      </c>
      <c r="J18" s="584"/>
      <c r="K18" s="585"/>
    </row>
    <row r="19" spans="2:11" ht="18.75" customHeight="1">
      <c r="B19" s="563"/>
      <c r="C19" s="586" t="str">
        <f>IFERROR(VLOOKUP(C3,取引先マスタ!C:E,3,FALSE),"")</f>
        <v>ADDRESS 1</v>
      </c>
      <c r="D19" s="524"/>
      <c r="E19" s="525"/>
      <c r="F19" s="520"/>
      <c r="G19" s="521"/>
      <c r="H19" s="522"/>
      <c r="I19" s="520"/>
      <c r="J19" s="521"/>
      <c r="K19" s="522"/>
    </row>
    <row r="20" spans="2:11" ht="18.75" customHeight="1">
      <c r="B20" s="563"/>
      <c r="C20" s="586" t="str">
        <f>IFERROR(VLOOKUP(C3,取引先マスタ!C:F,4,FALSE),"")</f>
        <v>ADDRESS 2</v>
      </c>
      <c r="D20" s="524"/>
      <c r="E20" s="525"/>
      <c r="F20" s="583" t="s">
        <v>469</v>
      </c>
      <c r="G20" s="584"/>
      <c r="H20" s="585"/>
      <c r="I20" s="583" t="s">
        <v>470</v>
      </c>
      <c r="J20" s="584"/>
      <c r="K20" s="585"/>
    </row>
    <row r="21" spans="2:11" ht="18.75" customHeight="1">
      <c r="B21" s="563"/>
      <c r="C21" s="587" t="str">
        <f>IFERROR(IF(VLOOKUP(C3,取引先マスタ!C:G,5,FALSE)=0,"Country: ","Country: "&amp;VLOOKUP(C3,取引先マスタ!C:G,5,FALSE)),"")</f>
        <v>Country: COUNTRY</v>
      </c>
      <c r="D21" s="524" t="str">
        <f>IFERROR(IF(VLOOKUP(C3,取引先マスタ!C:D,2,FALSE)=0,"Zip Code: ","Zip Code: "&amp;VLOOKUP(C3,取引先マスタ!C:D,2,FALSE)),"")</f>
        <v>Zip Code: ZIP CODE</v>
      </c>
      <c r="E21" s="525"/>
      <c r="F21" s="520"/>
      <c r="G21" s="521"/>
      <c r="H21" s="522"/>
      <c r="I21" s="520"/>
      <c r="J21" s="521"/>
      <c r="K21" s="522"/>
    </row>
    <row r="22" spans="2:11" ht="18.75" customHeight="1">
      <c r="B22" s="563"/>
      <c r="C22" s="587" t="str">
        <f>IFERROR(IF(VLOOKUP(C3,取引先マスタ!C:H,6,FALSE)=0,"Tel: ",VLOOKUP(C3,取引先マスタ!C:H,6,FALSE)),"")</f>
        <v>TEL</v>
      </c>
      <c r="D22" s="524" t="str">
        <f>IFERROR(IF(VLOOKUP(C3,取引先マスタ!C:I,7,FALSE)=0,"Attn: ","Attn: "&amp;VLOOKUP(C3,取引先マスタ!C:I,7,FALSE)),"")</f>
        <v>Attn: ATTENTION</v>
      </c>
      <c r="E22" s="525"/>
      <c r="F22" s="583" t="s">
        <v>464</v>
      </c>
      <c r="G22" s="584"/>
      <c r="H22" s="584"/>
      <c r="I22" s="584"/>
      <c r="J22" s="584"/>
      <c r="K22" s="585"/>
    </row>
    <row r="23" spans="2:11" ht="18.75" customHeight="1">
      <c r="B23" s="565"/>
      <c r="C23" s="569"/>
      <c r="D23" s="521"/>
      <c r="E23" s="522"/>
      <c r="F23" s="588" t="s">
        <v>465</v>
      </c>
      <c r="G23" s="523" t="s">
        <v>1261</v>
      </c>
      <c r="H23" s="524"/>
      <c r="I23" s="524"/>
      <c r="J23" s="524"/>
      <c r="K23" s="525"/>
    </row>
    <row r="24" spans="2:11" ht="18.75" customHeight="1">
      <c r="B24" s="579" t="s">
        <v>461</v>
      </c>
      <c r="C24" s="580" t="str">
        <f>C4</f>
        <v>SUN FASHION AMERICA, INC.</v>
      </c>
      <c r="D24" s="581"/>
      <c r="E24" s="582"/>
      <c r="F24" s="588" t="s">
        <v>466</v>
      </c>
      <c r="G24" s="523" t="s">
        <v>1262</v>
      </c>
      <c r="H24" s="524"/>
      <c r="I24" s="524"/>
      <c r="J24" s="524"/>
      <c r="K24" s="525"/>
    </row>
    <row r="25" spans="2:11" ht="18.75" customHeight="1">
      <c r="B25" s="563"/>
      <c r="C25" s="586" t="str">
        <f>IFERROR(VLOOKUP(C4,取引先マスタ!C:E,3,FALSE),"")</f>
        <v>Suite 716, 15 West 38th Street,</v>
      </c>
      <c r="D25" s="524"/>
      <c r="E25" s="525"/>
      <c r="F25" s="588" t="s">
        <v>423</v>
      </c>
      <c r="G25" s="523" t="s">
        <v>1263</v>
      </c>
      <c r="H25" s="524"/>
      <c r="I25" s="524"/>
      <c r="J25" s="524"/>
      <c r="K25" s="525"/>
    </row>
    <row r="26" spans="2:11" ht="18.75" customHeight="1">
      <c r="B26" s="563"/>
      <c r="C26" s="586" t="str">
        <f>IFERROR(VLOOKUP(C4,取引先マスタ!C:F,4,FALSE),"")</f>
        <v>New York, NY</v>
      </c>
      <c r="D26" s="524"/>
      <c r="E26" s="525"/>
      <c r="F26" s="588" t="s">
        <v>467</v>
      </c>
      <c r="G26" s="523" t="s">
        <v>1264</v>
      </c>
      <c r="H26" s="524"/>
      <c r="I26" s="524"/>
      <c r="J26" s="524"/>
      <c r="K26" s="525"/>
    </row>
    <row r="27" spans="2:11" ht="18.75" customHeight="1">
      <c r="B27" s="563"/>
      <c r="C27" s="587" t="str">
        <f>IFERROR(IF(VLOOKUP(C4,取引先マスタ!C:G,5,FALSE)=0,"Country: ","Country: "&amp;VLOOKUP(C4,取引先マスタ!C:G,5,FALSE)),"")</f>
        <v>Country: U.S.A.</v>
      </c>
      <c r="D27" s="524" t="str">
        <f>IFERROR(IF(VLOOKUP(C4,取引先マスタ!C:D,2,FALSE)=0,"Zip Code: ","Zip Code: "&amp;VLOOKUP(C4,取引先マスタ!C:D,2,FALSE)),"")</f>
        <v>Zip Code: 10018</v>
      </c>
      <c r="E27" s="525"/>
      <c r="F27" s="520" t="s">
        <v>473</v>
      </c>
      <c r="G27" s="526" t="s">
        <v>1265</v>
      </c>
      <c r="H27" s="521"/>
      <c r="I27" s="527" t="s">
        <v>472</v>
      </c>
      <c r="J27" s="527" t="s">
        <v>1266</v>
      </c>
      <c r="K27" s="522"/>
    </row>
    <row r="28" spans="2:11" ht="18.75" customHeight="1">
      <c r="B28" s="563"/>
      <c r="C28" s="587" t="str">
        <f>IFERROR(IF(VLOOKUP(C4,取引先マスタ!C:H,6,FALSE)=0,"Tel: ",VLOOKUP(C4,取引先マスタ!C:H,6,FALSE)),"")</f>
        <v xml:space="preserve">Tel: </v>
      </c>
      <c r="D28" s="524" t="str">
        <f>IFERROR(IF(VLOOKUP(C4,取引先マスタ!C:I,7,FALSE)=0,"Attn: ","Attn: "&amp;VLOOKUP(C4,取引先マスタ!C:I,7,FALSE)),"")</f>
        <v>Attn: Megumi Chiba</v>
      </c>
      <c r="E28" s="525"/>
      <c r="F28" s="583" t="s">
        <v>463</v>
      </c>
      <c r="G28" s="584"/>
      <c r="H28" s="584"/>
      <c r="I28" s="584"/>
      <c r="J28" s="584"/>
      <c r="K28" s="585"/>
    </row>
    <row r="29" spans="2:11" ht="18.75" customHeight="1">
      <c r="B29" s="563"/>
      <c r="C29" s="569"/>
      <c r="D29" s="521"/>
      <c r="E29" s="522"/>
      <c r="F29" s="1808" t="s">
        <v>1267</v>
      </c>
      <c r="G29" s="1809"/>
      <c r="H29" s="609"/>
      <c r="I29" s="609"/>
      <c r="J29" s="609"/>
      <c r="K29" s="596"/>
    </row>
    <row r="30" spans="2:11" ht="18.75" customHeight="1">
      <c r="B30" s="583" t="s">
        <v>454</v>
      </c>
      <c r="C30" s="589"/>
      <c r="D30" s="583" t="s">
        <v>455</v>
      </c>
      <c r="E30" s="590"/>
      <c r="F30" s="583" t="s">
        <v>457</v>
      </c>
      <c r="G30" s="591"/>
      <c r="H30" s="589"/>
      <c r="I30" s="583" t="s">
        <v>459</v>
      </c>
      <c r="J30" s="592"/>
      <c r="K30" s="593"/>
    </row>
    <row r="31" spans="2:11" ht="18.75" customHeight="1">
      <c r="B31" s="615" t="str">
        <f>'Invoice(SF米国)'!B31</f>
        <v>(SELECT)</v>
      </c>
      <c r="C31" s="522"/>
      <c r="D31" s="1787" t="str">
        <f>IF('Invoice(SF米国)'!D31="","",'Invoice(SF米国)'!D31)</f>
        <v>Osaka, Japan</v>
      </c>
      <c r="E31" s="1786"/>
      <c r="F31" s="1784">
        <f ca="1">J17</f>
        <v>46114</v>
      </c>
      <c r="G31" s="1785"/>
      <c r="H31" s="1786"/>
      <c r="I31" s="594" t="s">
        <v>480</v>
      </c>
      <c r="J31" s="595" t="str">
        <f>IF('Invoice(SF米国)'!J31="","",'Invoice(SF米国)'!J31)</f>
        <v/>
      </c>
      <c r="K31" s="596"/>
    </row>
    <row r="32" spans="2:11" ht="18.75" customHeight="1">
      <c r="B32" s="583" t="s">
        <v>453</v>
      </c>
      <c r="C32" s="589"/>
      <c r="D32" s="583" t="s">
        <v>456</v>
      </c>
      <c r="E32" s="590"/>
      <c r="F32" s="583" t="s">
        <v>458</v>
      </c>
      <c r="G32" s="591"/>
      <c r="H32" s="589"/>
      <c r="I32" s="616"/>
      <c r="J32" s="617"/>
      <c r="K32" s="618"/>
    </row>
    <row r="33" spans="2:11" ht="18.75" customHeight="1" thickBot="1">
      <c r="B33" s="1788" t="str">
        <f>IF('Invoice(SF米国)'!B33="","",'Invoice(SF米国)'!B33)</f>
        <v>New York, U.S.A</v>
      </c>
      <c r="C33" s="1789"/>
      <c r="D33" s="1788" t="str">
        <f>IF('Invoice(SF米国)'!D33="","",'Invoice(SF米国)'!D33)</f>
        <v>New York, U.S.A</v>
      </c>
      <c r="E33" s="1789"/>
      <c r="F33" s="1803" t="str">
        <f>IF('Invoice(SF米国)'!F33="","",'Invoice(SF米国)'!F33)</f>
        <v>-</v>
      </c>
      <c r="G33" s="1804"/>
      <c r="H33" s="1805"/>
      <c r="I33" s="597" t="s">
        <v>460</v>
      </c>
      <c r="J33" s="1801" t="s">
        <v>1268</v>
      </c>
      <c r="K33" s="1802"/>
    </row>
    <row r="34" spans="2:11" ht="18.75" customHeight="1" thickTop="1">
      <c r="B34" s="1811" t="s">
        <v>447</v>
      </c>
      <c r="C34" s="1774" t="s">
        <v>481</v>
      </c>
      <c r="D34" s="1774"/>
      <c r="E34" s="1774"/>
      <c r="F34" s="1775" t="s">
        <v>482</v>
      </c>
      <c r="G34" s="1776"/>
      <c r="H34" s="1777"/>
      <c r="I34" s="1812" t="s">
        <v>451</v>
      </c>
      <c r="J34" s="1813" t="s">
        <v>452</v>
      </c>
      <c r="K34" s="1810" t="s">
        <v>321</v>
      </c>
    </row>
    <row r="35" spans="2:11" ht="18.75" customHeight="1" thickBot="1">
      <c r="B35" s="1771"/>
      <c r="C35" s="598" t="s">
        <v>327</v>
      </c>
      <c r="D35" s="598" t="s">
        <v>35</v>
      </c>
      <c r="E35" s="599" t="s">
        <v>36</v>
      </c>
      <c r="F35" s="598" t="s">
        <v>448</v>
      </c>
      <c r="G35" s="598" t="s">
        <v>449</v>
      </c>
      <c r="H35" s="598" t="s">
        <v>450</v>
      </c>
      <c r="I35" s="1783"/>
      <c r="J35" s="1781"/>
      <c r="K35" s="1779"/>
    </row>
    <row r="36" spans="2:11" ht="18.75" customHeight="1" thickTop="1">
      <c r="B36" s="528" t="s">
        <v>6406</v>
      </c>
      <c r="C36" s="529" t="s">
        <v>6407</v>
      </c>
      <c r="D36" s="530"/>
      <c r="E36" s="1721"/>
      <c r="F36" s="1722"/>
      <c r="G36" s="1722"/>
      <c r="H36" s="1722"/>
      <c r="I36" s="1723"/>
      <c r="J36" s="530"/>
      <c r="K36" s="1723"/>
    </row>
    <row r="37" spans="2:11" ht="18.75" customHeight="1">
      <c r="B37" s="531" t="s">
        <v>6406</v>
      </c>
      <c r="C37" s="532" t="s">
        <v>5680</v>
      </c>
      <c r="D37" s="539"/>
      <c r="E37" s="539" t="s">
        <v>6159</v>
      </c>
      <c r="F37" s="1724"/>
      <c r="G37" s="534"/>
      <c r="H37" s="536">
        <v>30</v>
      </c>
      <c r="I37" s="535">
        <v>2.16</v>
      </c>
      <c r="J37" s="610">
        <v>64.800000000000011</v>
      </c>
      <c r="K37" s="535" t="s">
        <v>6402</v>
      </c>
    </row>
    <row r="38" spans="2:11" ht="18.75" customHeight="1">
      <c r="B38" s="531" t="s">
        <v>6406</v>
      </c>
      <c r="C38" s="532"/>
      <c r="D38" s="538"/>
      <c r="E38" s="539" t="s">
        <v>363</v>
      </c>
      <c r="F38" s="536"/>
      <c r="G38" s="534"/>
      <c r="H38" s="540">
        <v>1</v>
      </c>
      <c r="I38" s="535">
        <v>12</v>
      </c>
      <c r="J38" s="610">
        <v>12</v>
      </c>
      <c r="K38" s="535"/>
    </row>
    <row r="39" spans="2:11" ht="18.75" customHeight="1">
      <c r="B39" s="531"/>
      <c r="C39" s="532"/>
      <c r="D39" s="538"/>
      <c r="E39" s="533"/>
      <c r="F39" s="544"/>
      <c r="G39" s="543"/>
      <c r="H39" s="536"/>
      <c r="I39" s="542"/>
      <c r="J39" s="542"/>
      <c r="K39" s="535"/>
    </row>
    <row r="40" spans="2:11" ht="18.75" customHeight="1">
      <c r="B40" s="531"/>
      <c r="C40" s="532"/>
      <c r="D40" s="538"/>
      <c r="E40" s="533"/>
      <c r="F40" s="536"/>
      <c r="G40" s="534"/>
      <c r="H40" s="540"/>
      <c r="I40" s="542"/>
      <c r="J40" s="542"/>
      <c r="K40" s="535"/>
    </row>
    <row r="41" spans="2:11" ht="18.75" customHeight="1">
      <c r="B41" s="531"/>
      <c r="C41" s="532"/>
      <c r="D41" s="538"/>
      <c r="E41" s="539"/>
      <c r="F41" s="536"/>
      <c r="G41" s="534"/>
      <c r="H41" s="540"/>
      <c r="I41" s="542"/>
      <c r="J41" s="542"/>
      <c r="K41" s="535"/>
    </row>
    <row r="42" spans="2:11" ht="18.75" customHeight="1">
      <c r="B42" s="531"/>
      <c r="C42" s="532"/>
      <c r="D42" s="538"/>
      <c r="E42" s="533"/>
      <c r="F42" s="536"/>
      <c r="G42" s="534"/>
      <c r="H42" s="540"/>
      <c r="I42" s="542"/>
      <c r="J42" s="542"/>
      <c r="K42" s="535"/>
    </row>
    <row r="43" spans="2:11" ht="18.75" customHeight="1">
      <c r="B43" s="531"/>
      <c r="C43" s="532"/>
      <c r="D43" s="538"/>
      <c r="E43" s="533"/>
      <c r="F43" s="536"/>
      <c r="G43" s="534"/>
      <c r="H43" s="540"/>
      <c r="I43" s="535"/>
      <c r="J43" s="542"/>
      <c r="K43" s="535"/>
    </row>
    <row r="44" spans="2:11" ht="18.75" customHeight="1">
      <c r="B44" s="531"/>
      <c r="C44" s="532"/>
      <c r="D44" s="538"/>
      <c r="E44" s="533"/>
      <c r="F44" s="536"/>
      <c r="G44" s="534"/>
      <c r="H44" s="540"/>
      <c r="I44" s="535"/>
      <c r="J44" s="542"/>
      <c r="K44" s="535"/>
    </row>
    <row r="45" spans="2:11" ht="18.75" customHeight="1">
      <c r="B45" s="531"/>
      <c r="C45" s="532"/>
      <c r="D45" s="539"/>
      <c r="E45" s="533"/>
      <c r="F45" s="536"/>
      <c r="G45" s="534"/>
      <c r="H45" s="544"/>
      <c r="I45" s="542"/>
      <c r="J45" s="542"/>
      <c r="K45" s="535"/>
    </row>
    <row r="46" spans="2:11" ht="18.75" customHeight="1">
      <c r="B46" s="531"/>
      <c r="C46" s="532"/>
      <c r="D46" s="539"/>
      <c r="E46" s="533"/>
      <c r="F46" s="536"/>
      <c r="G46" s="534"/>
      <c r="H46" s="544"/>
      <c r="I46" s="542"/>
      <c r="J46" s="542"/>
      <c r="K46" s="535"/>
    </row>
    <row r="47" spans="2:11" ht="18.75" customHeight="1">
      <c r="B47" s="531"/>
      <c r="C47" s="532"/>
      <c r="D47" s="539"/>
      <c r="E47" s="533"/>
      <c r="F47" s="536"/>
      <c r="G47" s="534"/>
      <c r="H47" s="544"/>
      <c r="I47" s="542"/>
      <c r="J47" s="542"/>
      <c r="K47" s="535"/>
    </row>
    <row r="48" spans="2:11" ht="18.75" customHeight="1">
      <c r="B48" s="531"/>
      <c r="C48" s="532"/>
      <c r="D48" s="539"/>
      <c r="E48" s="533"/>
      <c r="F48" s="536"/>
      <c r="G48" s="534"/>
      <c r="H48" s="544"/>
      <c r="I48" s="542"/>
      <c r="J48" s="542"/>
      <c r="K48" s="535"/>
    </row>
    <row r="49" spans="2:11" ht="18.75" customHeight="1">
      <c r="B49" s="531"/>
      <c r="C49" s="532"/>
      <c r="D49" s="538"/>
      <c r="E49" s="539"/>
      <c r="F49" s="536"/>
      <c r="G49" s="534"/>
      <c r="H49" s="540"/>
      <c r="I49" s="542"/>
      <c r="J49" s="610"/>
      <c r="K49" s="535"/>
    </row>
    <row r="50" spans="2:11" ht="18.75" customHeight="1">
      <c r="B50" s="531"/>
      <c r="C50" s="532"/>
      <c r="D50" s="539"/>
      <c r="E50" s="539"/>
      <c r="F50" s="536"/>
      <c r="G50" s="534"/>
      <c r="H50" s="536"/>
      <c r="I50" s="535"/>
      <c r="J50" s="610"/>
      <c r="K50" s="535"/>
    </row>
    <row r="51" spans="2:11" ht="18.75" customHeight="1">
      <c r="B51" s="531"/>
      <c r="C51" s="532"/>
      <c r="D51" s="539"/>
      <c r="E51" s="539"/>
      <c r="F51" s="536"/>
      <c r="G51" s="534"/>
      <c r="H51" s="536"/>
      <c r="I51" s="535"/>
      <c r="J51" s="610"/>
      <c r="K51" s="535"/>
    </row>
    <row r="52" spans="2:11" ht="18.75" customHeight="1">
      <c r="B52" s="531"/>
      <c r="C52" s="532"/>
      <c r="D52" s="539"/>
      <c r="E52" s="539"/>
      <c r="F52" s="536"/>
      <c r="G52" s="534"/>
      <c r="H52" s="536"/>
      <c r="I52" s="535"/>
      <c r="J52" s="610"/>
      <c r="K52" s="535"/>
    </row>
    <row r="53" spans="2:11" ht="18.75" customHeight="1">
      <c r="B53" s="531"/>
      <c r="C53" s="532"/>
      <c r="D53" s="538"/>
      <c r="E53" s="539"/>
      <c r="F53" s="536"/>
      <c r="G53" s="534"/>
      <c r="H53" s="540"/>
      <c r="I53" s="535"/>
      <c r="J53" s="610"/>
      <c r="K53" s="535"/>
    </row>
    <row r="54" spans="2:11" ht="18.75" customHeight="1">
      <c r="B54" s="531"/>
      <c r="C54" s="532"/>
      <c r="D54" s="539"/>
      <c r="E54" s="539"/>
      <c r="F54" s="540"/>
      <c r="G54" s="543"/>
      <c r="H54" s="544"/>
      <c r="I54" s="535"/>
      <c r="J54" s="533"/>
      <c r="K54" s="537"/>
    </row>
    <row r="55" spans="2:11" ht="18.75" customHeight="1">
      <c r="B55" s="531"/>
      <c r="C55" s="532"/>
      <c r="D55" s="539"/>
      <c r="E55" s="539"/>
      <c r="F55" s="544"/>
      <c r="G55" s="544"/>
      <c r="H55" s="544"/>
      <c r="I55" s="535"/>
      <c r="J55" s="533"/>
      <c r="K55" s="537"/>
    </row>
    <row r="56" spans="2:11" ht="18.75" customHeight="1">
      <c r="B56" s="531"/>
      <c r="C56" s="532"/>
      <c r="D56" s="539"/>
      <c r="E56" s="539"/>
      <c r="F56" s="545"/>
      <c r="G56" s="545"/>
      <c r="H56" s="546"/>
      <c r="I56" s="535"/>
      <c r="J56" s="610"/>
      <c r="K56" s="535"/>
    </row>
    <row r="57" spans="2:11" ht="18.75" customHeight="1">
      <c r="B57" s="547"/>
      <c r="C57" s="532"/>
      <c r="D57" s="533"/>
      <c r="E57" s="533"/>
      <c r="F57" s="533"/>
      <c r="G57" s="533"/>
      <c r="H57" s="533"/>
      <c r="I57" s="548"/>
      <c r="J57" s="548"/>
      <c r="K57" s="533"/>
    </row>
    <row r="58" spans="2:11" ht="18.75" customHeight="1">
      <c r="B58" s="547"/>
      <c r="C58" s="532"/>
      <c r="D58" s="533"/>
      <c r="E58" s="533"/>
      <c r="F58" s="533"/>
      <c r="G58" s="533"/>
      <c r="H58" s="533"/>
      <c r="I58" s="548"/>
      <c r="J58" s="548"/>
      <c r="K58" s="533"/>
    </row>
    <row r="59" spans="2:11" ht="18.75" customHeight="1">
      <c r="B59" s="547"/>
      <c r="C59" s="532"/>
      <c r="D59" s="533"/>
      <c r="E59" s="533"/>
      <c r="F59" s="533"/>
      <c r="G59" s="533"/>
      <c r="H59" s="533"/>
      <c r="I59" s="548"/>
      <c r="J59" s="548"/>
      <c r="K59" s="533"/>
    </row>
    <row r="60" spans="2:11" ht="18.75" customHeight="1">
      <c r="B60" s="547"/>
      <c r="C60" s="532"/>
      <c r="D60" s="533"/>
      <c r="E60" s="533"/>
      <c r="F60" s="533"/>
      <c r="G60" s="533"/>
      <c r="H60" s="533"/>
      <c r="I60" s="548"/>
      <c r="J60" s="548"/>
      <c r="K60" s="533"/>
    </row>
    <row r="61" spans="2:11" ht="18.75" customHeight="1">
      <c r="B61" s="547"/>
      <c r="C61" s="532"/>
      <c r="D61" s="533"/>
      <c r="E61" s="533"/>
      <c r="F61" s="533"/>
      <c r="G61" s="533"/>
      <c r="H61" s="533"/>
      <c r="I61" s="548"/>
      <c r="J61" s="548"/>
      <c r="K61" s="533"/>
    </row>
    <row r="62" spans="2:11" ht="18.75" customHeight="1">
      <c r="B62" s="547"/>
      <c r="C62" s="532"/>
      <c r="D62" s="533"/>
      <c r="E62" s="533"/>
      <c r="F62" s="533"/>
      <c r="G62" s="533"/>
      <c r="H62" s="533"/>
      <c r="I62" s="548"/>
      <c r="J62" s="548"/>
      <c r="K62" s="533"/>
    </row>
    <row r="63" spans="2:11" ht="18.75" customHeight="1">
      <c r="B63" s="547"/>
      <c r="C63" s="532"/>
      <c r="D63" s="533"/>
      <c r="E63" s="533"/>
      <c r="F63" s="533"/>
      <c r="G63" s="533"/>
      <c r="H63" s="533"/>
      <c r="I63" s="548"/>
      <c r="J63" s="548"/>
      <c r="K63" s="533"/>
    </row>
    <row r="64" spans="2:11" ht="18.75" customHeight="1">
      <c r="B64" s="547"/>
      <c r="C64" s="532"/>
      <c r="D64" s="533"/>
      <c r="E64" s="533"/>
      <c r="F64" s="533"/>
      <c r="G64" s="533"/>
      <c r="H64" s="533"/>
      <c r="I64" s="548"/>
      <c r="J64" s="548"/>
      <c r="K64" s="533"/>
    </row>
    <row r="65" spans="1:11" ht="18.75" customHeight="1">
      <c r="B65" s="547"/>
      <c r="C65" s="532"/>
      <c r="D65" s="533"/>
      <c r="E65" s="533"/>
      <c r="F65" s="533"/>
      <c r="G65" s="533"/>
      <c r="H65" s="533"/>
      <c r="I65" s="548"/>
      <c r="J65" s="548"/>
      <c r="K65" s="533"/>
    </row>
    <row r="66" spans="1:11" ht="18.75" customHeight="1">
      <c r="B66" s="547"/>
      <c r="C66" s="532"/>
      <c r="D66" s="533"/>
      <c r="E66" s="533"/>
      <c r="F66" s="533"/>
      <c r="G66" s="533"/>
      <c r="H66" s="533"/>
      <c r="I66" s="548"/>
      <c r="J66" s="548"/>
      <c r="K66" s="533"/>
    </row>
    <row r="67" spans="1:11" ht="18.75" customHeight="1">
      <c r="B67" s="547"/>
      <c r="C67" s="532"/>
      <c r="D67" s="533"/>
      <c r="E67" s="533"/>
      <c r="F67" s="533"/>
      <c r="G67" s="533"/>
      <c r="H67" s="533"/>
      <c r="I67" s="548"/>
      <c r="J67" s="548"/>
      <c r="K67" s="533"/>
    </row>
    <row r="68" spans="1:11" ht="18.75" customHeight="1">
      <c r="B68" s="549"/>
      <c r="C68" s="550"/>
      <c r="D68" s="551"/>
      <c r="E68" s="551"/>
      <c r="F68" s="551"/>
      <c r="G68" s="551"/>
      <c r="H68" s="551"/>
      <c r="I68" s="552"/>
      <c r="J68" s="552"/>
      <c r="K68" s="551"/>
    </row>
    <row r="69" spans="1:11" ht="18.75" customHeight="1">
      <c r="A69" s="662" t="s">
        <v>1911</v>
      </c>
      <c r="G69" s="605"/>
      <c r="H69" s="553" t="s">
        <v>1253</v>
      </c>
      <c r="I69" s="554" t="s">
        <v>5804</v>
      </c>
      <c r="J69" s="555">
        <f>IFERROR(SUMIF(K36:K68,I69,J36:J68),"")</f>
        <v>64.800000000000011</v>
      </c>
    </row>
    <row r="70" spans="1:11" ht="18.75" customHeight="1">
      <c r="B70" s="606" t="s">
        <v>437</v>
      </c>
      <c r="D70" s="577" t="s">
        <v>484</v>
      </c>
      <c r="G70" s="605"/>
      <c r="H70" s="556" t="str" cm="1">
        <f t="array" ref="H70">IF(OR(SUMPRODUCT((K36:K68&lt;&gt;"")/COUNTIF(K36:K68,K36:K68&amp;""))=1,SUMPRODUCT((K36:K68&lt;&gt;"")/COUNTIF(K36:K68,K36:K68&amp;""))=0),"","Made In")</f>
        <v/>
      </c>
      <c r="I70" s="525"/>
      <c r="J70" s="548" t="str">
        <f>IFERROR(IF(I70="","",SUMIF(K36:K68,I70,J36:J68)),"")</f>
        <v/>
      </c>
    </row>
    <row r="71" spans="1:11" ht="18.75" customHeight="1">
      <c r="B71" s="607" t="s">
        <v>438</v>
      </c>
      <c r="D71" s="605" t="s">
        <v>4190</v>
      </c>
      <c r="E71" s="519" t="s">
        <v>5305</v>
      </c>
      <c r="G71" s="605"/>
      <c r="H71" s="557" t="str" cm="1">
        <f t="array" ref="H71">IF(SUMPRODUCT((K36:K68&lt;&gt;"")/COUNTIF(K36:K68,K36:K68&amp;""))&lt;&gt;3,"","Made In")</f>
        <v/>
      </c>
      <c r="I71" s="522"/>
      <c r="J71" s="552" t="str">
        <f>IFERROR(IF(I71="","",SUMIF(K37:K69,I71,J37:J69)),"")</f>
        <v/>
      </c>
    </row>
    <row r="72" spans="1:11" ht="18.75" customHeight="1" thickBot="1">
      <c r="B72" s="607" t="s">
        <v>439</v>
      </c>
      <c r="D72" s="608" t="s">
        <v>487</v>
      </c>
      <c r="H72" s="1769" t="s">
        <v>1247</v>
      </c>
      <c r="I72" s="1769"/>
      <c r="J72" s="558" t="str">
        <f>'Invoice(SF米国)'!J72</f>
        <v>Collect</v>
      </c>
    </row>
    <row r="73" spans="1:11" ht="18.75" customHeight="1" thickBot="1">
      <c r="B73" s="607" t="s">
        <v>440</v>
      </c>
      <c r="D73" s="605" t="s">
        <v>485</v>
      </c>
      <c r="E73" s="519" t="s">
        <v>5306</v>
      </c>
      <c r="H73" s="1806" t="s">
        <v>483</v>
      </c>
      <c r="I73" s="1807"/>
      <c r="J73" s="620">
        <f>SUM(J36:J68,J72)</f>
        <v>76.800000000000011</v>
      </c>
    </row>
    <row r="74" spans="1:11" ht="18.75" customHeight="1">
      <c r="B74" s="607" t="s">
        <v>441</v>
      </c>
      <c r="D74" s="605" t="s">
        <v>1121</v>
      </c>
      <c r="E74" s="519" t="s">
        <v>5307</v>
      </c>
    </row>
    <row r="76" spans="1:11" ht="18.75" customHeight="1">
      <c r="B76" s="607" t="s">
        <v>1122</v>
      </c>
      <c r="H76" s="606" t="s">
        <v>1252</v>
      </c>
    </row>
    <row r="77" spans="1:11" ht="18.75" customHeight="1">
      <c r="B77" s="559"/>
      <c r="C77" s="560"/>
      <c r="D77" s="560"/>
      <c r="E77" s="561"/>
      <c r="F77" s="562"/>
    </row>
    <row r="78" spans="1:11" ht="18.75" customHeight="1">
      <c r="B78" s="563"/>
      <c r="F78" s="564"/>
    </row>
    <row r="79" spans="1:11" ht="18.75" customHeight="1">
      <c r="B79" s="563"/>
      <c r="F79" s="564"/>
    </row>
    <row r="80" spans="1:11" ht="18.75" customHeight="1">
      <c r="B80" s="565"/>
      <c r="C80" s="566"/>
      <c r="D80" s="566"/>
      <c r="E80" s="567"/>
      <c r="F80" s="568"/>
      <c r="H80" s="566"/>
      <c r="I80" s="566"/>
      <c r="J80" s="566"/>
      <c r="K80" s="566"/>
    </row>
  </sheetData>
  <mergeCells count="21">
    <mergeCell ref="A8:A12"/>
    <mergeCell ref="H72:I72"/>
    <mergeCell ref="H73:I73"/>
    <mergeCell ref="F29:G29"/>
    <mergeCell ref="K34:K35"/>
    <mergeCell ref="D31:E31"/>
    <mergeCell ref="F31:H31"/>
    <mergeCell ref="B33:C33"/>
    <mergeCell ref="D33:E33"/>
    <mergeCell ref="F33:H33"/>
    <mergeCell ref="J33:K33"/>
    <mergeCell ref="B34:B35"/>
    <mergeCell ref="C34:E34"/>
    <mergeCell ref="F34:H34"/>
    <mergeCell ref="I34:I35"/>
    <mergeCell ref="J34:J35"/>
    <mergeCell ref="B14:E17"/>
    <mergeCell ref="F14:K15"/>
    <mergeCell ref="G16:K16"/>
    <mergeCell ref="J17:K17"/>
    <mergeCell ref="D3:E3"/>
  </mergeCells>
  <phoneticPr fontId="3"/>
  <conditionalFormatting sqref="B31">
    <cfRule type="expression" dxfId="82" priority="13" stopIfTrue="1">
      <formula>$B$31="(SELECT)"</formula>
    </cfRule>
  </conditionalFormatting>
  <conditionalFormatting sqref="J33:K33 B33:H33 D31:E31 C34 F34">
    <cfRule type="containsBlanks" dxfId="81" priority="16" stopIfTrue="1">
      <formula>LEN(TRIM(B31))=0</formula>
    </cfRule>
  </conditionalFormatting>
  <conditionalFormatting sqref="C31">
    <cfRule type="expression" dxfId="80" priority="9" stopIfTrue="1">
      <formula>$B$31="Vessel"</formula>
    </cfRule>
    <cfRule type="expression" dxfId="79" priority="10" stopIfTrue="1">
      <formula>$B$31="AIR"</formula>
    </cfRule>
    <cfRule type="expression" dxfId="78" priority="11" stopIfTrue="1">
      <formula>$B$31="Other"</formula>
    </cfRule>
  </conditionalFormatting>
  <conditionalFormatting sqref="J17:K17">
    <cfRule type="containsBlanks" dxfId="77" priority="6" stopIfTrue="1">
      <formula>LEN(TRIM(J17))=0</formula>
    </cfRule>
  </conditionalFormatting>
  <conditionalFormatting sqref="C18:C20 C24:C26 C21:D22 C27:D28">
    <cfRule type="containsBlanks" dxfId="76" priority="5" stopIfTrue="1">
      <formula>LEN(TRIM(C18))=0</formula>
    </cfRule>
  </conditionalFormatting>
  <conditionalFormatting sqref="F29">
    <cfRule type="expression" dxfId="75" priority="4" stopIfTrue="1">
      <formula>$F$29="(SELECT)"</formula>
    </cfRule>
  </conditionalFormatting>
  <conditionalFormatting sqref="F31:H31">
    <cfRule type="containsBlanks" dxfId="74" priority="3" stopIfTrue="1">
      <formula>LEN(TRIM(F31))=0</formula>
    </cfRule>
  </conditionalFormatting>
  <conditionalFormatting sqref="I36">
    <cfRule type="expression" dxfId="73" priority="1" stopIfTrue="1">
      <formula>COUNTIF($I36,"*per*")</formula>
    </cfRule>
  </conditionalFormatting>
  <dataValidations count="1">
    <dataValidation type="list" allowBlank="1" showInputMessage="1" showErrorMessage="1" sqref="B31" xr:uid="{00000000-0002-0000-0300-000001000000}">
      <formula1>"(SELECT),FedEx,UPS,DHL,Other,Vessel,AIR"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68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4" name="Option Button 3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228600</xdr:rowOff>
                  </from>
                  <to>
                    <xdr:col>6</xdr:col>
                    <xdr:colOff>314325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5" name="Option Button 4">
              <controlPr defaultSize="0" autoFill="0" autoLine="0" autoPict="0">
                <anchor moveWithCells="1">
                  <from>
                    <xdr:col>6</xdr:col>
                    <xdr:colOff>914400</xdr:colOff>
                    <xdr:row>15</xdr:row>
                    <xdr:rowOff>228600</xdr:rowOff>
                  </from>
                  <to>
                    <xdr:col>7</xdr:col>
                    <xdr:colOff>276225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6" name="Button 11">
              <controlPr defaultSize="0" print="0" autoFill="0" autoPict="0" macro="[0]!DataCopy_Invoice_SFAmerica">
                <anchor moveWithCells="1" sizeWithCells="1">
                  <from>
                    <xdr:col>5</xdr:col>
                    <xdr:colOff>57150</xdr:colOff>
                    <xdr:row>2</xdr:row>
                    <xdr:rowOff>0</xdr:rowOff>
                  </from>
                  <to>
                    <xdr:col>5</xdr:col>
                    <xdr:colOff>904875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7" name="Button 12">
              <controlPr defaultSize="0" print="0" autoFill="0" autoPict="0" macro="[0]!DataCopy_Invoice_SFOsaka">
                <anchor moveWithCells="1" sizeWithCells="1">
                  <from>
                    <xdr:col>6</xdr:col>
                    <xdr:colOff>57150</xdr:colOff>
                    <xdr:row>2</xdr:row>
                    <xdr:rowOff>0</xdr:rowOff>
                  </from>
                  <to>
                    <xdr:col>6</xdr:col>
                    <xdr:colOff>904875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8" name="Button 13">
              <controlPr defaultSize="0" print="0" autoFill="0" autoPict="0" macro="[0]!INVOICE明細クリア">
                <anchor moveWithCells="1" sizeWithCells="1">
                  <from>
                    <xdr:col>7</xdr:col>
                    <xdr:colOff>57150</xdr:colOff>
                    <xdr:row>2</xdr:row>
                    <xdr:rowOff>0</xdr:rowOff>
                  </from>
                  <to>
                    <xdr:col>7</xdr:col>
                    <xdr:colOff>904875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9" name="Button 14">
              <controlPr defaultSize="0" print="0" autoFill="0" autoPict="0" macro="[0]!改行設定大阪">
                <anchor moveWithCells="1" sizeWithCells="1">
                  <from>
                    <xdr:col>8</xdr:col>
                    <xdr:colOff>47625</xdr:colOff>
                    <xdr:row>2</xdr:row>
                    <xdr:rowOff>0</xdr:rowOff>
                  </from>
                  <to>
                    <xdr:col>8</xdr:col>
                    <xdr:colOff>895350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stopIfTrue="1" id="{00000000-000E-0000-0400-000005000000}">
            <xm:f>COUNTIF('Invoice(SF米国)'!$I47,"*per*")</xm:f>
            <x14:dxf>
              <font>
                <b/>
                <i val="0"/>
              </font>
            </x14:dxf>
          </x14:cfRule>
          <xm:sqref>C42:K52</xm:sqref>
        </x14:conditionalFormatting>
        <x14:conditionalFormatting xmlns:xm="http://schemas.microsoft.com/office/excel/2006/main">
          <x14:cfRule type="expression" priority="23" stopIfTrue="1" id="{00000000-000E-0000-0400-000005000000}">
            <xm:f>COUNTIF('Invoice(SF米国)'!$I36,"*per*")</xm:f>
            <x14:dxf>
              <font>
                <b/>
                <i val="0"/>
              </font>
            </x14:dxf>
          </x14:cfRule>
          <xm:sqref>C68:K68 C40:K41 C37:K38 C53:K64 C36:H36 J36:K36</xm:sqref>
        </x14:conditionalFormatting>
        <x14:conditionalFormatting xmlns:xm="http://schemas.microsoft.com/office/excel/2006/main">
          <x14:cfRule type="expression" priority="24" stopIfTrue="1" id="{00000000-000E-0000-0400-000005000000}">
            <xm:f>COUNTIF('Invoice(SF米国)'!#REF!,"*per*")</xm:f>
            <x14:dxf>
              <font>
                <b/>
                <i val="0"/>
              </font>
            </x14:dxf>
          </x14:cfRule>
          <xm:sqref>C67:K67</xm:sqref>
        </x14:conditionalFormatting>
        <x14:conditionalFormatting xmlns:xm="http://schemas.microsoft.com/office/excel/2006/main">
          <x14:cfRule type="expression" priority="33" stopIfTrue="1" id="{00000000-000E-0000-0400-000005000000}">
            <xm:f>COUNTIF('Invoice(SF米国)'!$I66,"*per*")</xm:f>
            <x14:dxf>
              <font>
                <b/>
                <i val="0"/>
              </font>
            </x14:dxf>
          </x14:cfRule>
          <xm:sqref>C65:K66</xm:sqref>
        </x14:conditionalFormatting>
        <x14:conditionalFormatting xmlns:xm="http://schemas.microsoft.com/office/excel/2006/main">
          <x14:cfRule type="expression" priority="36" stopIfTrue="1" id="{00000000-000E-0000-0400-000005000000}">
            <xm:f>COUNTIF('Invoice(SF米国)'!#REF!,"*per*")</xm:f>
            <x14:dxf>
              <font>
                <b/>
                <i val="0"/>
              </font>
            </x14:dxf>
          </x14:cfRule>
          <xm:sqref>C39:K39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8579FC8-0D16-496A-A644-5AE2F2DD5362}">
          <x14:formula1>
            <xm:f>取引先マスタ!$C:$C</xm:f>
          </x14:formula1>
          <xm:sqref>C3:C4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00B050"/>
    <pageSetUpPr fitToPage="1"/>
  </sheetPr>
  <dimension ref="A1:N70"/>
  <sheetViews>
    <sheetView showGridLines="0" zoomScale="85" zoomScaleNormal="85" workbookViewId="0">
      <selection activeCell="H66" sqref="H66"/>
    </sheetView>
  </sheetViews>
  <sheetFormatPr defaultColWidth="9" defaultRowHeight="13.5" outlineLevelRow="1"/>
  <cols>
    <col min="1" max="1" width="16.75" style="445" customWidth="1"/>
    <col min="2" max="2" width="12.5" style="444" customWidth="1"/>
    <col min="3" max="3" width="22.5" style="444" customWidth="1"/>
    <col min="4" max="4" width="12.5" style="444" customWidth="1"/>
    <col min="5" max="5" width="27.625" style="444" customWidth="1"/>
    <col min="6" max="10" width="12.5" style="444" customWidth="1"/>
    <col min="11" max="13" width="22.5" style="444" customWidth="1"/>
    <col min="14" max="16384" width="9" style="444"/>
  </cols>
  <sheetData>
    <row r="1" spans="1:13" ht="14.25" thickBot="1"/>
    <row r="2" spans="1:13">
      <c r="A2" s="570" t="s">
        <v>1896</v>
      </c>
      <c r="B2" s="667" t="s">
        <v>1818</v>
      </c>
      <c r="C2" s="668" t="s">
        <v>6397</v>
      </c>
      <c r="D2" s="1790" t="s">
        <v>1900</v>
      </c>
      <c r="E2" s="1791"/>
      <c r="F2" s="570" t="s">
        <v>1916</v>
      </c>
      <c r="J2" s="570" t="s">
        <v>1917</v>
      </c>
    </row>
    <row r="3" spans="1:13">
      <c r="A3" s="570" t="s">
        <v>1919</v>
      </c>
      <c r="B3" s="669" t="s">
        <v>1867</v>
      </c>
      <c r="C3" s="670">
        <v>579</v>
      </c>
      <c r="D3" s="669" t="s">
        <v>1274</v>
      </c>
      <c r="E3" s="671" t="s">
        <v>1894</v>
      </c>
    </row>
    <row r="4" spans="1:13">
      <c r="A4" s="570" t="s">
        <v>1915</v>
      </c>
      <c r="B4" s="669" t="s">
        <v>1820</v>
      </c>
      <c r="C4" s="670">
        <v>5148</v>
      </c>
      <c r="D4" s="672" t="s">
        <v>1274</v>
      </c>
      <c r="E4" s="673" t="e">
        <f>MATCH(TEXT(E3,"@"),'NY BackOrder'!C:C,0)</f>
        <v>#N/A</v>
      </c>
    </row>
    <row r="5" spans="1:13" ht="14.25" thickBot="1">
      <c r="A5" s="570" t="s">
        <v>1902</v>
      </c>
      <c r="B5" s="669" t="s">
        <v>1821</v>
      </c>
      <c r="C5" s="670">
        <v>5149</v>
      </c>
      <c r="D5" s="674" t="s">
        <v>1819</v>
      </c>
      <c r="E5" s="675" t="e">
        <f>E4+COUNTIF('NY BackOrder'!C:C,E3)-2</f>
        <v>#N/A</v>
      </c>
    </row>
    <row r="6" spans="1:13" ht="14.25" thickBot="1">
      <c r="A6" s="570" t="s">
        <v>1903</v>
      </c>
      <c r="B6" s="676" t="s">
        <v>1862</v>
      </c>
      <c r="C6" s="677">
        <v>38</v>
      </c>
      <c r="D6" s="445"/>
    </row>
    <row r="7" spans="1:13" hidden="1" outlineLevel="1">
      <c r="A7" s="1792" t="s">
        <v>1906</v>
      </c>
      <c r="B7" s="678" t="s">
        <v>1822</v>
      </c>
      <c r="C7" s="679">
        <f>C5-C4+C6</f>
        <v>39</v>
      </c>
      <c r="D7" s="680" t="s">
        <v>1817</v>
      </c>
      <c r="E7" s="681" t="str">
        <f>"(発注書) "&amp;C3&amp;" ("&amp;C2&amp;")"</f>
        <v>(発注書) 579 (株式会社SHINDO)</v>
      </c>
    </row>
    <row r="8" spans="1:13" hidden="1" outlineLevel="1">
      <c r="A8" s="1793"/>
      <c r="B8" s="682" t="s">
        <v>1860</v>
      </c>
      <c r="C8" s="683">
        <v>38</v>
      </c>
      <c r="D8" s="663" t="s">
        <v>1887</v>
      </c>
      <c r="E8" s="684" t="str" cm="1">
        <f t="array" aca="1" ref="E8" ca="1">RIGHT(CELL("filename",A1),LEN(CELL("filename",A1))-FIND("]",CELL("filename",A1)))</f>
        <v>発注書</v>
      </c>
    </row>
    <row r="9" spans="1:13" hidden="1" outlineLevel="1">
      <c r="A9" s="1793"/>
      <c r="B9" s="682" t="s">
        <v>1861</v>
      </c>
      <c r="C9" s="683">
        <v>62</v>
      </c>
      <c r="D9" s="663" t="s">
        <v>1886</v>
      </c>
      <c r="E9" s="684" t="str">
        <f ca="1">'Invoice(SF米国)'!E11</f>
        <v>NY BackOrder</v>
      </c>
    </row>
    <row r="10" spans="1:13" hidden="1" outlineLevel="1">
      <c r="A10" s="1793"/>
      <c r="B10" s="682" t="s">
        <v>1863</v>
      </c>
      <c r="C10" s="685">
        <f>C9+3</f>
        <v>65</v>
      </c>
      <c r="D10" s="663" t="s">
        <v>1908</v>
      </c>
      <c r="E10" s="684" t="str" cm="1">
        <f t="array" aca="1" ref="E10" ca="1">LEFT(MID(CELL("filename",A1),10,99),FIND("B",MID(CELL("filename",A1),10,99))-2)</f>
        <v>chiba</v>
      </c>
    </row>
    <row r="11" spans="1:13" hidden="1" outlineLevel="1">
      <c r="A11" s="1793"/>
      <c r="B11" s="682" t="s">
        <v>1864</v>
      </c>
      <c r="C11" s="685">
        <f>C10+4</f>
        <v>69</v>
      </c>
      <c r="D11" s="663" t="s">
        <v>1912</v>
      </c>
      <c r="E11" s="664">
        <f>ROW(N63)</f>
        <v>63</v>
      </c>
    </row>
    <row r="12" spans="1:13" hidden="1" outlineLevel="1">
      <c r="A12" s="1793"/>
      <c r="B12" s="682" t="s">
        <v>1865</v>
      </c>
      <c r="C12" s="685">
        <f>C10</f>
        <v>65</v>
      </c>
      <c r="D12" s="663" t="s">
        <v>1913</v>
      </c>
      <c r="E12" s="665"/>
    </row>
    <row r="13" spans="1:13" ht="14.25" hidden="1" outlineLevel="1" thickBot="1">
      <c r="A13" s="1794"/>
      <c r="B13" s="686" t="s">
        <v>1866</v>
      </c>
      <c r="C13" s="687">
        <f>C11</f>
        <v>69</v>
      </c>
      <c r="D13" s="666" t="s">
        <v>1914</v>
      </c>
      <c r="E13" s="655"/>
    </row>
    <row r="14" spans="1:13" collapsed="1">
      <c r="A14" s="455"/>
      <c r="B14" s="455"/>
      <c r="C14" s="455"/>
      <c r="D14" s="499"/>
      <c r="E14" s="500"/>
      <c r="F14" s="455"/>
      <c r="G14" s="455"/>
      <c r="H14" s="455"/>
      <c r="I14" s="455"/>
      <c r="J14" s="455"/>
      <c r="K14" s="455"/>
      <c r="L14" s="455"/>
      <c r="M14" s="455"/>
    </row>
    <row r="15" spans="1:13">
      <c r="A15" s="444"/>
      <c r="E15" s="446"/>
    </row>
    <row r="16" spans="1:13">
      <c r="A16" s="447" t="s">
        <v>1823</v>
      </c>
      <c r="B16" s="448" t="s">
        <v>1824</v>
      </c>
      <c r="C16" s="449"/>
      <c r="E16" s="446"/>
    </row>
    <row r="17" spans="1:13">
      <c r="A17" s="445" t="s">
        <v>1825</v>
      </c>
      <c r="B17" s="444" t="s">
        <v>1826</v>
      </c>
    </row>
    <row r="18" spans="1:13">
      <c r="A18" s="445" t="s">
        <v>1827</v>
      </c>
      <c r="B18" s="444" t="str">
        <f ca="1">IF(J18="","上記商品、"&amp;TEXT(F18,"mm/dd")&amp;"出荷、"&amp;TEXT(H18,"mm/dd")&amp;"必着でお手配お願い致します。","上記商品、"&amp;TEXT(F18,"mm/dd")&amp;"出荷、"&amp;TEXT(H18,"mm/dd")&amp;J18&amp;"必着でお手配お願い致します。")</f>
        <v>上記商品、04/02出荷、04/03AM必着でお手配お願い致します。</v>
      </c>
      <c r="E18" s="450" t="s">
        <v>1828</v>
      </c>
      <c r="F18" s="451">
        <f ca="1">TODAY()</f>
        <v>46114</v>
      </c>
      <c r="G18" s="450" t="s">
        <v>1829</v>
      </c>
      <c r="H18" s="451">
        <f ca="1">F18+1</f>
        <v>46115</v>
      </c>
      <c r="I18" s="450" t="s">
        <v>1830</v>
      </c>
      <c r="J18" s="452" t="s">
        <v>1273</v>
      </c>
    </row>
    <row r="19" spans="1:13">
      <c r="A19" s="445" t="s">
        <v>1831</v>
      </c>
      <c r="B19" s="444" t="str">
        <f>IF(F19="","上記商品、最短納期でお手配お願い致します。","上記商品、最短納期でお手配お願い致します。 ("&amp;F19&amp;")")</f>
        <v>上記商品、最短納期でお手配お願い致します。</v>
      </c>
      <c r="E19" s="450" t="s">
        <v>1832</v>
      </c>
      <c r="F19" s="453"/>
    </row>
    <row r="20" spans="1:13">
      <c r="A20" s="445" t="s">
        <v>1833</v>
      </c>
      <c r="B20" s="444" t="str">
        <f>"上記商品、"&amp;F20&amp;"にて出荷をお願い致します。"</f>
        <v>上記商品、ヤマト便にて出荷をお願い致します。</v>
      </c>
      <c r="E20" s="450" t="s">
        <v>1834</v>
      </c>
      <c r="F20" s="452" t="s">
        <v>1835</v>
      </c>
    </row>
    <row r="21" spans="1:13">
      <c r="A21" s="445" t="s">
        <v>1836</v>
      </c>
      <c r="B21" s="444" t="s">
        <v>1837</v>
      </c>
    </row>
    <row r="22" spans="1:13">
      <c r="A22" s="445" t="s">
        <v>1838</v>
      </c>
      <c r="B22" s="444" t="s">
        <v>1839</v>
      </c>
    </row>
    <row r="23" spans="1:13">
      <c r="A23" s="445" t="s">
        <v>1840</v>
      </c>
      <c r="B23" s="444" t="s">
        <v>1841</v>
      </c>
    </row>
    <row r="24" spans="1:13">
      <c r="A24" s="445" t="s">
        <v>1842</v>
      </c>
      <c r="B24" s="444" t="s">
        <v>1843</v>
      </c>
    </row>
    <row r="25" spans="1:13">
      <c r="A25" s="445" t="s">
        <v>1844</v>
      </c>
      <c r="B25" s="444" t="str">
        <f>"上記商品、"&amp;F25&amp;"でお手配お願い致します。"</f>
        <v>上記商品、あいうえおでお手配お願い致します。</v>
      </c>
      <c r="E25" s="450" t="s">
        <v>1845</v>
      </c>
      <c r="F25" s="452" t="s">
        <v>1846</v>
      </c>
      <c r="G25" s="452"/>
      <c r="H25" s="452"/>
      <c r="I25" s="452"/>
      <c r="J25" s="452"/>
    </row>
    <row r="26" spans="1:13">
      <c r="A26" s="454"/>
      <c r="B26" s="455"/>
      <c r="C26" s="455"/>
      <c r="D26" s="455"/>
      <c r="E26" s="455"/>
      <c r="F26" s="455"/>
      <c r="G26" s="455"/>
      <c r="H26" s="455"/>
      <c r="I26" s="455"/>
      <c r="J26" s="455"/>
      <c r="K26" s="455"/>
      <c r="L26" s="455"/>
      <c r="M26" s="455"/>
    </row>
    <row r="27" spans="1:13" ht="14.25" thickBot="1"/>
    <row r="28" spans="1:13" ht="17.25">
      <c r="G28" s="1819" t="s">
        <v>1847</v>
      </c>
      <c r="H28" s="1819"/>
      <c r="I28" s="1819"/>
      <c r="L28" s="456" t="s">
        <v>1272</v>
      </c>
      <c r="M28" s="693">
        <f>C3</f>
        <v>579</v>
      </c>
    </row>
    <row r="29" spans="1:13" ht="18" thickBot="1">
      <c r="G29" s="1819"/>
      <c r="H29" s="1819"/>
      <c r="I29" s="1819"/>
      <c r="L29" s="457" t="s">
        <v>1848</v>
      </c>
      <c r="M29" s="692">
        <f ca="1">TODAY()</f>
        <v>46114</v>
      </c>
    </row>
    <row r="30" spans="1:13" ht="5.25" customHeight="1">
      <c r="L30" s="450"/>
      <c r="M30" s="458"/>
    </row>
    <row r="31" spans="1:13" ht="18.75">
      <c r="B31" s="450" t="s">
        <v>1849</v>
      </c>
      <c r="C31" s="443" t="str">
        <f>C2</f>
        <v>株式会社SHINDO</v>
      </c>
      <c r="L31" s="1818" t="s">
        <v>1850</v>
      </c>
      <c r="M31" s="1818"/>
    </row>
    <row r="32" spans="1:13">
      <c r="B32" s="450" t="s">
        <v>1851</v>
      </c>
      <c r="C32" s="444" t="str">
        <f>IFERROR(IF(VLOOKUP(C2,仕入先マスタ!B:C,2,FALSE)="",VLOOKUP(C2,仕入先マスタ!B:D,3,FALSE)&amp;" "&amp;VLOOKUP(C2,仕入先マスタ!B:E,4,FALSE),"〒"&amp;VLOOKUP(C2,仕入先マスタ!B:C,2,FALSE)&amp;" "&amp;VLOOKUP(C2,仕入先マスタ!B:D,3,FALSE)&amp;" "&amp;VLOOKUP(C2,仕入先マスタ!B:E,4,FALSE)),"")</f>
        <v xml:space="preserve">〒919-0614 福井県あわら市伊井11-1-1 </v>
      </c>
      <c r="L32" s="1817" t="s">
        <v>1852</v>
      </c>
      <c r="M32" s="1817"/>
    </row>
    <row r="33" spans="1:13">
      <c r="B33" s="450" t="s">
        <v>1858</v>
      </c>
      <c r="C33" s="444" t="str">
        <f>IFERROR(IF(VLOOKUP(C2,仕入先マスタ!B:F,5,FALSE)="","",VLOOKUP(C2,仕入先マスタ!B:F,5,FALSE)),"")</f>
        <v>0776-73-7111</v>
      </c>
      <c r="L33" s="449" t="s">
        <v>1853</v>
      </c>
      <c r="M33" s="449" t="s">
        <v>1270</v>
      </c>
    </row>
    <row r="34" spans="1:13">
      <c r="B34" s="450" t="s">
        <v>1854</v>
      </c>
      <c r="L34" s="450" t="s">
        <v>1854</v>
      </c>
      <c r="M34" s="449" t="s">
        <v>1855</v>
      </c>
    </row>
    <row r="35" spans="1:13">
      <c r="B35" s="450" t="s">
        <v>1856</v>
      </c>
      <c r="D35" s="502"/>
      <c r="F35" s="503"/>
      <c r="G35" s="504"/>
      <c r="H35" s="503"/>
      <c r="L35" s="450"/>
      <c r="M35" s="449" t="s">
        <v>5281</v>
      </c>
    </row>
    <row r="36" spans="1:13" ht="5.25" customHeight="1" thickBot="1">
      <c r="D36" s="502"/>
      <c r="F36" s="505"/>
      <c r="G36" s="506"/>
      <c r="H36" s="505"/>
    </row>
    <row r="37" spans="1:13" ht="15" thickBot="1">
      <c r="B37" s="459" t="s">
        <v>1869</v>
      </c>
      <c r="C37" s="460" t="s">
        <v>1870</v>
      </c>
      <c r="D37" s="507" t="s">
        <v>1871</v>
      </c>
      <c r="E37" s="460" t="s">
        <v>1872</v>
      </c>
      <c r="F37" s="508" t="s">
        <v>1873</v>
      </c>
      <c r="G37" s="509" t="s">
        <v>1874</v>
      </c>
      <c r="H37" s="508" t="s">
        <v>1875</v>
      </c>
      <c r="I37" s="460" t="s">
        <v>1876</v>
      </c>
      <c r="J37" s="460" t="s">
        <v>1877</v>
      </c>
      <c r="K37" s="460" t="s">
        <v>1878</v>
      </c>
      <c r="L37" s="460" t="s">
        <v>1879</v>
      </c>
      <c r="M37" s="461" t="s">
        <v>1880</v>
      </c>
    </row>
    <row r="38" spans="1:13" ht="21" customHeight="1" thickTop="1">
      <c r="A38" s="688">
        <f t="shared" ref="A38:A62" si="0">IF(C38="",0,1)</f>
        <v>1</v>
      </c>
      <c r="B38" s="462">
        <f>IF(C38&lt;&gt;"",1,0)</f>
        <v>1</v>
      </c>
      <c r="C38" s="1719">
        <v>14552</v>
      </c>
      <c r="D38" s="1720">
        <v>38</v>
      </c>
      <c r="E38" s="1524" t="s">
        <v>6398</v>
      </c>
      <c r="F38" s="1668">
        <v>30</v>
      </c>
      <c r="G38" s="1574">
        <v>12</v>
      </c>
      <c r="H38" s="1669">
        <v>360</v>
      </c>
      <c r="I38" s="463">
        <v>117</v>
      </c>
      <c r="J38" s="463">
        <v>42120</v>
      </c>
      <c r="K38" s="1672"/>
      <c r="L38" s="464" t="s">
        <v>6399</v>
      </c>
      <c r="M38" s="1302" t="s">
        <v>6400</v>
      </c>
    </row>
    <row r="39" spans="1:13" ht="21" customHeight="1">
      <c r="A39" s="688">
        <f t="shared" si="0"/>
        <v>1</v>
      </c>
      <c r="B39" s="462">
        <f>IF(C39="","",COUNTIF($A$38:$A39,1))</f>
        <v>2</v>
      </c>
      <c r="C39" s="466">
        <v>14552</v>
      </c>
      <c r="D39" s="1528">
        <v>12</v>
      </c>
      <c r="E39" s="468" t="s">
        <v>6398</v>
      </c>
      <c r="F39" s="474">
        <v>30</v>
      </c>
      <c r="G39" s="475">
        <v>71</v>
      </c>
      <c r="H39" s="469">
        <v>2130</v>
      </c>
      <c r="I39" s="471">
        <v>51</v>
      </c>
      <c r="J39" s="471">
        <v>108630</v>
      </c>
      <c r="K39" s="464"/>
      <c r="L39" s="472"/>
      <c r="M39" s="1400"/>
    </row>
    <row r="40" spans="1:13" ht="21" customHeight="1">
      <c r="A40" s="688">
        <f t="shared" si="0"/>
        <v>0</v>
      </c>
      <c r="B40" s="465" t="str">
        <f>IF(C40="","",COUNTIF($A$38:$A40,1))</f>
        <v/>
      </c>
      <c r="C40" s="1699"/>
      <c r="D40" s="1533"/>
      <c r="E40" s="468"/>
      <c r="F40" s="474"/>
      <c r="G40" s="475"/>
      <c r="H40" s="469"/>
      <c r="I40" s="471"/>
      <c r="J40" s="471"/>
      <c r="K40" s="472"/>
      <c r="L40" s="472"/>
      <c r="M40" s="473"/>
    </row>
    <row r="41" spans="1:13" ht="21" customHeight="1">
      <c r="A41" s="688">
        <f t="shared" si="0"/>
        <v>0</v>
      </c>
      <c r="B41" s="465" t="str">
        <f>IF(C41="","",COUNTIF($A$38:$A41,1))</f>
        <v/>
      </c>
      <c r="C41" s="466"/>
      <c r="D41" s="1575"/>
      <c r="E41" s="468"/>
      <c r="F41" s="474"/>
      <c r="G41" s="1576"/>
      <c r="H41" s="469"/>
      <c r="I41" s="471"/>
      <c r="J41" s="471"/>
      <c r="K41" s="472"/>
      <c r="L41" s="472"/>
      <c r="M41" s="1400"/>
    </row>
    <row r="42" spans="1:13" ht="21" customHeight="1">
      <c r="A42" s="688">
        <f t="shared" si="0"/>
        <v>0</v>
      </c>
      <c r="B42" s="465" t="str">
        <f>IF(C42="","",COUNTIF($A$38:$A42,1))</f>
        <v/>
      </c>
      <c r="C42" s="466"/>
      <c r="D42" s="467"/>
      <c r="E42" s="468"/>
      <c r="F42" s="469"/>
      <c r="G42" s="470"/>
      <c r="H42" s="469"/>
      <c r="I42" s="471"/>
      <c r="J42" s="471"/>
      <c r="K42" s="472"/>
      <c r="L42" s="472"/>
      <c r="M42" s="1400"/>
    </row>
    <row r="43" spans="1:13" ht="21" customHeight="1">
      <c r="A43" s="688">
        <f t="shared" si="0"/>
        <v>0</v>
      </c>
      <c r="B43" s="465" t="str">
        <f>IF(C43="","",COUNTIF($A$38:$A43,1))</f>
        <v/>
      </c>
      <c r="C43" s="466"/>
      <c r="D43" s="1533"/>
      <c r="E43" s="468"/>
      <c r="F43" s="469"/>
      <c r="G43" s="470"/>
      <c r="H43" s="1534"/>
      <c r="I43" s="471"/>
      <c r="J43" s="471"/>
      <c r="K43" s="472"/>
      <c r="L43" s="472"/>
      <c r="M43" s="473"/>
    </row>
    <row r="44" spans="1:13" ht="21" customHeight="1">
      <c r="A44" s="688">
        <f t="shared" si="0"/>
        <v>0</v>
      </c>
      <c r="B44" s="465" t="str">
        <f>IF(C44="","",COUNTIF($A$38:$A44,1))</f>
        <v/>
      </c>
      <c r="C44" s="466"/>
      <c r="D44" s="1528"/>
      <c r="E44" s="468"/>
      <c r="F44" s="469"/>
      <c r="G44" s="470"/>
      <c r="H44" s="469"/>
      <c r="I44" s="471"/>
      <c r="J44" s="471"/>
      <c r="K44" s="472"/>
      <c r="L44" s="472"/>
      <c r="M44" s="473"/>
    </row>
    <row r="45" spans="1:13" ht="21" customHeight="1">
      <c r="A45" s="688">
        <f t="shared" si="0"/>
        <v>0</v>
      </c>
      <c r="B45" s="465" t="str">
        <f>IF(C45="","",COUNTIF($A$38:$A45,1))</f>
        <v/>
      </c>
      <c r="C45" s="466"/>
      <c r="D45" s="1528"/>
      <c r="E45" s="468"/>
      <c r="F45" s="474"/>
      <c r="G45" s="475"/>
      <c r="H45" s="469"/>
      <c r="I45" s="471"/>
      <c r="J45" s="471"/>
      <c r="K45" s="472"/>
      <c r="L45" s="472"/>
      <c r="M45" s="473"/>
    </row>
    <row r="46" spans="1:13" ht="21" customHeight="1">
      <c r="A46" s="688">
        <f t="shared" si="0"/>
        <v>0</v>
      </c>
      <c r="B46" s="465" t="str">
        <f>IF(C46="","",COUNTIF($A$38:$A46,1))</f>
        <v/>
      </c>
      <c r="C46" s="466"/>
      <c r="D46" s="1528"/>
      <c r="E46" s="468"/>
      <c r="F46" s="469"/>
      <c r="G46" s="470"/>
      <c r="H46" s="469"/>
      <c r="I46" s="471"/>
      <c r="J46" s="471"/>
      <c r="K46" s="472"/>
      <c r="L46" s="472"/>
      <c r="M46" s="473"/>
    </row>
    <row r="47" spans="1:13" ht="21" customHeight="1">
      <c r="A47" s="688">
        <f t="shared" si="0"/>
        <v>0</v>
      </c>
      <c r="B47" s="465" t="str">
        <f>IF(C47="","",COUNTIF($A$38:$A47,1))</f>
        <v/>
      </c>
      <c r="C47" s="466"/>
      <c r="D47" s="1528"/>
      <c r="E47" s="468"/>
      <c r="F47" s="1513"/>
      <c r="G47" s="475"/>
      <c r="H47" s="1513"/>
      <c r="I47" s="471"/>
      <c r="J47" s="471"/>
      <c r="K47" s="472"/>
      <c r="L47" s="472"/>
      <c r="M47" s="473"/>
    </row>
    <row r="48" spans="1:13" ht="21" customHeight="1">
      <c r="A48" s="688">
        <f t="shared" si="0"/>
        <v>0</v>
      </c>
      <c r="B48" s="465" t="str">
        <f>IF(C48="","",COUNTIF($A$38:$A48,1))</f>
        <v/>
      </c>
      <c r="C48" s="466"/>
      <c r="D48" s="1528"/>
      <c r="E48" s="468"/>
      <c r="F48" s="474"/>
      <c r="G48" s="475"/>
      <c r="H48" s="469"/>
      <c r="I48" s="471"/>
      <c r="J48" s="471"/>
      <c r="K48" s="472"/>
      <c r="L48" s="472"/>
      <c r="M48" s="473"/>
    </row>
    <row r="49" spans="1:14" ht="21" customHeight="1">
      <c r="A49" s="688">
        <f t="shared" si="0"/>
        <v>0</v>
      </c>
      <c r="B49" s="465" t="str">
        <f>IF(C49="","",COUNTIF($A$38:$A49,1))</f>
        <v/>
      </c>
      <c r="C49" s="466"/>
      <c r="D49" s="1528"/>
      <c r="E49" s="468"/>
      <c r="F49" s="474"/>
      <c r="G49" s="475"/>
      <c r="H49" s="469"/>
      <c r="I49" s="471"/>
      <c r="J49" s="471"/>
      <c r="K49" s="472"/>
      <c r="L49" s="472"/>
      <c r="M49" s="473"/>
    </row>
    <row r="50" spans="1:14" ht="21" customHeight="1">
      <c r="A50" s="688">
        <f t="shared" si="0"/>
        <v>0</v>
      </c>
      <c r="B50" s="465" t="str">
        <f>IF(C50="","",COUNTIF($A$38:$A50,1))</f>
        <v/>
      </c>
      <c r="C50" s="466"/>
      <c r="D50" s="467"/>
      <c r="E50" s="468"/>
      <c r="F50" s="469"/>
      <c r="G50" s="470"/>
      <c r="H50" s="469"/>
      <c r="I50" s="471"/>
      <c r="J50" s="471"/>
      <c r="K50" s="472"/>
      <c r="L50" s="472"/>
      <c r="M50" s="473"/>
    </row>
    <row r="51" spans="1:14" ht="21" customHeight="1">
      <c r="A51" s="688">
        <f t="shared" si="0"/>
        <v>0</v>
      </c>
      <c r="B51" s="465" t="str">
        <f>IF(C51="","",COUNTIF($A$38:$A51,1))</f>
        <v/>
      </c>
      <c r="C51" s="466"/>
      <c r="D51" s="467"/>
      <c r="E51" s="468"/>
      <c r="F51" s="469"/>
      <c r="G51" s="470"/>
      <c r="H51" s="469"/>
      <c r="I51" s="471"/>
      <c r="J51" s="471"/>
      <c r="K51" s="472"/>
      <c r="L51" s="472"/>
      <c r="M51" s="473"/>
    </row>
    <row r="52" spans="1:14" ht="21" customHeight="1">
      <c r="A52" s="688">
        <f t="shared" si="0"/>
        <v>0</v>
      </c>
      <c r="B52" s="465" t="str">
        <f>IF(C52="","",COUNTIF($A$38:$A52,1))</f>
        <v/>
      </c>
      <c r="C52" s="466"/>
      <c r="D52" s="467"/>
      <c r="E52" s="468"/>
      <c r="F52" s="474"/>
      <c r="G52" s="475"/>
      <c r="H52" s="474"/>
      <c r="I52" s="471"/>
      <c r="J52" s="471"/>
      <c r="K52" s="472"/>
      <c r="L52" s="472"/>
      <c r="M52" s="473"/>
    </row>
    <row r="53" spans="1:14" ht="21" customHeight="1">
      <c r="A53" s="688">
        <f t="shared" si="0"/>
        <v>0</v>
      </c>
      <c r="B53" s="465" t="str">
        <f>IF(C53="","",COUNTIF($A$38:$A53,1))</f>
        <v/>
      </c>
      <c r="C53" s="466"/>
      <c r="D53" s="467"/>
      <c r="E53" s="468"/>
      <c r="F53" s="469"/>
      <c r="G53" s="470"/>
      <c r="H53" s="469"/>
      <c r="I53" s="471"/>
      <c r="J53" s="471"/>
      <c r="K53" s="472"/>
      <c r="L53" s="472"/>
      <c r="M53" s="473"/>
    </row>
    <row r="54" spans="1:14" ht="21" customHeight="1">
      <c r="A54" s="688">
        <f t="shared" si="0"/>
        <v>0</v>
      </c>
      <c r="B54" s="465" t="str">
        <f>IF(C54="","",COUNTIF($A$38:$A54,1))</f>
        <v/>
      </c>
      <c r="C54" s="466"/>
      <c r="D54" s="467"/>
      <c r="E54" s="468"/>
      <c r="F54" s="469"/>
      <c r="G54" s="470"/>
      <c r="H54" s="469"/>
      <c r="I54" s="471"/>
      <c r="J54" s="471"/>
      <c r="K54" s="472"/>
      <c r="L54" s="472"/>
      <c r="M54" s="473"/>
    </row>
    <row r="55" spans="1:14" ht="21" customHeight="1">
      <c r="A55" s="688">
        <f t="shared" si="0"/>
        <v>0</v>
      </c>
      <c r="B55" s="465" t="str">
        <f>IF(C55="","",COUNTIF($A$38:$A55,1))</f>
        <v/>
      </c>
      <c r="C55" s="466"/>
      <c r="D55" s="467"/>
      <c r="E55" s="468"/>
      <c r="F55" s="474"/>
      <c r="G55" s="475"/>
      <c r="H55" s="474"/>
      <c r="I55" s="471"/>
      <c r="J55" s="471"/>
      <c r="K55" s="472"/>
      <c r="L55" s="472"/>
      <c r="M55" s="473"/>
    </row>
    <row r="56" spans="1:14" ht="21" customHeight="1">
      <c r="A56" s="688">
        <f t="shared" si="0"/>
        <v>0</v>
      </c>
      <c r="B56" s="465" t="str">
        <f>IF(C56="","",COUNTIF($A$38:$A56,1))</f>
        <v/>
      </c>
      <c r="C56" s="466"/>
      <c r="D56" s="467"/>
      <c r="E56" s="468"/>
      <c r="F56" s="469"/>
      <c r="G56" s="470"/>
      <c r="H56" s="469"/>
      <c r="I56" s="471"/>
      <c r="J56" s="471"/>
      <c r="K56" s="472"/>
      <c r="L56" s="472"/>
      <c r="M56" s="473"/>
    </row>
    <row r="57" spans="1:14" ht="21" customHeight="1">
      <c r="A57" s="688">
        <f t="shared" si="0"/>
        <v>0</v>
      </c>
      <c r="B57" s="465" t="str">
        <f>IF(C57="","",COUNTIF($A$38:$A57,1))</f>
        <v/>
      </c>
      <c r="C57" s="493"/>
      <c r="D57" s="514"/>
      <c r="E57" s="494"/>
      <c r="F57" s="511"/>
      <c r="G57" s="512"/>
      <c r="H57" s="511"/>
      <c r="I57" s="495"/>
      <c r="J57" s="495"/>
      <c r="K57" s="496"/>
      <c r="L57" s="496"/>
      <c r="M57" s="497"/>
    </row>
    <row r="58" spans="1:14" ht="21" customHeight="1">
      <c r="A58" s="688">
        <f t="shared" si="0"/>
        <v>0</v>
      </c>
      <c r="B58" s="465" t="str">
        <f>IF(C58="","",COUNTIF($A$38:$A58,1))</f>
        <v/>
      </c>
      <c r="C58" s="493"/>
      <c r="D58" s="510"/>
      <c r="E58" s="494"/>
      <c r="F58" s="511"/>
      <c r="G58" s="512"/>
      <c r="H58" s="513"/>
      <c r="I58" s="495"/>
      <c r="J58" s="495"/>
      <c r="K58" s="496"/>
      <c r="L58" s="496"/>
      <c r="M58" s="497"/>
    </row>
    <row r="59" spans="1:14" ht="21" customHeight="1">
      <c r="A59" s="688">
        <f t="shared" si="0"/>
        <v>0</v>
      </c>
      <c r="B59" s="465" t="str">
        <f>IF(C59="","",COUNTIF($A$38:$A59,1))</f>
        <v/>
      </c>
      <c r="C59" s="493"/>
      <c r="D59" s="494"/>
      <c r="E59" s="494"/>
      <c r="F59" s="494"/>
      <c r="G59" s="494"/>
      <c r="H59" s="494"/>
      <c r="I59" s="495"/>
      <c r="J59" s="495"/>
      <c r="K59" s="496"/>
      <c r="L59" s="496"/>
      <c r="M59" s="497"/>
    </row>
    <row r="60" spans="1:14" ht="21" customHeight="1">
      <c r="A60" s="688">
        <f t="shared" si="0"/>
        <v>0</v>
      </c>
      <c r="B60" s="465" t="str">
        <f>IF(C60="","",COUNTIF($A$38:$A60,1))</f>
        <v/>
      </c>
      <c r="C60" s="493"/>
      <c r="D60" s="494"/>
      <c r="E60" s="494"/>
      <c r="F60" s="494"/>
      <c r="G60" s="494"/>
      <c r="H60" s="494"/>
      <c r="I60" s="495"/>
      <c r="J60" s="495"/>
      <c r="K60" s="496"/>
      <c r="L60" s="496"/>
      <c r="M60" s="497"/>
    </row>
    <row r="61" spans="1:14" ht="21" customHeight="1">
      <c r="A61" s="688">
        <f t="shared" si="0"/>
        <v>0</v>
      </c>
      <c r="B61" s="465" t="str">
        <f>IF(C61="","",COUNTIF($A$38:$A61,1))</f>
        <v/>
      </c>
      <c r="C61" s="493"/>
      <c r="D61" s="494"/>
      <c r="E61" s="494"/>
      <c r="F61" s="494"/>
      <c r="G61" s="494"/>
      <c r="H61" s="494"/>
      <c r="I61" s="495"/>
      <c r="J61" s="495"/>
      <c r="K61" s="496"/>
      <c r="L61" s="496"/>
      <c r="M61" s="497"/>
    </row>
    <row r="62" spans="1:14" ht="21" customHeight="1" thickBot="1">
      <c r="A62" s="688">
        <f t="shared" si="0"/>
        <v>0</v>
      </c>
      <c r="B62" s="476" t="str">
        <f>IF(C62="","",COUNTIF($A$38:$A62,1))</f>
        <v/>
      </c>
      <c r="C62" s="477"/>
      <c r="D62" s="478"/>
      <c r="E62" s="478"/>
      <c r="F62" s="478"/>
      <c r="G62" s="478"/>
      <c r="H62" s="478"/>
      <c r="I62" s="479"/>
      <c r="J62" s="479"/>
      <c r="K62" s="480"/>
      <c r="L62" s="480"/>
      <c r="M62" s="481"/>
    </row>
    <row r="63" spans="1:14" ht="21" customHeight="1" thickBot="1">
      <c r="I63" s="482" t="s">
        <v>1816</v>
      </c>
      <c r="J63" s="483">
        <f>SUM(J38:J62)</f>
        <v>150750</v>
      </c>
      <c r="N63" s="694" t="s">
        <v>1918</v>
      </c>
    </row>
    <row r="64" spans="1:14" ht="6" customHeight="1" thickBot="1"/>
    <row r="65" spans="1:11" ht="21" customHeight="1">
      <c r="A65" s="515" t="s">
        <v>1825</v>
      </c>
      <c r="B65" s="484" t="str">
        <f>IF(A65="","","注記(1)")</f>
        <v>注記(1)</v>
      </c>
      <c r="C65" s="1820" t="str">
        <f>IFERROR(IF(OR(A65="",A65="0"),"",VLOOKUP(A65,A17:B29,2,FALSE)),"")</f>
        <v>上記商品、同一ロットでお手配お願い致します。</v>
      </c>
      <c r="D65" s="1821"/>
      <c r="E65" s="1821"/>
      <c r="F65" s="1822"/>
      <c r="G65" s="689" t="s">
        <v>1857</v>
      </c>
      <c r="H65" s="1457" t="s">
        <v>6401</v>
      </c>
      <c r="I65" s="487"/>
      <c r="J65" s="487"/>
      <c r="K65" s="488"/>
    </row>
    <row r="66" spans="1:11" ht="21" customHeight="1">
      <c r="A66" s="515" t="s">
        <v>1838</v>
      </c>
      <c r="B66" s="485" t="str">
        <f>IF(A66="","","注記(2)")</f>
        <v>注記(2)</v>
      </c>
      <c r="C66" s="1823" t="str">
        <f>IFERROR(IF(OR(A66="",A66="0"),"",VLOOKUP(A66,A17:B29,2,FALSE)),"")</f>
        <v>上記商品、キープ分より出荷お願い致します。</v>
      </c>
      <c r="D66" s="1824"/>
      <c r="E66" s="1824"/>
      <c r="F66" s="1825"/>
      <c r="G66" s="690"/>
      <c r="H66" s="489"/>
      <c r="I66" s="489"/>
      <c r="J66" s="489"/>
      <c r="K66" s="490"/>
    </row>
    <row r="67" spans="1:11" ht="21" customHeight="1">
      <c r="A67" s="515" t="s">
        <v>1827</v>
      </c>
      <c r="B67" s="485" t="str">
        <f>IF(A67="","","注記(3)")</f>
        <v>注記(3)</v>
      </c>
      <c r="C67" s="1826" t="str">
        <f ca="1">IFERROR(IF(OR(A67="",A67="0"),"",VLOOKUP(A67,A18:B30,2,FALSE)),"")</f>
        <v>上記商品、04/02出荷、04/03AM必着でお手配お願い致します。</v>
      </c>
      <c r="D67" s="1827"/>
      <c r="E67" s="1827"/>
      <c r="F67" s="1828"/>
      <c r="G67" s="690"/>
      <c r="H67" s="489"/>
      <c r="I67" s="489"/>
      <c r="J67" s="489"/>
      <c r="K67" s="490"/>
    </row>
    <row r="68" spans="1:11" ht="21" customHeight="1">
      <c r="A68" s="515" t="s">
        <v>1836</v>
      </c>
      <c r="B68" s="485" t="str">
        <f>IF(A68="","","注記(4)")</f>
        <v>注記(4)</v>
      </c>
      <c r="C68" s="1823" t="str">
        <f>IFERROR(IF(OR(A68="",A68="0"),"",VLOOKUP(A68,A17:B29,2,FALSE)),"")</f>
        <v>在庫有無、納期のご回答をお願い致します。</v>
      </c>
      <c r="D68" s="1824"/>
      <c r="E68" s="1824"/>
      <c r="F68" s="1825"/>
      <c r="G68" s="690"/>
      <c r="H68" s="489"/>
      <c r="I68" s="489"/>
      <c r="J68" s="489"/>
      <c r="K68" s="490"/>
    </row>
    <row r="69" spans="1:11" ht="21" customHeight="1" thickBot="1">
      <c r="A69" s="515"/>
      <c r="B69" s="486" t="str">
        <f>IF(A69="","","注記(5)")</f>
        <v/>
      </c>
      <c r="C69" s="1814" t="str">
        <f>IFERROR(IF(OR(A69="",A69="0"),"",VLOOKUP(A69,A21:B33,2,FALSE)),"")</f>
        <v/>
      </c>
      <c r="D69" s="1815"/>
      <c r="E69" s="1815"/>
      <c r="F69" s="1816"/>
      <c r="G69" s="691"/>
      <c r="H69" s="491"/>
      <c r="I69" s="491"/>
      <c r="J69" s="491"/>
      <c r="K69" s="492"/>
    </row>
    <row r="70" spans="1:11" ht="5.25" customHeight="1"/>
  </sheetData>
  <mergeCells count="10">
    <mergeCell ref="D2:E2"/>
    <mergeCell ref="A7:A13"/>
    <mergeCell ref="C69:F69"/>
    <mergeCell ref="L32:M32"/>
    <mergeCell ref="L31:M31"/>
    <mergeCell ref="G28:I29"/>
    <mergeCell ref="C65:F65"/>
    <mergeCell ref="C66:F66"/>
    <mergeCell ref="C67:F67"/>
    <mergeCell ref="C68:F68"/>
  </mergeCells>
  <phoneticPr fontId="3"/>
  <conditionalFormatting sqref="B38:B62">
    <cfRule type="cellIs" dxfId="67" priority="1" operator="equal">
      <formula>0</formula>
    </cfRule>
  </conditionalFormatting>
  <dataValidations count="1">
    <dataValidation type="list" allowBlank="1" showInputMessage="1" showErrorMessage="1" sqref="A65:A69" xr:uid="{C7D50E80-AF4D-47FD-9397-5ED721E9F6F0}">
      <formula1>$A$17:$A$28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7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7" r:id="rId4" name="Button 11">
              <controlPr defaultSize="0" print="0" autoFill="0" autoPict="0" macro="[0]!発注書明細クリア">
                <anchor moveWithCells="1" sizeWithCells="1">
                  <from>
                    <xdr:col>5</xdr:col>
                    <xdr:colOff>95250</xdr:colOff>
                    <xdr:row>4</xdr:row>
                    <xdr:rowOff>38100</xdr:rowOff>
                  </from>
                  <to>
                    <xdr:col>5</xdr:col>
                    <xdr:colOff>942975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5" name="Button 12">
              <controlPr defaultSize="0" print="0" autoFill="0" autoPict="0" macro="[0]!DataCopy_発注書">
                <anchor moveWithCells="1" sizeWithCells="1">
                  <from>
                    <xdr:col>5</xdr:col>
                    <xdr:colOff>104775</xdr:colOff>
                    <xdr:row>2</xdr:row>
                    <xdr:rowOff>19050</xdr:rowOff>
                  </from>
                  <to>
                    <xdr:col>8</xdr:col>
                    <xdr:colOff>876300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6" name="Button 13">
              <controlPr defaultSize="0" print="0" autoFill="0" autoPict="0" macro="[0]!発注書注記クリア">
                <anchor moveWithCells="1" sizeWithCells="1">
                  <from>
                    <xdr:col>6</xdr:col>
                    <xdr:colOff>76200</xdr:colOff>
                    <xdr:row>4</xdr:row>
                    <xdr:rowOff>38100</xdr:rowOff>
                  </from>
                  <to>
                    <xdr:col>6</xdr:col>
                    <xdr:colOff>914400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7" name="Button 14">
              <controlPr defaultSize="0" print="0" autoFill="0" autoPict="0" macro="[0]!発注書メモクリア">
                <anchor moveWithCells="1" sizeWithCells="1">
                  <from>
                    <xdr:col>7</xdr:col>
                    <xdr:colOff>38100</xdr:colOff>
                    <xdr:row>4</xdr:row>
                    <xdr:rowOff>38100</xdr:rowOff>
                  </from>
                  <to>
                    <xdr:col>7</xdr:col>
                    <xdr:colOff>885825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8" name="Button 15">
              <controlPr defaultSize="0" print="0" autoFill="0" autoPict="0" macro="[0]!改行設定発注書">
                <anchor moveWithCells="1" sizeWithCells="1">
                  <from>
                    <xdr:col>8</xdr:col>
                    <xdr:colOff>28575</xdr:colOff>
                    <xdr:row>4</xdr:row>
                    <xdr:rowOff>38100</xdr:rowOff>
                  </from>
                  <to>
                    <xdr:col>8</xdr:col>
                    <xdr:colOff>876300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2BD8EF6-45ED-4A10-B5FB-8BCF265B1609}">
          <x14:formula1>
            <xm:f>仕入先マスタ!$B:$B</xm:f>
          </x14:formula1>
          <xm:sqref>C2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E293D-7C3A-4CEA-BC20-C5265FED750C}">
  <sheetPr codeName="Sheet13"/>
  <dimension ref="A1:J51"/>
  <sheetViews>
    <sheetView topLeftCell="A7" zoomScaleNormal="100" workbookViewId="0">
      <selection activeCell="A10" sqref="A10:H10"/>
    </sheetView>
  </sheetViews>
  <sheetFormatPr defaultRowHeight="14.25"/>
  <cols>
    <col min="1" max="2" width="8.625" style="1449" customWidth="1"/>
    <col min="3" max="3" width="11.875" style="1449" customWidth="1"/>
    <col min="4" max="4" width="10.625" style="1449" customWidth="1"/>
    <col min="5" max="5" width="8.625" style="1449" customWidth="1"/>
    <col min="6" max="6" width="12.625" style="1449" customWidth="1"/>
    <col min="7" max="8" width="10.625" style="1449" customWidth="1"/>
    <col min="9" max="9" width="15.625" style="1446" customWidth="1"/>
    <col min="10" max="10" width="15.625" style="1447" customWidth="1"/>
    <col min="11" max="256" width="9" style="1449"/>
    <col min="257" max="258" width="8.625" style="1449" customWidth="1"/>
    <col min="259" max="259" width="11.875" style="1449" customWidth="1"/>
    <col min="260" max="260" width="10.625" style="1449" customWidth="1"/>
    <col min="261" max="261" width="8.625" style="1449" customWidth="1"/>
    <col min="262" max="262" width="12.625" style="1449" customWidth="1"/>
    <col min="263" max="264" width="10.625" style="1449" customWidth="1"/>
    <col min="265" max="266" width="15.625" style="1449" customWidth="1"/>
    <col min="267" max="512" width="9" style="1449"/>
    <col min="513" max="514" width="8.625" style="1449" customWidth="1"/>
    <col min="515" max="515" width="11.875" style="1449" customWidth="1"/>
    <col min="516" max="516" width="10.625" style="1449" customWidth="1"/>
    <col min="517" max="517" width="8.625" style="1449" customWidth="1"/>
    <col min="518" max="518" width="12.625" style="1449" customWidth="1"/>
    <col min="519" max="520" width="10.625" style="1449" customWidth="1"/>
    <col min="521" max="522" width="15.625" style="1449" customWidth="1"/>
    <col min="523" max="768" width="9" style="1449"/>
    <col min="769" max="770" width="8.625" style="1449" customWidth="1"/>
    <col min="771" max="771" width="11.875" style="1449" customWidth="1"/>
    <col min="772" max="772" width="10.625" style="1449" customWidth="1"/>
    <col min="773" max="773" width="8.625" style="1449" customWidth="1"/>
    <col min="774" max="774" width="12.625" style="1449" customWidth="1"/>
    <col min="775" max="776" width="10.625" style="1449" customWidth="1"/>
    <col min="777" max="778" width="15.625" style="1449" customWidth="1"/>
    <col min="779" max="1024" width="9" style="1449"/>
    <col min="1025" max="1026" width="8.625" style="1449" customWidth="1"/>
    <col min="1027" max="1027" width="11.875" style="1449" customWidth="1"/>
    <col min="1028" max="1028" width="10.625" style="1449" customWidth="1"/>
    <col min="1029" max="1029" width="8.625" style="1449" customWidth="1"/>
    <col min="1030" max="1030" width="12.625" style="1449" customWidth="1"/>
    <col min="1031" max="1032" width="10.625" style="1449" customWidth="1"/>
    <col min="1033" max="1034" width="15.625" style="1449" customWidth="1"/>
    <col min="1035" max="1280" width="9" style="1449"/>
    <col min="1281" max="1282" width="8.625" style="1449" customWidth="1"/>
    <col min="1283" max="1283" width="11.875" style="1449" customWidth="1"/>
    <col min="1284" max="1284" width="10.625" style="1449" customWidth="1"/>
    <col min="1285" max="1285" width="8.625" style="1449" customWidth="1"/>
    <col min="1286" max="1286" width="12.625" style="1449" customWidth="1"/>
    <col min="1287" max="1288" width="10.625" style="1449" customWidth="1"/>
    <col min="1289" max="1290" width="15.625" style="1449" customWidth="1"/>
    <col min="1291" max="1536" width="9" style="1449"/>
    <col min="1537" max="1538" width="8.625" style="1449" customWidth="1"/>
    <col min="1539" max="1539" width="11.875" style="1449" customWidth="1"/>
    <col min="1540" max="1540" width="10.625" style="1449" customWidth="1"/>
    <col min="1541" max="1541" width="8.625" style="1449" customWidth="1"/>
    <col min="1542" max="1542" width="12.625" style="1449" customWidth="1"/>
    <col min="1543" max="1544" width="10.625" style="1449" customWidth="1"/>
    <col min="1545" max="1546" width="15.625" style="1449" customWidth="1"/>
    <col min="1547" max="1792" width="9" style="1449"/>
    <col min="1793" max="1794" width="8.625" style="1449" customWidth="1"/>
    <col min="1795" max="1795" width="11.875" style="1449" customWidth="1"/>
    <col min="1796" max="1796" width="10.625" style="1449" customWidth="1"/>
    <col min="1797" max="1797" width="8.625" style="1449" customWidth="1"/>
    <col min="1798" max="1798" width="12.625" style="1449" customWidth="1"/>
    <col min="1799" max="1800" width="10.625" style="1449" customWidth="1"/>
    <col min="1801" max="1802" width="15.625" style="1449" customWidth="1"/>
    <col min="1803" max="2048" width="9" style="1449"/>
    <col min="2049" max="2050" width="8.625" style="1449" customWidth="1"/>
    <col min="2051" max="2051" width="11.875" style="1449" customWidth="1"/>
    <col min="2052" max="2052" width="10.625" style="1449" customWidth="1"/>
    <col min="2053" max="2053" width="8.625" style="1449" customWidth="1"/>
    <col min="2054" max="2054" width="12.625" style="1449" customWidth="1"/>
    <col min="2055" max="2056" width="10.625" style="1449" customWidth="1"/>
    <col min="2057" max="2058" width="15.625" style="1449" customWidth="1"/>
    <col min="2059" max="2304" width="9" style="1449"/>
    <col min="2305" max="2306" width="8.625" style="1449" customWidth="1"/>
    <col min="2307" max="2307" width="11.875" style="1449" customWidth="1"/>
    <col min="2308" max="2308" width="10.625" style="1449" customWidth="1"/>
    <col min="2309" max="2309" width="8.625" style="1449" customWidth="1"/>
    <col min="2310" max="2310" width="12.625" style="1449" customWidth="1"/>
    <col min="2311" max="2312" width="10.625" style="1449" customWidth="1"/>
    <col min="2313" max="2314" width="15.625" style="1449" customWidth="1"/>
    <col min="2315" max="2560" width="9" style="1449"/>
    <col min="2561" max="2562" width="8.625" style="1449" customWidth="1"/>
    <col min="2563" max="2563" width="11.875" style="1449" customWidth="1"/>
    <col min="2564" max="2564" width="10.625" style="1449" customWidth="1"/>
    <col min="2565" max="2565" width="8.625" style="1449" customWidth="1"/>
    <col min="2566" max="2566" width="12.625" style="1449" customWidth="1"/>
    <col min="2567" max="2568" width="10.625" style="1449" customWidth="1"/>
    <col min="2569" max="2570" width="15.625" style="1449" customWidth="1"/>
    <col min="2571" max="2816" width="9" style="1449"/>
    <col min="2817" max="2818" width="8.625" style="1449" customWidth="1"/>
    <col min="2819" max="2819" width="11.875" style="1449" customWidth="1"/>
    <col min="2820" max="2820" width="10.625" style="1449" customWidth="1"/>
    <col min="2821" max="2821" width="8.625" style="1449" customWidth="1"/>
    <col min="2822" max="2822" width="12.625" style="1449" customWidth="1"/>
    <col min="2823" max="2824" width="10.625" style="1449" customWidth="1"/>
    <col min="2825" max="2826" width="15.625" style="1449" customWidth="1"/>
    <col min="2827" max="3072" width="9" style="1449"/>
    <col min="3073" max="3074" width="8.625" style="1449" customWidth="1"/>
    <col min="3075" max="3075" width="11.875" style="1449" customWidth="1"/>
    <col min="3076" max="3076" width="10.625" style="1449" customWidth="1"/>
    <col min="3077" max="3077" width="8.625" style="1449" customWidth="1"/>
    <col min="3078" max="3078" width="12.625" style="1449" customWidth="1"/>
    <col min="3079" max="3080" width="10.625" style="1449" customWidth="1"/>
    <col min="3081" max="3082" width="15.625" style="1449" customWidth="1"/>
    <col min="3083" max="3328" width="9" style="1449"/>
    <col min="3329" max="3330" width="8.625" style="1449" customWidth="1"/>
    <col min="3331" max="3331" width="11.875" style="1449" customWidth="1"/>
    <col min="3332" max="3332" width="10.625" style="1449" customWidth="1"/>
    <col min="3333" max="3333" width="8.625" style="1449" customWidth="1"/>
    <col min="3334" max="3334" width="12.625" style="1449" customWidth="1"/>
    <col min="3335" max="3336" width="10.625" style="1449" customWidth="1"/>
    <col min="3337" max="3338" width="15.625" style="1449" customWidth="1"/>
    <col min="3339" max="3584" width="9" style="1449"/>
    <col min="3585" max="3586" width="8.625" style="1449" customWidth="1"/>
    <col min="3587" max="3587" width="11.875" style="1449" customWidth="1"/>
    <col min="3588" max="3588" width="10.625" style="1449" customWidth="1"/>
    <col min="3589" max="3589" width="8.625" style="1449" customWidth="1"/>
    <col min="3590" max="3590" width="12.625" style="1449" customWidth="1"/>
    <col min="3591" max="3592" width="10.625" style="1449" customWidth="1"/>
    <col min="3593" max="3594" width="15.625" style="1449" customWidth="1"/>
    <col min="3595" max="3840" width="9" style="1449"/>
    <col min="3841" max="3842" width="8.625" style="1449" customWidth="1"/>
    <col min="3843" max="3843" width="11.875" style="1449" customWidth="1"/>
    <col min="3844" max="3844" width="10.625" style="1449" customWidth="1"/>
    <col min="3845" max="3845" width="8.625" style="1449" customWidth="1"/>
    <col min="3846" max="3846" width="12.625" style="1449" customWidth="1"/>
    <col min="3847" max="3848" width="10.625" style="1449" customWidth="1"/>
    <col min="3849" max="3850" width="15.625" style="1449" customWidth="1"/>
    <col min="3851" max="4096" width="9" style="1449"/>
    <col min="4097" max="4098" width="8.625" style="1449" customWidth="1"/>
    <col min="4099" max="4099" width="11.875" style="1449" customWidth="1"/>
    <col min="4100" max="4100" width="10.625" style="1449" customWidth="1"/>
    <col min="4101" max="4101" width="8.625" style="1449" customWidth="1"/>
    <col min="4102" max="4102" width="12.625" style="1449" customWidth="1"/>
    <col min="4103" max="4104" width="10.625" style="1449" customWidth="1"/>
    <col min="4105" max="4106" width="15.625" style="1449" customWidth="1"/>
    <col min="4107" max="4352" width="9" style="1449"/>
    <col min="4353" max="4354" width="8.625" style="1449" customWidth="1"/>
    <col min="4355" max="4355" width="11.875" style="1449" customWidth="1"/>
    <col min="4356" max="4356" width="10.625" style="1449" customWidth="1"/>
    <col min="4357" max="4357" width="8.625" style="1449" customWidth="1"/>
    <col min="4358" max="4358" width="12.625" style="1449" customWidth="1"/>
    <col min="4359" max="4360" width="10.625" style="1449" customWidth="1"/>
    <col min="4361" max="4362" width="15.625" style="1449" customWidth="1"/>
    <col min="4363" max="4608" width="9" style="1449"/>
    <col min="4609" max="4610" width="8.625" style="1449" customWidth="1"/>
    <col min="4611" max="4611" width="11.875" style="1449" customWidth="1"/>
    <col min="4612" max="4612" width="10.625" style="1449" customWidth="1"/>
    <col min="4613" max="4613" width="8.625" style="1449" customWidth="1"/>
    <col min="4614" max="4614" width="12.625" style="1449" customWidth="1"/>
    <col min="4615" max="4616" width="10.625" style="1449" customWidth="1"/>
    <col min="4617" max="4618" width="15.625" style="1449" customWidth="1"/>
    <col min="4619" max="4864" width="9" style="1449"/>
    <col min="4865" max="4866" width="8.625" style="1449" customWidth="1"/>
    <col min="4867" max="4867" width="11.875" style="1449" customWidth="1"/>
    <col min="4868" max="4868" width="10.625" style="1449" customWidth="1"/>
    <col min="4869" max="4869" width="8.625" style="1449" customWidth="1"/>
    <col min="4870" max="4870" width="12.625" style="1449" customWidth="1"/>
    <col min="4871" max="4872" width="10.625" style="1449" customWidth="1"/>
    <col min="4873" max="4874" width="15.625" style="1449" customWidth="1"/>
    <col min="4875" max="5120" width="9" style="1449"/>
    <col min="5121" max="5122" width="8.625" style="1449" customWidth="1"/>
    <col min="5123" max="5123" width="11.875" style="1449" customWidth="1"/>
    <col min="5124" max="5124" width="10.625" style="1449" customWidth="1"/>
    <col min="5125" max="5125" width="8.625" style="1449" customWidth="1"/>
    <col min="5126" max="5126" width="12.625" style="1449" customWidth="1"/>
    <col min="5127" max="5128" width="10.625" style="1449" customWidth="1"/>
    <col min="5129" max="5130" width="15.625" style="1449" customWidth="1"/>
    <col min="5131" max="5376" width="9" style="1449"/>
    <col min="5377" max="5378" width="8.625" style="1449" customWidth="1"/>
    <col min="5379" max="5379" width="11.875" style="1449" customWidth="1"/>
    <col min="5380" max="5380" width="10.625" style="1449" customWidth="1"/>
    <col min="5381" max="5381" width="8.625" style="1449" customWidth="1"/>
    <col min="5382" max="5382" width="12.625" style="1449" customWidth="1"/>
    <col min="5383" max="5384" width="10.625" style="1449" customWidth="1"/>
    <col min="5385" max="5386" width="15.625" style="1449" customWidth="1"/>
    <col min="5387" max="5632" width="9" style="1449"/>
    <col min="5633" max="5634" width="8.625" style="1449" customWidth="1"/>
    <col min="5635" max="5635" width="11.875" style="1449" customWidth="1"/>
    <col min="5636" max="5636" width="10.625" style="1449" customWidth="1"/>
    <col min="5637" max="5637" width="8.625" style="1449" customWidth="1"/>
    <col min="5638" max="5638" width="12.625" style="1449" customWidth="1"/>
    <col min="5639" max="5640" width="10.625" style="1449" customWidth="1"/>
    <col min="5641" max="5642" width="15.625" style="1449" customWidth="1"/>
    <col min="5643" max="5888" width="9" style="1449"/>
    <col min="5889" max="5890" width="8.625" style="1449" customWidth="1"/>
    <col min="5891" max="5891" width="11.875" style="1449" customWidth="1"/>
    <col min="5892" max="5892" width="10.625" style="1449" customWidth="1"/>
    <col min="5893" max="5893" width="8.625" style="1449" customWidth="1"/>
    <col min="5894" max="5894" width="12.625" style="1449" customWidth="1"/>
    <col min="5895" max="5896" width="10.625" style="1449" customWidth="1"/>
    <col min="5897" max="5898" width="15.625" style="1449" customWidth="1"/>
    <col min="5899" max="6144" width="9" style="1449"/>
    <col min="6145" max="6146" width="8.625" style="1449" customWidth="1"/>
    <col min="6147" max="6147" width="11.875" style="1449" customWidth="1"/>
    <col min="6148" max="6148" width="10.625" style="1449" customWidth="1"/>
    <col min="6149" max="6149" width="8.625" style="1449" customWidth="1"/>
    <col min="6150" max="6150" width="12.625" style="1449" customWidth="1"/>
    <col min="6151" max="6152" width="10.625" style="1449" customWidth="1"/>
    <col min="6153" max="6154" width="15.625" style="1449" customWidth="1"/>
    <col min="6155" max="6400" width="9" style="1449"/>
    <col min="6401" max="6402" width="8.625" style="1449" customWidth="1"/>
    <col min="6403" max="6403" width="11.875" style="1449" customWidth="1"/>
    <col min="6404" max="6404" width="10.625" style="1449" customWidth="1"/>
    <col min="6405" max="6405" width="8.625" style="1449" customWidth="1"/>
    <col min="6406" max="6406" width="12.625" style="1449" customWidth="1"/>
    <col min="6407" max="6408" width="10.625" style="1449" customWidth="1"/>
    <col min="6409" max="6410" width="15.625" style="1449" customWidth="1"/>
    <col min="6411" max="6656" width="9" style="1449"/>
    <col min="6657" max="6658" width="8.625" style="1449" customWidth="1"/>
    <col min="6659" max="6659" width="11.875" style="1449" customWidth="1"/>
    <col min="6660" max="6660" width="10.625" style="1449" customWidth="1"/>
    <col min="6661" max="6661" width="8.625" style="1449" customWidth="1"/>
    <col min="6662" max="6662" width="12.625" style="1449" customWidth="1"/>
    <col min="6663" max="6664" width="10.625" style="1449" customWidth="1"/>
    <col min="6665" max="6666" width="15.625" style="1449" customWidth="1"/>
    <col min="6667" max="6912" width="9" style="1449"/>
    <col min="6913" max="6914" width="8.625" style="1449" customWidth="1"/>
    <col min="6915" max="6915" width="11.875" style="1449" customWidth="1"/>
    <col min="6916" max="6916" width="10.625" style="1449" customWidth="1"/>
    <col min="6917" max="6917" width="8.625" style="1449" customWidth="1"/>
    <col min="6918" max="6918" width="12.625" style="1449" customWidth="1"/>
    <col min="6919" max="6920" width="10.625" style="1449" customWidth="1"/>
    <col min="6921" max="6922" width="15.625" style="1449" customWidth="1"/>
    <col min="6923" max="7168" width="9" style="1449"/>
    <col min="7169" max="7170" width="8.625" style="1449" customWidth="1"/>
    <col min="7171" max="7171" width="11.875" style="1449" customWidth="1"/>
    <col min="7172" max="7172" width="10.625" style="1449" customWidth="1"/>
    <col min="7173" max="7173" width="8.625" style="1449" customWidth="1"/>
    <col min="7174" max="7174" width="12.625" style="1449" customWidth="1"/>
    <col min="7175" max="7176" width="10.625" style="1449" customWidth="1"/>
    <col min="7177" max="7178" width="15.625" style="1449" customWidth="1"/>
    <col min="7179" max="7424" width="9" style="1449"/>
    <col min="7425" max="7426" width="8.625" style="1449" customWidth="1"/>
    <col min="7427" max="7427" width="11.875" style="1449" customWidth="1"/>
    <col min="7428" max="7428" width="10.625" style="1449" customWidth="1"/>
    <col min="7429" max="7429" width="8.625" style="1449" customWidth="1"/>
    <col min="7430" max="7430" width="12.625" style="1449" customWidth="1"/>
    <col min="7431" max="7432" width="10.625" style="1449" customWidth="1"/>
    <col min="7433" max="7434" width="15.625" style="1449" customWidth="1"/>
    <col min="7435" max="7680" width="9" style="1449"/>
    <col min="7681" max="7682" width="8.625" style="1449" customWidth="1"/>
    <col min="7683" max="7683" width="11.875" style="1449" customWidth="1"/>
    <col min="7684" max="7684" width="10.625" style="1449" customWidth="1"/>
    <col min="7685" max="7685" width="8.625" style="1449" customWidth="1"/>
    <col min="7686" max="7686" width="12.625" style="1449" customWidth="1"/>
    <col min="7687" max="7688" width="10.625" style="1449" customWidth="1"/>
    <col min="7689" max="7690" width="15.625" style="1449" customWidth="1"/>
    <col min="7691" max="7936" width="9" style="1449"/>
    <col min="7937" max="7938" width="8.625" style="1449" customWidth="1"/>
    <col min="7939" max="7939" width="11.875" style="1449" customWidth="1"/>
    <col min="7940" max="7940" width="10.625" style="1449" customWidth="1"/>
    <col min="7941" max="7941" width="8.625" style="1449" customWidth="1"/>
    <col min="7942" max="7942" width="12.625" style="1449" customWidth="1"/>
    <col min="7943" max="7944" width="10.625" style="1449" customWidth="1"/>
    <col min="7945" max="7946" width="15.625" style="1449" customWidth="1"/>
    <col min="7947" max="8192" width="9" style="1449"/>
    <col min="8193" max="8194" width="8.625" style="1449" customWidth="1"/>
    <col min="8195" max="8195" width="11.875" style="1449" customWidth="1"/>
    <col min="8196" max="8196" width="10.625" style="1449" customWidth="1"/>
    <col min="8197" max="8197" width="8.625" style="1449" customWidth="1"/>
    <col min="8198" max="8198" width="12.625" style="1449" customWidth="1"/>
    <col min="8199" max="8200" width="10.625" style="1449" customWidth="1"/>
    <col min="8201" max="8202" width="15.625" style="1449" customWidth="1"/>
    <col min="8203" max="8448" width="9" style="1449"/>
    <col min="8449" max="8450" width="8.625" style="1449" customWidth="1"/>
    <col min="8451" max="8451" width="11.875" style="1449" customWidth="1"/>
    <col min="8452" max="8452" width="10.625" style="1449" customWidth="1"/>
    <col min="8453" max="8453" width="8.625" style="1449" customWidth="1"/>
    <col min="8454" max="8454" width="12.625" style="1449" customWidth="1"/>
    <col min="8455" max="8456" width="10.625" style="1449" customWidth="1"/>
    <col min="8457" max="8458" width="15.625" style="1449" customWidth="1"/>
    <col min="8459" max="8704" width="9" style="1449"/>
    <col min="8705" max="8706" width="8.625" style="1449" customWidth="1"/>
    <col min="8707" max="8707" width="11.875" style="1449" customWidth="1"/>
    <col min="8708" max="8708" width="10.625" style="1449" customWidth="1"/>
    <col min="8709" max="8709" width="8.625" style="1449" customWidth="1"/>
    <col min="8710" max="8710" width="12.625" style="1449" customWidth="1"/>
    <col min="8711" max="8712" width="10.625" style="1449" customWidth="1"/>
    <col min="8713" max="8714" width="15.625" style="1449" customWidth="1"/>
    <col min="8715" max="8960" width="9" style="1449"/>
    <col min="8961" max="8962" width="8.625" style="1449" customWidth="1"/>
    <col min="8963" max="8963" width="11.875" style="1449" customWidth="1"/>
    <col min="8964" max="8964" width="10.625" style="1449" customWidth="1"/>
    <col min="8965" max="8965" width="8.625" style="1449" customWidth="1"/>
    <col min="8966" max="8966" width="12.625" style="1449" customWidth="1"/>
    <col min="8967" max="8968" width="10.625" style="1449" customWidth="1"/>
    <col min="8969" max="8970" width="15.625" style="1449" customWidth="1"/>
    <col min="8971" max="9216" width="9" style="1449"/>
    <col min="9217" max="9218" width="8.625" style="1449" customWidth="1"/>
    <col min="9219" max="9219" width="11.875" style="1449" customWidth="1"/>
    <col min="9220" max="9220" width="10.625" style="1449" customWidth="1"/>
    <col min="9221" max="9221" width="8.625" style="1449" customWidth="1"/>
    <col min="9222" max="9222" width="12.625" style="1449" customWidth="1"/>
    <col min="9223" max="9224" width="10.625" style="1449" customWidth="1"/>
    <col min="9225" max="9226" width="15.625" style="1449" customWidth="1"/>
    <col min="9227" max="9472" width="9" style="1449"/>
    <col min="9473" max="9474" width="8.625" style="1449" customWidth="1"/>
    <col min="9475" max="9475" width="11.875" style="1449" customWidth="1"/>
    <col min="9476" max="9476" width="10.625" style="1449" customWidth="1"/>
    <col min="9477" max="9477" width="8.625" style="1449" customWidth="1"/>
    <col min="9478" max="9478" width="12.625" style="1449" customWidth="1"/>
    <col min="9479" max="9480" width="10.625" style="1449" customWidth="1"/>
    <col min="9481" max="9482" width="15.625" style="1449" customWidth="1"/>
    <col min="9483" max="9728" width="9" style="1449"/>
    <col min="9729" max="9730" width="8.625" style="1449" customWidth="1"/>
    <col min="9731" max="9731" width="11.875" style="1449" customWidth="1"/>
    <col min="9732" max="9732" width="10.625" style="1449" customWidth="1"/>
    <col min="9733" max="9733" width="8.625" style="1449" customWidth="1"/>
    <col min="9734" max="9734" width="12.625" style="1449" customWidth="1"/>
    <col min="9735" max="9736" width="10.625" style="1449" customWidth="1"/>
    <col min="9737" max="9738" width="15.625" style="1449" customWidth="1"/>
    <col min="9739" max="9984" width="9" style="1449"/>
    <col min="9985" max="9986" width="8.625" style="1449" customWidth="1"/>
    <col min="9987" max="9987" width="11.875" style="1449" customWidth="1"/>
    <col min="9988" max="9988" width="10.625" style="1449" customWidth="1"/>
    <col min="9989" max="9989" width="8.625" style="1449" customWidth="1"/>
    <col min="9990" max="9990" width="12.625" style="1449" customWidth="1"/>
    <col min="9991" max="9992" width="10.625" style="1449" customWidth="1"/>
    <col min="9993" max="9994" width="15.625" style="1449" customWidth="1"/>
    <col min="9995" max="10240" width="9" style="1449"/>
    <col min="10241" max="10242" width="8.625" style="1449" customWidth="1"/>
    <col min="10243" max="10243" width="11.875" style="1449" customWidth="1"/>
    <col min="10244" max="10244" width="10.625" style="1449" customWidth="1"/>
    <col min="10245" max="10245" width="8.625" style="1449" customWidth="1"/>
    <col min="10246" max="10246" width="12.625" style="1449" customWidth="1"/>
    <col min="10247" max="10248" width="10.625" style="1449" customWidth="1"/>
    <col min="10249" max="10250" width="15.625" style="1449" customWidth="1"/>
    <col min="10251" max="10496" width="9" style="1449"/>
    <col min="10497" max="10498" width="8.625" style="1449" customWidth="1"/>
    <col min="10499" max="10499" width="11.875" style="1449" customWidth="1"/>
    <col min="10500" max="10500" width="10.625" style="1449" customWidth="1"/>
    <col min="10501" max="10501" width="8.625" style="1449" customWidth="1"/>
    <col min="10502" max="10502" width="12.625" style="1449" customWidth="1"/>
    <col min="10503" max="10504" width="10.625" style="1449" customWidth="1"/>
    <col min="10505" max="10506" width="15.625" style="1449" customWidth="1"/>
    <col min="10507" max="10752" width="9" style="1449"/>
    <col min="10753" max="10754" width="8.625" style="1449" customWidth="1"/>
    <col min="10755" max="10755" width="11.875" style="1449" customWidth="1"/>
    <col min="10756" max="10756" width="10.625" style="1449" customWidth="1"/>
    <col min="10757" max="10757" width="8.625" style="1449" customWidth="1"/>
    <col min="10758" max="10758" width="12.625" style="1449" customWidth="1"/>
    <col min="10759" max="10760" width="10.625" style="1449" customWidth="1"/>
    <col min="10761" max="10762" width="15.625" style="1449" customWidth="1"/>
    <col min="10763" max="11008" width="9" style="1449"/>
    <col min="11009" max="11010" width="8.625" style="1449" customWidth="1"/>
    <col min="11011" max="11011" width="11.875" style="1449" customWidth="1"/>
    <col min="11012" max="11012" width="10.625" style="1449" customWidth="1"/>
    <col min="11013" max="11013" width="8.625" style="1449" customWidth="1"/>
    <col min="11014" max="11014" width="12.625" style="1449" customWidth="1"/>
    <col min="11015" max="11016" width="10.625" style="1449" customWidth="1"/>
    <col min="11017" max="11018" width="15.625" style="1449" customWidth="1"/>
    <col min="11019" max="11264" width="9" style="1449"/>
    <col min="11265" max="11266" width="8.625" style="1449" customWidth="1"/>
    <col min="11267" max="11267" width="11.875" style="1449" customWidth="1"/>
    <col min="11268" max="11268" width="10.625" style="1449" customWidth="1"/>
    <col min="11269" max="11269" width="8.625" style="1449" customWidth="1"/>
    <col min="11270" max="11270" width="12.625" style="1449" customWidth="1"/>
    <col min="11271" max="11272" width="10.625" style="1449" customWidth="1"/>
    <col min="11273" max="11274" width="15.625" style="1449" customWidth="1"/>
    <col min="11275" max="11520" width="9" style="1449"/>
    <col min="11521" max="11522" width="8.625" style="1449" customWidth="1"/>
    <col min="11523" max="11523" width="11.875" style="1449" customWidth="1"/>
    <col min="11524" max="11524" width="10.625" style="1449" customWidth="1"/>
    <col min="11525" max="11525" width="8.625" style="1449" customWidth="1"/>
    <col min="11526" max="11526" width="12.625" style="1449" customWidth="1"/>
    <col min="11527" max="11528" width="10.625" style="1449" customWidth="1"/>
    <col min="11529" max="11530" width="15.625" style="1449" customWidth="1"/>
    <col min="11531" max="11776" width="9" style="1449"/>
    <col min="11777" max="11778" width="8.625" style="1449" customWidth="1"/>
    <col min="11779" max="11779" width="11.875" style="1449" customWidth="1"/>
    <col min="11780" max="11780" width="10.625" style="1449" customWidth="1"/>
    <col min="11781" max="11781" width="8.625" style="1449" customWidth="1"/>
    <col min="11782" max="11782" width="12.625" style="1449" customWidth="1"/>
    <col min="11783" max="11784" width="10.625" style="1449" customWidth="1"/>
    <col min="11785" max="11786" width="15.625" style="1449" customWidth="1"/>
    <col min="11787" max="12032" width="9" style="1449"/>
    <col min="12033" max="12034" width="8.625" style="1449" customWidth="1"/>
    <col min="12035" max="12035" width="11.875" style="1449" customWidth="1"/>
    <col min="12036" max="12036" width="10.625" style="1449" customWidth="1"/>
    <col min="12037" max="12037" width="8.625" style="1449" customWidth="1"/>
    <col min="12038" max="12038" width="12.625" style="1449" customWidth="1"/>
    <col min="12039" max="12040" width="10.625" style="1449" customWidth="1"/>
    <col min="12041" max="12042" width="15.625" style="1449" customWidth="1"/>
    <col min="12043" max="12288" width="9" style="1449"/>
    <col min="12289" max="12290" width="8.625" style="1449" customWidth="1"/>
    <col min="12291" max="12291" width="11.875" style="1449" customWidth="1"/>
    <col min="12292" max="12292" width="10.625" style="1449" customWidth="1"/>
    <col min="12293" max="12293" width="8.625" style="1449" customWidth="1"/>
    <col min="12294" max="12294" width="12.625" style="1449" customWidth="1"/>
    <col min="12295" max="12296" width="10.625" style="1449" customWidth="1"/>
    <col min="12297" max="12298" width="15.625" style="1449" customWidth="1"/>
    <col min="12299" max="12544" width="9" style="1449"/>
    <col min="12545" max="12546" width="8.625" style="1449" customWidth="1"/>
    <col min="12547" max="12547" width="11.875" style="1449" customWidth="1"/>
    <col min="12548" max="12548" width="10.625" style="1449" customWidth="1"/>
    <col min="12549" max="12549" width="8.625" style="1449" customWidth="1"/>
    <col min="12550" max="12550" width="12.625" style="1449" customWidth="1"/>
    <col min="12551" max="12552" width="10.625" style="1449" customWidth="1"/>
    <col min="12553" max="12554" width="15.625" style="1449" customWidth="1"/>
    <col min="12555" max="12800" width="9" style="1449"/>
    <col min="12801" max="12802" width="8.625" style="1449" customWidth="1"/>
    <col min="12803" max="12803" width="11.875" style="1449" customWidth="1"/>
    <col min="12804" max="12804" width="10.625" style="1449" customWidth="1"/>
    <col min="12805" max="12805" width="8.625" style="1449" customWidth="1"/>
    <col min="12806" max="12806" width="12.625" style="1449" customWidth="1"/>
    <col min="12807" max="12808" width="10.625" style="1449" customWidth="1"/>
    <col min="12809" max="12810" width="15.625" style="1449" customWidth="1"/>
    <col min="12811" max="13056" width="9" style="1449"/>
    <col min="13057" max="13058" width="8.625" style="1449" customWidth="1"/>
    <col min="13059" max="13059" width="11.875" style="1449" customWidth="1"/>
    <col min="13060" max="13060" width="10.625" style="1449" customWidth="1"/>
    <col min="13061" max="13061" width="8.625" style="1449" customWidth="1"/>
    <col min="13062" max="13062" width="12.625" style="1449" customWidth="1"/>
    <col min="13063" max="13064" width="10.625" style="1449" customWidth="1"/>
    <col min="13065" max="13066" width="15.625" style="1449" customWidth="1"/>
    <col min="13067" max="13312" width="9" style="1449"/>
    <col min="13313" max="13314" width="8.625" style="1449" customWidth="1"/>
    <col min="13315" max="13315" width="11.875" style="1449" customWidth="1"/>
    <col min="13316" max="13316" width="10.625" style="1449" customWidth="1"/>
    <col min="13317" max="13317" width="8.625" style="1449" customWidth="1"/>
    <col min="13318" max="13318" width="12.625" style="1449" customWidth="1"/>
    <col min="13319" max="13320" width="10.625" style="1449" customWidth="1"/>
    <col min="13321" max="13322" width="15.625" style="1449" customWidth="1"/>
    <col min="13323" max="13568" width="9" style="1449"/>
    <col min="13569" max="13570" width="8.625" style="1449" customWidth="1"/>
    <col min="13571" max="13571" width="11.875" style="1449" customWidth="1"/>
    <col min="13572" max="13572" width="10.625" style="1449" customWidth="1"/>
    <col min="13573" max="13573" width="8.625" style="1449" customWidth="1"/>
    <col min="13574" max="13574" width="12.625" style="1449" customWidth="1"/>
    <col min="13575" max="13576" width="10.625" style="1449" customWidth="1"/>
    <col min="13577" max="13578" width="15.625" style="1449" customWidth="1"/>
    <col min="13579" max="13824" width="9" style="1449"/>
    <col min="13825" max="13826" width="8.625" style="1449" customWidth="1"/>
    <col min="13827" max="13827" width="11.875" style="1449" customWidth="1"/>
    <col min="13828" max="13828" width="10.625" style="1449" customWidth="1"/>
    <col min="13829" max="13829" width="8.625" style="1449" customWidth="1"/>
    <col min="13830" max="13830" width="12.625" style="1449" customWidth="1"/>
    <col min="13831" max="13832" width="10.625" style="1449" customWidth="1"/>
    <col min="13833" max="13834" width="15.625" style="1449" customWidth="1"/>
    <col min="13835" max="14080" width="9" style="1449"/>
    <col min="14081" max="14082" width="8.625" style="1449" customWidth="1"/>
    <col min="14083" max="14083" width="11.875" style="1449" customWidth="1"/>
    <col min="14084" max="14084" width="10.625" style="1449" customWidth="1"/>
    <col min="14085" max="14085" width="8.625" style="1449" customWidth="1"/>
    <col min="14086" max="14086" width="12.625" style="1449" customWidth="1"/>
    <col min="14087" max="14088" width="10.625" style="1449" customWidth="1"/>
    <col min="14089" max="14090" width="15.625" style="1449" customWidth="1"/>
    <col min="14091" max="14336" width="9" style="1449"/>
    <col min="14337" max="14338" width="8.625" style="1449" customWidth="1"/>
    <col min="14339" max="14339" width="11.875" style="1449" customWidth="1"/>
    <col min="14340" max="14340" width="10.625" style="1449" customWidth="1"/>
    <col min="14341" max="14341" width="8.625" style="1449" customWidth="1"/>
    <col min="14342" max="14342" width="12.625" style="1449" customWidth="1"/>
    <col min="14343" max="14344" width="10.625" style="1449" customWidth="1"/>
    <col min="14345" max="14346" width="15.625" style="1449" customWidth="1"/>
    <col min="14347" max="14592" width="9" style="1449"/>
    <col min="14593" max="14594" width="8.625" style="1449" customWidth="1"/>
    <col min="14595" max="14595" width="11.875" style="1449" customWidth="1"/>
    <col min="14596" max="14596" width="10.625" style="1449" customWidth="1"/>
    <col min="14597" max="14597" width="8.625" style="1449" customWidth="1"/>
    <col min="14598" max="14598" width="12.625" style="1449" customWidth="1"/>
    <col min="14599" max="14600" width="10.625" style="1449" customWidth="1"/>
    <col min="14601" max="14602" width="15.625" style="1449" customWidth="1"/>
    <col min="14603" max="14848" width="9" style="1449"/>
    <col min="14849" max="14850" width="8.625" style="1449" customWidth="1"/>
    <col min="14851" max="14851" width="11.875" style="1449" customWidth="1"/>
    <col min="14852" max="14852" width="10.625" style="1449" customWidth="1"/>
    <col min="14853" max="14853" width="8.625" style="1449" customWidth="1"/>
    <col min="14854" max="14854" width="12.625" style="1449" customWidth="1"/>
    <col min="14855" max="14856" width="10.625" style="1449" customWidth="1"/>
    <col min="14857" max="14858" width="15.625" style="1449" customWidth="1"/>
    <col min="14859" max="15104" width="9" style="1449"/>
    <col min="15105" max="15106" width="8.625" style="1449" customWidth="1"/>
    <col min="15107" max="15107" width="11.875" style="1449" customWidth="1"/>
    <col min="15108" max="15108" width="10.625" style="1449" customWidth="1"/>
    <col min="15109" max="15109" width="8.625" style="1449" customWidth="1"/>
    <col min="15110" max="15110" width="12.625" style="1449" customWidth="1"/>
    <col min="15111" max="15112" width="10.625" style="1449" customWidth="1"/>
    <col min="15113" max="15114" width="15.625" style="1449" customWidth="1"/>
    <col min="15115" max="15360" width="9" style="1449"/>
    <col min="15361" max="15362" width="8.625" style="1449" customWidth="1"/>
    <col min="15363" max="15363" width="11.875" style="1449" customWidth="1"/>
    <col min="15364" max="15364" width="10.625" style="1449" customWidth="1"/>
    <col min="15365" max="15365" width="8.625" style="1449" customWidth="1"/>
    <col min="15366" max="15366" width="12.625" style="1449" customWidth="1"/>
    <col min="15367" max="15368" width="10.625" style="1449" customWidth="1"/>
    <col min="15369" max="15370" width="15.625" style="1449" customWidth="1"/>
    <col min="15371" max="15616" width="9" style="1449"/>
    <col min="15617" max="15618" width="8.625" style="1449" customWidth="1"/>
    <col min="15619" max="15619" width="11.875" style="1449" customWidth="1"/>
    <col min="15620" max="15620" width="10.625" style="1449" customWidth="1"/>
    <col min="15621" max="15621" width="8.625" style="1449" customWidth="1"/>
    <col min="15622" max="15622" width="12.625" style="1449" customWidth="1"/>
    <col min="15623" max="15624" width="10.625" style="1449" customWidth="1"/>
    <col min="15625" max="15626" width="15.625" style="1449" customWidth="1"/>
    <col min="15627" max="15872" width="9" style="1449"/>
    <col min="15873" max="15874" width="8.625" style="1449" customWidth="1"/>
    <col min="15875" max="15875" width="11.875" style="1449" customWidth="1"/>
    <col min="15876" max="15876" width="10.625" style="1449" customWidth="1"/>
    <col min="15877" max="15877" width="8.625" style="1449" customWidth="1"/>
    <col min="15878" max="15878" width="12.625" style="1449" customWidth="1"/>
    <col min="15879" max="15880" width="10.625" style="1449" customWidth="1"/>
    <col min="15881" max="15882" width="15.625" style="1449" customWidth="1"/>
    <col min="15883" max="16128" width="9" style="1449"/>
    <col min="16129" max="16130" width="8.625" style="1449" customWidth="1"/>
    <col min="16131" max="16131" width="11.875" style="1449" customWidth="1"/>
    <col min="16132" max="16132" width="10.625" style="1449" customWidth="1"/>
    <col min="16133" max="16133" width="8.625" style="1449" customWidth="1"/>
    <col min="16134" max="16134" width="12.625" style="1449" customWidth="1"/>
    <col min="16135" max="16136" width="10.625" style="1449" customWidth="1"/>
    <col min="16137" max="16138" width="15.625" style="1449" customWidth="1"/>
    <col min="16139" max="16384" width="9" style="1449"/>
  </cols>
  <sheetData>
    <row r="1" spans="1:10" s="1448" customFormat="1" ht="14.25" customHeight="1">
      <c r="A1" s="1830" t="s">
        <v>5454</v>
      </c>
      <c r="B1" s="1830"/>
      <c r="C1" s="1830"/>
      <c r="D1" s="1830"/>
      <c r="E1" s="1830"/>
      <c r="F1" s="1830"/>
      <c r="G1" s="1830"/>
      <c r="H1" s="1830"/>
      <c r="I1" s="1446"/>
      <c r="J1" s="1447"/>
    </row>
    <row r="2" spans="1:10" s="1448" customFormat="1" ht="14.25" customHeight="1">
      <c r="A2" s="1830"/>
      <c r="B2" s="1830"/>
      <c r="C2" s="1830"/>
      <c r="D2" s="1830"/>
      <c r="E2" s="1830"/>
      <c r="F2" s="1830"/>
      <c r="G2" s="1830"/>
      <c r="H2" s="1830"/>
      <c r="I2" s="1446"/>
      <c r="J2" s="1447"/>
    </row>
    <row r="3" spans="1:10" s="1448" customFormat="1" ht="14.25" customHeight="1">
      <c r="A3" s="1830"/>
      <c r="B3" s="1830"/>
      <c r="C3" s="1830"/>
      <c r="D3" s="1830"/>
      <c r="E3" s="1830"/>
      <c r="F3" s="1830"/>
      <c r="G3" s="1830"/>
      <c r="H3" s="1830"/>
      <c r="I3" s="1446"/>
      <c r="J3" s="1447"/>
    </row>
    <row r="4" spans="1:10" s="1448" customFormat="1" ht="61.5" customHeight="1">
      <c r="A4" s="1449"/>
      <c r="B4" s="1449"/>
      <c r="C4" s="1449"/>
      <c r="D4" s="1449"/>
      <c r="E4" s="1449"/>
      <c r="F4" s="1449"/>
      <c r="G4" s="1449"/>
      <c r="H4" s="1449"/>
      <c r="I4" s="1446"/>
      <c r="J4" s="1447"/>
    </row>
    <row r="5" spans="1:10" ht="50.25" customHeight="1">
      <c r="A5" s="1830"/>
      <c r="B5" s="1830"/>
      <c r="C5" s="1830"/>
      <c r="D5" s="1830"/>
      <c r="E5" s="1830"/>
      <c r="F5" s="1830"/>
      <c r="G5" s="1830"/>
      <c r="H5" s="1830"/>
    </row>
    <row r="9" spans="1:10" ht="30">
      <c r="B9" s="1450"/>
      <c r="C9" s="1831" t="s">
        <v>5455</v>
      </c>
      <c r="D9" s="1831"/>
      <c r="E9" s="1452" t="s">
        <v>5456</v>
      </c>
      <c r="F9" s="1453"/>
      <c r="G9" s="1453"/>
      <c r="H9" s="1450"/>
    </row>
    <row r="10" spans="1:10" ht="25.5">
      <c r="A10" s="1832"/>
      <c r="B10" s="1832"/>
      <c r="C10" s="1832"/>
      <c r="D10" s="1832"/>
      <c r="E10" s="1832"/>
      <c r="F10" s="1832"/>
      <c r="G10" s="1832"/>
      <c r="H10" s="1832"/>
    </row>
    <row r="11" spans="1:10" s="1446" customFormat="1" ht="69" customHeight="1">
      <c r="A11" s="1449"/>
      <c r="B11" s="1449"/>
      <c r="C11" s="1449"/>
      <c r="D11" s="1449"/>
      <c r="E11" s="1449"/>
      <c r="F11" s="1449"/>
      <c r="G11" s="1449"/>
      <c r="H11" s="1449"/>
      <c r="J11" s="1447"/>
    </row>
    <row r="12" spans="1:10" s="1446" customFormat="1" ht="30">
      <c r="A12" s="1450"/>
      <c r="B12" s="1450"/>
      <c r="D12" s="1451" t="s">
        <v>5457</v>
      </c>
      <c r="E12" s="1455" t="s">
        <v>5458</v>
      </c>
      <c r="F12" s="1455"/>
      <c r="G12" s="1450"/>
      <c r="H12" s="1450"/>
      <c r="J12" s="1447"/>
    </row>
    <row r="15" spans="1:10" s="1446" customFormat="1" ht="68.25" customHeight="1">
      <c r="A15" s="1829" t="s">
        <v>5459</v>
      </c>
      <c r="B15" s="1829"/>
      <c r="C15" s="1829"/>
      <c r="D15" s="1829"/>
      <c r="E15" s="1829"/>
      <c r="F15" s="1829"/>
      <c r="G15" s="1829"/>
      <c r="H15" s="1829"/>
      <c r="J15" s="1447"/>
    </row>
    <row r="16" spans="1:10" s="1446" customFormat="1" ht="105.75" customHeight="1">
      <c r="A16" s="1829" t="s">
        <v>5460</v>
      </c>
      <c r="B16" s="1829"/>
      <c r="C16" s="1829"/>
      <c r="D16" s="1829"/>
      <c r="E16" s="1829"/>
      <c r="F16" s="1829"/>
      <c r="G16" s="1829"/>
      <c r="H16" s="1829"/>
      <c r="J16" s="1447"/>
    </row>
    <row r="21" spans="1:10" s="1446" customFormat="1">
      <c r="A21" s="1830"/>
      <c r="B21" s="1830"/>
      <c r="C21" s="1830"/>
      <c r="D21" s="1830"/>
      <c r="E21" s="1830"/>
      <c r="F21" s="1830"/>
      <c r="G21" s="1830"/>
      <c r="H21" s="1830"/>
      <c r="J21" s="1447"/>
    </row>
    <row r="22" spans="1:10" s="1446" customFormat="1">
      <c r="A22" s="1830"/>
      <c r="B22" s="1830"/>
      <c r="C22" s="1830"/>
      <c r="D22" s="1830"/>
      <c r="E22" s="1830"/>
      <c r="F22" s="1830"/>
      <c r="G22" s="1830"/>
      <c r="H22" s="1830"/>
      <c r="J22" s="1447"/>
    </row>
    <row r="23" spans="1:10" s="1446" customFormat="1">
      <c r="A23" s="1830"/>
      <c r="B23" s="1830"/>
      <c r="C23" s="1830"/>
      <c r="D23" s="1830"/>
      <c r="E23" s="1830"/>
      <c r="F23" s="1830"/>
      <c r="G23" s="1830"/>
      <c r="H23" s="1830"/>
      <c r="J23" s="1447"/>
    </row>
    <row r="25" spans="1:10" s="1446" customFormat="1" ht="70.5" customHeight="1">
      <c r="A25" s="1830"/>
      <c r="B25" s="1830"/>
      <c r="C25" s="1830"/>
      <c r="D25" s="1830"/>
      <c r="E25" s="1830"/>
      <c r="F25" s="1830"/>
      <c r="G25" s="1830"/>
      <c r="H25" s="1830"/>
      <c r="J25" s="1447"/>
    </row>
    <row r="29" spans="1:10" s="1446" customFormat="1">
      <c r="A29" s="1830"/>
      <c r="B29" s="1830"/>
      <c r="C29" s="1830"/>
      <c r="D29" s="1830"/>
      <c r="E29" s="1830"/>
      <c r="F29" s="1830"/>
      <c r="G29" s="1830"/>
      <c r="H29" s="1830"/>
      <c r="J29" s="1447"/>
    </row>
    <row r="30" spans="1:10" s="1446" customFormat="1">
      <c r="A30" s="1830"/>
      <c r="B30" s="1830"/>
      <c r="C30" s="1830"/>
      <c r="D30" s="1830"/>
      <c r="E30" s="1830"/>
      <c r="F30" s="1830"/>
      <c r="G30" s="1830"/>
      <c r="H30" s="1830"/>
      <c r="J30" s="1447"/>
    </row>
    <row r="31" spans="1:10" s="1446" customFormat="1">
      <c r="A31" s="1830"/>
      <c r="B31" s="1830"/>
      <c r="C31" s="1830"/>
      <c r="D31" s="1830"/>
      <c r="E31" s="1830"/>
      <c r="F31" s="1830"/>
      <c r="G31" s="1830"/>
      <c r="H31" s="1830"/>
      <c r="J31" s="1447"/>
    </row>
    <row r="32" spans="1:10" s="1446" customFormat="1">
      <c r="A32" s="1830"/>
      <c r="B32" s="1830"/>
      <c r="C32" s="1830"/>
      <c r="D32" s="1830"/>
      <c r="E32" s="1830"/>
      <c r="F32" s="1830"/>
      <c r="G32" s="1830"/>
      <c r="H32" s="1830"/>
      <c r="J32" s="1447"/>
    </row>
    <row r="33" spans="1:10" s="1446" customFormat="1">
      <c r="A33" s="1830" t="s">
        <v>5454</v>
      </c>
      <c r="B33" s="1830"/>
      <c r="C33" s="1830"/>
      <c r="D33" s="1830"/>
      <c r="E33" s="1830"/>
      <c r="F33" s="1830"/>
      <c r="G33" s="1830"/>
      <c r="H33" s="1830"/>
      <c r="J33" s="1447"/>
    </row>
    <row r="34" spans="1:10" s="1446" customFormat="1">
      <c r="A34" s="1830"/>
      <c r="B34" s="1830"/>
      <c r="C34" s="1830"/>
      <c r="D34" s="1830"/>
      <c r="E34" s="1830"/>
      <c r="F34" s="1830"/>
      <c r="G34" s="1830"/>
      <c r="H34" s="1830"/>
      <c r="J34" s="1447"/>
    </row>
    <row r="35" spans="1:10" s="1446" customFormat="1">
      <c r="A35" s="1830"/>
      <c r="B35" s="1830"/>
      <c r="C35" s="1830"/>
      <c r="D35" s="1830"/>
      <c r="E35" s="1830"/>
      <c r="F35" s="1830"/>
      <c r="G35" s="1830"/>
      <c r="H35" s="1830"/>
      <c r="J35" s="1447"/>
    </row>
    <row r="44" spans="1:10" s="1446" customFormat="1" ht="30">
      <c r="A44" s="1449"/>
      <c r="B44" s="1450"/>
      <c r="C44" s="1451"/>
      <c r="D44" s="1451" t="s">
        <v>5455</v>
      </c>
      <c r="E44" s="1456" t="s">
        <v>5461</v>
      </c>
      <c r="F44" s="1453"/>
      <c r="G44" s="1453"/>
      <c r="H44" s="1450"/>
      <c r="J44" s="1447"/>
    </row>
    <row r="45" spans="1:10" s="1446" customFormat="1" ht="25.5">
      <c r="A45" s="1454"/>
      <c r="B45" s="1454"/>
      <c r="C45" s="1454"/>
      <c r="D45" s="1454"/>
      <c r="E45" s="1454"/>
      <c r="F45" s="1454"/>
      <c r="G45" s="1454"/>
      <c r="H45" s="1454"/>
      <c r="J45" s="1447"/>
    </row>
    <row r="46" spans="1:10" s="1446" customFormat="1" ht="72.75" customHeight="1">
      <c r="A46" s="1449"/>
      <c r="B46" s="1449"/>
      <c r="C46" s="1449"/>
      <c r="D46" s="1449"/>
      <c r="E46" s="1449"/>
      <c r="F46" s="1449"/>
      <c r="G46" s="1449"/>
      <c r="H46" s="1449"/>
      <c r="J46" s="1447"/>
    </row>
    <row r="47" spans="1:10" s="1446" customFormat="1" ht="30">
      <c r="A47" s="1450"/>
      <c r="B47" s="1450"/>
      <c r="D47" s="1451" t="s">
        <v>5457</v>
      </c>
      <c r="E47" s="1455">
        <v>2440</v>
      </c>
      <c r="F47" s="1455"/>
      <c r="G47" s="1450"/>
      <c r="H47" s="1450"/>
      <c r="J47" s="1447"/>
    </row>
    <row r="48" spans="1:10" s="1446" customFormat="1" ht="48.75" customHeight="1">
      <c r="A48" s="1449"/>
      <c r="B48" s="1449"/>
      <c r="C48" s="1449"/>
      <c r="D48" s="1449"/>
      <c r="E48" s="1449"/>
      <c r="F48" s="1449"/>
      <c r="G48" s="1449"/>
      <c r="H48" s="1449"/>
      <c r="J48" s="1447"/>
    </row>
    <row r="49" spans="1:10" s="1446" customFormat="1" ht="48.75" customHeight="1">
      <c r="A49" s="1449"/>
      <c r="B49" s="1449"/>
      <c r="C49" s="1449"/>
      <c r="D49" s="1449"/>
      <c r="E49" s="1449"/>
      <c r="F49" s="1449"/>
      <c r="G49" s="1449"/>
      <c r="H49" s="1449"/>
      <c r="J49" s="1447"/>
    </row>
    <row r="50" spans="1:10" s="1446" customFormat="1" ht="60" customHeight="1">
      <c r="A50" s="1829" t="s">
        <v>5462</v>
      </c>
      <c r="B50" s="1829"/>
      <c r="C50" s="1829"/>
      <c r="D50" s="1829"/>
      <c r="E50" s="1829"/>
      <c r="F50" s="1829"/>
      <c r="G50" s="1829"/>
      <c r="H50" s="1829"/>
      <c r="J50" s="1447"/>
    </row>
    <row r="51" spans="1:10" s="1446" customFormat="1" ht="125.25" customHeight="1">
      <c r="A51" s="1829" t="s">
        <v>5463</v>
      </c>
      <c r="B51" s="1829"/>
      <c r="C51" s="1829"/>
      <c r="D51" s="1829"/>
      <c r="E51" s="1829"/>
      <c r="F51" s="1829"/>
      <c r="G51" s="1829"/>
      <c r="H51" s="1829"/>
      <c r="J51" s="1447"/>
    </row>
  </sheetData>
  <mergeCells count="12">
    <mergeCell ref="A51:H51"/>
    <mergeCell ref="A1:H3"/>
    <mergeCell ref="A5:H5"/>
    <mergeCell ref="C9:D9"/>
    <mergeCell ref="A10:H10"/>
    <mergeCell ref="A15:H15"/>
    <mergeCell ref="A16:H16"/>
    <mergeCell ref="A21:H23"/>
    <mergeCell ref="A25:H25"/>
    <mergeCell ref="A29:H32"/>
    <mergeCell ref="A33:H35"/>
    <mergeCell ref="A50:H50"/>
  </mergeCells>
  <phoneticPr fontId="3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14CE-EFFC-4290-A0B6-D877F7B6F3AF}">
  <sheetPr codeName="Sheet7"/>
  <dimension ref="A13:EV3472"/>
  <sheetViews>
    <sheetView topLeftCell="A3255" zoomScaleNormal="100" workbookViewId="0">
      <selection activeCell="C3269" sqref="C3269"/>
    </sheetView>
  </sheetViews>
  <sheetFormatPr defaultRowHeight="13.5"/>
  <cols>
    <col min="1" max="1" width="34.375" customWidth="1"/>
    <col min="2" max="2" width="28.25" customWidth="1"/>
    <col min="3" max="3" width="71.5" bestFit="1" customWidth="1"/>
    <col min="4" max="4" width="35.125" customWidth="1"/>
    <col min="5" max="5" width="39.125" customWidth="1"/>
    <col min="6" max="6" width="43.5" customWidth="1"/>
    <col min="7" max="7" width="32.625" customWidth="1"/>
    <col min="8" max="8" width="24.5" customWidth="1"/>
    <col min="9" max="9" width="58" customWidth="1"/>
    <col min="10" max="11" width="12.625" bestFit="1" customWidth="1"/>
    <col min="12" max="12" width="10.125" bestFit="1" customWidth="1"/>
    <col min="13" max="14" width="12" bestFit="1" customWidth="1"/>
    <col min="15" max="15" width="9.25" bestFit="1" customWidth="1"/>
    <col min="16" max="16" width="9.125" bestFit="1" customWidth="1"/>
    <col min="257" max="257" width="30.75" customWidth="1"/>
    <col min="258" max="258" width="49.25" customWidth="1"/>
    <col min="259" max="259" width="46.125" customWidth="1"/>
    <col min="260" max="260" width="38.5" customWidth="1"/>
    <col min="261" max="261" width="26" customWidth="1"/>
    <col min="262" max="262" width="39.375" customWidth="1"/>
    <col min="263" max="263" width="32.625" customWidth="1"/>
    <col min="264" max="264" width="24.5" customWidth="1"/>
    <col min="265" max="265" width="20.75" customWidth="1"/>
    <col min="266" max="267" width="12.625" bestFit="1" customWidth="1"/>
    <col min="513" max="513" width="30.75" customWidth="1"/>
    <col min="514" max="514" width="49.25" customWidth="1"/>
    <col min="515" max="515" width="46.125" customWidth="1"/>
    <col min="516" max="516" width="38.5" customWidth="1"/>
    <col min="517" max="517" width="26" customWidth="1"/>
    <col min="518" max="518" width="39.375" customWidth="1"/>
    <col min="519" max="519" width="32.625" customWidth="1"/>
    <col min="520" max="520" width="24.5" customWidth="1"/>
    <col min="521" max="521" width="20.75" customWidth="1"/>
    <col min="522" max="523" width="12.625" bestFit="1" customWidth="1"/>
    <col min="769" max="769" width="30.75" customWidth="1"/>
    <col min="770" max="770" width="49.25" customWidth="1"/>
    <col min="771" max="771" width="46.125" customWidth="1"/>
    <col min="772" max="772" width="38.5" customWidth="1"/>
    <col min="773" max="773" width="26" customWidth="1"/>
    <col min="774" max="774" width="39.375" customWidth="1"/>
    <col min="775" max="775" width="32.625" customWidth="1"/>
    <col min="776" max="776" width="24.5" customWidth="1"/>
    <col min="777" max="777" width="20.75" customWidth="1"/>
    <col min="778" max="779" width="12.625" bestFit="1" customWidth="1"/>
    <col min="1025" max="1025" width="30.75" customWidth="1"/>
    <col min="1026" max="1026" width="49.25" customWidth="1"/>
    <col min="1027" max="1027" width="46.125" customWidth="1"/>
    <col min="1028" max="1028" width="38.5" customWidth="1"/>
    <col min="1029" max="1029" width="26" customWidth="1"/>
    <col min="1030" max="1030" width="39.375" customWidth="1"/>
    <col min="1031" max="1031" width="32.625" customWidth="1"/>
    <col min="1032" max="1032" width="24.5" customWidth="1"/>
    <col min="1033" max="1033" width="20.75" customWidth="1"/>
    <col min="1034" max="1035" width="12.625" bestFit="1" customWidth="1"/>
    <col min="1281" max="1281" width="30.75" customWidth="1"/>
    <col min="1282" max="1282" width="49.25" customWidth="1"/>
    <col min="1283" max="1283" width="46.125" customWidth="1"/>
    <col min="1284" max="1284" width="38.5" customWidth="1"/>
    <col min="1285" max="1285" width="26" customWidth="1"/>
    <col min="1286" max="1286" width="39.375" customWidth="1"/>
    <col min="1287" max="1287" width="32.625" customWidth="1"/>
    <col min="1288" max="1288" width="24.5" customWidth="1"/>
    <col min="1289" max="1289" width="20.75" customWidth="1"/>
    <col min="1290" max="1291" width="12.625" bestFit="1" customWidth="1"/>
    <col min="1537" max="1537" width="30.75" customWidth="1"/>
    <col min="1538" max="1538" width="49.25" customWidth="1"/>
    <col min="1539" max="1539" width="46.125" customWidth="1"/>
    <col min="1540" max="1540" width="38.5" customWidth="1"/>
    <col min="1541" max="1541" width="26" customWidth="1"/>
    <col min="1542" max="1542" width="39.375" customWidth="1"/>
    <col min="1543" max="1543" width="32.625" customWidth="1"/>
    <col min="1544" max="1544" width="24.5" customWidth="1"/>
    <col min="1545" max="1545" width="20.75" customWidth="1"/>
    <col min="1546" max="1547" width="12.625" bestFit="1" customWidth="1"/>
    <col min="1793" max="1793" width="30.75" customWidth="1"/>
    <col min="1794" max="1794" width="49.25" customWidth="1"/>
    <col min="1795" max="1795" width="46.125" customWidth="1"/>
    <col min="1796" max="1796" width="38.5" customWidth="1"/>
    <col min="1797" max="1797" width="26" customWidth="1"/>
    <col min="1798" max="1798" width="39.375" customWidth="1"/>
    <col min="1799" max="1799" width="32.625" customWidth="1"/>
    <col min="1800" max="1800" width="24.5" customWidth="1"/>
    <col min="1801" max="1801" width="20.75" customWidth="1"/>
    <col min="1802" max="1803" width="12.625" bestFit="1" customWidth="1"/>
    <col min="2049" max="2049" width="30.75" customWidth="1"/>
    <col min="2050" max="2050" width="49.25" customWidth="1"/>
    <col min="2051" max="2051" width="46.125" customWidth="1"/>
    <col min="2052" max="2052" width="38.5" customWidth="1"/>
    <col min="2053" max="2053" width="26" customWidth="1"/>
    <col min="2054" max="2054" width="39.375" customWidth="1"/>
    <col min="2055" max="2055" width="32.625" customWidth="1"/>
    <col min="2056" max="2056" width="24.5" customWidth="1"/>
    <col min="2057" max="2057" width="20.75" customWidth="1"/>
    <col min="2058" max="2059" width="12.625" bestFit="1" customWidth="1"/>
    <col min="2305" max="2305" width="30.75" customWidth="1"/>
    <col min="2306" max="2306" width="49.25" customWidth="1"/>
    <col min="2307" max="2307" width="46.125" customWidth="1"/>
    <col min="2308" max="2308" width="38.5" customWidth="1"/>
    <col min="2309" max="2309" width="26" customWidth="1"/>
    <col min="2310" max="2310" width="39.375" customWidth="1"/>
    <col min="2311" max="2311" width="32.625" customWidth="1"/>
    <col min="2312" max="2312" width="24.5" customWidth="1"/>
    <col min="2313" max="2313" width="20.75" customWidth="1"/>
    <col min="2314" max="2315" width="12.625" bestFit="1" customWidth="1"/>
    <col min="2561" max="2561" width="30.75" customWidth="1"/>
    <col min="2562" max="2562" width="49.25" customWidth="1"/>
    <col min="2563" max="2563" width="46.125" customWidth="1"/>
    <col min="2564" max="2564" width="38.5" customWidth="1"/>
    <col min="2565" max="2565" width="26" customWidth="1"/>
    <col min="2566" max="2566" width="39.375" customWidth="1"/>
    <col min="2567" max="2567" width="32.625" customWidth="1"/>
    <col min="2568" max="2568" width="24.5" customWidth="1"/>
    <col min="2569" max="2569" width="20.75" customWidth="1"/>
    <col min="2570" max="2571" width="12.625" bestFit="1" customWidth="1"/>
    <col min="2817" max="2817" width="30.75" customWidth="1"/>
    <col min="2818" max="2818" width="49.25" customWidth="1"/>
    <col min="2819" max="2819" width="46.125" customWidth="1"/>
    <col min="2820" max="2820" width="38.5" customWidth="1"/>
    <col min="2821" max="2821" width="26" customWidth="1"/>
    <col min="2822" max="2822" width="39.375" customWidth="1"/>
    <col min="2823" max="2823" width="32.625" customWidth="1"/>
    <col min="2824" max="2824" width="24.5" customWidth="1"/>
    <col min="2825" max="2825" width="20.75" customWidth="1"/>
    <col min="2826" max="2827" width="12.625" bestFit="1" customWidth="1"/>
    <col min="3073" max="3073" width="30.75" customWidth="1"/>
    <col min="3074" max="3074" width="49.25" customWidth="1"/>
    <col min="3075" max="3075" width="46.125" customWidth="1"/>
    <col min="3076" max="3076" width="38.5" customWidth="1"/>
    <col min="3077" max="3077" width="26" customWidth="1"/>
    <col min="3078" max="3078" width="39.375" customWidth="1"/>
    <col min="3079" max="3079" width="32.625" customWidth="1"/>
    <col min="3080" max="3080" width="24.5" customWidth="1"/>
    <col min="3081" max="3081" width="20.75" customWidth="1"/>
    <col min="3082" max="3083" width="12.625" bestFit="1" customWidth="1"/>
    <col min="3329" max="3329" width="30.75" customWidth="1"/>
    <col min="3330" max="3330" width="49.25" customWidth="1"/>
    <col min="3331" max="3331" width="46.125" customWidth="1"/>
    <col min="3332" max="3332" width="38.5" customWidth="1"/>
    <col min="3333" max="3333" width="26" customWidth="1"/>
    <col min="3334" max="3334" width="39.375" customWidth="1"/>
    <col min="3335" max="3335" width="32.625" customWidth="1"/>
    <col min="3336" max="3336" width="24.5" customWidth="1"/>
    <col min="3337" max="3337" width="20.75" customWidth="1"/>
    <col min="3338" max="3339" width="12.625" bestFit="1" customWidth="1"/>
    <col min="3585" max="3585" width="30.75" customWidth="1"/>
    <col min="3586" max="3586" width="49.25" customWidth="1"/>
    <col min="3587" max="3587" width="46.125" customWidth="1"/>
    <col min="3588" max="3588" width="38.5" customWidth="1"/>
    <col min="3589" max="3589" width="26" customWidth="1"/>
    <col min="3590" max="3590" width="39.375" customWidth="1"/>
    <col min="3591" max="3591" width="32.625" customWidth="1"/>
    <col min="3592" max="3592" width="24.5" customWidth="1"/>
    <col min="3593" max="3593" width="20.75" customWidth="1"/>
    <col min="3594" max="3595" width="12.625" bestFit="1" customWidth="1"/>
    <col min="3841" max="3841" width="30.75" customWidth="1"/>
    <col min="3842" max="3842" width="49.25" customWidth="1"/>
    <col min="3843" max="3843" width="46.125" customWidth="1"/>
    <col min="3844" max="3844" width="38.5" customWidth="1"/>
    <col min="3845" max="3845" width="26" customWidth="1"/>
    <col min="3846" max="3846" width="39.375" customWidth="1"/>
    <col min="3847" max="3847" width="32.625" customWidth="1"/>
    <col min="3848" max="3848" width="24.5" customWidth="1"/>
    <col min="3849" max="3849" width="20.75" customWidth="1"/>
    <col min="3850" max="3851" width="12.625" bestFit="1" customWidth="1"/>
    <col min="4097" max="4097" width="30.75" customWidth="1"/>
    <col min="4098" max="4098" width="49.25" customWidth="1"/>
    <col min="4099" max="4099" width="46.125" customWidth="1"/>
    <col min="4100" max="4100" width="38.5" customWidth="1"/>
    <col min="4101" max="4101" width="26" customWidth="1"/>
    <col min="4102" max="4102" width="39.375" customWidth="1"/>
    <col min="4103" max="4103" width="32.625" customWidth="1"/>
    <col min="4104" max="4104" width="24.5" customWidth="1"/>
    <col min="4105" max="4105" width="20.75" customWidth="1"/>
    <col min="4106" max="4107" width="12.625" bestFit="1" customWidth="1"/>
    <col min="4353" max="4353" width="30.75" customWidth="1"/>
    <col min="4354" max="4354" width="49.25" customWidth="1"/>
    <col min="4355" max="4355" width="46.125" customWidth="1"/>
    <col min="4356" max="4356" width="38.5" customWidth="1"/>
    <col min="4357" max="4357" width="26" customWidth="1"/>
    <col min="4358" max="4358" width="39.375" customWidth="1"/>
    <col min="4359" max="4359" width="32.625" customWidth="1"/>
    <col min="4360" max="4360" width="24.5" customWidth="1"/>
    <col min="4361" max="4361" width="20.75" customWidth="1"/>
    <col min="4362" max="4363" width="12.625" bestFit="1" customWidth="1"/>
    <col min="4609" max="4609" width="30.75" customWidth="1"/>
    <col min="4610" max="4610" width="49.25" customWidth="1"/>
    <col min="4611" max="4611" width="46.125" customWidth="1"/>
    <col min="4612" max="4612" width="38.5" customWidth="1"/>
    <col min="4613" max="4613" width="26" customWidth="1"/>
    <col min="4614" max="4614" width="39.375" customWidth="1"/>
    <col min="4615" max="4615" width="32.625" customWidth="1"/>
    <col min="4616" max="4616" width="24.5" customWidth="1"/>
    <col min="4617" max="4617" width="20.75" customWidth="1"/>
    <col min="4618" max="4619" width="12.625" bestFit="1" customWidth="1"/>
    <col min="4865" max="4865" width="30.75" customWidth="1"/>
    <col min="4866" max="4866" width="49.25" customWidth="1"/>
    <col min="4867" max="4867" width="46.125" customWidth="1"/>
    <col min="4868" max="4868" width="38.5" customWidth="1"/>
    <col min="4869" max="4869" width="26" customWidth="1"/>
    <col min="4870" max="4870" width="39.375" customWidth="1"/>
    <col min="4871" max="4871" width="32.625" customWidth="1"/>
    <col min="4872" max="4872" width="24.5" customWidth="1"/>
    <col min="4873" max="4873" width="20.75" customWidth="1"/>
    <col min="4874" max="4875" width="12.625" bestFit="1" customWidth="1"/>
    <col min="5121" max="5121" width="30.75" customWidth="1"/>
    <col min="5122" max="5122" width="49.25" customWidth="1"/>
    <col min="5123" max="5123" width="46.125" customWidth="1"/>
    <col min="5124" max="5124" width="38.5" customWidth="1"/>
    <col min="5125" max="5125" width="26" customWidth="1"/>
    <col min="5126" max="5126" width="39.375" customWidth="1"/>
    <col min="5127" max="5127" width="32.625" customWidth="1"/>
    <col min="5128" max="5128" width="24.5" customWidth="1"/>
    <col min="5129" max="5129" width="20.75" customWidth="1"/>
    <col min="5130" max="5131" width="12.625" bestFit="1" customWidth="1"/>
    <col min="5377" max="5377" width="30.75" customWidth="1"/>
    <col min="5378" max="5378" width="49.25" customWidth="1"/>
    <col min="5379" max="5379" width="46.125" customWidth="1"/>
    <col min="5380" max="5380" width="38.5" customWidth="1"/>
    <col min="5381" max="5381" width="26" customWidth="1"/>
    <col min="5382" max="5382" width="39.375" customWidth="1"/>
    <col min="5383" max="5383" width="32.625" customWidth="1"/>
    <col min="5384" max="5384" width="24.5" customWidth="1"/>
    <col min="5385" max="5385" width="20.75" customWidth="1"/>
    <col min="5386" max="5387" width="12.625" bestFit="1" customWidth="1"/>
    <col min="5633" max="5633" width="30.75" customWidth="1"/>
    <col min="5634" max="5634" width="49.25" customWidth="1"/>
    <col min="5635" max="5635" width="46.125" customWidth="1"/>
    <col min="5636" max="5636" width="38.5" customWidth="1"/>
    <col min="5637" max="5637" width="26" customWidth="1"/>
    <col min="5638" max="5638" width="39.375" customWidth="1"/>
    <col min="5639" max="5639" width="32.625" customWidth="1"/>
    <col min="5640" max="5640" width="24.5" customWidth="1"/>
    <col min="5641" max="5641" width="20.75" customWidth="1"/>
    <col min="5642" max="5643" width="12.625" bestFit="1" customWidth="1"/>
    <col min="5889" max="5889" width="30.75" customWidth="1"/>
    <col min="5890" max="5890" width="49.25" customWidth="1"/>
    <col min="5891" max="5891" width="46.125" customWidth="1"/>
    <col min="5892" max="5892" width="38.5" customWidth="1"/>
    <col min="5893" max="5893" width="26" customWidth="1"/>
    <col min="5894" max="5894" width="39.375" customWidth="1"/>
    <col min="5895" max="5895" width="32.625" customWidth="1"/>
    <col min="5896" max="5896" width="24.5" customWidth="1"/>
    <col min="5897" max="5897" width="20.75" customWidth="1"/>
    <col min="5898" max="5899" width="12.625" bestFit="1" customWidth="1"/>
    <col min="6145" max="6145" width="30.75" customWidth="1"/>
    <col min="6146" max="6146" width="49.25" customWidth="1"/>
    <col min="6147" max="6147" width="46.125" customWidth="1"/>
    <col min="6148" max="6148" width="38.5" customWidth="1"/>
    <col min="6149" max="6149" width="26" customWidth="1"/>
    <col min="6150" max="6150" width="39.375" customWidth="1"/>
    <col min="6151" max="6151" width="32.625" customWidth="1"/>
    <col min="6152" max="6152" width="24.5" customWidth="1"/>
    <col min="6153" max="6153" width="20.75" customWidth="1"/>
    <col min="6154" max="6155" width="12.625" bestFit="1" customWidth="1"/>
    <col min="6401" max="6401" width="30.75" customWidth="1"/>
    <col min="6402" max="6402" width="49.25" customWidth="1"/>
    <col min="6403" max="6403" width="46.125" customWidth="1"/>
    <col min="6404" max="6404" width="38.5" customWidth="1"/>
    <col min="6405" max="6405" width="26" customWidth="1"/>
    <col min="6406" max="6406" width="39.375" customWidth="1"/>
    <col min="6407" max="6407" width="32.625" customWidth="1"/>
    <col min="6408" max="6408" width="24.5" customWidth="1"/>
    <col min="6409" max="6409" width="20.75" customWidth="1"/>
    <col min="6410" max="6411" width="12.625" bestFit="1" customWidth="1"/>
    <col min="6657" max="6657" width="30.75" customWidth="1"/>
    <col min="6658" max="6658" width="49.25" customWidth="1"/>
    <col min="6659" max="6659" width="46.125" customWidth="1"/>
    <col min="6660" max="6660" width="38.5" customWidth="1"/>
    <col min="6661" max="6661" width="26" customWidth="1"/>
    <col min="6662" max="6662" width="39.375" customWidth="1"/>
    <col min="6663" max="6663" width="32.625" customWidth="1"/>
    <col min="6664" max="6664" width="24.5" customWidth="1"/>
    <col min="6665" max="6665" width="20.75" customWidth="1"/>
    <col min="6666" max="6667" width="12.625" bestFit="1" customWidth="1"/>
    <col min="6913" max="6913" width="30.75" customWidth="1"/>
    <col min="6914" max="6914" width="49.25" customWidth="1"/>
    <col min="6915" max="6915" width="46.125" customWidth="1"/>
    <col min="6916" max="6916" width="38.5" customWidth="1"/>
    <col min="6917" max="6917" width="26" customWidth="1"/>
    <col min="6918" max="6918" width="39.375" customWidth="1"/>
    <col min="6919" max="6919" width="32.625" customWidth="1"/>
    <col min="6920" max="6920" width="24.5" customWidth="1"/>
    <col min="6921" max="6921" width="20.75" customWidth="1"/>
    <col min="6922" max="6923" width="12.625" bestFit="1" customWidth="1"/>
    <col min="7169" max="7169" width="30.75" customWidth="1"/>
    <col min="7170" max="7170" width="49.25" customWidth="1"/>
    <col min="7171" max="7171" width="46.125" customWidth="1"/>
    <col min="7172" max="7172" width="38.5" customWidth="1"/>
    <col min="7173" max="7173" width="26" customWidth="1"/>
    <col min="7174" max="7174" width="39.375" customWidth="1"/>
    <col min="7175" max="7175" width="32.625" customWidth="1"/>
    <col min="7176" max="7176" width="24.5" customWidth="1"/>
    <col min="7177" max="7177" width="20.75" customWidth="1"/>
    <col min="7178" max="7179" width="12.625" bestFit="1" customWidth="1"/>
    <col min="7425" max="7425" width="30.75" customWidth="1"/>
    <col min="7426" max="7426" width="49.25" customWidth="1"/>
    <col min="7427" max="7427" width="46.125" customWidth="1"/>
    <col min="7428" max="7428" width="38.5" customWidth="1"/>
    <col min="7429" max="7429" width="26" customWidth="1"/>
    <col min="7430" max="7430" width="39.375" customWidth="1"/>
    <col min="7431" max="7431" width="32.625" customWidth="1"/>
    <col min="7432" max="7432" width="24.5" customWidth="1"/>
    <col min="7433" max="7433" width="20.75" customWidth="1"/>
    <col min="7434" max="7435" width="12.625" bestFit="1" customWidth="1"/>
    <col min="7681" max="7681" width="30.75" customWidth="1"/>
    <col min="7682" max="7682" width="49.25" customWidth="1"/>
    <col min="7683" max="7683" width="46.125" customWidth="1"/>
    <col min="7684" max="7684" width="38.5" customWidth="1"/>
    <col min="7685" max="7685" width="26" customWidth="1"/>
    <col min="7686" max="7686" width="39.375" customWidth="1"/>
    <col min="7687" max="7687" width="32.625" customWidth="1"/>
    <col min="7688" max="7688" width="24.5" customWidth="1"/>
    <col min="7689" max="7689" width="20.75" customWidth="1"/>
    <col min="7690" max="7691" width="12.625" bestFit="1" customWidth="1"/>
    <col min="7937" max="7937" width="30.75" customWidth="1"/>
    <col min="7938" max="7938" width="49.25" customWidth="1"/>
    <col min="7939" max="7939" width="46.125" customWidth="1"/>
    <col min="7940" max="7940" width="38.5" customWidth="1"/>
    <col min="7941" max="7941" width="26" customWidth="1"/>
    <col min="7942" max="7942" width="39.375" customWidth="1"/>
    <col min="7943" max="7943" width="32.625" customWidth="1"/>
    <col min="7944" max="7944" width="24.5" customWidth="1"/>
    <col min="7945" max="7945" width="20.75" customWidth="1"/>
    <col min="7946" max="7947" width="12.625" bestFit="1" customWidth="1"/>
    <col min="8193" max="8193" width="30.75" customWidth="1"/>
    <col min="8194" max="8194" width="49.25" customWidth="1"/>
    <col min="8195" max="8195" width="46.125" customWidth="1"/>
    <col min="8196" max="8196" width="38.5" customWidth="1"/>
    <col min="8197" max="8197" width="26" customWidth="1"/>
    <col min="8198" max="8198" width="39.375" customWidth="1"/>
    <col min="8199" max="8199" width="32.625" customWidth="1"/>
    <col min="8200" max="8200" width="24.5" customWidth="1"/>
    <col min="8201" max="8201" width="20.75" customWidth="1"/>
    <col min="8202" max="8203" width="12.625" bestFit="1" customWidth="1"/>
    <col min="8449" max="8449" width="30.75" customWidth="1"/>
    <col min="8450" max="8450" width="49.25" customWidth="1"/>
    <col min="8451" max="8451" width="46.125" customWidth="1"/>
    <col min="8452" max="8452" width="38.5" customWidth="1"/>
    <col min="8453" max="8453" width="26" customWidth="1"/>
    <col min="8454" max="8454" width="39.375" customWidth="1"/>
    <col min="8455" max="8455" width="32.625" customWidth="1"/>
    <col min="8456" max="8456" width="24.5" customWidth="1"/>
    <col min="8457" max="8457" width="20.75" customWidth="1"/>
    <col min="8458" max="8459" width="12.625" bestFit="1" customWidth="1"/>
    <col min="8705" max="8705" width="30.75" customWidth="1"/>
    <col min="8706" max="8706" width="49.25" customWidth="1"/>
    <col min="8707" max="8707" width="46.125" customWidth="1"/>
    <col min="8708" max="8708" width="38.5" customWidth="1"/>
    <col min="8709" max="8709" width="26" customWidth="1"/>
    <col min="8710" max="8710" width="39.375" customWidth="1"/>
    <col min="8711" max="8711" width="32.625" customWidth="1"/>
    <col min="8712" max="8712" width="24.5" customWidth="1"/>
    <col min="8713" max="8713" width="20.75" customWidth="1"/>
    <col min="8714" max="8715" width="12.625" bestFit="1" customWidth="1"/>
    <col min="8961" max="8961" width="30.75" customWidth="1"/>
    <col min="8962" max="8962" width="49.25" customWidth="1"/>
    <col min="8963" max="8963" width="46.125" customWidth="1"/>
    <col min="8964" max="8964" width="38.5" customWidth="1"/>
    <col min="8965" max="8965" width="26" customWidth="1"/>
    <col min="8966" max="8966" width="39.375" customWidth="1"/>
    <col min="8967" max="8967" width="32.625" customWidth="1"/>
    <col min="8968" max="8968" width="24.5" customWidth="1"/>
    <col min="8969" max="8969" width="20.75" customWidth="1"/>
    <col min="8970" max="8971" width="12.625" bestFit="1" customWidth="1"/>
    <col min="9217" max="9217" width="30.75" customWidth="1"/>
    <col min="9218" max="9218" width="49.25" customWidth="1"/>
    <col min="9219" max="9219" width="46.125" customWidth="1"/>
    <col min="9220" max="9220" width="38.5" customWidth="1"/>
    <col min="9221" max="9221" width="26" customWidth="1"/>
    <col min="9222" max="9222" width="39.375" customWidth="1"/>
    <col min="9223" max="9223" width="32.625" customWidth="1"/>
    <col min="9224" max="9224" width="24.5" customWidth="1"/>
    <col min="9225" max="9225" width="20.75" customWidth="1"/>
    <col min="9226" max="9227" width="12.625" bestFit="1" customWidth="1"/>
    <col min="9473" max="9473" width="30.75" customWidth="1"/>
    <col min="9474" max="9474" width="49.25" customWidth="1"/>
    <col min="9475" max="9475" width="46.125" customWidth="1"/>
    <col min="9476" max="9476" width="38.5" customWidth="1"/>
    <col min="9477" max="9477" width="26" customWidth="1"/>
    <col min="9478" max="9478" width="39.375" customWidth="1"/>
    <col min="9479" max="9479" width="32.625" customWidth="1"/>
    <col min="9480" max="9480" width="24.5" customWidth="1"/>
    <col min="9481" max="9481" width="20.75" customWidth="1"/>
    <col min="9482" max="9483" width="12.625" bestFit="1" customWidth="1"/>
    <col min="9729" max="9729" width="30.75" customWidth="1"/>
    <col min="9730" max="9730" width="49.25" customWidth="1"/>
    <col min="9731" max="9731" width="46.125" customWidth="1"/>
    <col min="9732" max="9732" width="38.5" customWidth="1"/>
    <col min="9733" max="9733" width="26" customWidth="1"/>
    <col min="9734" max="9734" width="39.375" customWidth="1"/>
    <col min="9735" max="9735" width="32.625" customWidth="1"/>
    <col min="9736" max="9736" width="24.5" customWidth="1"/>
    <col min="9737" max="9737" width="20.75" customWidth="1"/>
    <col min="9738" max="9739" width="12.625" bestFit="1" customWidth="1"/>
    <col min="9985" max="9985" width="30.75" customWidth="1"/>
    <col min="9986" max="9986" width="49.25" customWidth="1"/>
    <col min="9987" max="9987" width="46.125" customWidth="1"/>
    <col min="9988" max="9988" width="38.5" customWidth="1"/>
    <col min="9989" max="9989" width="26" customWidth="1"/>
    <col min="9990" max="9990" width="39.375" customWidth="1"/>
    <col min="9991" max="9991" width="32.625" customWidth="1"/>
    <col min="9992" max="9992" width="24.5" customWidth="1"/>
    <col min="9993" max="9993" width="20.75" customWidth="1"/>
    <col min="9994" max="9995" width="12.625" bestFit="1" customWidth="1"/>
    <col min="10241" max="10241" width="30.75" customWidth="1"/>
    <col min="10242" max="10242" width="49.25" customWidth="1"/>
    <col min="10243" max="10243" width="46.125" customWidth="1"/>
    <col min="10244" max="10244" width="38.5" customWidth="1"/>
    <col min="10245" max="10245" width="26" customWidth="1"/>
    <col min="10246" max="10246" width="39.375" customWidth="1"/>
    <col min="10247" max="10247" width="32.625" customWidth="1"/>
    <col min="10248" max="10248" width="24.5" customWidth="1"/>
    <col min="10249" max="10249" width="20.75" customWidth="1"/>
    <col min="10250" max="10251" width="12.625" bestFit="1" customWidth="1"/>
    <col min="10497" max="10497" width="30.75" customWidth="1"/>
    <col min="10498" max="10498" width="49.25" customWidth="1"/>
    <col min="10499" max="10499" width="46.125" customWidth="1"/>
    <col min="10500" max="10500" width="38.5" customWidth="1"/>
    <col min="10501" max="10501" width="26" customWidth="1"/>
    <col min="10502" max="10502" width="39.375" customWidth="1"/>
    <col min="10503" max="10503" width="32.625" customWidth="1"/>
    <col min="10504" max="10504" width="24.5" customWidth="1"/>
    <col min="10505" max="10505" width="20.75" customWidth="1"/>
    <col min="10506" max="10507" width="12.625" bestFit="1" customWidth="1"/>
    <col min="10753" max="10753" width="30.75" customWidth="1"/>
    <col min="10754" max="10754" width="49.25" customWidth="1"/>
    <col min="10755" max="10755" width="46.125" customWidth="1"/>
    <col min="10756" max="10756" width="38.5" customWidth="1"/>
    <col min="10757" max="10757" width="26" customWidth="1"/>
    <col min="10758" max="10758" width="39.375" customWidth="1"/>
    <col min="10759" max="10759" width="32.625" customWidth="1"/>
    <col min="10760" max="10760" width="24.5" customWidth="1"/>
    <col min="10761" max="10761" width="20.75" customWidth="1"/>
    <col min="10762" max="10763" width="12.625" bestFit="1" customWidth="1"/>
    <col min="11009" max="11009" width="30.75" customWidth="1"/>
    <col min="11010" max="11010" width="49.25" customWidth="1"/>
    <col min="11011" max="11011" width="46.125" customWidth="1"/>
    <col min="11012" max="11012" width="38.5" customWidth="1"/>
    <col min="11013" max="11013" width="26" customWidth="1"/>
    <col min="11014" max="11014" width="39.375" customWidth="1"/>
    <col min="11015" max="11015" width="32.625" customWidth="1"/>
    <col min="11016" max="11016" width="24.5" customWidth="1"/>
    <col min="11017" max="11017" width="20.75" customWidth="1"/>
    <col min="11018" max="11019" width="12.625" bestFit="1" customWidth="1"/>
    <col min="11265" max="11265" width="30.75" customWidth="1"/>
    <col min="11266" max="11266" width="49.25" customWidth="1"/>
    <col min="11267" max="11267" width="46.125" customWidth="1"/>
    <col min="11268" max="11268" width="38.5" customWidth="1"/>
    <col min="11269" max="11269" width="26" customWidth="1"/>
    <col min="11270" max="11270" width="39.375" customWidth="1"/>
    <col min="11271" max="11271" width="32.625" customWidth="1"/>
    <col min="11272" max="11272" width="24.5" customWidth="1"/>
    <col min="11273" max="11273" width="20.75" customWidth="1"/>
    <col min="11274" max="11275" width="12.625" bestFit="1" customWidth="1"/>
    <col min="11521" max="11521" width="30.75" customWidth="1"/>
    <col min="11522" max="11522" width="49.25" customWidth="1"/>
    <col min="11523" max="11523" width="46.125" customWidth="1"/>
    <col min="11524" max="11524" width="38.5" customWidth="1"/>
    <col min="11525" max="11525" width="26" customWidth="1"/>
    <col min="11526" max="11526" width="39.375" customWidth="1"/>
    <col min="11527" max="11527" width="32.625" customWidth="1"/>
    <col min="11528" max="11528" width="24.5" customWidth="1"/>
    <col min="11529" max="11529" width="20.75" customWidth="1"/>
    <col min="11530" max="11531" width="12.625" bestFit="1" customWidth="1"/>
    <col min="11777" max="11777" width="30.75" customWidth="1"/>
    <col min="11778" max="11778" width="49.25" customWidth="1"/>
    <col min="11779" max="11779" width="46.125" customWidth="1"/>
    <col min="11780" max="11780" width="38.5" customWidth="1"/>
    <col min="11781" max="11781" width="26" customWidth="1"/>
    <col min="11782" max="11782" width="39.375" customWidth="1"/>
    <col min="11783" max="11783" width="32.625" customWidth="1"/>
    <col min="11784" max="11784" width="24.5" customWidth="1"/>
    <col min="11785" max="11785" width="20.75" customWidth="1"/>
    <col min="11786" max="11787" width="12.625" bestFit="1" customWidth="1"/>
    <col min="12033" max="12033" width="30.75" customWidth="1"/>
    <col min="12034" max="12034" width="49.25" customWidth="1"/>
    <col min="12035" max="12035" width="46.125" customWidth="1"/>
    <col min="12036" max="12036" width="38.5" customWidth="1"/>
    <col min="12037" max="12037" width="26" customWidth="1"/>
    <col min="12038" max="12038" width="39.375" customWidth="1"/>
    <col min="12039" max="12039" width="32.625" customWidth="1"/>
    <col min="12040" max="12040" width="24.5" customWidth="1"/>
    <col min="12041" max="12041" width="20.75" customWidth="1"/>
    <col min="12042" max="12043" width="12.625" bestFit="1" customWidth="1"/>
    <col min="12289" max="12289" width="30.75" customWidth="1"/>
    <col min="12290" max="12290" width="49.25" customWidth="1"/>
    <col min="12291" max="12291" width="46.125" customWidth="1"/>
    <col min="12292" max="12292" width="38.5" customWidth="1"/>
    <col min="12293" max="12293" width="26" customWidth="1"/>
    <col min="12294" max="12294" width="39.375" customWidth="1"/>
    <col min="12295" max="12295" width="32.625" customWidth="1"/>
    <col min="12296" max="12296" width="24.5" customWidth="1"/>
    <col min="12297" max="12297" width="20.75" customWidth="1"/>
    <col min="12298" max="12299" width="12.625" bestFit="1" customWidth="1"/>
    <col min="12545" max="12545" width="30.75" customWidth="1"/>
    <col min="12546" max="12546" width="49.25" customWidth="1"/>
    <col min="12547" max="12547" width="46.125" customWidth="1"/>
    <col min="12548" max="12548" width="38.5" customWidth="1"/>
    <col min="12549" max="12549" width="26" customWidth="1"/>
    <col min="12550" max="12550" width="39.375" customWidth="1"/>
    <col min="12551" max="12551" width="32.625" customWidth="1"/>
    <col min="12552" max="12552" width="24.5" customWidth="1"/>
    <col min="12553" max="12553" width="20.75" customWidth="1"/>
    <col min="12554" max="12555" width="12.625" bestFit="1" customWidth="1"/>
    <col min="12801" max="12801" width="30.75" customWidth="1"/>
    <col min="12802" max="12802" width="49.25" customWidth="1"/>
    <col min="12803" max="12803" width="46.125" customWidth="1"/>
    <col min="12804" max="12804" width="38.5" customWidth="1"/>
    <col min="12805" max="12805" width="26" customWidth="1"/>
    <col min="12806" max="12806" width="39.375" customWidth="1"/>
    <col min="12807" max="12807" width="32.625" customWidth="1"/>
    <col min="12808" max="12808" width="24.5" customWidth="1"/>
    <col min="12809" max="12809" width="20.75" customWidth="1"/>
    <col min="12810" max="12811" width="12.625" bestFit="1" customWidth="1"/>
    <col min="13057" max="13057" width="30.75" customWidth="1"/>
    <col min="13058" max="13058" width="49.25" customWidth="1"/>
    <col min="13059" max="13059" width="46.125" customWidth="1"/>
    <col min="13060" max="13060" width="38.5" customWidth="1"/>
    <col min="13061" max="13061" width="26" customWidth="1"/>
    <col min="13062" max="13062" width="39.375" customWidth="1"/>
    <col min="13063" max="13063" width="32.625" customWidth="1"/>
    <col min="13064" max="13064" width="24.5" customWidth="1"/>
    <col min="13065" max="13065" width="20.75" customWidth="1"/>
    <col min="13066" max="13067" width="12.625" bestFit="1" customWidth="1"/>
    <col min="13313" max="13313" width="30.75" customWidth="1"/>
    <col min="13314" max="13314" width="49.25" customWidth="1"/>
    <col min="13315" max="13315" width="46.125" customWidth="1"/>
    <col min="13316" max="13316" width="38.5" customWidth="1"/>
    <col min="13317" max="13317" width="26" customWidth="1"/>
    <col min="13318" max="13318" width="39.375" customWidth="1"/>
    <col min="13319" max="13319" width="32.625" customWidth="1"/>
    <col min="13320" max="13320" width="24.5" customWidth="1"/>
    <col min="13321" max="13321" width="20.75" customWidth="1"/>
    <col min="13322" max="13323" width="12.625" bestFit="1" customWidth="1"/>
    <col min="13569" max="13569" width="30.75" customWidth="1"/>
    <col min="13570" max="13570" width="49.25" customWidth="1"/>
    <col min="13571" max="13571" width="46.125" customWidth="1"/>
    <col min="13572" max="13572" width="38.5" customWidth="1"/>
    <col min="13573" max="13573" width="26" customWidth="1"/>
    <col min="13574" max="13574" width="39.375" customWidth="1"/>
    <col min="13575" max="13575" width="32.625" customWidth="1"/>
    <col min="13576" max="13576" width="24.5" customWidth="1"/>
    <col min="13577" max="13577" width="20.75" customWidth="1"/>
    <col min="13578" max="13579" width="12.625" bestFit="1" customWidth="1"/>
    <col min="13825" max="13825" width="30.75" customWidth="1"/>
    <col min="13826" max="13826" width="49.25" customWidth="1"/>
    <col min="13827" max="13827" width="46.125" customWidth="1"/>
    <col min="13828" max="13828" width="38.5" customWidth="1"/>
    <col min="13829" max="13829" width="26" customWidth="1"/>
    <col min="13830" max="13830" width="39.375" customWidth="1"/>
    <col min="13831" max="13831" width="32.625" customWidth="1"/>
    <col min="13832" max="13832" width="24.5" customWidth="1"/>
    <col min="13833" max="13833" width="20.75" customWidth="1"/>
    <col min="13834" max="13835" width="12.625" bestFit="1" customWidth="1"/>
    <col min="14081" max="14081" width="30.75" customWidth="1"/>
    <col min="14082" max="14082" width="49.25" customWidth="1"/>
    <col min="14083" max="14083" width="46.125" customWidth="1"/>
    <col min="14084" max="14084" width="38.5" customWidth="1"/>
    <col min="14085" max="14085" width="26" customWidth="1"/>
    <col min="14086" max="14086" width="39.375" customWidth="1"/>
    <col min="14087" max="14087" width="32.625" customWidth="1"/>
    <col min="14088" max="14088" width="24.5" customWidth="1"/>
    <col min="14089" max="14089" width="20.75" customWidth="1"/>
    <col min="14090" max="14091" width="12.625" bestFit="1" customWidth="1"/>
    <col min="14337" max="14337" width="30.75" customWidth="1"/>
    <col min="14338" max="14338" width="49.25" customWidth="1"/>
    <col min="14339" max="14339" width="46.125" customWidth="1"/>
    <col min="14340" max="14340" width="38.5" customWidth="1"/>
    <col min="14341" max="14341" width="26" customWidth="1"/>
    <col min="14342" max="14342" width="39.375" customWidth="1"/>
    <col min="14343" max="14343" width="32.625" customWidth="1"/>
    <col min="14344" max="14344" width="24.5" customWidth="1"/>
    <col min="14345" max="14345" width="20.75" customWidth="1"/>
    <col min="14346" max="14347" width="12.625" bestFit="1" customWidth="1"/>
    <col min="14593" max="14593" width="30.75" customWidth="1"/>
    <col min="14594" max="14594" width="49.25" customWidth="1"/>
    <col min="14595" max="14595" width="46.125" customWidth="1"/>
    <col min="14596" max="14596" width="38.5" customWidth="1"/>
    <col min="14597" max="14597" width="26" customWidth="1"/>
    <col min="14598" max="14598" width="39.375" customWidth="1"/>
    <col min="14599" max="14599" width="32.625" customWidth="1"/>
    <col min="14600" max="14600" width="24.5" customWidth="1"/>
    <col min="14601" max="14601" width="20.75" customWidth="1"/>
    <col min="14602" max="14603" width="12.625" bestFit="1" customWidth="1"/>
    <col min="14849" max="14849" width="30.75" customWidth="1"/>
    <col min="14850" max="14850" width="49.25" customWidth="1"/>
    <col min="14851" max="14851" width="46.125" customWidth="1"/>
    <col min="14852" max="14852" width="38.5" customWidth="1"/>
    <col min="14853" max="14853" width="26" customWidth="1"/>
    <col min="14854" max="14854" width="39.375" customWidth="1"/>
    <col min="14855" max="14855" width="32.625" customWidth="1"/>
    <col min="14856" max="14856" width="24.5" customWidth="1"/>
    <col min="14857" max="14857" width="20.75" customWidth="1"/>
    <col min="14858" max="14859" width="12.625" bestFit="1" customWidth="1"/>
    <col min="15105" max="15105" width="30.75" customWidth="1"/>
    <col min="15106" max="15106" width="49.25" customWidth="1"/>
    <col min="15107" max="15107" width="46.125" customWidth="1"/>
    <col min="15108" max="15108" width="38.5" customWidth="1"/>
    <col min="15109" max="15109" width="26" customWidth="1"/>
    <col min="15110" max="15110" width="39.375" customWidth="1"/>
    <col min="15111" max="15111" width="32.625" customWidth="1"/>
    <col min="15112" max="15112" width="24.5" customWidth="1"/>
    <col min="15113" max="15113" width="20.75" customWidth="1"/>
    <col min="15114" max="15115" width="12.625" bestFit="1" customWidth="1"/>
    <col min="15361" max="15361" width="30.75" customWidth="1"/>
    <col min="15362" max="15362" width="49.25" customWidth="1"/>
    <col min="15363" max="15363" width="46.125" customWidth="1"/>
    <col min="15364" max="15364" width="38.5" customWidth="1"/>
    <col min="15365" max="15365" width="26" customWidth="1"/>
    <col min="15366" max="15366" width="39.375" customWidth="1"/>
    <col min="15367" max="15367" width="32.625" customWidth="1"/>
    <col min="15368" max="15368" width="24.5" customWidth="1"/>
    <col min="15369" max="15369" width="20.75" customWidth="1"/>
    <col min="15370" max="15371" width="12.625" bestFit="1" customWidth="1"/>
    <col min="15617" max="15617" width="30.75" customWidth="1"/>
    <col min="15618" max="15618" width="49.25" customWidth="1"/>
    <col min="15619" max="15619" width="46.125" customWidth="1"/>
    <col min="15620" max="15620" width="38.5" customWidth="1"/>
    <col min="15621" max="15621" width="26" customWidth="1"/>
    <col min="15622" max="15622" width="39.375" customWidth="1"/>
    <col min="15623" max="15623" width="32.625" customWidth="1"/>
    <col min="15624" max="15624" width="24.5" customWidth="1"/>
    <col min="15625" max="15625" width="20.75" customWidth="1"/>
    <col min="15626" max="15627" width="12.625" bestFit="1" customWidth="1"/>
    <col min="15873" max="15873" width="30.75" customWidth="1"/>
    <col min="15874" max="15874" width="49.25" customWidth="1"/>
    <col min="15875" max="15875" width="46.125" customWidth="1"/>
    <col min="15876" max="15876" width="38.5" customWidth="1"/>
    <col min="15877" max="15877" width="26" customWidth="1"/>
    <col min="15878" max="15878" width="39.375" customWidth="1"/>
    <col min="15879" max="15879" width="32.625" customWidth="1"/>
    <col min="15880" max="15880" width="24.5" customWidth="1"/>
    <col min="15881" max="15881" width="20.75" customWidth="1"/>
    <col min="15882" max="15883" width="12.625" bestFit="1" customWidth="1"/>
    <col min="16129" max="16129" width="30.75" customWidth="1"/>
    <col min="16130" max="16130" width="49.25" customWidth="1"/>
    <col min="16131" max="16131" width="46.125" customWidth="1"/>
    <col min="16132" max="16132" width="38.5" customWidth="1"/>
    <col min="16133" max="16133" width="26" customWidth="1"/>
    <col min="16134" max="16134" width="39.375" customWidth="1"/>
    <col min="16135" max="16135" width="32.625" customWidth="1"/>
    <col min="16136" max="16136" width="24.5" customWidth="1"/>
    <col min="16137" max="16137" width="20.75" customWidth="1"/>
    <col min="16138" max="16139" width="12.625" bestFit="1" customWidth="1"/>
  </cols>
  <sheetData>
    <row r="13" spans="1:5" ht="15">
      <c r="A13" s="83" t="s">
        <v>3437</v>
      </c>
      <c r="B13" s="84" t="s">
        <v>171</v>
      </c>
      <c r="C13" s="84" t="s">
        <v>36</v>
      </c>
      <c r="D13" s="968" t="s">
        <v>37</v>
      </c>
      <c r="E13" s="85" t="s">
        <v>3438</v>
      </c>
    </row>
    <row r="14" spans="1:5" ht="14.25">
      <c r="A14" s="763" t="s">
        <v>3439</v>
      </c>
      <c r="B14" s="64">
        <v>8</v>
      </c>
      <c r="C14" s="64" t="s">
        <v>3292</v>
      </c>
      <c r="D14" s="47">
        <v>2800</v>
      </c>
      <c r="E14" s="34">
        <v>0.78</v>
      </c>
    </row>
    <row r="15" spans="1:5" ht="14.25">
      <c r="A15" s="763" t="s">
        <v>3439</v>
      </c>
      <c r="B15" s="64">
        <v>8</v>
      </c>
      <c r="C15" s="64" t="s">
        <v>203</v>
      </c>
      <c r="D15" s="47">
        <v>600</v>
      </c>
      <c r="E15" s="34">
        <v>0.78</v>
      </c>
    </row>
    <row r="16" spans="1:5" ht="14.25">
      <c r="A16" s="763" t="s">
        <v>3439</v>
      </c>
      <c r="B16" s="64">
        <v>8</v>
      </c>
      <c r="C16" s="64" t="s">
        <v>3440</v>
      </c>
      <c r="D16" s="47">
        <v>100</v>
      </c>
      <c r="E16" s="34">
        <v>0.78</v>
      </c>
    </row>
    <row r="17" spans="1:7" ht="14.25">
      <c r="A17" s="763" t="s">
        <v>3439</v>
      </c>
      <c r="B17" s="64">
        <v>8</v>
      </c>
      <c r="C17" s="64" t="s">
        <v>3441</v>
      </c>
      <c r="D17" s="47">
        <v>700</v>
      </c>
      <c r="E17" s="34">
        <v>0.78</v>
      </c>
    </row>
    <row r="18" spans="1:7" ht="14.25">
      <c r="A18" s="763"/>
      <c r="B18" s="64"/>
      <c r="C18" s="64" t="s">
        <v>130</v>
      </c>
      <c r="D18" s="86" t="s">
        <v>125</v>
      </c>
      <c r="E18" s="34">
        <v>450</v>
      </c>
    </row>
    <row r="24" spans="1:7" ht="15">
      <c r="A24" s="83" t="s">
        <v>3437</v>
      </c>
      <c r="B24" s="84" t="s">
        <v>36</v>
      </c>
      <c r="C24" s="85" t="s">
        <v>3442</v>
      </c>
      <c r="D24" s="85" t="s">
        <v>3443</v>
      </c>
      <c r="E24" s="968" t="s">
        <v>116</v>
      </c>
      <c r="F24" s="968" t="s">
        <v>3444</v>
      </c>
      <c r="G24" s="85" t="s">
        <v>3445</v>
      </c>
    </row>
    <row r="25" spans="1:7" ht="14.25">
      <c r="A25" s="763">
        <v>23398</v>
      </c>
      <c r="B25" s="64" t="s">
        <v>120</v>
      </c>
      <c r="C25" s="47">
        <v>14</v>
      </c>
      <c r="D25" s="57">
        <v>97</v>
      </c>
      <c r="E25" s="30">
        <v>1358</v>
      </c>
      <c r="F25" s="969">
        <v>1485</v>
      </c>
      <c r="G25" s="34">
        <v>7.29</v>
      </c>
    </row>
    <row r="26" spans="1:7" ht="14.25">
      <c r="A26" s="763">
        <v>23398</v>
      </c>
      <c r="B26" s="64" t="s">
        <v>3446</v>
      </c>
      <c r="C26" s="47">
        <v>14</v>
      </c>
      <c r="D26" s="57">
        <v>258</v>
      </c>
      <c r="E26" s="30">
        <v>3612</v>
      </c>
      <c r="F26" s="969">
        <v>3950</v>
      </c>
      <c r="G26" s="34">
        <v>7.29</v>
      </c>
    </row>
    <row r="27" spans="1:7" ht="14.25">
      <c r="A27" s="763" t="s">
        <v>3447</v>
      </c>
      <c r="B27" s="64" t="s">
        <v>39</v>
      </c>
      <c r="C27" s="47">
        <v>14</v>
      </c>
      <c r="D27" s="57">
        <v>290</v>
      </c>
      <c r="E27" s="47">
        <v>4060</v>
      </c>
      <c r="F27" s="969">
        <v>4440</v>
      </c>
      <c r="G27" s="34">
        <v>2.2999999999999998</v>
      </c>
    </row>
    <row r="28" spans="1:7" ht="14.25">
      <c r="A28" s="763" t="s">
        <v>198</v>
      </c>
      <c r="B28" s="64" t="s">
        <v>58</v>
      </c>
      <c r="C28" s="47">
        <v>14</v>
      </c>
      <c r="D28" s="57">
        <v>340</v>
      </c>
      <c r="E28" s="47">
        <v>4760</v>
      </c>
      <c r="F28" s="969">
        <v>5206</v>
      </c>
      <c r="G28" s="34">
        <v>2.2999999999999998</v>
      </c>
    </row>
    <row r="29" spans="1:7" ht="14.25">
      <c r="A29" s="763">
        <v>23350</v>
      </c>
      <c r="B29" s="64" t="s">
        <v>120</v>
      </c>
      <c r="C29" s="47">
        <v>14</v>
      </c>
      <c r="D29" s="57">
        <v>212</v>
      </c>
      <c r="E29" s="30">
        <v>2968</v>
      </c>
      <c r="F29" s="969">
        <v>3246</v>
      </c>
      <c r="G29" s="34">
        <v>3.11</v>
      </c>
    </row>
    <row r="30" spans="1:7" ht="14.25">
      <c r="A30" s="763">
        <v>23350</v>
      </c>
      <c r="B30" s="64" t="s">
        <v>58</v>
      </c>
      <c r="C30" s="47">
        <v>14</v>
      </c>
      <c r="D30" s="57">
        <v>238</v>
      </c>
      <c r="E30" s="30">
        <v>3332</v>
      </c>
      <c r="F30" s="969">
        <v>3644</v>
      </c>
      <c r="G30" s="34">
        <v>3.11</v>
      </c>
    </row>
    <row r="31" spans="1:7" ht="14.25">
      <c r="A31" s="763">
        <v>23423</v>
      </c>
      <c r="B31" s="64" t="s">
        <v>120</v>
      </c>
      <c r="C31" s="47">
        <v>14</v>
      </c>
      <c r="D31" s="57">
        <v>150</v>
      </c>
      <c r="E31" s="30">
        <v>2100</v>
      </c>
      <c r="F31" s="969">
        <v>2297</v>
      </c>
      <c r="G31" s="34">
        <v>1.84</v>
      </c>
    </row>
    <row r="32" spans="1:7" ht="14.25">
      <c r="A32" s="763">
        <v>23423</v>
      </c>
      <c r="B32" s="64" t="s">
        <v>58</v>
      </c>
      <c r="C32" s="47">
        <v>14</v>
      </c>
      <c r="D32" s="57">
        <v>77</v>
      </c>
      <c r="E32" s="30">
        <v>1078</v>
      </c>
      <c r="F32" s="969">
        <v>1179</v>
      </c>
      <c r="G32" s="34">
        <v>1.84</v>
      </c>
    </row>
    <row r="35" spans="1:9" ht="14.25">
      <c r="A35" s="970">
        <v>23398</v>
      </c>
      <c r="B35" s="971"/>
      <c r="C35" s="971" t="s">
        <v>3448</v>
      </c>
      <c r="D35" s="972">
        <v>1358</v>
      </c>
      <c r="E35" s="973">
        <v>14</v>
      </c>
      <c r="F35" s="974">
        <v>97</v>
      </c>
    </row>
    <row r="36" spans="1:9" ht="14.25">
      <c r="A36" s="970">
        <v>23398</v>
      </c>
      <c r="B36" s="971"/>
      <c r="C36" s="971" t="s">
        <v>3449</v>
      </c>
      <c r="D36" s="972">
        <v>3612</v>
      </c>
      <c r="E36" s="973">
        <v>14</v>
      </c>
      <c r="F36" s="974">
        <v>258</v>
      </c>
    </row>
    <row r="37" spans="1:9" ht="14.25">
      <c r="A37" s="970" t="s">
        <v>3450</v>
      </c>
      <c r="B37" s="971"/>
      <c r="C37" s="971" t="s">
        <v>3451</v>
      </c>
      <c r="D37" s="973">
        <v>4060</v>
      </c>
      <c r="E37" s="973">
        <v>14</v>
      </c>
      <c r="F37" s="974">
        <v>290</v>
      </c>
    </row>
    <row r="38" spans="1:9" ht="14.25">
      <c r="A38" s="970" t="s">
        <v>3452</v>
      </c>
      <c r="B38" s="971"/>
      <c r="C38" s="971" t="s">
        <v>183</v>
      </c>
      <c r="D38" s="973">
        <v>4760</v>
      </c>
      <c r="E38" s="973">
        <v>14</v>
      </c>
      <c r="F38" s="974">
        <v>340</v>
      </c>
    </row>
    <row r="39" spans="1:9" ht="14.25">
      <c r="A39" s="970">
        <v>23350</v>
      </c>
      <c r="B39" s="971"/>
      <c r="C39" s="971" t="s">
        <v>3448</v>
      </c>
      <c r="D39" s="972">
        <v>2968</v>
      </c>
      <c r="E39" s="973">
        <v>14</v>
      </c>
      <c r="F39" s="974">
        <v>212</v>
      </c>
    </row>
    <row r="40" spans="1:9" ht="14.25">
      <c r="A40" s="970">
        <v>23350</v>
      </c>
      <c r="B40" s="971"/>
      <c r="C40" s="971" t="s">
        <v>183</v>
      </c>
      <c r="D40" s="972">
        <v>3332</v>
      </c>
      <c r="E40" s="973">
        <v>14</v>
      </c>
      <c r="F40" s="974">
        <v>238</v>
      </c>
    </row>
    <row r="41" spans="1:9" ht="14.25">
      <c r="A41" s="970">
        <v>23423</v>
      </c>
      <c r="B41" s="971"/>
      <c r="C41" s="971" t="s">
        <v>3448</v>
      </c>
      <c r="D41" s="972">
        <v>2100</v>
      </c>
      <c r="E41" s="973">
        <v>14</v>
      </c>
      <c r="F41" s="974">
        <v>150</v>
      </c>
    </row>
    <row r="42" spans="1:9" ht="14.25">
      <c r="A42" s="970">
        <v>23423</v>
      </c>
      <c r="B42" s="971"/>
      <c r="C42" s="971" t="s">
        <v>183</v>
      </c>
      <c r="D42" s="972">
        <v>1078</v>
      </c>
      <c r="E42" s="973">
        <v>14</v>
      </c>
      <c r="F42" s="974">
        <v>77</v>
      </c>
    </row>
    <row r="43" spans="1:9" ht="14.25">
      <c r="A43" s="130"/>
      <c r="B43" s="130"/>
      <c r="C43" s="130"/>
      <c r="D43" s="130"/>
      <c r="E43" s="130"/>
      <c r="F43" s="130"/>
    </row>
    <row r="46" spans="1:9" ht="14.25">
      <c r="I46" s="130"/>
    </row>
    <row r="47" spans="1:9" ht="15">
      <c r="A47" s="83" t="s">
        <v>3437</v>
      </c>
      <c r="B47" s="83" t="s">
        <v>35</v>
      </c>
      <c r="C47" s="84" t="s">
        <v>36</v>
      </c>
      <c r="D47" s="85" t="s">
        <v>3442</v>
      </c>
      <c r="E47" s="968" t="s">
        <v>3443</v>
      </c>
      <c r="F47" s="968" t="s">
        <v>116</v>
      </c>
      <c r="G47" s="968" t="s">
        <v>3444</v>
      </c>
      <c r="H47" s="85" t="s">
        <v>3445</v>
      </c>
      <c r="I47" s="101" t="s">
        <v>3453</v>
      </c>
    </row>
    <row r="48" spans="1:9" ht="14.25">
      <c r="A48" s="87" t="s">
        <v>3454</v>
      </c>
      <c r="B48" s="167">
        <v>9</v>
      </c>
      <c r="C48" s="167" t="s">
        <v>3455</v>
      </c>
      <c r="D48" s="290">
        <v>30</v>
      </c>
      <c r="E48" s="291">
        <v>19</v>
      </c>
      <c r="F48" s="292">
        <v>570</v>
      </c>
      <c r="G48" s="969">
        <v>623</v>
      </c>
      <c r="H48" s="293">
        <v>0.74</v>
      </c>
      <c r="I48" s="87" t="s">
        <v>3456</v>
      </c>
    </row>
    <row r="49" spans="1:9" ht="14.25">
      <c r="A49" s="87" t="s">
        <v>3454</v>
      </c>
      <c r="B49" s="167">
        <v>9</v>
      </c>
      <c r="C49" s="167" t="s">
        <v>3457</v>
      </c>
      <c r="D49" s="290">
        <v>30</v>
      </c>
      <c r="E49" s="291">
        <v>17</v>
      </c>
      <c r="F49" s="292">
        <v>510</v>
      </c>
      <c r="G49" s="969">
        <v>557</v>
      </c>
      <c r="H49" s="293">
        <v>0.74</v>
      </c>
      <c r="I49" s="87" t="s">
        <v>3456</v>
      </c>
    </row>
    <row r="50" spans="1:9" ht="14.25">
      <c r="A50" s="87"/>
      <c r="B50" s="167"/>
      <c r="C50" s="167"/>
      <c r="D50" s="290"/>
      <c r="E50" s="290"/>
      <c r="F50" s="290"/>
      <c r="G50" s="969"/>
      <c r="H50" s="87"/>
      <c r="I50" s="87"/>
    </row>
    <row r="51" spans="1:9" ht="14.25">
      <c r="A51" s="87" t="s">
        <v>3458</v>
      </c>
      <c r="B51" s="167"/>
      <c r="C51" s="167" t="s">
        <v>155</v>
      </c>
      <c r="D51" s="290">
        <v>30</v>
      </c>
      <c r="E51" s="291">
        <v>97</v>
      </c>
      <c r="F51" s="292">
        <v>2910</v>
      </c>
      <c r="G51" s="969">
        <v>3182</v>
      </c>
      <c r="H51" s="293">
        <v>0.51</v>
      </c>
      <c r="I51" s="87" t="s">
        <v>3459</v>
      </c>
    </row>
    <row r="52" spans="1:9" ht="14.25">
      <c r="A52" s="87" t="s">
        <v>3458</v>
      </c>
      <c r="B52" s="167"/>
      <c r="C52" s="167" t="s">
        <v>154</v>
      </c>
      <c r="D52" s="290">
        <v>30</v>
      </c>
      <c r="E52" s="291">
        <v>56</v>
      </c>
      <c r="F52" s="292">
        <v>1680</v>
      </c>
      <c r="G52" s="969">
        <v>1837</v>
      </c>
      <c r="H52" s="293">
        <v>0.51</v>
      </c>
      <c r="I52" s="87" t="s">
        <v>3459</v>
      </c>
    </row>
    <row r="53" spans="1:9" ht="14.25">
      <c r="A53" s="87" t="s">
        <v>3458</v>
      </c>
      <c r="B53" s="167"/>
      <c r="C53" s="167" t="s">
        <v>3460</v>
      </c>
      <c r="D53" s="290">
        <v>30</v>
      </c>
      <c r="E53" s="291">
        <v>42</v>
      </c>
      <c r="F53" s="292">
        <v>1260</v>
      </c>
      <c r="G53" s="969">
        <v>1377</v>
      </c>
      <c r="H53" s="293">
        <v>0.51</v>
      </c>
      <c r="I53" s="87" t="s">
        <v>3459</v>
      </c>
    </row>
    <row r="54" spans="1:9" ht="14.25">
      <c r="A54" s="87" t="s">
        <v>3458</v>
      </c>
      <c r="B54" s="167"/>
      <c r="C54" s="167" t="s">
        <v>3461</v>
      </c>
      <c r="D54" s="290">
        <v>30</v>
      </c>
      <c r="E54" s="291">
        <v>20</v>
      </c>
      <c r="F54" s="292">
        <v>600</v>
      </c>
      <c r="G54" s="969">
        <v>656</v>
      </c>
      <c r="H54" s="293">
        <v>0.51</v>
      </c>
      <c r="I54" s="87" t="s">
        <v>3459</v>
      </c>
    </row>
    <row r="55" spans="1:9" ht="14.25">
      <c r="A55" s="87" t="s">
        <v>3458</v>
      </c>
      <c r="B55" s="167"/>
      <c r="C55" s="167" t="s">
        <v>3462</v>
      </c>
      <c r="D55" s="290">
        <v>30</v>
      </c>
      <c r="E55" s="291">
        <v>161</v>
      </c>
      <c r="F55" s="292">
        <v>4830</v>
      </c>
      <c r="G55" s="969">
        <v>5282</v>
      </c>
      <c r="H55" s="293">
        <v>0.51</v>
      </c>
      <c r="I55" s="87" t="s">
        <v>3459</v>
      </c>
    </row>
    <row r="56" spans="1:9" ht="14.25">
      <c r="I56" s="130"/>
    </row>
    <row r="60" spans="1:9" ht="15">
      <c r="A60" s="83" t="s">
        <v>3437</v>
      </c>
      <c r="B60" s="84" t="s">
        <v>36</v>
      </c>
      <c r="C60" s="968" t="s">
        <v>37</v>
      </c>
      <c r="D60" s="85" t="s">
        <v>3438</v>
      </c>
    </row>
    <row r="61" spans="1:9" ht="14.25">
      <c r="A61" s="48">
        <v>5604</v>
      </c>
      <c r="B61" s="64" t="s">
        <v>237</v>
      </c>
      <c r="C61" s="30">
        <v>10</v>
      </c>
      <c r="D61" s="34">
        <v>0.35</v>
      </c>
    </row>
    <row r="62" spans="1:9" ht="14.25">
      <c r="A62" s="48">
        <v>5604</v>
      </c>
      <c r="B62" s="64" t="s">
        <v>1966</v>
      </c>
      <c r="C62" s="30">
        <v>10</v>
      </c>
      <c r="D62" s="34">
        <v>0.35</v>
      </c>
    </row>
    <row r="63" spans="1:9" ht="14.25">
      <c r="A63" s="48">
        <v>5604</v>
      </c>
      <c r="B63" s="64" t="s">
        <v>3463</v>
      </c>
      <c r="C63" s="30">
        <v>10</v>
      </c>
      <c r="D63" s="34">
        <v>0.35</v>
      </c>
    </row>
    <row r="64" spans="1:9" ht="14.25">
      <c r="A64" s="48"/>
      <c r="B64" s="64" t="s">
        <v>57</v>
      </c>
      <c r="C64" s="30" t="s">
        <v>3464</v>
      </c>
      <c r="D64" s="34">
        <v>15</v>
      </c>
    </row>
    <row r="65" spans="1:5" ht="14.25">
      <c r="A65" s="48"/>
      <c r="B65" s="48" t="s">
        <v>14</v>
      </c>
      <c r="C65" s="30" t="s">
        <v>64</v>
      </c>
      <c r="D65" s="34">
        <v>12</v>
      </c>
    </row>
    <row r="66" spans="1:5" ht="15">
      <c r="B66" s="83" t="s">
        <v>3437</v>
      </c>
      <c r="C66" s="83" t="s">
        <v>35</v>
      </c>
      <c r="D66" s="84" t="s">
        <v>36</v>
      </c>
      <c r="E66" s="968" t="s">
        <v>37</v>
      </c>
    </row>
    <row r="67" spans="1:5" ht="14.25">
      <c r="A67" s="58" t="s">
        <v>3465</v>
      </c>
      <c r="B67" s="48">
        <v>5311</v>
      </c>
      <c r="C67" s="64" t="s">
        <v>9</v>
      </c>
      <c r="D67" s="64" t="s">
        <v>3466</v>
      </c>
      <c r="E67" s="30">
        <v>250</v>
      </c>
    </row>
    <row r="68" spans="1:5" ht="14.25">
      <c r="A68" s="58" t="s">
        <v>3465</v>
      </c>
      <c r="B68" s="48">
        <v>5311</v>
      </c>
      <c r="C68" s="64" t="s">
        <v>9</v>
      </c>
      <c r="D68" s="64" t="s">
        <v>3467</v>
      </c>
      <c r="E68" s="30">
        <v>150</v>
      </c>
    </row>
    <row r="69" spans="1:5" ht="14.25">
      <c r="A69" s="58" t="s">
        <v>3465</v>
      </c>
      <c r="B69" s="48">
        <v>5311</v>
      </c>
      <c r="C69" s="64" t="s">
        <v>9</v>
      </c>
      <c r="D69" s="64" t="s">
        <v>3468</v>
      </c>
      <c r="E69" s="30">
        <v>700</v>
      </c>
    </row>
    <row r="71" spans="1:5" ht="15">
      <c r="A71" s="83" t="s">
        <v>3437</v>
      </c>
      <c r="B71" s="83" t="s">
        <v>35</v>
      </c>
      <c r="C71" s="84" t="s">
        <v>36</v>
      </c>
      <c r="D71" s="968" t="s">
        <v>37</v>
      </c>
    </row>
    <row r="72" spans="1:5" ht="14.25">
      <c r="A72" s="48">
        <v>5311</v>
      </c>
      <c r="B72" s="64" t="s">
        <v>9</v>
      </c>
      <c r="C72" s="64" t="s">
        <v>3466</v>
      </c>
      <c r="D72" s="30">
        <v>600</v>
      </c>
    </row>
    <row r="73" spans="1:5" ht="14.25">
      <c r="A73" s="48">
        <v>5311</v>
      </c>
      <c r="B73" s="64" t="s">
        <v>9</v>
      </c>
      <c r="C73" s="64" t="s">
        <v>3469</v>
      </c>
      <c r="D73" s="30">
        <v>1400</v>
      </c>
    </row>
    <row r="74" spans="1:5" ht="14.25">
      <c r="A74" s="48">
        <v>5311</v>
      </c>
      <c r="B74" s="64" t="s">
        <v>9</v>
      </c>
      <c r="C74" s="64" t="s">
        <v>3467</v>
      </c>
      <c r="D74" s="30">
        <v>2100</v>
      </c>
    </row>
    <row r="75" spans="1:5" ht="14.25">
      <c r="A75" s="48">
        <v>5311</v>
      </c>
      <c r="B75" s="64" t="s">
        <v>9</v>
      </c>
      <c r="C75" s="64" t="s">
        <v>3468</v>
      </c>
      <c r="D75" s="30">
        <v>700</v>
      </c>
    </row>
    <row r="78" spans="1:5" ht="15">
      <c r="A78" s="84" t="s">
        <v>36</v>
      </c>
      <c r="B78" s="85" t="s">
        <v>3442</v>
      </c>
      <c r="C78" s="968" t="s">
        <v>3443</v>
      </c>
      <c r="D78" s="968" t="s">
        <v>116</v>
      </c>
    </row>
    <row r="79" spans="1:5" ht="14.25">
      <c r="A79" s="48" t="s">
        <v>3470</v>
      </c>
      <c r="B79" s="73">
        <v>58</v>
      </c>
      <c r="C79" s="975">
        <v>14</v>
      </c>
      <c r="D79" s="68">
        <v>812</v>
      </c>
    </row>
    <row r="80" spans="1:5" ht="14.25">
      <c r="A80" s="48" t="s">
        <v>3471</v>
      </c>
      <c r="B80" s="73">
        <v>58</v>
      </c>
      <c r="C80" s="975">
        <v>10</v>
      </c>
      <c r="D80" s="68">
        <v>580</v>
      </c>
    </row>
    <row r="83" spans="1:7" ht="15">
      <c r="A83" s="976" t="s">
        <v>81</v>
      </c>
      <c r="B83" s="83" t="s">
        <v>121</v>
      </c>
      <c r="C83" s="83" t="s">
        <v>3437</v>
      </c>
      <c r="D83" s="84" t="s">
        <v>36</v>
      </c>
      <c r="E83" s="85" t="s">
        <v>3442</v>
      </c>
      <c r="F83" s="968" t="s">
        <v>3443</v>
      </c>
      <c r="G83" s="968" t="s">
        <v>116</v>
      </c>
    </row>
    <row r="84" spans="1:7" ht="14.25">
      <c r="A84" s="79" t="s">
        <v>3472</v>
      </c>
      <c r="B84" s="48" t="s">
        <v>3473</v>
      </c>
      <c r="C84" s="48" t="s">
        <v>97</v>
      </c>
      <c r="D84" s="64" t="s">
        <v>193</v>
      </c>
      <c r="E84" s="47">
        <v>13.7</v>
      </c>
      <c r="F84" s="57">
        <v>42</v>
      </c>
      <c r="G84" s="47">
        <v>575.4</v>
      </c>
    </row>
    <row r="85" spans="1:7" ht="14.25">
      <c r="A85" s="79" t="s">
        <v>3472</v>
      </c>
      <c r="B85" s="48" t="s">
        <v>3473</v>
      </c>
      <c r="C85" s="48" t="s">
        <v>97</v>
      </c>
      <c r="D85" s="64" t="s">
        <v>3474</v>
      </c>
      <c r="E85" s="47">
        <v>13.7</v>
      </c>
      <c r="F85" s="57">
        <v>75</v>
      </c>
      <c r="G85" s="47">
        <v>1027.5</v>
      </c>
    </row>
    <row r="86" spans="1:7" ht="14.25">
      <c r="A86" s="79" t="s">
        <v>3472</v>
      </c>
      <c r="B86" s="48" t="s">
        <v>3473</v>
      </c>
      <c r="C86" s="48" t="s">
        <v>97</v>
      </c>
      <c r="D86" s="64" t="s">
        <v>58</v>
      </c>
      <c r="E86" s="47">
        <v>13.7</v>
      </c>
      <c r="F86" s="57">
        <v>216</v>
      </c>
      <c r="G86" s="47">
        <v>2959.2</v>
      </c>
    </row>
    <row r="91" spans="1:7" ht="15">
      <c r="A91" s="83" t="s">
        <v>3437</v>
      </c>
      <c r="B91" s="84" t="s">
        <v>36</v>
      </c>
      <c r="C91" s="85" t="s">
        <v>3442</v>
      </c>
      <c r="D91" s="968" t="s">
        <v>3443</v>
      </c>
      <c r="E91" s="968" t="s">
        <v>116</v>
      </c>
      <c r="F91" s="85" t="s">
        <v>3438</v>
      </c>
    </row>
    <row r="92" spans="1:7" ht="14.25">
      <c r="A92" s="763" t="s">
        <v>3475</v>
      </c>
      <c r="B92" s="64" t="s">
        <v>120</v>
      </c>
      <c r="C92" s="73">
        <v>14</v>
      </c>
      <c r="D92" s="975">
        <v>2</v>
      </c>
      <c r="E92" s="71">
        <f>C92*D92</f>
        <v>28</v>
      </c>
      <c r="F92" s="977">
        <v>1.72</v>
      </c>
    </row>
    <row r="93" spans="1:7" ht="14.25">
      <c r="A93" s="763"/>
      <c r="B93" s="64" t="s">
        <v>14</v>
      </c>
      <c r="C93" s="73"/>
      <c r="D93" s="975" t="s">
        <v>64</v>
      </c>
      <c r="E93" s="71"/>
      <c r="F93" s="977">
        <v>12</v>
      </c>
    </row>
    <row r="96" spans="1:7" ht="15">
      <c r="A96" s="83" t="s">
        <v>3437</v>
      </c>
      <c r="B96" s="84" t="s">
        <v>36</v>
      </c>
      <c r="C96" s="84" t="s">
        <v>37</v>
      </c>
    </row>
    <row r="97" spans="1:7" ht="14.25">
      <c r="A97" s="48" t="s">
        <v>3476</v>
      </c>
      <c r="B97" s="64" t="s">
        <v>58</v>
      </c>
      <c r="C97" s="47">
        <v>5</v>
      </c>
    </row>
    <row r="98" spans="1:7" ht="14.25">
      <c r="A98" s="48" t="s">
        <v>3477</v>
      </c>
      <c r="B98" s="64" t="s">
        <v>58</v>
      </c>
      <c r="C98" s="47">
        <v>5</v>
      </c>
    </row>
    <row r="99" spans="1:7" ht="14.25">
      <c r="A99" s="48"/>
      <c r="B99" s="64"/>
      <c r="C99" s="47"/>
    </row>
    <row r="100" spans="1:7" ht="14.25">
      <c r="A100" s="48"/>
      <c r="B100" s="64"/>
      <c r="C100" s="47"/>
    </row>
    <row r="101" spans="1:7" ht="15.75">
      <c r="A101" s="83" t="s">
        <v>3437</v>
      </c>
      <c r="B101" s="84" t="s">
        <v>36</v>
      </c>
      <c r="C101" s="85" t="s">
        <v>3442</v>
      </c>
      <c r="D101" s="968" t="s">
        <v>3443</v>
      </c>
      <c r="E101" s="968" t="s">
        <v>116</v>
      </c>
      <c r="F101" s="85" t="s">
        <v>148</v>
      </c>
      <c r="G101" s="978" t="s">
        <v>3478</v>
      </c>
    </row>
    <row r="102" spans="1:7" ht="15.75">
      <c r="A102" s="48" t="s">
        <v>150</v>
      </c>
      <c r="B102" s="64" t="s">
        <v>58</v>
      </c>
      <c r="C102" s="47"/>
      <c r="D102" s="57"/>
      <c r="E102" s="47">
        <v>250</v>
      </c>
      <c r="F102" s="979" t="s">
        <v>3479</v>
      </c>
      <c r="G102" s="980" t="s">
        <v>3480</v>
      </c>
    </row>
    <row r="103" spans="1:7" ht="15.75">
      <c r="A103" s="48" t="s">
        <v>3481</v>
      </c>
      <c r="B103" s="64" t="s">
        <v>120</v>
      </c>
      <c r="C103" s="47">
        <v>13.7</v>
      </c>
      <c r="D103" s="57">
        <v>2</v>
      </c>
      <c r="E103" s="47">
        <v>27.4</v>
      </c>
      <c r="F103" s="979" t="s">
        <v>3479</v>
      </c>
      <c r="G103" s="978" t="s">
        <v>3482</v>
      </c>
    </row>
    <row r="104" spans="1:7" ht="14.25">
      <c r="A104" s="48" t="s">
        <v>225</v>
      </c>
      <c r="B104" s="64" t="s">
        <v>120</v>
      </c>
      <c r="C104" s="47">
        <v>14</v>
      </c>
      <c r="D104" s="57">
        <v>57</v>
      </c>
      <c r="E104" s="47">
        <v>798</v>
      </c>
      <c r="F104" s="979" t="s">
        <v>3479</v>
      </c>
      <c r="G104" s="980" t="s">
        <v>3483</v>
      </c>
    </row>
    <row r="105" spans="1:7" ht="15.75">
      <c r="A105" s="48" t="s">
        <v>332</v>
      </c>
      <c r="B105" s="64" t="s">
        <v>3446</v>
      </c>
      <c r="C105" s="47">
        <v>14</v>
      </c>
      <c r="D105" s="57">
        <v>100</v>
      </c>
      <c r="E105" s="47">
        <f>D105*C105</f>
        <v>1400</v>
      </c>
      <c r="F105" s="979" t="s">
        <v>3479</v>
      </c>
      <c r="G105" s="978"/>
    </row>
    <row r="106" spans="1:7" ht="15.75">
      <c r="A106" s="48" t="s">
        <v>332</v>
      </c>
      <c r="B106" s="64" t="s">
        <v>3446</v>
      </c>
      <c r="C106" s="47">
        <v>14</v>
      </c>
      <c r="D106" s="57">
        <v>165</v>
      </c>
      <c r="E106" s="47">
        <f>D106*C106</f>
        <v>2310</v>
      </c>
      <c r="F106" s="979" t="s">
        <v>3484</v>
      </c>
      <c r="G106" s="978"/>
    </row>
    <row r="107" spans="1:7" ht="15.75">
      <c r="G107" s="978" t="s">
        <v>3485</v>
      </c>
    </row>
    <row r="108" spans="1:7" ht="15">
      <c r="A108" s="83" t="s">
        <v>3437</v>
      </c>
      <c r="B108" s="84" t="s">
        <v>36</v>
      </c>
      <c r="C108" s="85" t="s">
        <v>3442</v>
      </c>
      <c r="D108" s="968" t="s">
        <v>3443</v>
      </c>
      <c r="E108" s="968" t="s">
        <v>116</v>
      </c>
    </row>
    <row r="109" spans="1:7" ht="14.25">
      <c r="A109" s="48" t="s">
        <v>97</v>
      </c>
      <c r="B109" s="64" t="s">
        <v>3486</v>
      </c>
      <c r="C109" s="47">
        <v>13.7</v>
      </c>
      <c r="D109" s="57">
        <v>3</v>
      </c>
      <c r="E109" s="47">
        <v>41.099999999999994</v>
      </c>
    </row>
    <row r="110" spans="1:7" ht="14.25">
      <c r="A110" s="48" t="s">
        <v>97</v>
      </c>
      <c r="B110" s="64" t="s">
        <v>3487</v>
      </c>
      <c r="C110" s="47">
        <v>13.7</v>
      </c>
      <c r="D110" s="57">
        <v>13</v>
      </c>
      <c r="E110" s="47">
        <v>178.1</v>
      </c>
    </row>
    <row r="113" spans="1:8" ht="15">
      <c r="A113" s="976" t="s">
        <v>81</v>
      </c>
      <c r="B113" s="83" t="s">
        <v>3437</v>
      </c>
      <c r="C113" s="83" t="s">
        <v>35</v>
      </c>
      <c r="D113" s="84" t="s">
        <v>36</v>
      </c>
      <c r="E113" s="85" t="s">
        <v>3442</v>
      </c>
      <c r="F113" s="968" t="s">
        <v>3443</v>
      </c>
      <c r="G113" s="968" t="s">
        <v>116</v>
      </c>
      <c r="H113" s="85" t="s">
        <v>3438</v>
      </c>
    </row>
    <row r="114" spans="1:8" ht="14.25">
      <c r="A114" s="58" t="s">
        <v>3488</v>
      </c>
      <c r="B114" s="48" t="s">
        <v>6</v>
      </c>
      <c r="C114" s="56">
        <v>160</v>
      </c>
      <c r="D114" s="48" t="s">
        <v>3489</v>
      </c>
      <c r="E114" s="47">
        <v>50</v>
      </c>
      <c r="F114" s="57">
        <v>3</v>
      </c>
      <c r="G114" s="47">
        <v>150</v>
      </c>
      <c r="H114" s="34">
        <v>3.88</v>
      </c>
    </row>
    <row r="115" spans="1:8" ht="14.25">
      <c r="A115" s="58" t="s">
        <v>3488</v>
      </c>
      <c r="B115" s="48" t="s">
        <v>6</v>
      </c>
      <c r="C115" s="56">
        <v>160</v>
      </c>
      <c r="D115" s="48" t="s">
        <v>3489</v>
      </c>
      <c r="E115" s="47">
        <v>46</v>
      </c>
      <c r="F115" s="57">
        <v>1</v>
      </c>
      <c r="G115" s="47">
        <v>46</v>
      </c>
      <c r="H115" s="34">
        <v>3.88</v>
      </c>
    </row>
    <row r="116" spans="1:8" ht="14.25">
      <c r="A116" s="58" t="s">
        <v>3488</v>
      </c>
      <c r="B116" s="48" t="s">
        <v>6</v>
      </c>
      <c r="C116" s="56">
        <v>160</v>
      </c>
      <c r="D116" s="48" t="s">
        <v>3490</v>
      </c>
      <c r="E116" s="47">
        <v>50</v>
      </c>
      <c r="F116" s="57">
        <v>6</v>
      </c>
      <c r="G116" s="47">
        <v>300</v>
      </c>
      <c r="H116" s="34">
        <v>3.88</v>
      </c>
    </row>
    <row r="117" spans="1:8" ht="14.25">
      <c r="A117" s="58" t="s">
        <v>3488</v>
      </c>
      <c r="B117" s="48" t="s">
        <v>6</v>
      </c>
      <c r="C117" s="56">
        <v>160</v>
      </c>
      <c r="D117" s="48" t="s">
        <v>3491</v>
      </c>
      <c r="E117" s="47">
        <v>50</v>
      </c>
      <c r="F117" s="57">
        <v>5</v>
      </c>
      <c r="G117" s="47">
        <v>250</v>
      </c>
      <c r="H117" s="34">
        <v>3.88</v>
      </c>
    </row>
    <row r="118" spans="1:8" ht="15.75">
      <c r="F118" s="978"/>
    </row>
    <row r="119" spans="1:8" ht="14.25">
      <c r="F119" s="981"/>
    </row>
    <row r="120" spans="1:8" ht="15">
      <c r="A120" s="83" t="s">
        <v>3437</v>
      </c>
      <c r="B120" s="83" t="s">
        <v>35</v>
      </c>
      <c r="C120" s="84" t="s">
        <v>36</v>
      </c>
      <c r="D120" s="85" t="s">
        <v>3442</v>
      </c>
      <c r="E120" s="968" t="s">
        <v>3443</v>
      </c>
      <c r="F120" s="968" t="s">
        <v>116</v>
      </c>
    </row>
    <row r="121" spans="1:8" ht="14.25">
      <c r="A121" s="48" t="s">
        <v>6</v>
      </c>
      <c r="B121" s="56">
        <v>160</v>
      </c>
      <c r="C121" s="48" t="s">
        <v>3492</v>
      </c>
      <c r="D121" s="47">
        <v>50</v>
      </c>
      <c r="E121" s="57">
        <v>1</v>
      </c>
      <c r="F121" s="47">
        <v>50</v>
      </c>
    </row>
    <row r="122" spans="1:8" ht="14.25">
      <c r="A122" s="48" t="s">
        <v>60</v>
      </c>
      <c r="B122" s="56">
        <v>160</v>
      </c>
      <c r="C122" s="48" t="s">
        <v>153</v>
      </c>
      <c r="D122" s="47">
        <v>35</v>
      </c>
      <c r="E122" s="47">
        <v>35</v>
      </c>
      <c r="F122" s="47">
        <v>35</v>
      </c>
    </row>
    <row r="125" spans="1:8" ht="15">
      <c r="A125" s="976" t="s">
        <v>81</v>
      </c>
      <c r="B125" s="83" t="s">
        <v>3437</v>
      </c>
      <c r="C125" s="84" t="s">
        <v>36</v>
      </c>
      <c r="D125" s="85" t="s">
        <v>3442</v>
      </c>
      <c r="E125" s="968" t="s">
        <v>3443</v>
      </c>
      <c r="F125" s="968" t="s">
        <v>116</v>
      </c>
    </row>
    <row r="126" spans="1:8" ht="14.25">
      <c r="A126" s="58" t="s">
        <v>3493</v>
      </c>
      <c r="B126" s="48" t="s">
        <v>3494</v>
      </c>
      <c r="C126" s="64" t="s">
        <v>39</v>
      </c>
      <c r="D126" s="47">
        <v>13.7</v>
      </c>
      <c r="E126" s="57">
        <v>5</v>
      </c>
      <c r="F126" s="47">
        <v>68.5</v>
      </c>
    </row>
    <row r="127" spans="1:8" ht="14.25">
      <c r="A127" s="58" t="s">
        <v>3493</v>
      </c>
      <c r="B127" s="48" t="s">
        <v>3494</v>
      </c>
      <c r="C127" s="64" t="s">
        <v>3495</v>
      </c>
      <c r="D127" s="47">
        <v>13.7</v>
      </c>
      <c r="E127" s="57">
        <v>13</v>
      </c>
      <c r="F127" s="47">
        <v>178.1</v>
      </c>
    </row>
    <row r="131" spans="1:7" ht="15">
      <c r="A131" s="83" t="s">
        <v>3437</v>
      </c>
      <c r="B131" s="84" t="s">
        <v>36</v>
      </c>
      <c r="C131" s="85" t="s">
        <v>3442</v>
      </c>
      <c r="D131" s="968" t="s">
        <v>3443</v>
      </c>
      <c r="E131" s="968" t="s">
        <v>116</v>
      </c>
    </row>
    <row r="132" spans="1:7" ht="14.25">
      <c r="A132" s="48" t="s">
        <v>3496</v>
      </c>
      <c r="B132" s="64" t="s">
        <v>126</v>
      </c>
      <c r="C132" s="47">
        <v>13.7</v>
      </c>
      <c r="D132" s="57">
        <v>1</v>
      </c>
      <c r="E132" s="47">
        <v>13.7</v>
      </c>
    </row>
    <row r="133" spans="1:7" ht="14.25">
      <c r="A133" s="48" t="s">
        <v>3147</v>
      </c>
      <c r="B133" s="64" t="s">
        <v>2784</v>
      </c>
      <c r="C133" s="47">
        <v>13.7</v>
      </c>
      <c r="D133" s="57">
        <v>2</v>
      </c>
      <c r="E133" s="47">
        <v>27.4</v>
      </c>
    </row>
    <row r="136" spans="1:7" ht="14.25">
      <c r="A136" s="48">
        <v>3920</v>
      </c>
      <c r="B136" s="64">
        <v>15</v>
      </c>
      <c r="C136" s="64" t="s">
        <v>3497</v>
      </c>
      <c r="D136" s="30">
        <v>30</v>
      </c>
    </row>
    <row r="137" spans="1:7" ht="14.25">
      <c r="A137" s="48">
        <v>3920</v>
      </c>
      <c r="B137" s="64">
        <v>15</v>
      </c>
      <c r="C137" s="64" t="s">
        <v>3498</v>
      </c>
      <c r="D137" s="30">
        <v>30</v>
      </c>
    </row>
    <row r="138" spans="1:7" ht="14.25">
      <c r="A138" s="48">
        <v>3920</v>
      </c>
      <c r="B138" s="64">
        <v>15</v>
      </c>
      <c r="C138" s="64" t="s">
        <v>3153</v>
      </c>
      <c r="D138" s="30">
        <v>30</v>
      </c>
    </row>
    <row r="139" spans="1:7" ht="14.25">
      <c r="A139" s="48">
        <v>3920</v>
      </c>
      <c r="B139" s="64">
        <v>15</v>
      </c>
      <c r="C139" s="64" t="s">
        <v>3499</v>
      </c>
      <c r="D139" s="30">
        <v>30</v>
      </c>
    </row>
    <row r="143" spans="1:7" ht="15">
      <c r="A143" s="83" t="s">
        <v>3437</v>
      </c>
      <c r="B143" s="83" t="s">
        <v>35</v>
      </c>
      <c r="C143" s="84" t="s">
        <v>36</v>
      </c>
      <c r="D143" s="85" t="s">
        <v>3442</v>
      </c>
      <c r="E143" s="968" t="s">
        <v>3443</v>
      </c>
      <c r="F143" s="968" t="s">
        <v>116</v>
      </c>
      <c r="G143" s="85" t="s">
        <v>3500</v>
      </c>
    </row>
    <row r="144" spans="1:7" ht="14.25">
      <c r="A144" s="48">
        <v>12701</v>
      </c>
      <c r="B144" s="64">
        <v>6</v>
      </c>
      <c r="C144" s="48" t="s">
        <v>3501</v>
      </c>
      <c r="D144" s="30">
        <v>10</v>
      </c>
      <c r="E144" s="31">
        <v>1</v>
      </c>
      <c r="F144" s="30">
        <v>10</v>
      </c>
      <c r="G144" s="34">
        <v>3.91</v>
      </c>
    </row>
    <row r="145" spans="1:7" ht="14.25">
      <c r="A145" s="48">
        <v>12701</v>
      </c>
      <c r="B145" s="64">
        <v>9</v>
      </c>
      <c r="C145" s="48" t="s">
        <v>1979</v>
      </c>
      <c r="D145" s="30">
        <v>10</v>
      </c>
      <c r="E145" s="31">
        <v>1</v>
      </c>
      <c r="F145" s="30">
        <v>10</v>
      </c>
      <c r="G145" s="34">
        <v>4.4000000000000004</v>
      </c>
    </row>
    <row r="146" spans="1:7" ht="14.25">
      <c r="A146" s="48">
        <v>12701</v>
      </c>
      <c r="B146" s="64">
        <v>9</v>
      </c>
      <c r="C146" s="48" t="s">
        <v>219</v>
      </c>
      <c r="D146" s="30">
        <v>10</v>
      </c>
      <c r="E146" s="31">
        <v>1</v>
      </c>
      <c r="F146" s="30">
        <v>10</v>
      </c>
      <c r="G146" s="34">
        <v>4.4000000000000004</v>
      </c>
    </row>
    <row r="147" spans="1:7" ht="14.25">
      <c r="A147" s="48">
        <v>12701</v>
      </c>
      <c r="B147" s="64">
        <v>9</v>
      </c>
      <c r="C147" s="48" t="s">
        <v>3284</v>
      </c>
      <c r="D147" s="30">
        <v>10</v>
      </c>
      <c r="E147" s="31">
        <v>1</v>
      </c>
      <c r="F147" s="30">
        <v>10</v>
      </c>
      <c r="G147" s="34">
        <v>4.4000000000000004</v>
      </c>
    </row>
    <row r="148" spans="1:7" ht="14.25">
      <c r="A148" s="48">
        <v>12701</v>
      </c>
      <c r="B148" s="64">
        <v>38</v>
      </c>
      <c r="C148" s="48" t="s">
        <v>3284</v>
      </c>
      <c r="D148" s="30">
        <v>10</v>
      </c>
      <c r="E148" s="31">
        <v>1</v>
      </c>
      <c r="F148" s="30">
        <v>10</v>
      </c>
      <c r="G148" s="34">
        <v>13.5</v>
      </c>
    </row>
    <row r="149" spans="1:7" ht="14.25">
      <c r="A149" s="75">
        <v>12701</v>
      </c>
      <c r="B149" s="982">
        <v>50</v>
      </c>
      <c r="C149" s="48" t="s">
        <v>3501</v>
      </c>
      <c r="D149" s="30">
        <v>10</v>
      </c>
      <c r="E149" s="31">
        <v>1</v>
      </c>
      <c r="F149" s="30">
        <v>10</v>
      </c>
      <c r="G149" s="34">
        <v>17.8</v>
      </c>
    </row>
    <row r="150" spans="1:7" ht="14.25">
      <c r="A150" s="55" t="s">
        <v>1971</v>
      </c>
      <c r="B150" s="64"/>
      <c r="C150" s="48"/>
      <c r="D150" s="30"/>
      <c r="E150" s="31"/>
      <c r="F150" s="30"/>
      <c r="G150" s="63"/>
    </row>
    <row r="151" spans="1:7" ht="14.25">
      <c r="A151" s="48">
        <v>11700</v>
      </c>
      <c r="B151" s="64">
        <v>48</v>
      </c>
      <c r="C151" s="48" t="s">
        <v>118</v>
      </c>
      <c r="D151" s="30">
        <v>10</v>
      </c>
      <c r="E151" s="31">
        <v>1</v>
      </c>
      <c r="F151" s="30">
        <v>10</v>
      </c>
      <c r="G151" s="34">
        <v>49.32</v>
      </c>
    </row>
    <row r="154" spans="1:7" ht="15">
      <c r="A154" s="83" t="s">
        <v>3437</v>
      </c>
      <c r="B154" s="84" t="s">
        <v>36</v>
      </c>
      <c r="C154" s="85" t="s">
        <v>3442</v>
      </c>
      <c r="D154" s="968" t="s">
        <v>3443</v>
      </c>
      <c r="E154" s="968" t="s">
        <v>116</v>
      </c>
      <c r="F154" s="93" t="s">
        <v>174</v>
      </c>
    </row>
    <row r="155" spans="1:7" ht="14.25">
      <c r="A155" s="48" t="s">
        <v>2236</v>
      </c>
      <c r="B155" s="64" t="s">
        <v>58</v>
      </c>
      <c r="C155" s="47">
        <v>13.7</v>
      </c>
      <c r="D155" s="57">
        <v>3</v>
      </c>
      <c r="E155" s="47">
        <f t="shared" ref="E155:E161" si="0">C155*D155</f>
        <v>41.099999999999994</v>
      </c>
      <c r="F155" s="983">
        <v>295</v>
      </c>
    </row>
    <row r="156" spans="1:7" ht="14.25">
      <c r="A156" s="48" t="s">
        <v>3502</v>
      </c>
      <c r="B156" s="64" t="s">
        <v>58</v>
      </c>
      <c r="C156" s="47">
        <v>13.7</v>
      </c>
      <c r="D156" s="57">
        <v>3</v>
      </c>
      <c r="E156" s="47">
        <f t="shared" si="0"/>
        <v>41.099999999999994</v>
      </c>
      <c r="F156" s="983">
        <v>210</v>
      </c>
    </row>
    <row r="157" spans="1:7" ht="14.25">
      <c r="A157" s="48" t="s">
        <v>3503</v>
      </c>
      <c r="B157" s="64" t="s">
        <v>58</v>
      </c>
      <c r="C157" s="47">
        <v>13.7</v>
      </c>
      <c r="D157" s="57">
        <v>2</v>
      </c>
      <c r="E157" s="47">
        <f t="shared" si="0"/>
        <v>27.4</v>
      </c>
      <c r="F157" s="983">
        <v>510</v>
      </c>
    </row>
    <row r="158" spans="1:7" ht="14.25">
      <c r="A158" s="48" t="s">
        <v>3504</v>
      </c>
      <c r="B158" s="64" t="s">
        <v>58</v>
      </c>
      <c r="C158" s="47">
        <v>13.7</v>
      </c>
      <c r="D158" s="57">
        <v>2</v>
      </c>
      <c r="E158" s="47">
        <f t="shared" si="0"/>
        <v>27.4</v>
      </c>
      <c r="F158" s="983">
        <v>441</v>
      </c>
    </row>
    <row r="159" spans="1:7" ht="14.25">
      <c r="A159" s="48" t="s">
        <v>3505</v>
      </c>
      <c r="B159" s="64" t="s">
        <v>58</v>
      </c>
      <c r="C159" s="47">
        <v>13.7</v>
      </c>
      <c r="D159" s="57">
        <v>2</v>
      </c>
      <c r="E159" s="47">
        <f t="shared" si="0"/>
        <v>27.4</v>
      </c>
      <c r="F159" s="983">
        <v>164</v>
      </c>
    </row>
    <row r="160" spans="1:7" ht="14.25">
      <c r="A160" s="48" t="s">
        <v>3506</v>
      </c>
      <c r="B160" s="64" t="s">
        <v>58</v>
      </c>
      <c r="C160" s="47">
        <v>13.7</v>
      </c>
      <c r="D160" s="57">
        <v>2</v>
      </c>
      <c r="E160" s="47">
        <f t="shared" si="0"/>
        <v>27.4</v>
      </c>
      <c r="F160" s="983">
        <v>101</v>
      </c>
    </row>
    <row r="161" spans="1:8" ht="14.25">
      <c r="A161" s="48" t="s">
        <v>170</v>
      </c>
      <c r="B161" s="64" t="s">
        <v>58</v>
      </c>
      <c r="C161" s="47">
        <v>13.7</v>
      </c>
      <c r="D161" s="57">
        <v>2</v>
      </c>
      <c r="E161" s="47">
        <f t="shared" si="0"/>
        <v>27.4</v>
      </c>
      <c r="F161" s="983">
        <v>242</v>
      </c>
    </row>
    <row r="164" spans="1:8" ht="15">
      <c r="A164" s="83" t="s">
        <v>3437</v>
      </c>
      <c r="B164" s="84" t="s">
        <v>36</v>
      </c>
      <c r="C164" s="85" t="s">
        <v>3442</v>
      </c>
      <c r="D164" s="968" t="s">
        <v>3443</v>
      </c>
      <c r="E164" s="968" t="s">
        <v>116</v>
      </c>
      <c r="F164" s="93" t="s">
        <v>174</v>
      </c>
    </row>
    <row r="165" spans="1:8" ht="14.25">
      <c r="A165" s="48" t="s">
        <v>3504</v>
      </c>
      <c r="B165" s="64" t="s">
        <v>58</v>
      </c>
      <c r="C165" s="47">
        <v>13.7</v>
      </c>
      <c r="D165" s="57">
        <v>2</v>
      </c>
      <c r="E165" s="47">
        <v>27.4</v>
      </c>
      <c r="F165" s="983">
        <v>441</v>
      </c>
    </row>
    <row r="166" spans="1:8" ht="14.25">
      <c r="A166" s="48" t="s">
        <v>3505</v>
      </c>
      <c r="B166" s="64" t="s">
        <v>58</v>
      </c>
      <c r="C166" s="47">
        <v>13.7</v>
      </c>
      <c r="D166" s="57">
        <v>2</v>
      </c>
      <c r="E166" s="47">
        <v>27.4</v>
      </c>
      <c r="F166" s="983">
        <v>164</v>
      </c>
    </row>
    <row r="167" spans="1:8" ht="14.25">
      <c r="A167" s="48" t="s">
        <v>3506</v>
      </c>
      <c r="B167" s="64" t="s">
        <v>58</v>
      </c>
      <c r="C167" s="47">
        <v>13.7</v>
      </c>
      <c r="D167" s="57">
        <v>2</v>
      </c>
      <c r="E167" s="47">
        <v>27.4</v>
      </c>
      <c r="F167" s="983">
        <v>101</v>
      </c>
    </row>
    <row r="168" spans="1:8" ht="14.25">
      <c r="A168" s="48" t="s">
        <v>170</v>
      </c>
      <c r="B168" s="64" t="s">
        <v>58</v>
      </c>
      <c r="C168" s="47">
        <v>13.7</v>
      </c>
      <c r="D168" s="57">
        <v>2</v>
      </c>
      <c r="E168" s="47">
        <v>27.4</v>
      </c>
      <c r="F168" s="983">
        <v>242</v>
      </c>
    </row>
    <row r="171" spans="1:8" ht="14.25">
      <c r="A171" s="48" t="s">
        <v>2291</v>
      </c>
      <c r="B171" s="30">
        <v>42</v>
      </c>
    </row>
    <row r="172" spans="1:8" ht="14.25">
      <c r="A172" s="48" t="s">
        <v>3507</v>
      </c>
      <c r="B172" s="30">
        <v>46</v>
      </c>
    </row>
    <row r="175" spans="1:8" ht="15">
      <c r="A175" s="976" t="s">
        <v>81</v>
      </c>
      <c r="B175" s="83" t="s">
        <v>3437</v>
      </c>
      <c r="C175" s="83" t="s">
        <v>35</v>
      </c>
      <c r="D175" s="84" t="s">
        <v>36</v>
      </c>
      <c r="E175" s="85" t="s">
        <v>3442</v>
      </c>
      <c r="F175" s="968" t="s">
        <v>3443</v>
      </c>
      <c r="G175" s="968" t="s">
        <v>116</v>
      </c>
      <c r="H175" s="85" t="s">
        <v>3500</v>
      </c>
    </row>
    <row r="176" spans="1:8" ht="14.25">
      <c r="A176" s="79" t="s">
        <v>3508</v>
      </c>
      <c r="B176" s="48" t="s">
        <v>3509</v>
      </c>
      <c r="C176" s="64">
        <v>25</v>
      </c>
      <c r="D176" s="64" t="s">
        <v>3510</v>
      </c>
      <c r="E176" s="30">
        <v>30</v>
      </c>
      <c r="F176" s="57">
        <v>8</v>
      </c>
      <c r="G176" s="30">
        <v>240</v>
      </c>
      <c r="H176" s="34">
        <v>0.85</v>
      </c>
    </row>
    <row r="177" spans="1:8" ht="14.25">
      <c r="A177" s="79" t="s">
        <v>3511</v>
      </c>
      <c r="B177" s="48" t="s">
        <v>3509</v>
      </c>
      <c r="C177" s="64">
        <v>25</v>
      </c>
      <c r="D177" s="64" t="s">
        <v>3510</v>
      </c>
      <c r="E177" s="30">
        <v>30</v>
      </c>
      <c r="F177" s="57">
        <v>2</v>
      </c>
      <c r="G177" s="30">
        <v>60</v>
      </c>
      <c r="H177" s="34">
        <v>0.85</v>
      </c>
    </row>
    <row r="178" spans="1:8" ht="14.25">
      <c r="A178" s="79" t="s">
        <v>3512</v>
      </c>
      <c r="B178" s="48" t="s">
        <v>3509</v>
      </c>
      <c r="C178" s="64">
        <v>25</v>
      </c>
      <c r="D178" s="64" t="s">
        <v>3510</v>
      </c>
      <c r="E178" s="30">
        <v>30</v>
      </c>
      <c r="F178" s="57">
        <v>1</v>
      </c>
      <c r="G178" s="30">
        <v>30</v>
      </c>
      <c r="H178" s="34">
        <v>0.85</v>
      </c>
    </row>
    <row r="182" spans="1:8" ht="15">
      <c r="A182" s="976" t="s">
        <v>81</v>
      </c>
      <c r="B182" s="83" t="s">
        <v>3437</v>
      </c>
      <c r="C182" s="84" t="s">
        <v>36</v>
      </c>
      <c r="D182" s="968" t="s">
        <v>116</v>
      </c>
      <c r="E182" s="85" t="s">
        <v>3438</v>
      </c>
    </row>
    <row r="183" spans="1:8" ht="14.25">
      <c r="A183" s="79" t="s">
        <v>3513</v>
      </c>
      <c r="B183" s="48" t="s">
        <v>3514</v>
      </c>
      <c r="C183" s="64" t="s">
        <v>3515</v>
      </c>
      <c r="D183" s="47">
        <v>20</v>
      </c>
      <c r="E183" s="34">
        <v>4.17</v>
      </c>
    </row>
    <row r="184" spans="1:8" ht="14.25">
      <c r="A184" s="79" t="s">
        <v>3513</v>
      </c>
      <c r="B184" s="48" t="s">
        <v>3514</v>
      </c>
      <c r="C184" s="64" t="s">
        <v>3516</v>
      </c>
      <c r="D184" s="47">
        <v>20</v>
      </c>
      <c r="E184" s="34">
        <v>4.17</v>
      </c>
    </row>
    <row r="185" spans="1:8" ht="14.25">
      <c r="A185" s="79" t="s">
        <v>3513</v>
      </c>
      <c r="B185" s="48"/>
      <c r="C185" s="48" t="s">
        <v>3517</v>
      </c>
      <c r="D185" s="30" t="s">
        <v>108</v>
      </c>
      <c r="E185" s="34">
        <v>150</v>
      </c>
    </row>
    <row r="186" spans="1:8" ht="14.25">
      <c r="A186" s="79" t="s">
        <v>3513</v>
      </c>
      <c r="B186" s="48" t="s">
        <v>3518</v>
      </c>
      <c r="C186" s="64" t="s">
        <v>58</v>
      </c>
      <c r="D186" s="47">
        <v>25</v>
      </c>
      <c r="E186" s="34">
        <v>2.7</v>
      </c>
    </row>
    <row r="187" spans="1:8" ht="14.25">
      <c r="A187" s="79" t="s">
        <v>3513</v>
      </c>
      <c r="B187" s="48" t="s">
        <v>3518</v>
      </c>
      <c r="C187" s="64" t="s">
        <v>3519</v>
      </c>
      <c r="D187" s="47">
        <v>25</v>
      </c>
      <c r="E187" s="34">
        <v>2.7</v>
      </c>
    </row>
    <row r="188" spans="1:8" ht="14.25">
      <c r="A188" s="79" t="s">
        <v>3513</v>
      </c>
      <c r="B188" s="48"/>
      <c r="C188" s="48" t="s">
        <v>3520</v>
      </c>
      <c r="D188" s="30" t="s">
        <v>108</v>
      </c>
      <c r="E188" s="34">
        <v>75</v>
      </c>
    </row>
    <row r="189" spans="1:8" ht="14.25">
      <c r="A189" s="79" t="s">
        <v>3513</v>
      </c>
      <c r="B189" s="48" t="s">
        <v>3521</v>
      </c>
      <c r="C189" s="64" t="s">
        <v>58</v>
      </c>
      <c r="D189" s="47">
        <v>25</v>
      </c>
      <c r="E189" s="34">
        <v>2.95</v>
      </c>
    </row>
    <row r="190" spans="1:8" ht="14.25">
      <c r="A190" s="79" t="s">
        <v>3513</v>
      </c>
      <c r="B190" s="48" t="s">
        <v>3521</v>
      </c>
      <c r="C190" s="64" t="s">
        <v>3519</v>
      </c>
      <c r="D190" s="47">
        <v>25</v>
      </c>
      <c r="E190" s="34">
        <v>2.95</v>
      </c>
    </row>
    <row r="191" spans="1:8" ht="14.25">
      <c r="A191" s="79" t="s">
        <v>3513</v>
      </c>
      <c r="B191" s="48" t="s">
        <v>3522</v>
      </c>
      <c r="C191" s="64" t="s">
        <v>58</v>
      </c>
      <c r="D191" s="47">
        <v>25</v>
      </c>
      <c r="E191" s="34">
        <v>3.47</v>
      </c>
    </row>
    <row r="192" spans="1:8" ht="14.25">
      <c r="A192" s="79" t="s">
        <v>3513</v>
      </c>
      <c r="B192" s="48" t="s">
        <v>3522</v>
      </c>
      <c r="C192" s="64" t="s">
        <v>3516</v>
      </c>
      <c r="D192" s="47">
        <v>25</v>
      </c>
      <c r="E192" s="34">
        <v>3.47</v>
      </c>
    </row>
    <row r="193" spans="1:6" ht="14.25">
      <c r="A193" s="79" t="s">
        <v>3513</v>
      </c>
      <c r="B193" s="48"/>
      <c r="C193" s="48" t="s">
        <v>3523</v>
      </c>
      <c r="D193" s="30" t="s">
        <v>64</v>
      </c>
      <c r="E193" s="34">
        <v>115</v>
      </c>
    </row>
    <row r="194" spans="1:6" ht="14.25">
      <c r="A194" s="79" t="s">
        <v>3513</v>
      </c>
      <c r="B194" s="48" t="s">
        <v>3524</v>
      </c>
      <c r="C194" s="64" t="s">
        <v>58</v>
      </c>
      <c r="D194" s="47">
        <v>27.4</v>
      </c>
      <c r="E194" s="34">
        <v>5.5</v>
      </c>
    </row>
    <row r="195" spans="1:6" ht="14.25">
      <c r="A195" s="79" t="s">
        <v>3513</v>
      </c>
      <c r="B195" s="48" t="s">
        <v>3524</v>
      </c>
      <c r="C195" s="64" t="s">
        <v>120</v>
      </c>
      <c r="D195" s="47">
        <v>27.4</v>
      </c>
      <c r="E195" s="34">
        <v>5.5</v>
      </c>
    </row>
    <row r="196" spans="1:6" ht="14.25">
      <c r="A196" s="79" t="s">
        <v>3513</v>
      </c>
      <c r="B196" s="48"/>
      <c r="C196" s="48" t="s">
        <v>3525</v>
      </c>
      <c r="D196" s="30" t="s">
        <v>64</v>
      </c>
      <c r="E196" s="34">
        <v>100</v>
      </c>
    </row>
    <row r="197" spans="1:6" ht="14.25">
      <c r="A197" s="79" t="s">
        <v>3513</v>
      </c>
      <c r="B197" s="48" t="s">
        <v>3526</v>
      </c>
      <c r="C197" s="64" t="s">
        <v>58</v>
      </c>
      <c r="D197" s="47">
        <v>28</v>
      </c>
      <c r="E197" s="34">
        <v>2.19</v>
      </c>
    </row>
    <row r="198" spans="1:6" ht="14.25">
      <c r="A198" s="79" t="s">
        <v>3513</v>
      </c>
      <c r="B198" s="48" t="s">
        <v>3526</v>
      </c>
      <c r="C198" s="64" t="s">
        <v>120</v>
      </c>
      <c r="D198" s="47">
        <v>28</v>
      </c>
      <c r="E198" s="34">
        <v>2.19</v>
      </c>
    </row>
    <row r="199" spans="1:6" ht="14.25">
      <c r="A199" s="79" t="s">
        <v>3513</v>
      </c>
      <c r="B199" s="48"/>
      <c r="C199" s="48" t="s">
        <v>3527</v>
      </c>
      <c r="D199" s="30" t="s">
        <v>64</v>
      </c>
      <c r="E199" s="34">
        <v>100</v>
      </c>
    </row>
    <row r="200" spans="1:6" ht="14.25">
      <c r="A200" s="79" t="s">
        <v>3513</v>
      </c>
      <c r="B200" s="48" t="s">
        <v>308</v>
      </c>
      <c r="C200" s="64" t="s">
        <v>58</v>
      </c>
      <c r="D200" s="47">
        <v>28</v>
      </c>
      <c r="E200" s="34">
        <v>2.4500000000000002</v>
      </c>
    </row>
    <row r="201" spans="1:6" ht="14.25">
      <c r="A201" s="79" t="s">
        <v>3513</v>
      </c>
      <c r="B201" s="48" t="s">
        <v>308</v>
      </c>
      <c r="C201" s="64" t="s">
        <v>120</v>
      </c>
      <c r="D201" s="47">
        <v>28</v>
      </c>
      <c r="E201" s="34">
        <v>2.4500000000000002</v>
      </c>
    </row>
    <row r="202" spans="1:6" ht="14.25">
      <c r="A202" s="79" t="s">
        <v>3513</v>
      </c>
      <c r="B202" s="48"/>
      <c r="C202" s="48" t="s">
        <v>3528</v>
      </c>
      <c r="D202" s="30" t="s">
        <v>64</v>
      </c>
      <c r="E202" s="34">
        <v>100</v>
      </c>
    </row>
    <row r="204" spans="1:6" ht="15">
      <c r="A204" s="83" t="s">
        <v>3437</v>
      </c>
      <c r="B204" s="83" t="s">
        <v>35</v>
      </c>
      <c r="C204" s="84" t="s">
        <v>36</v>
      </c>
      <c r="D204" s="85" t="s">
        <v>3442</v>
      </c>
      <c r="E204" s="968" t="s">
        <v>3443</v>
      </c>
      <c r="F204" s="968" t="s">
        <v>116</v>
      </c>
    </row>
    <row r="205" spans="1:6" ht="14.25">
      <c r="A205" s="48" t="s">
        <v>3529</v>
      </c>
      <c r="B205" s="64">
        <v>30</v>
      </c>
      <c r="C205" s="64" t="s">
        <v>3530</v>
      </c>
      <c r="D205" s="30">
        <v>30</v>
      </c>
      <c r="E205" s="31">
        <v>126</v>
      </c>
      <c r="F205" s="47">
        <v>3780</v>
      </c>
    </row>
    <row r="206" spans="1:6" ht="14.25">
      <c r="A206" s="48" t="s">
        <v>3529</v>
      </c>
      <c r="B206" s="64">
        <v>9</v>
      </c>
      <c r="C206" s="64" t="s">
        <v>3530</v>
      </c>
      <c r="D206" s="30">
        <v>30</v>
      </c>
      <c r="E206" s="31">
        <v>7</v>
      </c>
      <c r="F206" s="47">
        <v>210</v>
      </c>
    </row>
    <row r="207" spans="1:6" ht="14.25">
      <c r="A207" s="48" t="s">
        <v>3529</v>
      </c>
      <c r="B207" s="64">
        <v>24</v>
      </c>
      <c r="C207" s="64" t="s">
        <v>3530</v>
      </c>
      <c r="D207" s="30">
        <v>30</v>
      </c>
      <c r="E207" s="31">
        <v>5</v>
      </c>
      <c r="F207" s="47">
        <v>150</v>
      </c>
    </row>
    <row r="208" spans="1:6" ht="14.25">
      <c r="A208" s="48" t="s">
        <v>3529</v>
      </c>
      <c r="B208" s="64">
        <v>30</v>
      </c>
      <c r="C208" s="64" t="s">
        <v>3531</v>
      </c>
      <c r="D208" s="30">
        <v>30</v>
      </c>
      <c r="E208" s="31">
        <v>83</v>
      </c>
      <c r="F208" s="47">
        <v>2490</v>
      </c>
    </row>
    <row r="209" spans="1:7" ht="14.25">
      <c r="A209" s="48" t="s">
        <v>3529</v>
      </c>
      <c r="B209" s="64">
        <v>9</v>
      </c>
      <c r="C209" s="64" t="s">
        <v>3531</v>
      </c>
      <c r="D209" s="30">
        <v>30</v>
      </c>
      <c r="E209" s="31">
        <v>5</v>
      </c>
      <c r="F209" s="47">
        <v>150</v>
      </c>
    </row>
    <row r="210" spans="1:7" ht="14.25">
      <c r="A210" s="48" t="s">
        <v>3529</v>
      </c>
      <c r="B210" s="64">
        <v>24</v>
      </c>
      <c r="C210" s="64" t="s">
        <v>3531</v>
      </c>
      <c r="D210" s="30">
        <v>30</v>
      </c>
      <c r="E210" s="31">
        <v>4</v>
      </c>
      <c r="F210" s="47">
        <v>120</v>
      </c>
    </row>
    <row r="213" spans="1:7" ht="15">
      <c r="A213" s="83" t="s">
        <v>3437</v>
      </c>
      <c r="B213" s="84" t="s">
        <v>36</v>
      </c>
      <c r="C213" s="84" t="s">
        <v>37</v>
      </c>
      <c r="D213" s="85" t="s">
        <v>3438</v>
      </c>
    </row>
    <row r="214" spans="1:7" ht="14.25">
      <c r="A214" s="48" t="s">
        <v>3532</v>
      </c>
      <c r="B214" s="64" t="s">
        <v>3533</v>
      </c>
      <c r="C214" s="47">
        <v>5</v>
      </c>
      <c r="D214" s="34"/>
    </row>
    <row r="215" spans="1:7" ht="14.25">
      <c r="A215" s="48" t="s">
        <v>3534</v>
      </c>
      <c r="B215" s="64" t="s">
        <v>3533</v>
      </c>
      <c r="C215" s="47">
        <v>5</v>
      </c>
      <c r="D215" s="34"/>
    </row>
    <row r="216" spans="1:7" ht="14.25">
      <c r="A216" s="48" t="s">
        <v>3535</v>
      </c>
      <c r="B216" s="64" t="s">
        <v>3533</v>
      </c>
      <c r="C216" s="47">
        <v>5</v>
      </c>
      <c r="D216" s="34">
        <v>3.32</v>
      </c>
    </row>
    <row r="217" spans="1:7" ht="14.25">
      <c r="A217" s="48" t="s">
        <v>3536</v>
      </c>
      <c r="B217" s="64" t="s">
        <v>3533</v>
      </c>
      <c r="C217" s="47">
        <v>5</v>
      </c>
      <c r="D217" s="34">
        <v>4.32</v>
      </c>
    </row>
    <row r="218" spans="1:7" ht="14.25">
      <c r="A218" s="54"/>
      <c r="B218" s="984" t="s">
        <v>3537</v>
      </c>
      <c r="C218" s="86" t="s">
        <v>64</v>
      </c>
      <c r="D218" s="34">
        <v>75</v>
      </c>
    </row>
    <row r="220" spans="1:7" ht="15">
      <c r="A220" s="976" t="s">
        <v>81</v>
      </c>
      <c r="B220" s="83" t="s">
        <v>3437</v>
      </c>
      <c r="C220" s="84" t="s">
        <v>36</v>
      </c>
      <c r="D220" s="84" t="s">
        <v>37</v>
      </c>
      <c r="E220" s="89" t="s">
        <v>129</v>
      </c>
    </row>
    <row r="221" spans="1:7" ht="14.25">
      <c r="A221" s="79" t="s">
        <v>3538</v>
      </c>
      <c r="B221" s="48" t="s">
        <v>3532</v>
      </c>
      <c r="C221" s="64" t="s">
        <v>3539</v>
      </c>
      <c r="D221" s="47">
        <v>150</v>
      </c>
      <c r="E221" s="983">
        <v>207</v>
      </c>
      <c r="F221" s="1">
        <v>127</v>
      </c>
      <c r="G221" s="26" t="s">
        <v>3540</v>
      </c>
    </row>
    <row r="222" spans="1:7" ht="14.25">
      <c r="A222" s="79" t="s">
        <v>3538</v>
      </c>
      <c r="B222" s="48" t="s">
        <v>3532</v>
      </c>
      <c r="C222" s="64" t="s">
        <v>3541</v>
      </c>
      <c r="D222" s="47">
        <v>150</v>
      </c>
      <c r="E222" s="983">
        <v>207</v>
      </c>
      <c r="F222" s="1">
        <v>127</v>
      </c>
      <c r="G222" s="26" t="s">
        <v>3540</v>
      </c>
    </row>
    <row r="223" spans="1:7" ht="14.25">
      <c r="A223" s="79" t="s">
        <v>3538</v>
      </c>
      <c r="B223" s="48" t="s">
        <v>3532</v>
      </c>
      <c r="C223" s="64" t="s">
        <v>3542</v>
      </c>
      <c r="D223" s="47">
        <v>50</v>
      </c>
      <c r="E223" s="983">
        <v>127</v>
      </c>
      <c r="F223" s="1">
        <v>127</v>
      </c>
      <c r="G223" s="26" t="s">
        <v>3540</v>
      </c>
    </row>
    <row r="224" spans="1:7" ht="14.25">
      <c r="A224" s="79" t="s">
        <v>3538</v>
      </c>
      <c r="B224" s="48" t="s">
        <v>3532</v>
      </c>
      <c r="C224" s="64" t="s">
        <v>3543</v>
      </c>
      <c r="D224" s="47">
        <v>50</v>
      </c>
      <c r="E224" s="983">
        <v>127</v>
      </c>
      <c r="F224" s="1">
        <v>127</v>
      </c>
      <c r="G224" s="26" t="s">
        <v>3540</v>
      </c>
    </row>
    <row r="225" spans="1:7" ht="14.25">
      <c r="A225" s="79" t="s">
        <v>3538</v>
      </c>
      <c r="B225" s="48" t="s">
        <v>3532</v>
      </c>
      <c r="C225" s="64" t="s">
        <v>3544</v>
      </c>
      <c r="D225" s="47">
        <v>150</v>
      </c>
      <c r="E225" s="983">
        <v>207</v>
      </c>
      <c r="F225" s="1">
        <v>127</v>
      </c>
      <c r="G225" s="26" t="s">
        <v>3540</v>
      </c>
    </row>
    <row r="226" spans="1:7" ht="14.25">
      <c r="A226" s="79" t="s">
        <v>3538</v>
      </c>
      <c r="B226" s="48" t="s">
        <v>3532</v>
      </c>
      <c r="C226" s="64" t="s">
        <v>3533</v>
      </c>
      <c r="D226" s="47">
        <v>100</v>
      </c>
      <c r="E226" s="983">
        <v>127</v>
      </c>
      <c r="F226" s="1">
        <v>127</v>
      </c>
      <c r="G226" s="26" t="s">
        <v>3540</v>
      </c>
    </row>
    <row r="227" spans="1:7" ht="14.25">
      <c r="A227" s="79" t="s">
        <v>3538</v>
      </c>
      <c r="B227" s="54"/>
      <c r="C227" s="985" t="s">
        <v>3545</v>
      </c>
      <c r="D227" s="86" t="s">
        <v>108</v>
      </c>
      <c r="E227" s="983">
        <v>8000</v>
      </c>
      <c r="F227" s="1">
        <v>8000</v>
      </c>
      <c r="G227" s="1"/>
    </row>
    <row r="228" spans="1:7" ht="14.25">
      <c r="A228" s="79" t="s">
        <v>3538</v>
      </c>
      <c r="B228" s="48" t="s">
        <v>3546</v>
      </c>
      <c r="C228" s="64" t="s">
        <v>3547</v>
      </c>
      <c r="D228" s="47">
        <v>150</v>
      </c>
      <c r="E228" s="983">
        <v>207</v>
      </c>
      <c r="F228" s="1">
        <v>127</v>
      </c>
      <c r="G228" s="26" t="s">
        <v>3540</v>
      </c>
    </row>
    <row r="229" spans="1:7" ht="14.25">
      <c r="A229" s="79" t="s">
        <v>3538</v>
      </c>
      <c r="B229" s="48" t="s">
        <v>3546</v>
      </c>
      <c r="C229" s="64" t="s">
        <v>3544</v>
      </c>
      <c r="D229" s="47">
        <v>150</v>
      </c>
      <c r="E229" s="983">
        <v>207</v>
      </c>
      <c r="F229" s="1">
        <v>127</v>
      </c>
      <c r="G229" s="26" t="s">
        <v>3540</v>
      </c>
    </row>
    <row r="230" spans="1:7" ht="14.25">
      <c r="A230" s="79" t="s">
        <v>3538</v>
      </c>
      <c r="B230" s="48" t="s">
        <v>3546</v>
      </c>
      <c r="C230" s="64" t="s">
        <v>3541</v>
      </c>
      <c r="D230" s="47">
        <v>150</v>
      </c>
      <c r="E230" s="983">
        <v>207</v>
      </c>
      <c r="F230" s="1">
        <v>127</v>
      </c>
      <c r="G230" s="26" t="s">
        <v>3540</v>
      </c>
    </row>
    <row r="231" spans="1:7" ht="14.25">
      <c r="A231" s="79" t="s">
        <v>3538</v>
      </c>
      <c r="B231" s="48" t="s">
        <v>3546</v>
      </c>
      <c r="C231" s="64" t="s">
        <v>3548</v>
      </c>
      <c r="D231" s="47">
        <v>50</v>
      </c>
      <c r="E231" s="983">
        <v>127</v>
      </c>
      <c r="F231" s="1">
        <v>127</v>
      </c>
      <c r="G231" s="26" t="s">
        <v>3540</v>
      </c>
    </row>
    <row r="232" spans="1:7" ht="14.25">
      <c r="A232" s="79" t="s">
        <v>3538</v>
      </c>
      <c r="B232" s="48" t="s">
        <v>3546</v>
      </c>
      <c r="C232" s="64" t="s">
        <v>3533</v>
      </c>
      <c r="D232" s="47">
        <v>100</v>
      </c>
      <c r="E232" s="983">
        <v>127</v>
      </c>
      <c r="F232" s="1">
        <v>127</v>
      </c>
      <c r="G232" s="26" t="s">
        <v>3540</v>
      </c>
    </row>
    <row r="233" spans="1:7" ht="14.25">
      <c r="A233" s="79" t="s">
        <v>3538</v>
      </c>
      <c r="B233" s="54"/>
      <c r="C233" s="985" t="s">
        <v>3549</v>
      </c>
      <c r="D233" s="86" t="s">
        <v>64</v>
      </c>
      <c r="E233" s="983">
        <v>8000</v>
      </c>
      <c r="F233" s="1">
        <v>8000</v>
      </c>
      <c r="G233" s="1"/>
    </row>
    <row r="234" spans="1:7" ht="14.25">
      <c r="A234" s="79" t="s">
        <v>3538</v>
      </c>
      <c r="B234" s="48" t="s">
        <v>3535</v>
      </c>
      <c r="C234" s="64" t="s">
        <v>3544</v>
      </c>
      <c r="D234" s="47">
        <v>150</v>
      </c>
      <c r="E234" s="983">
        <v>199</v>
      </c>
      <c r="F234" s="1">
        <v>119</v>
      </c>
      <c r="G234" s="26" t="s">
        <v>3540</v>
      </c>
    </row>
    <row r="235" spans="1:7" ht="14.25">
      <c r="A235" s="79" t="s">
        <v>3538</v>
      </c>
      <c r="B235" s="48" t="s">
        <v>3535</v>
      </c>
      <c r="C235" s="64" t="s">
        <v>3547</v>
      </c>
      <c r="D235" s="47">
        <v>150</v>
      </c>
      <c r="E235" s="983">
        <v>199</v>
      </c>
      <c r="F235" s="1">
        <v>119</v>
      </c>
      <c r="G235" s="26" t="s">
        <v>3540</v>
      </c>
    </row>
    <row r="236" spans="1:7" ht="14.25">
      <c r="A236" s="79" t="s">
        <v>3538</v>
      </c>
      <c r="B236" s="48" t="s">
        <v>3535</v>
      </c>
      <c r="C236" s="64" t="s">
        <v>3541</v>
      </c>
      <c r="D236" s="47">
        <v>150</v>
      </c>
      <c r="E236" s="983">
        <v>199</v>
      </c>
      <c r="F236" s="1">
        <v>119</v>
      </c>
      <c r="G236" s="26" t="s">
        <v>3540</v>
      </c>
    </row>
    <row r="237" spans="1:7" ht="14.25">
      <c r="A237" s="79" t="s">
        <v>3538</v>
      </c>
      <c r="B237" s="48" t="s">
        <v>3535</v>
      </c>
      <c r="C237" s="64" t="s">
        <v>3548</v>
      </c>
      <c r="D237" s="47">
        <v>50</v>
      </c>
      <c r="E237" s="983">
        <v>119</v>
      </c>
      <c r="F237" s="1">
        <v>119</v>
      </c>
      <c r="G237" s="26" t="s">
        <v>3540</v>
      </c>
    </row>
    <row r="238" spans="1:7" ht="14.25">
      <c r="A238" s="79" t="s">
        <v>3538</v>
      </c>
      <c r="B238" s="48" t="s">
        <v>3535</v>
      </c>
      <c r="C238" s="64" t="s">
        <v>3533</v>
      </c>
      <c r="D238" s="47">
        <v>100</v>
      </c>
      <c r="E238" s="983">
        <v>119</v>
      </c>
      <c r="F238" s="1">
        <v>119</v>
      </c>
      <c r="G238" s="26" t="s">
        <v>3540</v>
      </c>
    </row>
    <row r="239" spans="1:7" ht="14.25">
      <c r="A239" s="79" t="s">
        <v>3538</v>
      </c>
      <c r="B239" s="54"/>
      <c r="C239" s="985" t="s">
        <v>3549</v>
      </c>
      <c r="D239" s="86" t="s">
        <v>64</v>
      </c>
      <c r="E239" s="983">
        <v>8000</v>
      </c>
      <c r="F239" s="1">
        <v>8000</v>
      </c>
      <c r="G239" s="1"/>
    </row>
    <row r="240" spans="1:7" ht="14.25">
      <c r="A240" s="79" t="s">
        <v>3538</v>
      </c>
      <c r="B240" s="48" t="s">
        <v>3536</v>
      </c>
      <c r="C240" s="64" t="s">
        <v>3544</v>
      </c>
      <c r="D240" s="47">
        <v>150</v>
      </c>
      <c r="E240" s="983">
        <v>259</v>
      </c>
      <c r="F240" s="1">
        <v>189</v>
      </c>
      <c r="G240" s="26" t="s">
        <v>3550</v>
      </c>
    </row>
    <row r="241" spans="1:7" ht="14.25">
      <c r="A241" s="79" t="s">
        <v>3538</v>
      </c>
      <c r="B241" s="48" t="s">
        <v>3536</v>
      </c>
      <c r="C241" s="64" t="s">
        <v>3547</v>
      </c>
      <c r="D241" s="47">
        <v>150</v>
      </c>
      <c r="E241" s="983">
        <v>259</v>
      </c>
      <c r="F241" s="1">
        <v>189</v>
      </c>
      <c r="G241" s="26" t="s">
        <v>3550</v>
      </c>
    </row>
    <row r="242" spans="1:7" ht="14.25">
      <c r="A242" s="79" t="s">
        <v>3538</v>
      </c>
      <c r="B242" s="48" t="s">
        <v>3536</v>
      </c>
      <c r="C242" s="64" t="s">
        <v>3541</v>
      </c>
      <c r="D242" s="47">
        <v>150</v>
      </c>
      <c r="E242" s="983">
        <v>259</v>
      </c>
      <c r="F242" s="1">
        <v>189</v>
      </c>
      <c r="G242" s="26" t="s">
        <v>3550</v>
      </c>
    </row>
    <row r="243" spans="1:7" ht="14.25">
      <c r="A243" s="79" t="s">
        <v>3538</v>
      </c>
      <c r="B243" s="48" t="s">
        <v>3536</v>
      </c>
      <c r="C243" s="64" t="s">
        <v>3548</v>
      </c>
      <c r="D243" s="47">
        <v>50</v>
      </c>
      <c r="E243" s="983">
        <v>189</v>
      </c>
      <c r="F243" s="1">
        <v>189</v>
      </c>
      <c r="G243" s="26" t="s">
        <v>3550</v>
      </c>
    </row>
    <row r="244" spans="1:7" ht="14.25">
      <c r="A244" s="79" t="s">
        <v>3538</v>
      </c>
      <c r="B244" s="48" t="s">
        <v>3536</v>
      </c>
      <c r="C244" s="64" t="s">
        <v>3533</v>
      </c>
      <c r="D244" s="47">
        <v>100</v>
      </c>
      <c r="E244" s="983">
        <v>189</v>
      </c>
      <c r="F244" s="1">
        <v>189</v>
      </c>
      <c r="G244" s="26" t="s">
        <v>3550</v>
      </c>
    </row>
    <row r="245" spans="1:7" ht="14.25">
      <c r="A245" s="79" t="s">
        <v>3538</v>
      </c>
      <c r="B245" s="54"/>
      <c r="C245" s="985" t="s">
        <v>3549</v>
      </c>
      <c r="D245" s="86" t="s">
        <v>64</v>
      </c>
      <c r="E245" s="983">
        <v>7000</v>
      </c>
      <c r="F245" s="1">
        <v>8000</v>
      </c>
      <c r="G245" s="1"/>
    </row>
    <row r="247" spans="1:7" ht="15">
      <c r="A247" s="83" t="s">
        <v>3437</v>
      </c>
      <c r="B247" s="84" t="s">
        <v>36</v>
      </c>
      <c r="C247" s="84" t="s">
        <v>37</v>
      </c>
      <c r="D247" s="85" t="s">
        <v>3438</v>
      </c>
    </row>
    <row r="248" spans="1:7" ht="14.25">
      <c r="A248" s="48" t="s">
        <v>3532</v>
      </c>
      <c r="B248" s="64" t="s">
        <v>3539</v>
      </c>
      <c r="C248" s="47">
        <v>150</v>
      </c>
      <c r="D248" s="34">
        <v>3.45</v>
      </c>
    </row>
    <row r="249" spans="1:7" ht="14.25">
      <c r="A249" s="48" t="s">
        <v>3532</v>
      </c>
      <c r="B249" s="64" t="s">
        <v>3541</v>
      </c>
      <c r="C249" s="47">
        <v>150</v>
      </c>
      <c r="D249" s="34">
        <v>3.45</v>
      </c>
    </row>
    <row r="250" spans="1:7" ht="14.25">
      <c r="A250" s="48" t="s">
        <v>3532</v>
      </c>
      <c r="B250" s="64" t="s">
        <v>3542</v>
      </c>
      <c r="C250" s="47">
        <v>50</v>
      </c>
      <c r="D250" s="34">
        <v>3.45</v>
      </c>
    </row>
    <row r="251" spans="1:7" ht="14.25">
      <c r="A251" s="48" t="s">
        <v>3532</v>
      </c>
      <c r="B251" s="64" t="s">
        <v>3543</v>
      </c>
      <c r="C251" s="47">
        <v>50</v>
      </c>
      <c r="D251" s="34">
        <v>3.45</v>
      </c>
    </row>
    <row r="252" spans="1:7" ht="14.25">
      <c r="A252" s="48" t="s">
        <v>3532</v>
      </c>
      <c r="B252" s="64" t="s">
        <v>3544</v>
      </c>
      <c r="C252" s="47">
        <v>150</v>
      </c>
      <c r="D252" s="34">
        <v>3.45</v>
      </c>
    </row>
    <row r="253" spans="1:7" ht="14.25">
      <c r="A253" s="48" t="s">
        <v>3532</v>
      </c>
      <c r="B253" s="64" t="s">
        <v>3533</v>
      </c>
      <c r="C253" s="47">
        <v>100</v>
      </c>
      <c r="D253" s="34">
        <v>3.45</v>
      </c>
    </row>
    <row r="254" spans="1:7" ht="14.25">
      <c r="A254" s="54"/>
      <c r="B254" s="986" t="s">
        <v>3545</v>
      </c>
      <c r="C254" s="86" t="s">
        <v>108</v>
      </c>
      <c r="D254" s="34">
        <v>200</v>
      </c>
    </row>
    <row r="255" spans="1:7" ht="14.25">
      <c r="A255" s="48" t="s">
        <v>3546</v>
      </c>
      <c r="B255" s="64" t="s">
        <v>3547</v>
      </c>
      <c r="C255" s="47">
        <v>150</v>
      </c>
      <c r="D255" s="34">
        <v>3.45</v>
      </c>
    </row>
    <row r="256" spans="1:7" ht="14.25">
      <c r="A256" s="48" t="s">
        <v>3546</v>
      </c>
      <c r="B256" s="64" t="s">
        <v>3544</v>
      </c>
      <c r="C256" s="47">
        <v>150</v>
      </c>
      <c r="D256" s="34">
        <v>3.45</v>
      </c>
    </row>
    <row r="257" spans="1:4" ht="14.25">
      <c r="A257" s="48" t="s">
        <v>3546</v>
      </c>
      <c r="B257" s="64" t="s">
        <v>3541</v>
      </c>
      <c r="C257" s="47">
        <v>150</v>
      </c>
      <c r="D257" s="34">
        <v>3.45</v>
      </c>
    </row>
    <row r="258" spans="1:4" ht="14.25">
      <c r="A258" s="48" t="s">
        <v>3546</v>
      </c>
      <c r="B258" s="64" t="s">
        <v>3543</v>
      </c>
      <c r="C258" s="47">
        <v>50</v>
      </c>
      <c r="D258" s="34">
        <v>3.45</v>
      </c>
    </row>
    <row r="259" spans="1:4" ht="14.25">
      <c r="A259" s="48" t="s">
        <v>3546</v>
      </c>
      <c r="B259" s="64" t="s">
        <v>3533</v>
      </c>
      <c r="C259" s="47">
        <v>100</v>
      </c>
      <c r="D259" s="34">
        <v>3.45</v>
      </c>
    </row>
    <row r="260" spans="1:4" ht="14.25">
      <c r="A260" s="54"/>
      <c r="B260" s="986" t="s">
        <v>3551</v>
      </c>
      <c r="C260" s="86" t="s">
        <v>64</v>
      </c>
      <c r="D260" s="34">
        <v>100</v>
      </c>
    </row>
    <row r="261" spans="1:4" ht="14.25">
      <c r="A261" s="48" t="s">
        <v>3535</v>
      </c>
      <c r="B261" s="64" t="s">
        <v>3544</v>
      </c>
      <c r="C261" s="47">
        <v>150</v>
      </c>
      <c r="D261" s="34">
        <v>3.32</v>
      </c>
    </row>
    <row r="262" spans="1:4" ht="14.25">
      <c r="A262" s="48" t="s">
        <v>3535</v>
      </c>
      <c r="B262" s="64" t="s">
        <v>3547</v>
      </c>
      <c r="C262" s="47">
        <v>150</v>
      </c>
      <c r="D262" s="34">
        <v>3.32</v>
      </c>
    </row>
    <row r="263" spans="1:4" ht="14.25">
      <c r="A263" s="48" t="s">
        <v>3535</v>
      </c>
      <c r="B263" s="64" t="s">
        <v>3541</v>
      </c>
      <c r="C263" s="47">
        <v>150</v>
      </c>
      <c r="D263" s="34">
        <v>3.32</v>
      </c>
    </row>
    <row r="264" spans="1:4" ht="14.25">
      <c r="A264" s="48" t="s">
        <v>3535</v>
      </c>
      <c r="B264" s="64" t="s">
        <v>3543</v>
      </c>
      <c r="C264" s="47">
        <v>50</v>
      </c>
      <c r="D264" s="34">
        <v>3.32</v>
      </c>
    </row>
    <row r="265" spans="1:4" ht="14.25">
      <c r="A265" s="48" t="s">
        <v>3535</v>
      </c>
      <c r="B265" s="64" t="s">
        <v>3533</v>
      </c>
      <c r="C265" s="47">
        <v>100</v>
      </c>
      <c r="D265" s="34">
        <v>3.32</v>
      </c>
    </row>
    <row r="266" spans="1:4" ht="14.25">
      <c r="A266" s="54"/>
      <c r="B266" s="986" t="s">
        <v>3551</v>
      </c>
      <c r="C266" s="86" t="s">
        <v>64</v>
      </c>
      <c r="D266" s="34">
        <v>100</v>
      </c>
    </row>
    <row r="267" spans="1:4" ht="14.25">
      <c r="A267" s="48" t="s">
        <v>3536</v>
      </c>
      <c r="B267" s="64" t="s">
        <v>3544</v>
      </c>
      <c r="C267" s="47">
        <v>150</v>
      </c>
      <c r="D267" s="34">
        <v>4.32</v>
      </c>
    </row>
    <row r="268" spans="1:4" ht="14.25">
      <c r="A268" s="48" t="s">
        <v>3536</v>
      </c>
      <c r="B268" s="64" t="s">
        <v>3547</v>
      </c>
      <c r="C268" s="47">
        <v>150</v>
      </c>
      <c r="D268" s="34">
        <v>4.32</v>
      </c>
    </row>
    <row r="269" spans="1:4" ht="14.25">
      <c r="A269" s="48" t="s">
        <v>3536</v>
      </c>
      <c r="B269" s="64" t="s">
        <v>3541</v>
      </c>
      <c r="C269" s="47">
        <v>150</v>
      </c>
      <c r="D269" s="34">
        <v>4.32</v>
      </c>
    </row>
    <row r="270" spans="1:4" ht="14.25">
      <c r="A270" s="48" t="s">
        <v>3536</v>
      </c>
      <c r="B270" s="64" t="s">
        <v>3543</v>
      </c>
      <c r="C270" s="47">
        <v>50</v>
      </c>
      <c r="D270" s="34">
        <v>4.32</v>
      </c>
    </row>
    <row r="271" spans="1:4" ht="14.25">
      <c r="A271" s="48" t="s">
        <v>3536</v>
      </c>
      <c r="B271" s="64" t="s">
        <v>3533</v>
      </c>
      <c r="C271" s="47">
        <v>100</v>
      </c>
      <c r="D271" s="34">
        <v>4.32</v>
      </c>
    </row>
    <row r="272" spans="1:4" ht="14.25">
      <c r="A272" s="54"/>
      <c r="B272" s="986" t="s">
        <v>3551</v>
      </c>
      <c r="C272" s="86" t="s">
        <v>64</v>
      </c>
      <c r="D272" s="34">
        <v>100</v>
      </c>
    </row>
    <row r="275" spans="1:6" ht="15">
      <c r="A275" s="83" t="s">
        <v>3437</v>
      </c>
      <c r="B275" s="84" t="s">
        <v>36</v>
      </c>
      <c r="C275" s="85" t="s">
        <v>3442</v>
      </c>
      <c r="D275" s="968" t="s">
        <v>3443</v>
      </c>
      <c r="E275" s="968" t="s">
        <v>116</v>
      </c>
      <c r="F275" s="85" t="s">
        <v>3438</v>
      </c>
    </row>
    <row r="276" spans="1:6" ht="14.25">
      <c r="A276" s="48" t="s">
        <v>3494</v>
      </c>
      <c r="B276" s="64" t="s">
        <v>39</v>
      </c>
      <c r="C276" s="47">
        <v>13.7</v>
      </c>
      <c r="D276" s="57">
        <v>1</v>
      </c>
      <c r="E276" s="47">
        <v>13.7</v>
      </c>
      <c r="F276" s="34">
        <v>2.0699999999999998</v>
      </c>
    </row>
    <row r="277" spans="1:6" ht="14.25">
      <c r="A277" s="48" t="s">
        <v>3494</v>
      </c>
      <c r="B277" s="64" t="s">
        <v>3495</v>
      </c>
      <c r="C277" s="47">
        <v>13.7</v>
      </c>
      <c r="D277" s="57">
        <v>3</v>
      </c>
      <c r="E277" s="47">
        <v>41.099999999999994</v>
      </c>
      <c r="F277" s="34">
        <v>2.0699999999999998</v>
      </c>
    </row>
    <row r="278" spans="1:6" ht="14.25">
      <c r="A278" s="48"/>
      <c r="B278" s="64" t="s">
        <v>130</v>
      </c>
      <c r="C278" s="86" t="s">
        <v>108</v>
      </c>
      <c r="D278" s="57"/>
      <c r="E278" s="47"/>
      <c r="F278" s="34">
        <v>200</v>
      </c>
    </row>
    <row r="282" spans="1:6" ht="14.25">
      <c r="A282" s="75" t="s">
        <v>60</v>
      </c>
      <c r="B282" s="48" t="s">
        <v>3552</v>
      </c>
      <c r="C282" s="47">
        <v>10</v>
      </c>
    </row>
    <row r="283" spans="1:6" ht="14.25">
      <c r="A283" s="75" t="s">
        <v>60</v>
      </c>
      <c r="B283" s="48" t="s">
        <v>3553</v>
      </c>
      <c r="C283" s="47">
        <v>10</v>
      </c>
    </row>
    <row r="284" spans="1:6" ht="14.25">
      <c r="A284" s="75" t="s">
        <v>60</v>
      </c>
      <c r="B284" s="48" t="s">
        <v>3553</v>
      </c>
      <c r="C284" s="47">
        <v>10</v>
      </c>
    </row>
    <row r="285" spans="1:6" ht="14.25">
      <c r="A285" s="75" t="s">
        <v>60</v>
      </c>
      <c r="B285" s="48" t="s">
        <v>3554</v>
      </c>
      <c r="C285" s="47">
        <v>23</v>
      </c>
    </row>
    <row r="286" spans="1:6" ht="14.25">
      <c r="A286" s="75" t="s">
        <v>60</v>
      </c>
      <c r="B286" s="48" t="s">
        <v>3555</v>
      </c>
      <c r="C286" s="47">
        <v>50</v>
      </c>
    </row>
    <row r="287" spans="1:6" ht="14.25">
      <c r="A287" s="75"/>
      <c r="B287" s="48" t="s">
        <v>3556</v>
      </c>
      <c r="C287" s="30" t="s">
        <v>125</v>
      </c>
    </row>
    <row r="288" spans="1:6" ht="14.25">
      <c r="A288" s="48"/>
      <c r="B288" s="48" t="s">
        <v>14</v>
      </c>
      <c r="C288" s="30" t="s">
        <v>64</v>
      </c>
    </row>
    <row r="290" spans="1:8" ht="15">
      <c r="A290" s="83" t="s">
        <v>81</v>
      </c>
      <c r="B290" s="83" t="s">
        <v>3437</v>
      </c>
      <c r="C290" s="84" t="s">
        <v>36</v>
      </c>
      <c r="D290" s="84" t="s">
        <v>37</v>
      </c>
      <c r="E290" s="16" t="s">
        <v>3557</v>
      </c>
      <c r="F290" s="120"/>
      <c r="G290" s="7"/>
      <c r="H290" s="7"/>
    </row>
    <row r="291" spans="1:8" ht="15">
      <c r="A291" s="889" t="s">
        <v>3558</v>
      </c>
      <c r="B291" s="22" t="s">
        <v>3559</v>
      </c>
      <c r="C291" s="37" t="s">
        <v>58</v>
      </c>
      <c r="D291" s="60">
        <v>30</v>
      </c>
      <c r="E291" s="987">
        <v>43</v>
      </c>
      <c r="F291" s="7">
        <v>125</v>
      </c>
      <c r="G291" s="12" t="s">
        <v>3560</v>
      </c>
      <c r="H291" s="12" t="s">
        <v>3561</v>
      </c>
    </row>
    <row r="292" spans="1:8" ht="15">
      <c r="A292" s="889" t="s">
        <v>3558</v>
      </c>
      <c r="B292" s="22" t="s">
        <v>3559</v>
      </c>
      <c r="C292" s="138" t="s">
        <v>3562</v>
      </c>
      <c r="D292" s="60">
        <v>20</v>
      </c>
      <c r="E292" s="987">
        <v>43</v>
      </c>
      <c r="F292" s="7">
        <v>125</v>
      </c>
      <c r="G292" s="12" t="s">
        <v>3560</v>
      </c>
      <c r="H292" s="12" t="s">
        <v>3561</v>
      </c>
    </row>
    <row r="293" spans="1:8" ht="15">
      <c r="A293" s="889" t="s">
        <v>3558</v>
      </c>
      <c r="B293" s="22" t="s">
        <v>3559</v>
      </c>
      <c r="C293" s="213" t="s">
        <v>3563</v>
      </c>
      <c r="D293" s="60">
        <v>20</v>
      </c>
      <c r="E293" s="987">
        <v>43</v>
      </c>
      <c r="F293" s="7">
        <v>125</v>
      </c>
      <c r="G293" s="12" t="s">
        <v>3560</v>
      </c>
      <c r="H293" s="12" t="s">
        <v>3561</v>
      </c>
    </row>
    <row r="294" spans="1:8" ht="15">
      <c r="A294" s="889" t="s">
        <v>3558</v>
      </c>
      <c r="B294" s="22" t="s">
        <v>3564</v>
      </c>
      <c r="C294" s="37" t="s">
        <v>58</v>
      </c>
      <c r="D294" s="60">
        <v>30</v>
      </c>
      <c r="E294" s="987">
        <v>73</v>
      </c>
      <c r="F294" s="7">
        <v>165</v>
      </c>
      <c r="G294" s="12" t="s">
        <v>3565</v>
      </c>
      <c r="H294" s="12" t="s">
        <v>3566</v>
      </c>
    </row>
    <row r="295" spans="1:8" ht="15">
      <c r="A295" s="889" t="s">
        <v>3558</v>
      </c>
      <c r="B295" s="22" t="s">
        <v>3564</v>
      </c>
      <c r="C295" s="138" t="s">
        <v>3562</v>
      </c>
      <c r="D295" s="60">
        <v>20</v>
      </c>
      <c r="E295" s="987">
        <v>73</v>
      </c>
      <c r="F295" s="7">
        <v>165</v>
      </c>
      <c r="G295" s="12" t="s">
        <v>3565</v>
      </c>
      <c r="H295" s="12" t="s">
        <v>3566</v>
      </c>
    </row>
    <row r="296" spans="1:8" ht="15">
      <c r="A296" s="889" t="s">
        <v>3558</v>
      </c>
      <c r="B296" s="22" t="s">
        <v>3564</v>
      </c>
      <c r="C296" s="213" t="s">
        <v>3563</v>
      </c>
      <c r="D296" s="60">
        <v>20</v>
      </c>
      <c r="E296" s="987">
        <v>73</v>
      </c>
      <c r="F296" s="7">
        <v>165</v>
      </c>
      <c r="G296" s="12" t="s">
        <v>3565</v>
      </c>
      <c r="H296" s="12" t="s">
        <v>3566</v>
      </c>
    </row>
    <row r="297" spans="1:8" ht="15">
      <c r="A297" s="889" t="s">
        <v>3558</v>
      </c>
      <c r="B297" s="22" t="s">
        <v>3567</v>
      </c>
      <c r="C297" s="37" t="s">
        <v>58</v>
      </c>
      <c r="D297" s="60">
        <v>30</v>
      </c>
      <c r="E297" s="987">
        <v>132</v>
      </c>
      <c r="F297" s="7">
        <v>212</v>
      </c>
      <c r="G297" s="12" t="s">
        <v>3568</v>
      </c>
      <c r="H297" s="12" t="s">
        <v>71</v>
      </c>
    </row>
    <row r="298" spans="1:8" ht="15">
      <c r="A298" s="889" t="s">
        <v>3558</v>
      </c>
      <c r="B298" s="22" t="s">
        <v>3567</v>
      </c>
      <c r="C298" s="138" t="s">
        <v>3562</v>
      </c>
      <c r="D298" s="60">
        <v>20</v>
      </c>
      <c r="E298" s="987">
        <v>132</v>
      </c>
      <c r="F298" s="7">
        <v>212</v>
      </c>
      <c r="G298" s="12" t="s">
        <v>3568</v>
      </c>
      <c r="H298" s="12" t="s">
        <v>71</v>
      </c>
    </row>
    <row r="299" spans="1:8" ht="15">
      <c r="A299" s="889" t="s">
        <v>3558</v>
      </c>
      <c r="B299" s="22" t="s">
        <v>3567</v>
      </c>
      <c r="C299" s="213" t="s">
        <v>3563</v>
      </c>
      <c r="D299" s="60">
        <v>20</v>
      </c>
      <c r="E299" s="987">
        <v>132</v>
      </c>
      <c r="F299" s="7">
        <v>212</v>
      </c>
      <c r="G299" s="12" t="s">
        <v>3568</v>
      </c>
      <c r="H299" s="12" t="s">
        <v>71</v>
      </c>
    </row>
    <row r="300" spans="1:8" ht="15">
      <c r="A300" s="889" t="s">
        <v>3558</v>
      </c>
      <c r="B300" s="22" t="s">
        <v>3569</v>
      </c>
      <c r="C300" s="37" t="s">
        <v>58</v>
      </c>
      <c r="D300" s="60">
        <v>30</v>
      </c>
      <c r="E300" s="987">
        <v>32</v>
      </c>
      <c r="F300" s="7">
        <v>112</v>
      </c>
      <c r="G300" s="12" t="s">
        <v>3570</v>
      </c>
      <c r="H300" s="12" t="s">
        <v>3571</v>
      </c>
    </row>
    <row r="301" spans="1:8" ht="15">
      <c r="A301" s="889" t="s">
        <v>3558</v>
      </c>
      <c r="B301" s="22" t="s">
        <v>3569</v>
      </c>
      <c r="C301" s="129" t="s">
        <v>192</v>
      </c>
      <c r="D301" s="60">
        <v>30</v>
      </c>
      <c r="E301" s="987">
        <v>32</v>
      </c>
      <c r="F301" s="7">
        <v>112</v>
      </c>
      <c r="G301" s="12" t="s">
        <v>3570</v>
      </c>
      <c r="H301" s="12" t="s">
        <v>3571</v>
      </c>
    </row>
    <row r="302" spans="1:8" ht="15">
      <c r="A302" s="889" t="s">
        <v>3558</v>
      </c>
      <c r="B302" s="22" t="s">
        <v>3569</v>
      </c>
      <c r="C302" s="213" t="s">
        <v>3563</v>
      </c>
      <c r="D302" s="60">
        <v>30</v>
      </c>
      <c r="E302" s="987">
        <v>32</v>
      </c>
      <c r="F302" s="7">
        <v>112</v>
      </c>
      <c r="G302" s="12" t="s">
        <v>3570</v>
      </c>
      <c r="H302" s="12" t="s">
        <v>3571</v>
      </c>
    </row>
    <row r="303" spans="1:8" ht="15">
      <c r="A303" s="889" t="s">
        <v>3558</v>
      </c>
      <c r="B303" s="22" t="s">
        <v>3569</v>
      </c>
      <c r="C303" s="988" t="s">
        <v>3572</v>
      </c>
      <c r="D303" s="60">
        <v>15</v>
      </c>
      <c r="E303" s="987">
        <v>32</v>
      </c>
      <c r="F303" s="7">
        <v>112</v>
      </c>
      <c r="G303" s="12" t="s">
        <v>3570</v>
      </c>
      <c r="H303" s="12" t="s">
        <v>3571</v>
      </c>
    </row>
    <row r="304" spans="1:8" ht="15">
      <c r="A304" s="889" t="s">
        <v>3558</v>
      </c>
      <c r="B304" s="22" t="s">
        <v>3573</v>
      </c>
      <c r="C304" s="37" t="s">
        <v>58</v>
      </c>
      <c r="D304" s="60">
        <v>30</v>
      </c>
      <c r="E304" s="987">
        <v>87</v>
      </c>
      <c r="F304" s="7">
        <v>167</v>
      </c>
      <c r="G304" s="12" t="s">
        <v>3574</v>
      </c>
      <c r="H304" s="12" t="s">
        <v>71</v>
      </c>
    </row>
    <row r="305" spans="1:8" ht="15">
      <c r="A305" s="889" t="s">
        <v>3558</v>
      </c>
      <c r="B305" s="22" t="s">
        <v>3573</v>
      </c>
      <c r="C305" s="129" t="s">
        <v>192</v>
      </c>
      <c r="D305" s="60">
        <v>30</v>
      </c>
      <c r="E305" s="987">
        <v>87</v>
      </c>
      <c r="F305" s="7">
        <v>167</v>
      </c>
      <c r="G305" s="12" t="s">
        <v>3574</v>
      </c>
      <c r="H305" s="12" t="s">
        <v>71</v>
      </c>
    </row>
    <row r="306" spans="1:8" ht="15">
      <c r="A306" s="889" t="s">
        <v>3558</v>
      </c>
      <c r="B306" s="22" t="s">
        <v>3573</v>
      </c>
      <c r="C306" s="213" t="s">
        <v>3563</v>
      </c>
      <c r="D306" s="60">
        <v>30</v>
      </c>
      <c r="E306" s="987">
        <v>87</v>
      </c>
      <c r="F306" s="7">
        <v>167</v>
      </c>
      <c r="G306" s="12" t="s">
        <v>3574</v>
      </c>
      <c r="H306" s="12" t="s">
        <v>71</v>
      </c>
    </row>
    <row r="307" spans="1:8" ht="15">
      <c r="A307" s="889" t="s">
        <v>3558</v>
      </c>
      <c r="B307" s="22" t="s">
        <v>3573</v>
      </c>
      <c r="C307" s="988" t="s">
        <v>3572</v>
      </c>
      <c r="D307" s="60">
        <v>15</v>
      </c>
      <c r="E307" s="987">
        <v>87</v>
      </c>
      <c r="F307" s="7">
        <v>167</v>
      </c>
      <c r="G307" s="12" t="s">
        <v>3574</v>
      </c>
      <c r="H307" s="12" t="s">
        <v>71</v>
      </c>
    </row>
    <row r="308" spans="1:8" ht="15">
      <c r="A308" s="889" t="s">
        <v>3558</v>
      </c>
      <c r="B308" s="22" t="s">
        <v>3575</v>
      </c>
      <c r="C308" s="37" t="s">
        <v>58</v>
      </c>
      <c r="D308" s="60">
        <v>30</v>
      </c>
      <c r="E308" s="987">
        <v>36</v>
      </c>
      <c r="F308" s="7">
        <v>116</v>
      </c>
      <c r="G308" s="12" t="s">
        <v>3576</v>
      </c>
      <c r="H308" s="12" t="s">
        <v>71</v>
      </c>
    </row>
    <row r="309" spans="1:8" ht="15">
      <c r="A309" s="889" t="s">
        <v>3558</v>
      </c>
      <c r="B309" s="22" t="s">
        <v>3575</v>
      </c>
      <c r="C309" s="129" t="s">
        <v>192</v>
      </c>
      <c r="D309" s="60">
        <v>30</v>
      </c>
      <c r="E309" s="987">
        <v>36</v>
      </c>
      <c r="F309" s="7">
        <v>116</v>
      </c>
      <c r="G309" s="12" t="s">
        <v>3576</v>
      </c>
      <c r="H309" s="12" t="s">
        <v>71</v>
      </c>
    </row>
    <row r="310" spans="1:8" ht="15">
      <c r="A310" s="889" t="s">
        <v>3558</v>
      </c>
      <c r="B310" s="22" t="s">
        <v>3575</v>
      </c>
      <c r="C310" s="213" t="s">
        <v>3563</v>
      </c>
      <c r="D310" s="60">
        <v>30</v>
      </c>
      <c r="E310" s="987">
        <v>36</v>
      </c>
      <c r="F310" s="7">
        <v>116</v>
      </c>
      <c r="G310" s="12" t="s">
        <v>3576</v>
      </c>
      <c r="H310" s="12" t="s">
        <v>71</v>
      </c>
    </row>
    <row r="311" spans="1:8" ht="15">
      <c r="A311" s="889" t="s">
        <v>3558</v>
      </c>
      <c r="B311" s="22" t="s">
        <v>3575</v>
      </c>
      <c r="C311" s="988" t="s">
        <v>3572</v>
      </c>
      <c r="D311" s="60">
        <v>15</v>
      </c>
      <c r="E311" s="987">
        <v>36</v>
      </c>
      <c r="F311" s="7">
        <v>116</v>
      </c>
      <c r="G311" s="12" t="s">
        <v>3576</v>
      </c>
      <c r="H311" s="12" t="s">
        <v>71</v>
      </c>
    </row>
    <row r="312" spans="1:8" ht="15">
      <c r="A312" s="889" t="s">
        <v>3558</v>
      </c>
      <c r="B312" s="22" t="s">
        <v>3577</v>
      </c>
      <c r="C312" s="37" t="s">
        <v>58</v>
      </c>
      <c r="D312" s="60">
        <v>30</v>
      </c>
      <c r="E312" s="987">
        <v>42</v>
      </c>
      <c r="F312" s="7">
        <v>112</v>
      </c>
      <c r="G312" s="12" t="s">
        <v>3578</v>
      </c>
      <c r="H312" s="12" t="s">
        <v>189</v>
      </c>
    </row>
    <row r="313" spans="1:8" ht="15">
      <c r="A313" s="889" t="s">
        <v>3558</v>
      </c>
      <c r="B313" s="22" t="s">
        <v>3577</v>
      </c>
      <c r="C313" s="138" t="s">
        <v>3562</v>
      </c>
      <c r="D313" s="60">
        <v>30</v>
      </c>
      <c r="E313" s="987">
        <v>42</v>
      </c>
      <c r="F313" s="7">
        <v>112</v>
      </c>
      <c r="G313" s="12" t="s">
        <v>3578</v>
      </c>
      <c r="H313" s="12" t="s">
        <v>189</v>
      </c>
    </row>
    <row r="314" spans="1:8" ht="15">
      <c r="A314" s="889" t="s">
        <v>3558</v>
      </c>
      <c r="B314" s="22" t="s">
        <v>3577</v>
      </c>
      <c r="C314" s="989" t="s">
        <v>3579</v>
      </c>
      <c r="D314" s="60">
        <v>30</v>
      </c>
      <c r="E314" s="987">
        <v>42</v>
      </c>
      <c r="F314" s="7">
        <v>112</v>
      </c>
      <c r="G314" s="12" t="s">
        <v>3578</v>
      </c>
      <c r="H314" s="12" t="s">
        <v>189</v>
      </c>
    </row>
    <row r="315" spans="1:8" ht="15">
      <c r="A315" s="889" t="s">
        <v>3558</v>
      </c>
      <c r="B315" s="22" t="s">
        <v>3577</v>
      </c>
      <c r="C315" s="294" t="s">
        <v>3580</v>
      </c>
      <c r="D315" s="60">
        <v>20</v>
      </c>
      <c r="E315" s="987">
        <v>42</v>
      </c>
      <c r="F315" s="7">
        <v>112</v>
      </c>
      <c r="G315" s="12" t="s">
        <v>3578</v>
      </c>
      <c r="H315" s="12" t="s">
        <v>189</v>
      </c>
    </row>
    <row r="316" spans="1:8" ht="15">
      <c r="A316" s="889" t="s">
        <v>3558</v>
      </c>
      <c r="B316" s="22" t="s">
        <v>3577</v>
      </c>
      <c r="C316" s="990" t="s">
        <v>3581</v>
      </c>
      <c r="D316" s="60">
        <v>20</v>
      </c>
      <c r="E316" s="987">
        <v>42</v>
      </c>
      <c r="F316" s="7">
        <v>112</v>
      </c>
      <c r="G316" s="12" t="s">
        <v>3578</v>
      </c>
      <c r="H316" s="12" t="s">
        <v>189</v>
      </c>
    </row>
    <row r="317" spans="1:8" ht="15">
      <c r="A317" s="889" t="s">
        <v>3558</v>
      </c>
      <c r="B317" s="22" t="s">
        <v>3582</v>
      </c>
      <c r="C317" s="37" t="s">
        <v>58</v>
      </c>
      <c r="D317" s="60">
        <v>20</v>
      </c>
      <c r="E317" s="987">
        <v>135</v>
      </c>
      <c r="F317" s="7">
        <v>215</v>
      </c>
      <c r="G317" s="12" t="s">
        <v>3583</v>
      </c>
      <c r="H317" s="12" t="s">
        <v>71</v>
      </c>
    </row>
    <row r="318" spans="1:8" ht="15">
      <c r="A318" s="889" t="s">
        <v>3558</v>
      </c>
      <c r="B318" s="22" t="s">
        <v>3582</v>
      </c>
      <c r="C318" s="138" t="s">
        <v>3562</v>
      </c>
      <c r="D318" s="60">
        <v>20</v>
      </c>
      <c r="E318" s="987">
        <v>135</v>
      </c>
      <c r="F318" s="7">
        <v>215</v>
      </c>
      <c r="G318" s="12" t="s">
        <v>3583</v>
      </c>
      <c r="H318" s="12" t="s">
        <v>71</v>
      </c>
    </row>
    <row r="319" spans="1:8" ht="15">
      <c r="A319" s="889" t="s">
        <v>3558</v>
      </c>
      <c r="B319" s="22" t="s">
        <v>3582</v>
      </c>
      <c r="C319" s="989" t="s">
        <v>3579</v>
      </c>
      <c r="D319" s="60">
        <v>20</v>
      </c>
      <c r="E319" s="987">
        <v>135</v>
      </c>
      <c r="F319" s="7">
        <v>215</v>
      </c>
      <c r="G319" s="12" t="s">
        <v>3583</v>
      </c>
      <c r="H319" s="12" t="s">
        <v>71</v>
      </c>
    </row>
    <row r="320" spans="1:8" ht="15">
      <c r="A320" s="889" t="s">
        <v>3558</v>
      </c>
      <c r="B320" s="22" t="s">
        <v>3582</v>
      </c>
      <c r="C320" s="294" t="s">
        <v>3580</v>
      </c>
      <c r="D320" s="60">
        <v>20</v>
      </c>
      <c r="E320" s="987">
        <v>135</v>
      </c>
      <c r="F320" s="7">
        <v>215</v>
      </c>
      <c r="G320" s="12" t="s">
        <v>3583</v>
      </c>
      <c r="H320" s="12" t="s">
        <v>71</v>
      </c>
    </row>
    <row r="321" spans="1:8" ht="15">
      <c r="A321" s="889" t="s">
        <v>3558</v>
      </c>
      <c r="B321" s="22" t="s">
        <v>3582</v>
      </c>
      <c r="C321" s="990" t="s">
        <v>3581</v>
      </c>
      <c r="D321" s="60">
        <v>20</v>
      </c>
      <c r="E321" s="987">
        <v>135</v>
      </c>
      <c r="F321" s="7">
        <v>215</v>
      </c>
      <c r="G321" s="12" t="s">
        <v>3583</v>
      </c>
      <c r="H321" s="12" t="s">
        <v>71</v>
      </c>
    </row>
    <row r="322" spans="1:8" ht="15">
      <c r="A322" s="889" t="s">
        <v>3558</v>
      </c>
      <c r="B322" s="22" t="s">
        <v>3582</v>
      </c>
      <c r="C322" s="22" t="s">
        <v>3584</v>
      </c>
      <c r="D322" s="8" t="s">
        <v>64</v>
      </c>
      <c r="E322" s="987">
        <v>6000</v>
      </c>
      <c r="F322" s="21"/>
      <c r="G322" s="7">
        <v>6000</v>
      </c>
      <c r="H322" s="7"/>
    </row>
    <row r="323" spans="1:8" ht="15">
      <c r="A323" s="889" t="s">
        <v>3558</v>
      </c>
      <c r="B323" s="82"/>
      <c r="C323" s="22" t="s">
        <v>204</v>
      </c>
      <c r="D323" s="8" t="s">
        <v>3585</v>
      </c>
      <c r="E323" s="987" t="s">
        <v>3586</v>
      </c>
      <c r="F323" s="21"/>
      <c r="G323" s="7" t="s">
        <v>3587</v>
      </c>
      <c r="H323" s="7"/>
    </row>
    <row r="326" spans="1:8" ht="15.75">
      <c r="C326" s="1836" t="s">
        <v>173</v>
      </c>
      <c r="D326" s="1837"/>
    </row>
    <row r="327" spans="1:8" ht="15">
      <c r="C327" s="37" t="s">
        <v>58</v>
      </c>
      <c r="D327" s="60">
        <v>230</v>
      </c>
    </row>
    <row r="328" spans="1:8" ht="15">
      <c r="C328" s="138" t="s">
        <v>3562</v>
      </c>
      <c r="D328" s="60">
        <v>110</v>
      </c>
    </row>
    <row r="329" spans="1:8" ht="15">
      <c r="C329" s="213" t="s">
        <v>3563</v>
      </c>
      <c r="D329" s="60">
        <v>150</v>
      </c>
    </row>
    <row r="330" spans="1:8" ht="15">
      <c r="C330" s="129" t="s">
        <v>192</v>
      </c>
      <c r="D330" s="60">
        <v>90</v>
      </c>
    </row>
    <row r="331" spans="1:8" ht="15">
      <c r="C331" s="988" t="s">
        <v>3572</v>
      </c>
      <c r="D331" s="60">
        <v>45</v>
      </c>
    </row>
    <row r="332" spans="1:8" ht="15">
      <c r="C332" s="989" t="s">
        <v>3579</v>
      </c>
      <c r="D332" s="60">
        <v>50</v>
      </c>
    </row>
    <row r="333" spans="1:8" ht="15">
      <c r="C333" s="294" t="s">
        <v>3580</v>
      </c>
      <c r="D333" s="60">
        <v>40</v>
      </c>
    </row>
    <row r="334" spans="1:8" ht="15">
      <c r="C334" s="990" t="s">
        <v>3581</v>
      </c>
      <c r="D334" s="60">
        <v>40</v>
      </c>
    </row>
    <row r="337" spans="1:5" ht="15">
      <c r="A337" s="83" t="s">
        <v>3437</v>
      </c>
      <c r="B337" s="83" t="s">
        <v>35</v>
      </c>
      <c r="C337" s="84" t="s">
        <v>36</v>
      </c>
      <c r="D337" s="84" t="s">
        <v>37</v>
      </c>
      <c r="E337" s="84" t="s">
        <v>166</v>
      </c>
    </row>
    <row r="338" spans="1:5" ht="15">
      <c r="A338" s="22" t="s">
        <v>6</v>
      </c>
      <c r="B338" s="107">
        <v>160</v>
      </c>
      <c r="C338" s="22" t="s">
        <v>217</v>
      </c>
      <c r="D338" s="8">
        <v>50</v>
      </c>
      <c r="E338" s="8" t="s">
        <v>3588</v>
      </c>
    </row>
    <row r="339" spans="1:5" ht="15">
      <c r="A339" s="22" t="s">
        <v>6</v>
      </c>
      <c r="B339" s="107">
        <v>160</v>
      </c>
      <c r="C339" s="22" t="s">
        <v>3492</v>
      </c>
      <c r="D339" s="8">
        <v>50</v>
      </c>
      <c r="E339" s="8" t="s">
        <v>3588</v>
      </c>
    </row>
    <row r="340" spans="1:5" ht="15">
      <c r="A340" s="22" t="s">
        <v>6</v>
      </c>
      <c r="B340" s="107">
        <v>160</v>
      </c>
      <c r="C340" s="22" t="s">
        <v>3589</v>
      </c>
      <c r="D340" s="8">
        <v>50</v>
      </c>
      <c r="E340" s="8" t="s">
        <v>3590</v>
      </c>
    </row>
    <row r="341" spans="1:5" ht="15">
      <c r="A341" s="83" t="s">
        <v>3437</v>
      </c>
      <c r="B341" s="83" t="s">
        <v>35</v>
      </c>
      <c r="C341" s="84" t="s">
        <v>36</v>
      </c>
      <c r="D341" s="84" t="s">
        <v>37</v>
      </c>
      <c r="E341" s="84" t="s">
        <v>166</v>
      </c>
    </row>
    <row r="342" spans="1:5" ht="15">
      <c r="A342" s="22" t="s">
        <v>207</v>
      </c>
      <c r="B342" s="107">
        <v>152</v>
      </c>
      <c r="C342" s="22" t="s">
        <v>3591</v>
      </c>
      <c r="D342" s="108">
        <v>30</v>
      </c>
      <c r="E342" s="8" t="s">
        <v>3588</v>
      </c>
    </row>
    <row r="343" spans="1:5" ht="15">
      <c r="A343" s="22" t="s">
        <v>207</v>
      </c>
      <c r="B343" s="107">
        <v>152</v>
      </c>
      <c r="C343" s="22" t="s">
        <v>3592</v>
      </c>
      <c r="D343" s="108">
        <v>38</v>
      </c>
      <c r="E343" s="8" t="s">
        <v>3588</v>
      </c>
    </row>
    <row r="344" spans="1:5" ht="15">
      <c r="A344" s="22" t="s">
        <v>207</v>
      </c>
      <c r="B344" s="107">
        <v>152</v>
      </c>
      <c r="C344" s="22" t="s">
        <v>3593</v>
      </c>
      <c r="D344" s="108">
        <v>50</v>
      </c>
      <c r="E344" s="8" t="s">
        <v>3588</v>
      </c>
    </row>
    <row r="345" spans="1:5" ht="15">
      <c r="A345" s="22" t="s">
        <v>207</v>
      </c>
      <c r="B345" s="107">
        <v>152</v>
      </c>
      <c r="C345" s="22" t="s">
        <v>3594</v>
      </c>
      <c r="D345" s="108">
        <v>23</v>
      </c>
      <c r="E345" s="8" t="s">
        <v>3588</v>
      </c>
    </row>
    <row r="346" spans="1:5" ht="15">
      <c r="A346" s="22" t="s">
        <v>207</v>
      </c>
      <c r="B346" s="107">
        <v>152</v>
      </c>
      <c r="C346" s="22" t="s">
        <v>3594</v>
      </c>
      <c r="D346" s="108">
        <v>28</v>
      </c>
      <c r="E346" s="8" t="s">
        <v>3588</v>
      </c>
    </row>
    <row r="347" spans="1:5" ht="15">
      <c r="A347" s="22" t="s">
        <v>207</v>
      </c>
      <c r="B347" s="107">
        <v>152</v>
      </c>
      <c r="C347" s="22" t="s">
        <v>3594</v>
      </c>
      <c r="D347" s="108">
        <v>54</v>
      </c>
      <c r="E347" s="8" t="s">
        <v>3588</v>
      </c>
    </row>
    <row r="348" spans="1:5" ht="15">
      <c r="A348" s="22" t="s">
        <v>207</v>
      </c>
      <c r="B348" s="107">
        <v>152</v>
      </c>
      <c r="C348" s="22" t="s">
        <v>90</v>
      </c>
      <c r="D348" s="108">
        <v>50</v>
      </c>
      <c r="E348" s="8" t="s">
        <v>3588</v>
      </c>
    </row>
    <row r="349" spans="1:5" ht="15">
      <c r="A349" s="22" t="s">
        <v>207</v>
      </c>
      <c r="B349" s="107">
        <v>152</v>
      </c>
      <c r="C349" s="22" t="s">
        <v>3595</v>
      </c>
      <c r="D349" s="108">
        <v>50</v>
      </c>
      <c r="E349" s="8" t="s">
        <v>3588</v>
      </c>
    </row>
    <row r="353" spans="1:6" ht="15">
      <c r="A353" s="83" t="s">
        <v>214</v>
      </c>
      <c r="B353" s="83" t="s">
        <v>3437</v>
      </c>
      <c r="C353" s="84" t="s">
        <v>36</v>
      </c>
      <c r="D353" s="84" t="s">
        <v>37</v>
      </c>
      <c r="E353" s="109"/>
      <c r="F353" s="110" t="s">
        <v>5</v>
      </c>
    </row>
    <row r="354" spans="1:6" ht="15">
      <c r="A354" s="6" t="s">
        <v>3596</v>
      </c>
      <c r="B354" s="22" t="s">
        <v>6</v>
      </c>
      <c r="C354" s="22" t="s">
        <v>3597</v>
      </c>
      <c r="D354" s="108">
        <v>10</v>
      </c>
      <c r="E354" s="109"/>
      <c r="F354" s="39">
        <v>3.88</v>
      </c>
    </row>
    <row r="355" spans="1:6" ht="15">
      <c r="A355" s="6" t="s">
        <v>3596</v>
      </c>
      <c r="B355" s="22" t="s">
        <v>6</v>
      </c>
      <c r="C355" s="22" t="s">
        <v>3597</v>
      </c>
      <c r="D355" s="108">
        <v>10</v>
      </c>
      <c r="E355" s="109"/>
      <c r="F355" s="39">
        <v>3.88</v>
      </c>
    </row>
    <row r="356" spans="1:6" ht="15">
      <c r="A356" s="6" t="s">
        <v>3596</v>
      </c>
      <c r="B356" s="22" t="s">
        <v>6</v>
      </c>
      <c r="C356" s="22" t="s">
        <v>3597</v>
      </c>
      <c r="D356" s="108">
        <v>5</v>
      </c>
      <c r="E356" s="109"/>
      <c r="F356" s="39">
        <v>3.88</v>
      </c>
    </row>
    <row r="357" spans="1:6" ht="15">
      <c r="A357" s="6" t="s">
        <v>3596</v>
      </c>
      <c r="B357" s="22" t="s">
        <v>6</v>
      </c>
      <c r="C357" s="22" t="s">
        <v>3490</v>
      </c>
      <c r="D357" s="108">
        <v>29.4</v>
      </c>
      <c r="E357" s="991" t="s">
        <v>3598</v>
      </c>
      <c r="F357" s="39">
        <v>3.88</v>
      </c>
    </row>
    <row r="358" spans="1:6" ht="15">
      <c r="A358" s="6" t="s">
        <v>3596</v>
      </c>
      <c r="B358" s="22" t="s">
        <v>6</v>
      </c>
      <c r="C358" s="22" t="s">
        <v>3599</v>
      </c>
      <c r="D358" s="108">
        <v>10</v>
      </c>
      <c r="E358" s="109"/>
      <c r="F358" s="39">
        <v>3.88</v>
      </c>
    </row>
    <row r="359" spans="1:6" ht="15">
      <c r="A359" s="6" t="s">
        <v>3596</v>
      </c>
      <c r="B359" s="22" t="s">
        <v>6</v>
      </c>
      <c r="C359" s="22" t="s">
        <v>3599</v>
      </c>
      <c r="D359" s="108">
        <v>10</v>
      </c>
      <c r="E359" s="109"/>
      <c r="F359" s="39">
        <v>3.88</v>
      </c>
    </row>
    <row r="360" spans="1:6" ht="15">
      <c r="A360" s="6" t="s">
        <v>3600</v>
      </c>
      <c r="B360" s="22" t="s">
        <v>6</v>
      </c>
      <c r="C360" s="22" t="s">
        <v>3599</v>
      </c>
      <c r="D360" s="108">
        <v>5</v>
      </c>
      <c r="E360" s="109" t="s">
        <v>3601</v>
      </c>
      <c r="F360" s="39">
        <v>3.88</v>
      </c>
    </row>
    <row r="361" spans="1:6" ht="15">
      <c r="A361" s="6" t="s">
        <v>3596</v>
      </c>
      <c r="B361" s="22" t="s">
        <v>6</v>
      </c>
      <c r="C361" s="22" t="s">
        <v>3602</v>
      </c>
      <c r="D361" s="108">
        <v>10</v>
      </c>
      <c r="E361" s="109"/>
      <c r="F361" s="39">
        <v>3.88</v>
      </c>
    </row>
    <row r="362" spans="1:6" ht="15">
      <c r="A362" s="6" t="s">
        <v>3596</v>
      </c>
      <c r="B362" s="22" t="s">
        <v>6</v>
      </c>
      <c r="C362" s="22" t="s">
        <v>3602</v>
      </c>
      <c r="D362" s="108">
        <v>10</v>
      </c>
      <c r="E362" s="109"/>
      <c r="F362" s="39">
        <v>3.88</v>
      </c>
    </row>
    <row r="363" spans="1:6" ht="15">
      <c r="A363" s="6" t="s">
        <v>3596</v>
      </c>
      <c r="B363" s="22" t="s">
        <v>6</v>
      </c>
      <c r="C363" s="22" t="s">
        <v>3602</v>
      </c>
      <c r="D363" s="108">
        <v>5</v>
      </c>
      <c r="E363" s="109"/>
      <c r="F363" s="39">
        <v>3.88</v>
      </c>
    </row>
    <row r="364" spans="1:6" ht="15">
      <c r="A364" s="6" t="s">
        <v>3596</v>
      </c>
      <c r="B364" s="22" t="s">
        <v>6</v>
      </c>
      <c r="C364" s="22" t="s">
        <v>3603</v>
      </c>
      <c r="D364" s="108">
        <v>10</v>
      </c>
      <c r="E364" s="109"/>
      <c r="F364" s="39">
        <v>3.88</v>
      </c>
    </row>
    <row r="365" spans="1:6" ht="15">
      <c r="A365" s="6" t="s">
        <v>3596</v>
      </c>
      <c r="B365" s="22" t="s">
        <v>6</v>
      </c>
      <c r="C365" s="22" t="s">
        <v>3603</v>
      </c>
      <c r="D365" s="108">
        <v>10</v>
      </c>
      <c r="E365" s="109"/>
      <c r="F365" s="39">
        <v>3.88</v>
      </c>
    </row>
    <row r="366" spans="1:6" ht="15">
      <c r="A366" s="6" t="s">
        <v>3596</v>
      </c>
      <c r="B366" s="22" t="s">
        <v>6</v>
      </c>
      <c r="C366" s="22" t="s">
        <v>3603</v>
      </c>
      <c r="D366" s="108">
        <v>5</v>
      </c>
      <c r="E366" s="109"/>
      <c r="F366" s="39">
        <v>3.88</v>
      </c>
    </row>
    <row r="367" spans="1:6" ht="15">
      <c r="A367" s="6" t="s">
        <v>3596</v>
      </c>
      <c r="B367" s="22" t="s">
        <v>6</v>
      </c>
      <c r="C367" s="22" t="s">
        <v>3604</v>
      </c>
      <c r="D367" s="108">
        <v>25</v>
      </c>
      <c r="E367" s="991" t="s">
        <v>3598</v>
      </c>
      <c r="F367" s="39">
        <v>3.88</v>
      </c>
    </row>
    <row r="368" spans="1:6" ht="15">
      <c r="A368" s="6" t="s">
        <v>3596</v>
      </c>
      <c r="B368" s="22"/>
      <c r="C368" s="22" t="s">
        <v>57</v>
      </c>
      <c r="D368" s="8" t="s">
        <v>3605</v>
      </c>
      <c r="E368" s="35"/>
      <c r="F368" s="39">
        <v>12</v>
      </c>
    </row>
    <row r="371" spans="1:7" ht="15">
      <c r="A371" s="83" t="s">
        <v>214</v>
      </c>
      <c r="B371" s="83" t="s">
        <v>3437</v>
      </c>
      <c r="C371" s="84" t="s">
        <v>36</v>
      </c>
      <c r="D371" s="84" t="s">
        <v>37</v>
      </c>
      <c r="E371" s="320"/>
      <c r="F371" s="110" t="s">
        <v>5</v>
      </c>
    </row>
    <row r="372" spans="1:7" ht="15">
      <c r="A372" s="6" t="s">
        <v>3606</v>
      </c>
      <c r="B372" s="22" t="s">
        <v>7</v>
      </c>
      <c r="C372" s="22" t="s">
        <v>3607</v>
      </c>
      <c r="D372" s="108">
        <v>25</v>
      </c>
      <c r="E372" s="109"/>
      <c r="F372" s="39">
        <v>3.57</v>
      </c>
    </row>
    <row r="373" spans="1:7" ht="15">
      <c r="A373" s="6" t="s">
        <v>3606</v>
      </c>
      <c r="B373" s="22" t="s">
        <v>7</v>
      </c>
      <c r="C373" s="22" t="s">
        <v>3608</v>
      </c>
      <c r="D373" s="108">
        <v>50</v>
      </c>
      <c r="E373" s="109"/>
      <c r="F373" s="39">
        <v>3.57</v>
      </c>
    </row>
    <row r="374" spans="1:7" ht="15">
      <c r="A374" s="6" t="s">
        <v>3606</v>
      </c>
      <c r="B374" s="22" t="s">
        <v>7</v>
      </c>
      <c r="C374" s="22" t="s">
        <v>3329</v>
      </c>
      <c r="D374" s="108">
        <v>25</v>
      </c>
      <c r="E374" s="109"/>
      <c r="F374" s="39">
        <v>3.57</v>
      </c>
    </row>
    <row r="375" spans="1:7" ht="15">
      <c r="A375" s="6" t="s">
        <v>3606</v>
      </c>
      <c r="B375" s="22" t="s">
        <v>7</v>
      </c>
      <c r="C375" s="22" t="s">
        <v>3609</v>
      </c>
      <c r="D375" s="108">
        <v>25</v>
      </c>
      <c r="E375" s="109"/>
      <c r="F375" s="39">
        <v>3.57</v>
      </c>
    </row>
    <row r="376" spans="1:7" ht="15">
      <c r="A376" s="6" t="s">
        <v>3606</v>
      </c>
      <c r="B376" s="22" t="s">
        <v>7</v>
      </c>
      <c r="C376" s="22" t="s">
        <v>3610</v>
      </c>
      <c r="D376" s="108">
        <v>25</v>
      </c>
      <c r="E376" s="109"/>
      <c r="F376" s="39">
        <v>3.57</v>
      </c>
    </row>
    <row r="377" spans="1:7" ht="15">
      <c r="A377" s="6" t="s">
        <v>3606</v>
      </c>
      <c r="B377" s="22" t="s">
        <v>7</v>
      </c>
      <c r="C377" s="22" t="s">
        <v>3611</v>
      </c>
      <c r="D377" s="108">
        <v>10</v>
      </c>
      <c r="E377" s="109"/>
      <c r="F377" s="39">
        <v>3.57</v>
      </c>
    </row>
    <row r="378" spans="1:7" ht="15">
      <c r="A378" s="6" t="s">
        <v>3606</v>
      </c>
      <c r="B378" s="22" t="s">
        <v>7</v>
      </c>
      <c r="C378" s="22" t="s">
        <v>3612</v>
      </c>
      <c r="D378" s="108">
        <v>10</v>
      </c>
      <c r="E378" s="109"/>
      <c r="F378" s="39">
        <v>3.57</v>
      </c>
    </row>
    <row r="379" spans="1:7" ht="15">
      <c r="A379" s="6" t="s">
        <v>3606</v>
      </c>
      <c r="B379" s="22"/>
      <c r="C379" s="22" t="s">
        <v>57</v>
      </c>
      <c r="D379" s="126" t="s">
        <v>195</v>
      </c>
      <c r="E379" s="108"/>
      <c r="F379" s="39">
        <v>12</v>
      </c>
    </row>
    <row r="384" spans="1:7" ht="15">
      <c r="A384" s="83" t="s">
        <v>3437</v>
      </c>
      <c r="B384" s="83" t="s">
        <v>35</v>
      </c>
      <c r="C384" s="84" t="s">
        <v>36</v>
      </c>
      <c r="D384" s="85" t="s">
        <v>3442</v>
      </c>
      <c r="E384" s="968" t="s">
        <v>3443</v>
      </c>
      <c r="F384" s="85" t="s">
        <v>116</v>
      </c>
      <c r="G384" s="85" t="s">
        <v>3613</v>
      </c>
    </row>
    <row r="385" spans="1:8" ht="15">
      <c r="A385" s="22">
        <v>14552</v>
      </c>
      <c r="B385" s="37">
        <v>25</v>
      </c>
      <c r="C385" s="37" t="s">
        <v>176</v>
      </c>
      <c r="D385" s="108">
        <v>30</v>
      </c>
      <c r="E385" s="109">
        <v>5</v>
      </c>
      <c r="F385" s="8">
        <v>150</v>
      </c>
      <c r="G385" s="987">
        <v>48</v>
      </c>
    </row>
    <row r="386" spans="1:8" ht="15">
      <c r="A386" s="22">
        <v>14552</v>
      </c>
      <c r="B386" s="37">
        <v>25</v>
      </c>
      <c r="C386" s="37" t="s">
        <v>3614</v>
      </c>
      <c r="D386" s="108">
        <v>30</v>
      </c>
      <c r="E386" s="109">
        <v>4</v>
      </c>
      <c r="F386" s="8">
        <v>120</v>
      </c>
      <c r="G386" s="987">
        <v>48</v>
      </c>
    </row>
    <row r="387" spans="1:8" ht="15">
      <c r="A387" s="22">
        <v>14552</v>
      </c>
      <c r="B387" s="37">
        <v>10</v>
      </c>
      <c r="C387" s="37" t="s">
        <v>3615</v>
      </c>
      <c r="D387" s="108">
        <v>30</v>
      </c>
      <c r="E387" s="109">
        <v>107</v>
      </c>
      <c r="F387" s="8">
        <v>3210</v>
      </c>
      <c r="G387" s="987">
        <v>27</v>
      </c>
    </row>
    <row r="388" spans="1:8" ht="15">
      <c r="A388" s="22">
        <v>14552</v>
      </c>
      <c r="B388" s="37">
        <v>10</v>
      </c>
      <c r="C388" s="37" t="s">
        <v>12</v>
      </c>
      <c r="D388" s="108">
        <v>30</v>
      </c>
      <c r="E388" s="109">
        <v>191</v>
      </c>
      <c r="F388" s="8">
        <v>5730</v>
      </c>
      <c r="G388" s="987">
        <v>27</v>
      </c>
    </row>
    <row r="389" spans="1:8" ht="15">
      <c r="A389" s="22">
        <v>14552</v>
      </c>
      <c r="B389" s="37">
        <v>50</v>
      </c>
      <c r="C389" s="37" t="s">
        <v>3615</v>
      </c>
      <c r="D389" s="108">
        <v>30</v>
      </c>
      <c r="E389" s="109">
        <v>7</v>
      </c>
      <c r="F389" s="8">
        <v>210</v>
      </c>
      <c r="G389" s="987">
        <v>101</v>
      </c>
    </row>
    <row r="390" spans="1:8" ht="15">
      <c r="A390" s="22" t="s">
        <v>2248</v>
      </c>
      <c r="B390" s="37">
        <v>9</v>
      </c>
      <c r="C390" s="37" t="s">
        <v>3616</v>
      </c>
      <c r="D390" s="108">
        <v>30</v>
      </c>
      <c r="E390" s="109">
        <v>8</v>
      </c>
      <c r="F390" s="8">
        <v>240</v>
      </c>
      <c r="G390" s="987">
        <v>28</v>
      </c>
    </row>
    <row r="391" spans="1:8" ht="15">
      <c r="A391" s="22" t="s">
        <v>2248</v>
      </c>
      <c r="B391" s="37">
        <v>9</v>
      </c>
      <c r="C391" s="37" t="s">
        <v>3184</v>
      </c>
      <c r="D391" s="108">
        <v>30</v>
      </c>
      <c r="E391" s="109">
        <v>27</v>
      </c>
      <c r="F391" s="8">
        <v>810</v>
      </c>
      <c r="G391" s="987">
        <v>28</v>
      </c>
    </row>
    <row r="394" spans="1:8" ht="15.75">
      <c r="A394" s="83" t="s">
        <v>3437</v>
      </c>
      <c r="B394" s="83" t="s">
        <v>35</v>
      </c>
      <c r="C394" s="84" t="s">
        <v>36</v>
      </c>
      <c r="D394" s="85" t="s">
        <v>3442</v>
      </c>
      <c r="E394" s="968" t="s">
        <v>3443</v>
      </c>
      <c r="F394" s="85" t="s">
        <v>116</v>
      </c>
      <c r="G394" s="29" t="s">
        <v>5</v>
      </c>
    </row>
    <row r="395" spans="1:8" ht="15">
      <c r="A395" s="22">
        <v>3808</v>
      </c>
      <c r="B395" s="37">
        <v>9</v>
      </c>
      <c r="C395" s="22" t="s">
        <v>1952</v>
      </c>
      <c r="D395" s="8">
        <v>50</v>
      </c>
      <c r="E395" s="35">
        <v>2</v>
      </c>
      <c r="F395" s="108">
        <v>100</v>
      </c>
      <c r="G395" s="992">
        <v>15.6</v>
      </c>
    </row>
    <row r="396" spans="1:8" ht="15">
      <c r="A396" s="22">
        <v>3808</v>
      </c>
      <c r="B396" s="37">
        <v>9</v>
      </c>
      <c r="C396" s="22" t="s">
        <v>1954</v>
      </c>
      <c r="D396" s="8">
        <v>50</v>
      </c>
      <c r="E396" s="35">
        <v>1</v>
      </c>
      <c r="F396" s="108">
        <v>50</v>
      </c>
      <c r="G396" s="992">
        <v>15.6</v>
      </c>
    </row>
    <row r="400" spans="1:8" ht="15">
      <c r="A400" s="83" t="s">
        <v>3437</v>
      </c>
      <c r="B400" s="83" t="s">
        <v>35</v>
      </c>
      <c r="C400" s="84" t="s">
        <v>36</v>
      </c>
      <c r="D400" s="85" t="s">
        <v>3442</v>
      </c>
      <c r="E400" s="968" t="s">
        <v>3443</v>
      </c>
      <c r="F400" s="85" t="s">
        <v>116</v>
      </c>
      <c r="G400" s="85" t="s">
        <v>3613</v>
      </c>
      <c r="H400" s="84" t="s">
        <v>148</v>
      </c>
    </row>
    <row r="401" spans="1:8" ht="15.75">
      <c r="A401" s="22">
        <v>14552</v>
      </c>
      <c r="B401" s="37">
        <v>25</v>
      </c>
      <c r="C401" s="37" t="s">
        <v>176</v>
      </c>
      <c r="D401" s="108">
        <v>30</v>
      </c>
      <c r="E401" s="109">
        <v>5</v>
      </c>
      <c r="F401" s="8">
        <v>150</v>
      </c>
      <c r="G401" s="39">
        <v>1.03</v>
      </c>
      <c r="H401" s="993" t="s">
        <v>222</v>
      </c>
    </row>
    <row r="402" spans="1:8" ht="15.75">
      <c r="A402" s="22">
        <v>14552</v>
      </c>
      <c r="B402" s="37">
        <v>25</v>
      </c>
      <c r="C402" s="37" t="s">
        <v>3614</v>
      </c>
      <c r="D402" s="108">
        <v>30</v>
      </c>
      <c r="E402" s="109">
        <v>4</v>
      </c>
      <c r="F402" s="8">
        <v>120</v>
      </c>
      <c r="G402" s="39">
        <v>1.03</v>
      </c>
      <c r="H402" s="993" t="s">
        <v>3617</v>
      </c>
    </row>
    <row r="403" spans="1:8" ht="15.75">
      <c r="A403" s="22">
        <v>14552</v>
      </c>
      <c r="B403" s="37">
        <v>10</v>
      </c>
      <c r="C403" s="37" t="s">
        <v>3615</v>
      </c>
      <c r="D403" s="108">
        <v>30</v>
      </c>
      <c r="E403" s="109">
        <v>107</v>
      </c>
      <c r="F403" s="8">
        <v>3210</v>
      </c>
      <c r="G403" s="39">
        <v>0.68</v>
      </c>
      <c r="H403" s="993" t="s">
        <v>222</v>
      </c>
    </row>
    <row r="404" spans="1:8" ht="15.75">
      <c r="A404" s="22">
        <v>14552</v>
      </c>
      <c r="B404" s="37">
        <v>10</v>
      </c>
      <c r="C404" s="37" t="s">
        <v>12</v>
      </c>
      <c r="D404" s="108">
        <v>30</v>
      </c>
      <c r="E404" s="109">
        <v>191</v>
      </c>
      <c r="F404" s="8">
        <v>5730</v>
      </c>
      <c r="G404" s="39">
        <v>0.68</v>
      </c>
      <c r="H404" s="993" t="s">
        <v>3618</v>
      </c>
    </row>
    <row r="405" spans="1:8" ht="15.75">
      <c r="A405" s="22">
        <v>14552</v>
      </c>
      <c r="B405" s="37">
        <v>50</v>
      </c>
      <c r="C405" s="37" t="s">
        <v>3615</v>
      </c>
      <c r="D405" s="108">
        <v>30</v>
      </c>
      <c r="E405" s="109">
        <v>7</v>
      </c>
      <c r="F405" s="8">
        <v>210</v>
      </c>
      <c r="G405" s="39">
        <v>1.91</v>
      </c>
      <c r="H405" s="993" t="s">
        <v>222</v>
      </c>
    </row>
    <row r="406" spans="1:8" ht="15.75">
      <c r="A406" s="22" t="s">
        <v>2248</v>
      </c>
      <c r="B406" s="37">
        <v>9</v>
      </c>
      <c r="C406" s="37" t="s">
        <v>3616</v>
      </c>
      <c r="D406" s="108">
        <v>30</v>
      </c>
      <c r="E406" s="109">
        <v>8</v>
      </c>
      <c r="F406" s="8">
        <v>240</v>
      </c>
      <c r="G406" s="39">
        <v>0.74</v>
      </c>
      <c r="H406" s="993" t="s">
        <v>222</v>
      </c>
    </row>
    <row r="407" spans="1:8" ht="15.75">
      <c r="A407" s="22" t="s">
        <v>2248</v>
      </c>
      <c r="B407" s="37">
        <v>9</v>
      </c>
      <c r="C407" s="37" t="s">
        <v>3184</v>
      </c>
      <c r="D407" s="108">
        <v>30</v>
      </c>
      <c r="E407" s="109">
        <v>27</v>
      </c>
      <c r="F407" s="8">
        <v>810</v>
      </c>
      <c r="G407" s="39">
        <v>0.74</v>
      </c>
      <c r="H407" s="993" t="s">
        <v>222</v>
      </c>
    </row>
    <row r="408" spans="1:8" ht="15.75">
      <c r="A408" s="22">
        <v>3808</v>
      </c>
      <c r="B408" s="37">
        <v>9</v>
      </c>
      <c r="C408" s="22" t="s">
        <v>1952</v>
      </c>
      <c r="D408" s="8">
        <v>50</v>
      </c>
      <c r="E408" s="35">
        <v>2</v>
      </c>
      <c r="F408" s="108">
        <v>100</v>
      </c>
      <c r="G408" s="39">
        <v>0.46</v>
      </c>
      <c r="H408" s="993" t="s">
        <v>222</v>
      </c>
    </row>
    <row r="409" spans="1:8" ht="15.75">
      <c r="A409" s="22">
        <v>3808</v>
      </c>
      <c r="B409" s="37">
        <v>9</v>
      </c>
      <c r="C409" s="22" t="s">
        <v>1954</v>
      </c>
      <c r="D409" s="8">
        <v>50</v>
      </c>
      <c r="E409" s="35">
        <v>1</v>
      </c>
      <c r="F409" s="108">
        <v>50</v>
      </c>
      <c r="G409" s="39">
        <v>0.46</v>
      </c>
      <c r="H409" s="993" t="s">
        <v>222</v>
      </c>
    </row>
    <row r="412" spans="1:8" ht="15">
      <c r="A412" s="49" t="s">
        <v>3619</v>
      </c>
      <c r="B412" s="37" t="s">
        <v>58</v>
      </c>
      <c r="C412" s="108">
        <v>5</v>
      </c>
      <c r="D412" s="39">
        <v>2.09</v>
      </c>
    </row>
    <row r="413" spans="1:8" ht="15">
      <c r="A413" s="49" t="s">
        <v>199</v>
      </c>
      <c r="B413" s="37" t="s">
        <v>58</v>
      </c>
      <c r="C413" s="108">
        <v>5</v>
      </c>
      <c r="D413" s="39">
        <v>4.1399999999999997</v>
      </c>
    </row>
    <row r="414" spans="1:8" ht="15">
      <c r="A414" s="49" t="s">
        <v>3620</v>
      </c>
      <c r="B414" s="37" t="s">
        <v>58</v>
      </c>
      <c r="C414" s="108">
        <v>5</v>
      </c>
      <c r="D414" s="39">
        <v>3.44</v>
      </c>
    </row>
    <row r="416" spans="1:8" ht="15">
      <c r="A416" s="83" t="s">
        <v>3437</v>
      </c>
      <c r="B416" s="84" t="s">
        <v>36</v>
      </c>
      <c r="C416" s="968" t="s">
        <v>3443</v>
      </c>
      <c r="D416" s="85" t="s">
        <v>116</v>
      </c>
      <c r="E416" s="93" t="s">
        <v>201</v>
      </c>
    </row>
    <row r="417" spans="1:12" ht="15">
      <c r="A417" s="22" t="s">
        <v>2380</v>
      </c>
      <c r="B417" s="37" t="s">
        <v>58</v>
      </c>
      <c r="C417" s="109">
        <v>1</v>
      </c>
      <c r="D417" s="108">
        <v>13.7</v>
      </c>
      <c r="E417" s="987">
        <v>69</v>
      </c>
    </row>
    <row r="418" spans="1:12" ht="15">
      <c r="A418" s="22" t="s">
        <v>3481</v>
      </c>
      <c r="B418" s="37" t="s">
        <v>120</v>
      </c>
      <c r="C418" s="109">
        <v>1</v>
      </c>
      <c r="D418" s="108">
        <v>13.7</v>
      </c>
      <c r="E418" s="987">
        <v>106</v>
      </c>
    </row>
    <row r="419" spans="1:12" ht="15">
      <c r="A419" s="22" t="s">
        <v>3496</v>
      </c>
      <c r="B419" s="37" t="s">
        <v>126</v>
      </c>
      <c r="C419" s="109">
        <v>1</v>
      </c>
      <c r="D419" s="108">
        <v>13.7</v>
      </c>
      <c r="E419" s="987">
        <v>123</v>
      </c>
    </row>
    <row r="420" spans="1:12" ht="15">
      <c r="A420" s="22" t="s">
        <v>3147</v>
      </c>
      <c r="B420" s="37" t="s">
        <v>2784</v>
      </c>
      <c r="C420" s="109">
        <v>2</v>
      </c>
      <c r="D420" s="108">
        <v>27.4</v>
      </c>
      <c r="E420" s="987">
        <v>123</v>
      </c>
    </row>
    <row r="422" spans="1:12" ht="15.75">
      <c r="A422" s="83" t="s">
        <v>214</v>
      </c>
      <c r="B422" s="83" t="s">
        <v>3437</v>
      </c>
      <c r="C422" s="83" t="s">
        <v>35</v>
      </c>
      <c r="D422" s="84" t="s">
        <v>36</v>
      </c>
      <c r="E422" s="85" t="s">
        <v>3442</v>
      </c>
      <c r="F422" s="968" t="s">
        <v>3443</v>
      </c>
      <c r="G422" s="85" t="s">
        <v>116</v>
      </c>
      <c r="H422" s="85" t="s">
        <v>3438</v>
      </c>
      <c r="I422" s="110" t="s">
        <v>5</v>
      </c>
    </row>
    <row r="423" spans="1:12" ht="15">
      <c r="A423" s="6" t="s">
        <v>3621</v>
      </c>
      <c r="B423" s="22" t="s">
        <v>3622</v>
      </c>
      <c r="C423" s="37">
        <v>10</v>
      </c>
      <c r="D423" s="22" t="s">
        <v>120</v>
      </c>
      <c r="E423" s="108">
        <v>100</v>
      </c>
      <c r="F423" s="109">
        <v>3</v>
      </c>
      <c r="G423" s="60">
        <f>E423*F423</f>
        <v>300</v>
      </c>
      <c r="H423" s="39">
        <v>0.7</v>
      </c>
    </row>
    <row r="424" spans="1:12" ht="15">
      <c r="A424" s="6" t="s">
        <v>3621</v>
      </c>
      <c r="B424" s="82"/>
      <c r="C424" s="37"/>
      <c r="D424" s="22" t="s">
        <v>130</v>
      </c>
      <c r="E424" s="38" t="s">
        <v>64</v>
      </c>
      <c r="F424" s="35"/>
      <c r="G424" s="108"/>
      <c r="H424" s="39">
        <v>150</v>
      </c>
    </row>
    <row r="426" spans="1:12" ht="15">
      <c r="A426" s="83" t="s">
        <v>3437</v>
      </c>
      <c r="B426" s="84" t="s">
        <v>36</v>
      </c>
      <c r="C426" s="85" t="s">
        <v>116</v>
      </c>
      <c r="D426" s="93" t="s">
        <v>201</v>
      </c>
      <c r="E426" s="93" t="s">
        <v>3623</v>
      </c>
      <c r="F426" s="33"/>
      <c r="G426" s="139"/>
      <c r="H426" s="386"/>
      <c r="I426" s="34"/>
      <c r="J426" s="48"/>
      <c r="K426" s="1" t="s">
        <v>3624</v>
      </c>
      <c r="L426" s="1" t="s">
        <v>370</v>
      </c>
    </row>
    <row r="427" spans="1:12" ht="15">
      <c r="A427" s="48" t="s">
        <v>3625</v>
      </c>
      <c r="B427" s="48" t="s">
        <v>3626</v>
      </c>
      <c r="C427" s="47">
        <v>1180</v>
      </c>
      <c r="D427" s="987">
        <v>97</v>
      </c>
      <c r="E427" s="987"/>
      <c r="F427" s="33"/>
      <c r="G427" s="139"/>
      <c r="H427" s="4"/>
      <c r="I427" s="34">
        <v>2.36</v>
      </c>
      <c r="J427" s="994">
        <v>177</v>
      </c>
      <c r="K427" s="1">
        <v>97</v>
      </c>
      <c r="L427" t="s">
        <v>3627</v>
      </c>
    </row>
    <row r="428" spans="1:12" ht="15">
      <c r="A428" s="48" t="s">
        <v>3532</v>
      </c>
      <c r="B428" s="64" t="s">
        <v>3544</v>
      </c>
      <c r="C428" s="47">
        <v>100</v>
      </c>
      <c r="D428" s="987">
        <v>127</v>
      </c>
      <c r="E428" s="987">
        <v>80</v>
      </c>
      <c r="F428" s="33"/>
      <c r="G428" s="139"/>
      <c r="H428" s="330"/>
      <c r="I428" s="34">
        <v>2.76</v>
      </c>
      <c r="J428" s="1">
        <v>207</v>
      </c>
      <c r="K428" s="1">
        <v>127</v>
      </c>
      <c r="L428" s="26" t="s">
        <v>3540</v>
      </c>
    </row>
    <row r="429" spans="1:12" ht="15">
      <c r="A429" s="48" t="s">
        <v>3532</v>
      </c>
      <c r="B429" s="48" t="s">
        <v>3626</v>
      </c>
      <c r="C429" s="47">
        <v>2150</v>
      </c>
      <c r="D429" s="987">
        <v>127</v>
      </c>
      <c r="E429" s="987"/>
      <c r="F429" s="33"/>
      <c r="G429" s="139"/>
      <c r="H429" s="330"/>
      <c r="I429" s="34">
        <v>2.76</v>
      </c>
      <c r="J429" s="1">
        <v>207</v>
      </c>
      <c r="K429" s="1">
        <v>127</v>
      </c>
      <c r="L429" s="26" t="s">
        <v>3540</v>
      </c>
    </row>
    <row r="430" spans="1:12" ht="15">
      <c r="A430" s="48" t="s">
        <v>3536</v>
      </c>
      <c r="B430" s="64" t="s">
        <v>3544</v>
      </c>
      <c r="C430" s="47">
        <v>330</v>
      </c>
      <c r="D430" s="987">
        <v>189</v>
      </c>
      <c r="E430" s="987">
        <v>70</v>
      </c>
      <c r="F430" s="33"/>
      <c r="G430" s="139"/>
      <c r="H430" s="330"/>
      <c r="I430" s="34">
        <v>3.46</v>
      </c>
      <c r="J430" s="1">
        <v>259</v>
      </c>
      <c r="K430" s="1">
        <v>189</v>
      </c>
      <c r="L430" s="26" t="s">
        <v>3550</v>
      </c>
    </row>
    <row r="431" spans="1:12" ht="15">
      <c r="A431" s="48" t="s">
        <v>3535</v>
      </c>
      <c r="B431" s="48" t="s">
        <v>3626</v>
      </c>
      <c r="C431" s="47">
        <v>2460</v>
      </c>
      <c r="D431" s="987">
        <v>119</v>
      </c>
      <c r="E431" s="987"/>
      <c r="F431" s="33"/>
      <c r="G431" s="139"/>
      <c r="H431" s="330"/>
      <c r="I431" s="34">
        <v>2.66</v>
      </c>
      <c r="J431" s="1">
        <v>199</v>
      </c>
      <c r="K431" s="1">
        <v>119</v>
      </c>
      <c r="L431" s="26" t="s">
        <v>3540</v>
      </c>
    </row>
    <row r="432" spans="1:12" ht="15">
      <c r="A432" s="48" t="s">
        <v>3535</v>
      </c>
      <c r="B432" s="48" t="s">
        <v>3541</v>
      </c>
      <c r="C432" s="47">
        <v>350</v>
      </c>
      <c r="D432" s="987">
        <v>119</v>
      </c>
      <c r="E432" s="987">
        <v>80</v>
      </c>
      <c r="F432" s="33"/>
      <c r="G432" s="139"/>
      <c r="H432" s="330"/>
      <c r="I432" s="34">
        <v>2.66</v>
      </c>
      <c r="J432" s="1">
        <v>199</v>
      </c>
      <c r="K432" s="1">
        <v>119</v>
      </c>
      <c r="L432" s="26" t="s">
        <v>3540</v>
      </c>
    </row>
    <row r="435" spans="1:12" ht="15.75">
      <c r="A435" s="83" t="s">
        <v>3437</v>
      </c>
      <c r="B435" s="84" t="s">
        <v>36</v>
      </c>
      <c r="C435" s="85" t="s">
        <v>116</v>
      </c>
      <c r="D435" s="93" t="s">
        <v>201</v>
      </c>
      <c r="E435" s="111"/>
      <c r="F435" s="11"/>
      <c r="G435" s="144"/>
      <c r="H435" s="14"/>
      <c r="I435" s="39"/>
      <c r="J435" s="22"/>
      <c r="K435" s="7" t="s">
        <v>3624</v>
      </c>
      <c r="L435" s="7"/>
    </row>
    <row r="436" spans="1:12" ht="15.75">
      <c r="A436" s="22" t="s">
        <v>3628</v>
      </c>
      <c r="B436" s="22" t="s">
        <v>39</v>
      </c>
      <c r="C436" s="108">
        <v>5</v>
      </c>
      <c r="D436" s="987">
        <v>69</v>
      </c>
      <c r="E436" s="111"/>
      <c r="F436" s="11"/>
      <c r="G436" s="144"/>
      <c r="H436" s="39">
        <f>J436/0.75/100</f>
        <v>1.8533333333333335</v>
      </c>
      <c r="I436" s="39">
        <v>1.86</v>
      </c>
      <c r="J436" s="995">
        <v>139</v>
      </c>
      <c r="K436" s="7">
        <v>69</v>
      </c>
      <c r="L436" s="26" t="s">
        <v>3550</v>
      </c>
    </row>
    <row r="437" spans="1:12" ht="15.75">
      <c r="A437" s="22" t="s">
        <v>3629</v>
      </c>
      <c r="B437" s="22" t="s">
        <v>39</v>
      </c>
      <c r="C437" s="108">
        <v>5</v>
      </c>
      <c r="D437" s="987">
        <v>72</v>
      </c>
      <c r="E437" s="111"/>
      <c r="F437" s="11"/>
      <c r="G437" s="144"/>
      <c r="H437" s="39">
        <f>J437/0.75/100</f>
        <v>1.8933333333333335</v>
      </c>
      <c r="I437" s="39">
        <v>1.9</v>
      </c>
      <c r="J437" s="995">
        <v>142</v>
      </c>
      <c r="K437" s="7">
        <v>72</v>
      </c>
      <c r="L437" s="26" t="s">
        <v>3550</v>
      </c>
    </row>
    <row r="438" spans="1:12" ht="15.75">
      <c r="A438" s="22" t="s">
        <v>3630</v>
      </c>
      <c r="B438" s="22" t="s">
        <v>39</v>
      </c>
      <c r="C438" s="108">
        <v>5</v>
      </c>
      <c r="D438" s="987">
        <v>78</v>
      </c>
      <c r="E438" s="111"/>
      <c r="F438" s="11"/>
      <c r="G438" s="144"/>
      <c r="H438" s="39">
        <f>J438/0.75/100</f>
        <v>1.9733333333333334</v>
      </c>
      <c r="I438" s="39">
        <v>1.98</v>
      </c>
      <c r="J438" s="995">
        <v>148</v>
      </c>
      <c r="K438" s="7">
        <v>78</v>
      </c>
      <c r="L438" s="26" t="s">
        <v>3550</v>
      </c>
    </row>
    <row r="439" spans="1:12" ht="15.75">
      <c r="A439" s="22" t="s">
        <v>3631</v>
      </c>
      <c r="B439" s="22" t="s">
        <v>39</v>
      </c>
      <c r="C439" s="108">
        <v>5</v>
      </c>
      <c r="D439" s="987">
        <v>60</v>
      </c>
      <c r="E439" s="111"/>
      <c r="F439" s="11"/>
      <c r="G439" s="144"/>
      <c r="H439" s="39">
        <f>J439/0.75/100</f>
        <v>1.7333333333333334</v>
      </c>
      <c r="I439" s="39">
        <v>1.74</v>
      </c>
      <c r="J439" s="995">
        <v>130</v>
      </c>
      <c r="K439" s="7">
        <v>60</v>
      </c>
      <c r="L439" s="26" t="s">
        <v>3550</v>
      </c>
    </row>
    <row r="440" spans="1:12" ht="15.75">
      <c r="A440" s="22" t="s">
        <v>3632</v>
      </c>
      <c r="B440" s="22" t="s">
        <v>39</v>
      </c>
      <c r="C440" s="108">
        <v>5</v>
      </c>
      <c r="D440" s="987">
        <v>19</v>
      </c>
      <c r="E440" s="111"/>
      <c r="F440" s="11"/>
      <c r="G440" s="144"/>
      <c r="H440" s="39">
        <f>J440/0.75/100</f>
        <v>1.1866666666666668</v>
      </c>
      <c r="I440" s="39">
        <v>1.19</v>
      </c>
      <c r="J440" s="995">
        <v>89</v>
      </c>
      <c r="K440" s="7">
        <v>19</v>
      </c>
      <c r="L440" s="26" t="s">
        <v>3550</v>
      </c>
    </row>
    <row r="441" spans="1:12" ht="15.75">
      <c r="A441" s="22"/>
      <c r="B441" s="22" t="s">
        <v>3633</v>
      </c>
      <c r="C441" s="38" t="s">
        <v>3634</v>
      </c>
      <c r="D441" s="987">
        <v>3000</v>
      </c>
      <c r="E441" s="111"/>
      <c r="F441" s="11"/>
      <c r="G441" s="144"/>
      <c r="H441" s="6"/>
      <c r="I441" s="39"/>
      <c r="J441" s="7"/>
      <c r="K441" s="7">
        <v>3000</v>
      </c>
      <c r="L441" s="7"/>
    </row>
    <row r="442" spans="1:12" ht="15.75">
      <c r="A442" s="22" t="s">
        <v>3635</v>
      </c>
      <c r="B442" s="22" t="s">
        <v>58</v>
      </c>
      <c r="C442" s="108">
        <v>5</v>
      </c>
      <c r="D442" s="987">
        <v>44</v>
      </c>
      <c r="E442" s="32"/>
      <c r="F442" s="33"/>
      <c r="G442" s="139"/>
      <c r="H442" s="6"/>
      <c r="I442" s="39">
        <v>1.52</v>
      </c>
      <c r="J442" s="996">
        <v>114</v>
      </c>
      <c r="K442" s="7">
        <v>44</v>
      </c>
      <c r="L442" s="7">
        <v>70</v>
      </c>
    </row>
    <row r="443" spans="1:12" ht="15.75">
      <c r="A443" s="22" t="s">
        <v>3636</v>
      </c>
      <c r="B443" s="22" t="s">
        <v>126</v>
      </c>
      <c r="C443" s="108">
        <v>5</v>
      </c>
      <c r="D443" s="987">
        <v>268</v>
      </c>
      <c r="E443" s="32"/>
      <c r="F443" s="33"/>
      <c r="G443" s="139"/>
      <c r="H443" s="6"/>
      <c r="I443" s="39">
        <v>3.58</v>
      </c>
      <c r="J443" s="996"/>
      <c r="K443" s="7">
        <v>268</v>
      </c>
      <c r="L443" s="7"/>
    </row>
    <row r="444" spans="1:12" ht="15.75">
      <c r="A444" s="22" t="s">
        <v>3637</v>
      </c>
      <c r="B444" s="22" t="s">
        <v>126</v>
      </c>
      <c r="C444" s="108">
        <v>5</v>
      </c>
      <c r="D444" s="987">
        <v>120</v>
      </c>
      <c r="E444" s="32"/>
      <c r="F444" s="33"/>
      <c r="G444" s="139"/>
      <c r="H444" s="6"/>
      <c r="I444" s="39">
        <v>1.6</v>
      </c>
      <c r="J444" s="996"/>
      <c r="K444" s="7">
        <v>120</v>
      </c>
      <c r="L444" s="7"/>
    </row>
    <row r="445" spans="1:12" ht="15.75">
      <c r="A445" s="83" t="s">
        <v>3437</v>
      </c>
      <c r="B445" s="84" t="s">
        <v>36</v>
      </c>
      <c r="C445" s="85" t="s">
        <v>116</v>
      </c>
      <c r="D445" s="93" t="s">
        <v>201</v>
      </c>
      <c r="E445" s="111"/>
      <c r="F445" s="11"/>
      <c r="G445" s="144"/>
      <c r="H445" s="14"/>
      <c r="I445" s="39"/>
      <c r="J445" s="22"/>
      <c r="K445" s="7" t="s">
        <v>3624</v>
      </c>
      <c r="L445" s="7"/>
    </row>
    <row r="446" spans="1:12" ht="15.75">
      <c r="A446" s="22" t="s">
        <v>3636</v>
      </c>
      <c r="B446" s="22" t="s">
        <v>3148</v>
      </c>
      <c r="C446" s="108">
        <v>5</v>
      </c>
      <c r="D446" s="987">
        <v>268</v>
      </c>
      <c r="E446" s="32"/>
      <c r="F446" s="33"/>
      <c r="G446" s="139"/>
      <c r="H446" s="6"/>
      <c r="I446" s="39">
        <v>3.58</v>
      </c>
      <c r="J446" s="996"/>
      <c r="K446" s="7">
        <v>268</v>
      </c>
      <c r="L446" s="7"/>
    </row>
    <row r="447" spans="1:12" ht="15.75">
      <c r="A447" s="22" t="s">
        <v>3637</v>
      </c>
      <c r="B447" s="22" t="s">
        <v>3148</v>
      </c>
      <c r="C447" s="108">
        <v>5</v>
      </c>
      <c r="D447" s="987">
        <v>120</v>
      </c>
      <c r="E447" s="32"/>
      <c r="F447" s="33"/>
      <c r="G447" s="139"/>
      <c r="H447" s="6"/>
      <c r="I447" s="39">
        <v>1.6</v>
      </c>
      <c r="J447" s="996"/>
      <c r="K447" s="7">
        <v>120</v>
      </c>
      <c r="L447" s="7"/>
    </row>
    <row r="451" spans="1:8" ht="15">
      <c r="A451" s="83" t="s">
        <v>3437</v>
      </c>
      <c r="B451" s="84" t="s">
        <v>36</v>
      </c>
      <c r="C451" s="85" t="s">
        <v>116</v>
      </c>
      <c r="D451" s="93" t="s">
        <v>201</v>
      </c>
      <c r="E451" s="93" t="s">
        <v>3623</v>
      </c>
      <c r="F451" s="22"/>
      <c r="G451" s="7" t="s">
        <v>3624</v>
      </c>
      <c r="H451" s="7" t="s">
        <v>370</v>
      </c>
    </row>
    <row r="452" spans="1:8" ht="15.75">
      <c r="A452" s="22" t="s">
        <v>3635</v>
      </c>
      <c r="B452" s="22" t="s">
        <v>3541</v>
      </c>
      <c r="C452" s="108">
        <v>175</v>
      </c>
      <c r="D452" s="987">
        <v>44</v>
      </c>
      <c r="E452" s="987">
        <v>70</v>
      </c>
      <c r="F452" s="996">
        <v>114</v>
      </c>
      <c r="G452" s="7">
        <v>44</v>
      </c>
      <c r="H452" s="7">
        <v>70</v>
      </c>
    </row>
    <row r="453" spans="1:8" ht="15">
      <c r="A453" s="22" t="s">
        <v>3638</v>
      </c>
      <c r="B453" s="37" t="s">
        <v>3544</v>
      </c>
      <c r="C453" s="108">
        <v>100</v>
      </c>
      <c r="D453" s="987">
        <v>127</v>
      </c>
      <c r="E453" s="987">
        <v>80</v>
      </c>
      <c r="F453" s="7">
        <v>207</v>
      </c>
      <c r="G453" s="7">
        <v>127</v>
      </c>
      <c r="H453" s="12" t="s">
        <v>3540</v>
      </c>
    </row>
    <row r="454" spans="1:8" ht="15">
      <c r="A454" s="22" t="s">
        <v>3638</v>
      </c>
      <c r="B454" s="22" t="s">
        <v>3626</v>
      </c>
      <c r="C454" s="108">
        <v>1430</v>
      </c>
      <c r="D454" s="987">
        <v>127</v>
      </c>
      <c r="E454" s="987"/>
      <c r="F454" s="7">
        <v>207</v>
      </c>
      <c r="G454" s="7">
        <v>127</v>
      </c>
      <c r="H454" s="12" t="s">
        <v>3540</v>
      </c>
    </row>
    <row r="455" spans="1:8" ht="15">
      <c r="A455" s="22" t="s">
        <v>3638</v>
      </c>
      <c r="B455" s="22" t="s">
        <v>3541</v>
      </c>
      <c r="C455" s="108">
        <v>245</v>
      </c>
      <c r="D455" s="987">
        <v>127</v>
      </c>
      <c r="E455" s="987">
        <v>80</v>
      </c>
      <c r="F455" s="7">
        <v>207</v>
      </c>
      <c r="G455" s="7">
        <v>127</v>
      </c>
      <c r="H455" s="12" t="s">
        <v>3540</v>
      </c>
    </row>
    <row r="456" spans="1:8" ht="15">
      <c r="A456" s="22" t="s">
        <v>3536</v>
      </c>
      <c r="B456" s="37" t="s">
        <v>3544</v>
      </c>
      <c r="C456" s="108">
        <v>1890</v>
      </c>
      <c r="D456" s="987">
        <v>189</v>
      </c>
      <c r="E456" s="987">
        <v>70</v>
      </c>
      <c r="F456" s="7">
        <v>259</v>
      </c>
      <c r="G456" s="7">
        <v>189</v>
      </c>
      <c r="H456" s="12" t="s">
        <v>3550</v>
      </c>
    </row>
    <row r="457" spans="1:8" ht="15">
      <c r="A457" s="22" t="s">
        <v>3536</v>
      </c>
      <c r="B457" s="22" t="s">
        <v>3541</v>
      </c>
      <c r="C457" s="108">
        <v>245</v>
      </c>
      <c r="D457" s="987">
        <v>189</v>
      </c>
      <c r="E457" s="987">
        <v>70</v>
      </c>
      <c r="F457" s="7">
        <v>259</v>
      </c>
      <c r="G457" s="7">
        <v>189</v>
      </c>
      <c r="H457" s="12" t="s">
        <v>3550</v>
      </c>
    </row>
    <row r="458" spans="1:8" ht="15">
      <c r="A458" s="22" t="s">
        <v>3536</v>
      </c>
      <c r="B458" s="22" t="s">
        <v>3626</v>
      </c>
      <c r="C458" s="108">
        <v>1345</v>
      </c>
      <c r="D458" s="987">
        <v>189</v>
      </c>
      <c r="E458" s="987"/>
      <c r="F458" s="7">
        <v>259</v>
      </c>
      <c r="G458" s="7">
        <v>189</v>
      </c>
      <c r="H458" s="12" t="s">
        <v>3550</v>
      </c>
    </row>
    <row r="459" spans="1:8" ht="15">
      <c r="A459" s="22" t="s">
        <v>3535</v>
      </c>
      <c r="B459" s="22" t="s">
        <v>3626</v>
      </c>
      <c r="C459" s="108">
        <v>1430</v>
      </c>
      <c r="D459" s="987">
        <v>119</v>
      </c>
      <c r="E459" s="987"/>
      <c r="F459" s="7">
        <v>199</v>
      </c>
      <c r="G459" s="7">
        <v>119</v>
      </c>
      <c r="H459" s="12" t="s">
        <v>3540</v>
      </c>
    </row>
    <row r="460" spans="1:8" ht="15">
      <c r="A460" s="22" t="s">
        <v>3535</v>
      </c>
      <c r="B460" s="22" t="s">
        <v>3541</v>
      </c>
      <c r="C460" s="108">
        <v>350</v>
      </c>
      <c r="D460" s="987">
        <v>119</v>
      </c>
      <c r="E460" s="987">
        <v>80</v>
      </c>
      <c r="F460" s="7">
        <v>199</v>
      </c>
      <c r="G460" s="7">
        <v>119</v>
      </c>
      <c r="H460" s="12" t="s">
        <v>3540</v>
      </c>
    </row>
    <row r="461" spans="1:8" ht="15">
      <c r="A461" s="83" t="s">
        <v>3437</v>
      </c>
      <c r="B461" s="84" t="s">
        <v>36</v>
      </c>
      <c r="C461" s="85" t="s">
        <v>116</v>
      </c>
      <c r="D461" s="93" t="s">
        <v>201</v>
      </c>
      <c r="E461" s="93" t="s">
        <v>3623</v>
      </c>
    </row>
    <row r="462" spans="1:8" ht="15">
      <c r="A462" s="22" t="s">
        <v>3635</v>
      </c>
      <c r="B462" s="22" t="s">
        <v>3541</v>
      </c>
      <c r="C462" s="108">
        <v>5</v>
      </c>
      <c r="D462" s="987">
        <v>44</v>
      </c>
      <c r="E462" s="987">
        <v>70</v>
      </c>
    </row>
    <row r="463" spans="1:8" ht="15">
      <c r="A463" s="22" t="s">
        <v>3638</v>
      </c>
      <c r="B463" s="37" t="s">
        <v>3544</v>
      </c>
      <c r="C463" s="108">
        <v>5</v>
      </c>
      <c r="D463" s="987">
        <v>127</v>
      </c>
      <c r="E463" s="987">
        <v>80</v>
      </c>
    </row>
    <row r="464" spans="1:8" ht="15">
      <c r="A464" s="22" t="s">
        <v>3638</v>
      </c>
      <c r="B464" s="22" t="s">
        <v>3626</v>
      </c>
      <c r="C464" s="108">
        <v>5</v>
      </c>
      <c r="D464" s="987">
        <v>127</v>
      </c>
      <c r="E464" s="987"/>
    </row>
    <row r="465" spans="1:6" ht="15">
      <c r="A465" s="22" t="s">
        <v>3638</v>
      </c>
      <c r="B465" s="22" t="s">
        <v>3541</v>
      </c>
      <c r="C465" s="108">
        <v>5</v>
      </c>
      <c r="D465" s="987">
        <v>127</v>
      </c>
      <c r="E465" s="987">
        <v>80</v>
      </c>
    </row>
    <row r="466" spans="1:6" ht="15">
      <c r="A466" s="22" t="s">
        <v>3536</v>
      </c>
      <c r="B466" s="37" t="s">
        <v>3544</v>
      </c>
      <c r="C466" s="108">
        <v>5</v>
      </c>
      <c r="D466" s="987">
        <v>189</v>
      </c>
      <c r="E466" s="987">
        <v>70</v>
      </c>
    </row>
    <row r="467" spans="1:6" ht="15">
      <c r="A467" s="22" t="s">
        <v>3536</v>
      </c>
      <c r="B467" s="22" t="s">
        <v>3541</v>
      </c>
      <c r="C467" s="108">
        <v>5</v>
      </c>
      <c r="D467" s="987">
        <v>189</v>
      </c>
      <c r="E467" s="987">
        <v>70</v>
      </c>
    </row>
    <row r="468" spans="1:6" ht="15">
      <c r="A468" s="22" t="s">
        <v>3536</v>
      </c>
      <c r="B468" s="22" t="s">
        <v>3626</v>
      </c>
      <c r="C468" s="108">
        <v>5</v>
      </c>
      <c r="D468" s="987">
        <v>189</v>
      </c>
      <c r="E468" s="987"/>
    </row>
    <row r="469" spans="1:6" ht="15">
      <c r="A469" s="22" t="s">
        <v>3535</v>
      </c>
      <c r="B469" s="22" t="s">
        <v>3626</v>
      </c>
      <c r="C469" s="108">
        <v>5</v>
      </c>
      <c r="D469" s="987">
        <v>119</v>
      </c>
      <c r="E469" s="987"/>
    </row>
    <row r="470" spans="1:6" ht="15">
      <c r="A470" s="22" t="s">
        <v>3535</v>
      </c>
      <c r="B470" s="22" t="s">
        <v>3541</v>
      </c>
      <c r="C470" s="108">
        <v>5</v>
      </c>
      <c r="D470" s="987">
        <v>119</v>
      </c>
      <c r="E470" s="987">
        <v>80</v>
      </c>
    </row>
    <row r="473" spans="1:6" ht="15">
      <c r="A473" s="83" t="s">
        <v>3437</v>
      </c>
      <c r="B473" s="83" t="s">
        <v>35</v>
      </c>
      <c r="C473" s="84" t="s">
        <v>36</v>
      </c>
      <c r="D473" s="85" t="s">
        <v>116</v>
      </c>
      <c r="E473" s="93" t="s">
        <v>201</v>
      </c>
      <c r="F473" s="93" t="s">
        <v>3639</v>
      </c>
    </row>
    <row r="474" spans="1:6" ht="15">
      <c r="A474" s="22" t="s">
        <v>3640</v>
      </c>
      <c r="B474" s="15">
        <v>10</v>
      </c>
      <c r="C474" s="22" t="s">
        <v>3641</v>
      </c>
      <c r="D474" s="108">
        <v>200</v>
      </c>
      <c r="E474" s="987">
        <v>52</v>
      </c>
      <c r="F474" s="987">
        <v>22000</v>
      </c>
    </row>
    <row r="475" spans="1:6" ht="15">
      <c r="A475" s="22" t="s">
        <v>3640</v>
      </c>
      <c r="B475" s="15">
        <v>10</v>
      </c>
      <c r="C475" s="22" t="s">
        <v>3642</v>
      </c>
      <c r="D475" s="108">
        <v>200</v>
      </c>
      <c r="E475" s="987">
        <v>52</v>
      </c>
      <c r="F475" s="987">
        <v>22000</v>
      </c>
    </row>
    <row r="476" spans="1:6" ht="15">
      <c r="A476" s="22" t="s">
        <v>3439</v>
      </c>
      <c r="B476" s="15">
        <v>8</v>
      </c>
      <c r="C476" s="22" t="s">
        <v>3642</v>
      </c>
      <c r="D476" s="108">
        <v>200</v>
      </c>
      <c r="E476" s="992">
        <v>46.5</v>
      </c>
      <c r="F476" s="987">
        <v>11000</v>
      </c>
    </row>
    <row r="477" spans="1:6" ht="15">
      <c r="A477" s="22" t="s">
        <v>3439</v>
      </c>
      <c r="B477" s="15">
        <v>8</v>
      </c>
      <c r="C477" s="22" t="s">
        <v>3641</v>
      </c>
      <c r="D477" s="108">
        <v>200</v>
      </c>
      <c r="E477" s="992">
        <v>46.5</v>
      </c>
      <c r="F477" s="987">
        <v>11000</v>
      </c>
    </row>
    <row r="480" spans="1:6" ht="15">
      <c r="A480" s="83" t="s">
        <v>3437</v>
      </c>
      <c r="B480" s="84" t="s">
        <v>36</v>
      </c>
      <c r="C480" s="85" t="s">
        <v>3442</v>
      </c>
      <c r="D480" s="968" t="s">
        <v>3443</v>
      </c>
      <c r="E480" s="85" t="s">
        <v>116</v>
      </c>
    </row>
    <row r="481" spans="1:16" ht="15">
      <c r="A481" s="22" t="s">
        <v>2402</v>
      </c>
      <c r="B481" s="37" t="s">
        <v>58</v>
      </c>
      <c r="C481" s="108">
        <v>13.7</v>
      </c>
      <c r="D481" s="109">
        <v>7</v>
      </c>
      <c r="E481" s="108">
        <v>95.899999999999991</v>
      </c>
    </row>
    <row r="482" spans="1:16" ht="15">
      <c r="A482" s="22" t="s">
        <v>3643</v>
      </c>
      <c r="B482" s="37" t="s">
        <v>58</v>
      </c>
      <c r="C482" s="108">
        <v>13.7</v>
      </c>
      <c r="D482" s="109">
        <v>7</v>
      </c>
      <c r="E482" s="108">
        <v>95.899999999999991</v>
      </c>
    </row>
    <row r="483" spans="1:16" ht="15">
      <c r="A483" s="22" t="s">
        <v>3506</v>
      </c>
      <c r="B483" s="37" t="s">
        <v>58</v>
      </c>
      <c r="C483" s="108">
        <v>13.7</v>
      </c>
      <c r="D483" s="109">
        <v>2</v>
      </c>
      <c r="E483" s="108">
        <v>27.4</v>
      </c>
    </row>
    <row r="484" spans="1:16" ht="15">
      <c r="A484" s="22" t="s">
        <v>170</v>
      </c>
      <c r="B484" s="37" t="s">
        <v>58</v>
      </c>
      <c r="C484" s="108">
        <v>13.7</v>
      </c>
      <c r="D484" s="109">
        <v>2</v>
      </c>
      <c r="E484" s="108">
        <v>27.4</v>
      </c>
    </row>
    <row r="485" spans="1:16" ht="15">
      <c r="A485" s="22" t="s">
        <v>3505</v>
      </c>
      <c r="B485" s="37" t="s">
        <v>58</v>
      </c>
      <c r="C485" s="108">
        <v>13.7</v>
      </c>
      <c r="D485" s="109">
        <v>2</v>
      </c>
      <c r="E485" s="108">
        <v>27.4</v>
      </c>
    </row>
    <row r="486" spans="1:16" ht="15">
      <c r="A486" s="22" t="s">
        <v>3644</v>
      </c>
      <c r="B486" s="37" t="s">
        <v>58</v>
      </c>
      <c r="C486" s="108">
        <v>13.7</v>
      </c>
      <c r="D486" s="109">
        <v>2</v>
      </c>
      <c r="E486" s="108">
        <v>27.4</v>
      </c>
    </row>
    <row r="487" spans="1:16" ht="15">
      <c r="A487" s="22" t="s">
        <v>3645</v>
      </c>
      <c r="B487" s="37" t="s">
        <v>58</v>
      </c>
      <c r="C487" s="108">
        <v>13.7</v>
      </c>
      <c r="D487" s="109">
        <v>2</v>
      </c>
      <c r="E487" s="108">
        <v>27.4</v>
      </c>
    </row>
    <row r="488" spans="1:16" ht="15">
      <c r="A488" s="83" t="s">
        <v>3437</v>
      </c>
      <c r="B488" s="84" t="s">
        <v>36</v>
      </c>
      <c r="C488" s="85" t="s">
        <v>3442</v>
      </c>
      <c r="D488" s="968" t="s">
        <v>3443</v>
      </c>
      <c r="E488" s="85" t="s">
        <v>116</v>
      </c>
      <c r="F488" s="93" t="s">
        <v>201</v>
      </c>
    </row>
    <row r="489" spans="1:16" ht="15">
      <c r="A489" s="22" t="s">
        <v>3503</v>
      </c>
      <c r="B489" s="37" t="s">
        <v>58</v>
      </c>
      <c r="C489" s="108">
        <v>13.7</v>
      </c>
      <c r="D489" s="109">
        <v>2</v>
      </c>
      <c r="E489" s="108">
        <v>27.4</v>
      </c>
      <c r="F489" s="987">
        <v>510</v>
      </c>
    </row>
    <row r="490" spans="1:16" ht="15">
      <c r="A490" s="22" t="s">
        <v>3646</v>
      </c>
      <c r="B490" s="37" t="s">
        <v>58</v>
      </c>
      <c r="C490" s="108">
        <v>13.7</v>
      </c>
      <c r="D490" s="109">
        <v>2</v>
      </c>
      <c r="E490" s="108">
        <v>27.4</v>
      </c>
      <c r="F490" s="987">
        <v>195</v>
      </c>
    </row>
    <row r="491" spans="1:16" ht="18" customHeight="1"/>
    <row r="492" spans="1:16" ht="15">
      <c r="A492" s="48" t="s">
        <v>63</v>
      </c>
      <c r="B492" s="84" t="s">
        <v>36</v>
      </c>
      <c r="C492" s="85" t="s">
        <v>3442</v>
      </c>
      <c r="D492" s="968" t="s">
        <v>3443</v>
      </c>
      <c r="E492" s="85" t="s">
        <v>116</v>
      </c>
      <c r="F492" s="63" t="s">
        <v>5</v>
      </c>
      <c r="G492" s="32"/>
      <c r="H492" s="33"/>
      <c r="I492" s="33"/>
      <c r="J492" s="4"/>
      <c r="K492" s="977"/>
      <c r="L492" s="997"/>
      <c r="M492" s="1"/>
      <c r="N492" s="1"/>
      <c r="O492" s="1"/>
      <c r="P492" s="1"/>
    </row>
    <row r="493" spans="1:16" ht="15">
      <c r="A493" s="22" t="s">
        <v>2402</v>
      </c>
      <c r="B493" s="37" t="s">
        <v>58</v>
      </c>
      <c r="C493" s="108">
        <v>13.7</v>
      </c>
      <c r="D493" s="109">
        <v>7</v>
      </c>
      <c r="E493" s="108">
        <v>95.899999999999991</v>
      </c>
      <c r="F493" s="39">
        <v>6.7</v>
      </c>
      <c r="G493" s="32"/>
      <c r="H493" s="33"/>
      <c r="I493" s="139"/>
      <c r="J493" s="39"/>
      <c r="K493" s="39">
        <v>5.36</v>
      </c>
      <c r="L493" s="7"/>
      <c r="M493" s="7">
        <v>402</v>
      </c>
      <c r="N493" s="12"/>
      <c r="O493" s="7"/>
      <c r="P493" s="7"/>
    </row>
    <row r="494" spans="1:16" ht="15">
      <c r="A494" s="22" t="s">
        <v>3643</v>
      </c>
      <c r="B494" s="37" t="s">
        <v>58</v>
      </c>
      <c r="C494" s="108">
        <v>13.7</v>
      </c>
      <c r="D494" s="109">
        <v>7</v>
      </c>
      <c r="E494" s="108">
        <v>95.899999999999991</v>
      </c>
      <c r="F494" s="39">
        <v>3.52</v>
      </c>
      <c r="G494" s="32"/>
      <c r="H494" s="33"/>
      <c r="I494" s="139"/>
      <c r="J494" s="39"/>
      <c r="K494" s="39">
        <v>2.82</v>
      </c>
      <c r="L494" s="7"/>
      <c r="M494" s="7">
        <v>211</v>
      </c>
      <c r="N494" s="12"/>
      <c r="O494" s="7"/>
      <c r="P494" s="7"/>
    </row>
    <row r="495" spans="1:16" ht="15">
      <c r="A495" s="22" t="s">
        <v>3506</v>
      </c>
      <c r="B495" s="37" t="s">
        <v>58</v>
      </c>
      <c r="C495" s="108">
        <v>13.7</v>
      </c>
      <c r="D495" s="109">
        <v>2</v>
      </c>
      <c r="E495" s="108">
        <v>27.4</v>
      </c>
      <c r="F495" s="39">
        <v>1.69</v>
      </c>
      <c r="G495" s="32"/>
      <c r="H495" s="33"/>
      <c r="I495" s="139"/>
      <c r="J495" s="39"/>
      <c r="K495" s="39">
        <v>1.35</v>
      </c>
      <c r="L495" s="7"/>
      <c r="M495" s="7">
        <v>101</v>
      </c>
      <c r="N495" s="12"/>
      <c r="O495" s="7"/>
      <c r="P495" s="7"/>
    </row>
    <row r="496" spans="1:16" ht="15">
      <c r="A496" s="22" t="s">
        <v>170</v>
      </c>
      <c r="B496" s="37" t="s">
        <v>58</v>
      </c>
      <c r="C496" s="108">
        <v>13.7</v>
      </c>
      <c r="D496" s="109">
        <v>2</v>
      </c>
      <c r="E496" s="108">
        <v>27.4</v>
      </c>
      <c r="F496" s="39">
        <v>4.04</v>
      </c>
      <c r="G496" s="32"/>
      <c r="H496" s="33"/>
      <c r="I496" s="139"/>
      <c r="J496" s="39"/>
      <c r="K496" s="39">
        <v>3.23</v>
      </c>
      <c r="L496" s="7"/>
      <c r="M496" s="7">
        <v>242</v>
      </c>
      <c r="N496" s="12"/>
      <c r="O496" s="7"/>
      <c r="P496" s="7"/>
    </row>
    <row r="497" spans="1:17" ht="15">
      <c r="A497" s="22" t="s">
        <v>3505</v>
      </c>
      <c r="B497" s="37" t="s">
        <v>58</v>
      </c>
      <c r="C497" s="108">
        <v>13.7</v>
      </c>
      <c r="D497" s="109">
        <v>2</v>
      </c>
      <c r="E497" s="108">
        <v>27.4</v>
      </c>
      <c r="F497" s="39">
        <v>2.74</v>
      </c>
      <c r="G497" s="32"/>
      <c r="H497" s="33"/>
      <c r="I497" s="139"/>
      <c r="J497" s="39"/>
      <c r="K497" s="39">
        <v>2.19</v>
      </c>
      <c r="L497" s="7"/>
      <c r="M497" s="7">
        <v>164</v>
      </c>
      <c r="N497" s="12"/>
      <c r="O497" s="7"/>
      <c r="P497" s="7"/>
    </row>
    <row r="498" spans="1:17" ht="15">
      <c r="A498" s="22" t="s">
        <v>3644</v>
      </c>
      <c r="B498" s="37" t="s">
        <v>58</v>
      </c>
      <c r="C498" s="108">
        <v>13.7</v>
      </c>
      <c r="D498" s="109">
        <v>2</v>
      </c>
      <c r="E498" s="108">
        <v>27.4</v>
      </c>
      <c r="F498" s="39">
        <v>2.37</v>
      </c>
      <c r="G498" s="32"/>
      <c r="H498" s="33"/>
      <c r="I498" s="139"/>
      <c r="J498" s="39"/>
      <c r="K498" s="39">
        <v>1.9</v>
      </c>
      <c r="L498" s="7"/>
      <c r="M498" s="7">
        <v>142</v>
      </c>
      <c r="N498" s="12"/>
      <c r="O498" s="7"/>
      <c r="P498" s="7"/>
    </row>
    <row r="499" spans="1:17" ht="15">
      <c r="A499" s="22" t="s">
        <v>3645</v>
      </c>
      <c r="B499" s="37" t="s">
        <v>58</v>
      </c>
      <c r="C499" s="108">
        <v>13.7</v>
      </c>
      <c r="D499" s="109">
        <v>2</v>
      </c>
      <c r="E499" s="108">
        <v>27.4</v>
      </c>
      <c r="F499" s="39">
        <v>3.49</v>
      </c>
      <c r="G499" s="32"/>
      <c r="H499" s="33"/>
      <c r="I499" s="139"/>
      <c r="J499" s="39"/>
      <c r="K499" s="39">
        <v>2.79</v>
      </c>
      <c r="L499" s="7"/>
      <c r="M499" s="7">
        <v>209</v>
      </c>
      <c r="N499" s="12"/>
      <c r="O499" s="7"/>
      <c r="P499" s="7"/>
    </row>
    <row r="501" spans="1:17" s="7" customFormat="1" ht="18" customHeight="1">
      <c r="A501" s="6" t="s">
        <v>3647</v>
      </c>
      <c r="B501" s="14" t="s">
        <v>2034</v>
      </c>
      <c r="C501" s="82" t="s">
        <v>3648</v>
      </c>
      <c r="D501" s="37"/>
      <c r="E501" s="37" t="s">
        <v>58</v>
      </c>
      <c r="F501" s="108">
        <f>G501*H501</f>
        <v>27.4</v>
      </c>
      <c r="G501" s="108">
        <v>13.7</v>
      </c>
      <c r="H501" s="109">
        <v>2</v>
      </c>
      <c r="I501" s="39">
        <v>9</v>
      </c>
      <c r="J501" s="32"/>
      <c r="K501" s="33"/>
      <c r="L501" s="139"/>
      <c r="M501" s="39"/>
      <c r="N501" s="39">
        <v>7.2</v>
      </c>
      <c r="P501" s="7">
        <v>540</v>
      </c>
      <c r="Q501" s="12"/>
    </row>
    <row r="503" spans="1:17" ht="15">
      <c r="A503" s="83" t="s">
        <v>3437</v>
      </c>
      <c r="B503" s="84" t="s">
        <v>36</v>
      </c>
      <c r="C503" s="85" t="s">
        <v>3442</v>
      </c>
      <c r="D503" s="968" t="s">
        <v>3443</v>
      </c>
      <c r="E503" s="85" t="s">
        <v>116</v>
      </c>
      <c r="F503" s="93" t="s">
        <v>201</v>
      </c>
    </row>
    <row r="504" spans="1:17" ht="15">
      <c r="A504" s="22" t="s">
        <v>3648</v>
      </c>
      <c r="B504" s="37" t="s">
        <v>58</v>
      </c>
      <c r="C504" s="108">
        <v>13.7</v>
      </c>
      <c r="D504" s="109">
        <v>2</v>
      </c>
      <c r="E504" s="108">
        <v>27.4</v>
      </c>
      <c r="F504" s="987">
        <v>540</v>
      </c>
    </row>
    <row r="508" spans="1:17" ht="15">
      <c r="A508" s="83" t="s">
        <v>3437</v>
      </c>
      <c r="B508" s="84" t="s">
        <v>36</v>
      </c>
      <c r="C508" s="85" t="s">
        <v>116</v>
      </c>
      <c r="D508" s="85" t="s">
        <v>3438</v>
      </c>
      <c r="E508" s="85" t="s">
        <v>3649</v>
      </c>
    </row>
    <row r="509" spans="1:17" ht="15">
      <c r="A509" s="22" t="s">
        <v>3635</v>
      </c>
      <c r="B509" s="22" t="s">
        <v>3541</v>
      </c>
      <c r="C509" s="108">
        <v>175</v>
      </c>
      <c r="D509" s="39">
        <v>1.9</v>
      </c>
      <c r="E509" s="37" t="s">
        <v>3650</v>
      </c>
    </row>
    <row r="510" spans="1:17" ht="15">
      <c r="A510" s="22" t="s">
        <v>3532</v>
      </c>
      <c r="B510" s="37" t="s">
        <v>3544</v>
      </c>
      <c r="C510" s="108">
        <v>100</v>
      </c>
      <c r="D510" s="39">
        <v>3.45</v>
      </c>
      <c r="E510" s="37" t="s">
        <v>3651</v>
      </c>
    </row>
    <row r="511" spans="1:17" ht="15">
      <c r="A511" s="22" t="s">
        <v>3532</v>
      </c>
      <c r="B511" s="22" t="s">
        <v>3626</v>
      </c>
      <c r="C511" s="108">
        <v>1430</v>
      </c>
      <c r="D511" s="39">
        <v>3.45</v>
      </c>
      <c r="E511" s="37" t="s">
        <v>3652</v>
      </c>
    </row>
    <row r="512" spans="1:17" ht="15">
      <c r="A512" s="22" t="s">
        <v>3532</v>
      </c>
      <c r="B512" s="22" t="s">
        <v>3541</v>
      </c>
      <c r="C512" s="108">
        <v>245</v>
      </c>
      <c r="D512" s="39">
        <v>3.45</v>
      </c>
      <c r="E512" s="158"/>
    </row>
    <row r="513" spans="1:6" ht="15">
      <c r="A513" s="22" t="s">
        <v>3536</v>
      </c>
      <c r="B513" s="37" t="s">
        <v>3544</v>
      </c>
      <c r="C513" s="108">
        <v>1890</v>
      </c>
      <c r="D513" s="39">
        <v>4.32</v>
      </c>
      <c r="E513" s="158"/>
    </row>
    <row r="514" spans="1:6" ht="15">
      <c r="A514" s="22" t="s">
        <v>3536</v>
      </c>
      <c r="B514" s="22" t="s">
        <v>3541</v>
      </c>
      <c r="C514" s="108">
        <v>245</v>
      </c>
      <c r="D514" s="39">
        <v>4.32</v>
      </c>
      <c r="E514" s="158"/>
    </row>
    <row r="515" spans="1:6" ht="15">
      <c r="A515" s="22" t="s">
        <v>3536</v>
      </c>
      <c r="B515" s="22" t="s">
        <v>3626</v>
      </c>
      <c r="C515" s="108">
        <v>1345</v>
      </c>
      <c r="D515" s="39">
        <v>4.32</v>
      </c>
      <c r="E515" s="37" t="s">
        <v>3653</v>
      </c>
    </row>
    <row r="516" spans="1:6" ht="15">
      <c r="A516" s="22" t="s">
        <v>3535</v>
      </c>
      <c r="B516" s="22" t="s">
        <v>3626</v>
      </c>
      <c r="C516" s="108">
        <v>1430</v>
      </c>
      <c r="D516" s="39">
        <v>3.32</v>
      </c>
      <c r="E516" s="158"/>
    </row>
    <row r="517" spans="1:6" ht="15">
      <c r="A517" s="22" t="s">
        <v>3535</v>
      </c>
      <c r="B517" s="22" t="s">
        <v>3541</v>
      </c>
      <c r="C517" s="108">
        <v>350</v>
      </c>
      <c r="D517" s="39">
        <v>3.32</v>
      </c>
      <c r="E517" s="158"/>
    </row>
    <row r="518" spans="1:6" ht="15">
      <c r="A518" s="82" t="s">
        <v>3619</v>
      </c>
      <c r="B518" s="37" t="s">
        <v>3544</v>
      </c>
      <c r="C518" s="108"/>
      <c r="D518" s="39">
        <v>2.09</v>
      </c>
      <c r="E518" s="37" t="s">
        <v>3654</v>
      </c>
    </row>
    <row r="519" spans="1:6" ht="15">
      <c r="A519" s="82" t="s">
        <v>3635</v>
      </c>
      <c r="B519" s="22" t="s">
        <v>3626</v>
      </c>
      <c r="C519" s="108"/>
      <c r="D519" s="39">
        <v>1.9</v>
      </c>
      <c r="E519" s="37" t="s">
        <v>3655</v>
      </c>
    </row>
    <row r="521" spans="1:6" ht="15">
      <c r="A521" s="83" t="s">
        <v>3437</v>
      </c>
      <c r="B521" s="84" t="s">
        <v>36</v>
      </c>
      <c r="C521" s="85" t="s">
        <v>3442</v>
      </c>
      <c r="D521" s="968" t="s">
        <v>3443</v>
      </c>
      <c r="E521" s="85" t="s">
        <v>116</v>
      </c>
      <c r="F521" s="85" t="s">
        <v>3438</v>
      </c>
    </row>
    <row r="522" spans="1:6" ht="15">
      <c r="A522" s="22" t="s">
        <v>3656</v>
      </c>
      <c r="B522" s="37" t="s">
        <v>3657</v>
      </c>
      <c r="C522" s="108">
        <v>13.7</v>
      </c>
      <c r="D522" s="109">
        <v>2</v>
      </c>
      <c r="E522" s="108">
        <v>27.4</v>
      </c>
      <c r="F522" s="39">
        <v>3.25</v>
      </c>
    </row>
    <row r="523" spans="1:6" ht="15">
      <c r="A523" s="22" t="s">
        <v>3656</v>
      </c>
      <c r="B523" s="37" t="s">
        <v>3658</v>
      </c>
      <c r="C523" s="108">
        <v>13.7</v>
      </c>
      <c r="D523" s="109">
        <v>2</v>
      </c>
      <c r="E523" s="108">
        <v>27.4</v>
      </c>
      <c r="F523" s="39">
        <v>3.25</v>
      </c>
    </row>
    <row r="524" spans="1:6" ht="15">
      <c r="A524" s="22" t="s">
        <v>3656</v>
      </c>
      <c r="B524" s="37" t="s">
        <v>3659</v>
      </c>
      <c r="C524" s="108">
        <v>13.7</v>
      </c>
      <c r="D524" s="109">
        <v>2</v>
      </c>
      <c r="E524" s="108">
        <v>27.4</v>
      </c>
      <c r="F524" s="39">
        <v>3.25</v>
      </c>
    </row>
    <row r="525" spans="1:6" ht="15">
      <c r="A525" s="22" t="s">
        <v>3656</v>
      </c>
      <c r="B525" s="37" t="s">
        <v>3660</v>
      </c>
      <c r="C525" s="108">
        <v>13.7</v>
      </c>
      <c r="D525" s="109">
        <v>2</v>
      </c>
      <c r="E525" s="108">
        <v>27.4</v>
      </c>
      <c r="F525" s="39">
        <v>3.25</v>
      </c>
    </row>
    <row r="526" spans="1:6" ht="15">
      <c r="A526" s="22" t="s">
        <v>3656</v>
      </c>
      <c r="B526" s="37" t="s">
        <v>193</v>
      </c>
      <c r="C526" s="108">
        <v>13.7</v>
      </c>
      <c r="D526" s="109">
        <v>2</v>
      </c>
      <c r="E526" s="108">
        <v>27.4</v>
      </c>
      <c r="F526" s="39">
        <v>3.25</v>
      </c>
    </row>
    <row r="527" spans="1:6" ht="15">
      <c r="A527" s="22" t="s">
        <v>3656</v>
      </c>
      <c r="B527" s="37" t="s">
        <v>3661</v>
      </c>
      <c r="C527" s="108">
        <v>13.7</v>
      </c>
      <c r="D527" s="109">
        <v>2</v>
      </c>
      <c r="E527" s="108">
        <v>27.4</v>
      </c>
      <c r="F527" s="39">
        <v>3.25</v>
      </c>
    </row>
    <row r="528" spans="1:6" ht="15">
      <c r="A528" s="22" t="s">
        <v>3656</v>
      </c>
      <c r="B528" s="37" t="s">
        <v>192</v>
      </c>
      <c r="C528" s="108">
        <v>13.7</v>
      </c>
      <c r="D528" s="109">
        <v>2</v>
      </c>
      <c r="E528" s="108">
        <v>27.4</v>
      </c>
      <c r="F528" s="39">
        <v>3.25</v>
      </c>
    </row>
    <row r="529" spans="1:6" ht="15">
      <c r="A529" s="22" t="s">
        <v>3662</v>
      </c>
      <c r="B529" s="37" t="s">
        <v>3657</v>
      </c>
      <c r="C529" s="108">
        <v>13.7</v>
      </c>
      <c r="D529" s="109">
        <v>2</v>
      </c>
      <c r="E529" s="108">
        <v>27.4</v>
      </c>
      <c r="F529" s="39">
        <v>3.59</v>
      </c>
    </row>
    <row r="530" spans="1:6" ht="15">
      <c r="A530" s="22" t="s">
        <v>3662</v>
      </c>
      <c r="B530" s="37" t="s">
        <v>3658</v>
      </c>
      <c r="C530" s="108">
        <v>13.7</v>
      </c>
      <c r="D530" s="109">
        <v>2</v>
      </c>
      <c r="E530" s="108">
        <v>27.4</v>
      </c>
      <c r="F530" s="39">
        <v>3.59</v>
      </c>
    </row>
    <row r="531" spans="1:6" ht="15">
      <c r="A531" s="22" t="s">
        <v>3662</v>
      </c>
      <c r="B531" s="37" t="s">
        <v>3659</v>
      </c>
      <c r="C531" s="108">
        <v>13.7</v>
      </c>
      <c r="D531" s="109">
        <v>2</v>
      </c>
      <c r="E531" s="108">
        <v>27.4</v>
      </c>
      <c r="F531" s="39">
        <v>3.59</v>
      </c>
    </row>
    <row r="532" spans="1:6" ht="15">
      <c r="A532" s="22" t="s">
        <v>3662</v>
      </c>
      <c r="B532" s="37" t="s">
        <v>3660</v>
      </c>
      <c r="C532" s="108">
        <v>13.7</v>
      </c>
      <c r="D532" s="109">
        <v>2</v>
      </c>
      <c r="E532" s="108">
        <v>27.4</v>
      </c>
      <c r="F532" s="39">
        <v>3.59</v>
      </c>
    </row>
    <row r="533" spans="1:6" ht="15">
      <c r="A533" s="22" t="s">
        <v>3662</v>
      </c>
      <c r="B533" s="37" t="s">
        <v>193</v>
      </c>
      <c r="C533" s="108">
        <v>13.7</v>
      </c>
      <c r="D533" s="109">
        <v>2</v>
      </c>
      <c r="E533" s="108">
        <v>27.4</v>
      </c>
      <c r="F533" s="39">
        <v>3.59</v>
      </c>
    </row>
    <row r="534" spans="1:6" ht="15">
      <c r="A534" s="22" t="s">
        <v>3662</v>
      </c>
      <c r="B534" s="37" t="s">
        <v>3661</v>
      </c>
      <c r="C534" s="108">
        <v>13.7</v>
      </c>
      <c r="D534" s="109">
        <v>2</v>
      </c>
      <c r="E534" s="108">
        <v>27.4</v>
      </c>
      <c r="F534" s="39">
        <v>3.59</v>
      </c>
    </row>
    <row r="535" spans="1:6" ht="15">
      <c r="A535" s="22" t="s">
        <v>3662</v>
      </c>
      <c r="B535" s="37" t="s">
        <v>192</v>
      </c>
      <c r="C535" s="108">
        <v>13.7</v>
      </c>
      <c r="D535" s="109">
        <v>2</v>
      </c>
      <c r="E535" s="108">
        <v>27.4</v>
      </c>
      <c r="F535" s="39">
        <v>3.59</v>
      </c>
    </row>
    <row r="536" spans="1:6" ht="15">
      <c r="A536" s="22" t="s">
        <v>3663</v>
      </c>
      <c r="B536" s="37" t="s">
        <v>3657</v>
      </c>
      <c r="C536" s="108">
        <v>13.7</v>
      </c>
      <c r="D536" s="109">
        <v>2</v>
      </c>
      <c r="E536" s="108">
        <v>27.4</v>
      </c>
      <c r="F536" s="39">
        <v>4.17</v>
      </c>
    </row>
    <row r="537" spans="1:6" ht="15">
      <c r="A537" s="22" t="s">
        <v>3663</v>
      </c>
      <c r="B537" s="37" t="s">
        <v>3658</v>
      </c>
      <c r="C537" s="108">
        <v>13.7</v>
      </c>
      <c r="D537" s="109">
        <v>2</v>
      </c>
      <c r="E537" s="108">
        <v>27.4</v>
      </c>
      <c r="F537" s="39">
        <v>4.17</v>
      </c>
    </row>
    <row r="538" spans="1:6" ht="15">
      <c r="A538" s="22" t="s">
        <v>3663</v>
      </c>
      <c r="B538" s="37" t="s">
        <v>3659</v>
      </c>
      <c r="C538" s="108">
        <v>13.7</v>
      </c>
      <c r="D538" s="109">
        <v>2</v>
      </c>
      <c r="E538" s="108">
        <v>27.4</v>
      </c>
      <c r="F538" s="39">
        <v>4.17</v>
      </c>
    </row>
    <row r="539" spans="1:6" ht="15">
      <c r="A539" s="22" t="s">
        <v>3663</v>
      </c>
      <c r="B539" s="37" t="s">
        <v>3660</v>
      </c>
      <c r="C539" s="108">
        <v>13.7</v>
      </c>
      <c r="D539" s="109">
        <v>2</v>
      </c>
      <c r="E539" s="108">
        <v>27.4</v>
      </c>
      <c r="F539" s="39">
        <v>4.17</v>
      </c>
    </row>
    <row r="540" spans="1:6" ht="15">
      <c r="A540" s="22" t="s">
        <v>3663</v>
      </c>
      <c r="B540" s="37" t="s">
        <v>193</v>
      </c>
      <c r="C540" s="108">
        <v>13.7</v>
      </c>
      <c r="D540" s="109">
        <v>2</v>
      </c>
      <c r="E540" s="108">
        <v>27.4</v>
      </c>
      <c r="F540" s="39">
        <v>4.17</v>
      </c>
    </row>
    <row r="541" spans="1:6" ht="15">
      <c r="A541" s="22" t="s">
        <v>3663</v>
      </c>
      <c r="B541" s="37" t="s">
        <v>3661</v>
      </c>
      <c r="C541" s="108">
        <v>13.7</v>
      </c>
      <c r="D541" s="109">
        <v>2</v>
      </c>
      <c r="E541" s="108">
        <v>27.4</v>
      </c>
      <c r="F541" s="39">
        <v>4.17</v>
      </c>
    </row>
    <row r="542" spans="1:6" ht="15">
      <c r="A542" s="22" t="s">
        <v>3663</v>
      </c>
      <c r="B542" s="37" t="s">
        <v>192</v>
      </c>
      <c r="C542" s="108">
        <v>13.7</v>
      </c>
      <c r="D542" s="109">
        <v>2</v>
      </c>
      <c r="E542" s="108">
        <v>27.4</v>
      </c>
      <c r="F542" s="39">
        <v>4.17</v>
      </c>
    </row>
    <row r="543" spans="1:6" ht="15">
      <c r="A543" s="22"/>
      <c r="B543" s="22" t="s">
        <v>130</v>
      </c>
      <c r="C543" s="8" t="s">
        <v>315</v>
      </c>
      <c r="D543" s="35"/>
      <c r="E543" s="8"/>
      <c r="F543" s="39"/>
    </row>
    <row r="544" spans="1:6" ht="15">
      <c r="A544" s="22"/>
      <c r="B544" s="22"/>
      <c r="C544" s="8"/>
      <c r="D544" s="35"/>
      <c r="E544" s="8"/>
      <c r="F544" s="998"/>
    </row>
    <row r="545" spans="1:7" ht="15">
      <c r="A545" s="22"/>
      <c r="B545" s="22"/>
      <c r="C545" s="8"/>
      <c r="D545" s="35"/>
      <c r="E545" s="8"/>
      <c r="F545" s="998"/>
    </row>
    <row r="546" spans="1:7" ht="15">
      <c r="A546" s="83" t="s">
        <v>3437</v>
      </c>
      <c r="B546" s="84" t="s">
        <v>36</v>
      </c>
      <c r="C546" s="85" t="s">
        <v>3442</v>
      </c>
      <c r="D546" s="968" t="s">
        <v>3443</v>
      </c>
      <c r="E546" s="85" t="s">
        <v>116</v>
      </c>
      <c r="F546" s="85" t="s">
        <v>3438</v>
      </c>
      <c r="G546" s="85" t="s">
        <v>3664</v>
      </c>
    </row>
    <row r="547" spans="1:7" ht="15">
      <c r="A547" s="22" t="s">
        <v>3662</v>
      </c>
      <c r="B547" s="37" t="s">
        <v>192</v>
      </c>
      <c r="C547" s="108">
        <v>13.7</v>
      </c>
      <c r="D547" s="109">
        <v>2</v>
      </c>
      <c r="E547" s="108">
        <v>27.4</v>
      </c>
      <c r="F547" s="39">
        <v>3.59</v>
      </c>
      <c r="G547" s="39">
        <f t="shared" ref="G547:G560" si="1">F547*E547</f>
        <v>98.365999999999985</v>
      </c>
    </row>
    <row r="548" spans="1:7" ht="15">
      <c r="A548" s="22" t="s">
        <v>3662</v>
      </c>
      <c r="B548" s="37" t="s">
        <v>3658</v>
      </c>
      <c r="C548" s="108">
        <v>13.7</v>
      </c>
      <c r="D548" s="109">
        <v>2</v>
      </c>
      <c r="E548" s="108">
        <v>27.4</v>
      </c>
      <c r="F548" s="39">
        <v>3.59</v>
      </c>
      <c r="G548" s="39">
        <f t="shared" si="1"/>
        <v>98.365999999999985</v>
      </c>
    </row>
    <row r="549" spans="1:7" ht="15">
      <c r="A549" s="22" t="s">
        <v>3662</v>
      </c>
      <c r="B549" s="37" t="s">
        <v>193</v>
      </c>
      <c r="C549" s="108">
        <v>13.7</v>
      </c>
      <c r="D549" s="109">
        <v>2</v>
      </c>
      <c r="E549" s="108">
        <v>27.4</v>
      </c>
      <c r="F549" s="39">
        <v>3.59</v>
      </c>
      <c r="G549" s="39">
        <f t="shared" si="1"/>
        <v>98.365999999999985</v>
      </c>
    </row>
    <row r="550" spans="1:7" ht="15">
      <c r="A550" s="22" t="s">
        <v>3662</v>
      </c>
      <c r="B550" s="37" t="s">
        <v>3659</v>
      </c>
      <c r="C550" s="108">
        <v>13.7</v>
      </c>
      <c r="D550" s="109">
        <v>2</v>
      </c>
      <c r="E550" s="108">
        <v>27.4</v>
      </c>
      <c r="F550" s="39">
        <v>3.59</v>
      </c>
      <c r="G550" s="39">
        <f t="shared" si="1"/>
        <v>98.365999999999985</v>
      </c>
    </row>
    <row r="551" spans="1:7" ht="15">
      <c r="A551" s="22" t="s">
        <v>3662</v>
      </c>
      <c r="B551" s="37" t="s">
        <v>3660</v>
      </c>
      <c r="C551" s="108">
        <v>13.7</v>
      </c>
      <c r="D551" s="109">
        <v>2</v>
      </c>
      <c r="E551" s="108">
        <v>27.4</v>
      </c>
      <c r="F551" s="39">
        <v>3.59</v>
      </c>
      <c r="G551" s="39">
        <f t="shared" si="1"/>
        <v>98.365999999999985</v>
      </c>
    </row>
    <row r="552" spans="1:7" ht="15">
      <c r="A552" s="22" t="s">
        <v>3662</v>
      </c>
      <c r="B552" s="37" t="s">
        <v>186</v>
      </c>
      <c r="C552" s="108">
        <v>13.7</v>
      </c>
      <c r="D552" s="109">
        <v>2</v>
      </c>
      <c r="E552" s="108">
        <v>27.4</v>
      </c>
      <c r="F552" s="39">
        <v>3.59</v>
      </c>
      <c r="G552" s="39">
        <f t="shared" si="1"/>
        <v>98.365999999999985</v>
      </c>
    </row>
    <row r="553" spans="1:7" ht="15">
      <c r="A553" s="22" t="s">
        <v>3662</v>
      </c>
      <c r="B553" s="37" t="s">
        <v>3657</v>
      </c>
      <c r="C553" s="108">
        <v>13.7</v>
      </c>
      <c r="D553" s="109">
        <v>2</v>
      </c>
      <c r="E553" s="108">
        <v>27.4</v>
      </c>
      <c r="F553" s="39">
        <v>3.59</v>
      </c>
      <c r="G553" s="39">
        <f t="shared" si="1"/>
        <v>98.365999999999985</v>
      </c>
    </row>
    <row r="554" spans="1:7" ht="15">
      <c r="A554" s="22" t="s">
        <v>3663</v>
      </c>
      <c r="B554" s="37" t="s">
        <v>192</v>
      </c>
      <c r="C554" s="108">
        <v>13.7</v>
      </c>
      <c r="D554" s="109">
        <v>2</v>
      </c>
      <c r="E554" s="108">
        <v>27.4</v>
      </c>
      <c r="F554" s="39">
        <v>4.17</v>
      </c>
      <c r="G554" s="39">
        <f t="shared" si="1"/>
        <v>114.258</v>
      </c>
    </row>
    <row r="555" spans="1:7" ht="15">
      <c r="A555" s="22" t="s">
        <v>3663</v>
      </c>
      <c r="B555" s="37" t="s">
        <v>3658</v>
      </c>
      <c r="C555" s="108">
        <v>13.7</v>
      </c>
      <c r="D555" s="109">
        <v>2</v>
      </c>
      <c r="E555" s="108">
        <v>27.4</v>
      </c>
      <c r="F555" s="39">
        <v>4.17</v>
      </c>
      <c r="G555" s="39">
        <f t="shared" si="1"/>
        <v>114.258</v>
      </c>
    </row>
    <row r="556" spans="1:7" ht="15">
      <c r="A556" s="22" t="s">
        <v>3663</v>
      </c>
      <c r="B556" s="37" t="s">
        <v>193</v>
      </c>
      <c r="C556" s="108">
        <v>13.7</v>
      </c>
      <c r="D556" s="109">
        <v>2</v>
      </c>
      <c r="E556" s="108">
        <v>27.4</v>
      </c>
      <c r="F556" s="39">
        <v>4.17</v>
      </c>
      <c r="G556" s="39">
        <f t="shared" si="1"/>
        <v>114.258</v>
      </c>
    </row>
    <row r="557" spans="1:7" ht="15">
      <c r="A557" s="22" t="s">
        <v>3663</v>
      </c>
      <c r="B557" s="37" t="s">
        <v>3659</v>
      </c>
      <c r="C557" s="108">
        <v>13.7</v>
      </c>
      <c r="D557" s="109">
        <v>2</v>
      </c>
      <c r="E557" s="108">
        <v>27.4</v>
      </c>
      <c r="F557" s="39">
        <v>4.17</v>
      </c>
      <c r="G557" s="39">
        <f t="shared" si="1"/>
        <v>114.258</v>
      </c>
    </row>
    <row r="558" spans="1:7" ht="15">
      <c r="A558" s="22" t="s">
        <v>3663</v>
      </c>
      <c r="B558" s="37" t="s">
        <v>3660</v>
      </c>
      <c r="C558" s="108">
        <v>13.7</v>
      </c>
      <c r="D558" s="109">
        <v>2</v>
      </c>
      <c r="E558" s="108">
        <v>27.4</v>
      </c>
      <c r="F558" s="39">
        <v>4.17</v>
      </c>
      <c r="G558" s="39">
        <f t="shared" si="1"/>
        <v>114.258</v>
      </c>
    </row>
    <row r="559" spans="1:7" ht="15">
      <c r="A559" s="22" t="s">
        <v>3663</v>
      </c>
      <c r="B559" s="37" t="s">
        <v>186</v>
      </c>
      <c r="C559" s="108">
        <v>13.7</v>
      </c>
      <c r="D559" s="109">
        <v>2</v>
      </c>
      <c r="E559" s="108">
        <v>27.4</v>
      </c>
      <c r="F559" s="39">
        <v>4.17</v>
      </c>
      <c r="G559" s="39">
        <f t="shared" si="1"/>
        <v>114.258</v>
      </c>
    </row>
    <row r="560" spans="1:7" ht="15">
      <c r="A560" s="22" t="s">
        <v>3663</v>
      </c>
      <c r="B560" s="37" t="s">
        <v>3657</v>
      </c>
      <c r="C560" s="108">
        <v>13.7</v>
      </c>
      <c r="D560" s="109">
        <v>2</v>
      </c>
      <c r="E560" s="108">
        <v>27.4</v>
      </c>
      <c r="F560" s="39">
        <v>4.17</v>
      </c>
      <c r="G560" s="39">
        <f t="shared" si="1"/>
        <v>114.258</v>
      </c>
    </row>
    <row r="561" spans="1:7" ht="15">
      <c r="A561" s="82"/>
      <c r="B561" s="22" t="s">
        <v>204</v>
      </c>
      <c r="C561" s="8" t="s">
        <v>195</v>
      </c>
      <c r="D561" s="35"/>
      <c r="E561" s="8"/>
      <c r="F561" s="39">
        <v>115</v>
      </c>
      <c r="G561" s="39">
        <v>690</v>
      </c>
    </row>
    <row r="562" spans="1:7" ht="15.75">
      <c r="A562" s="82"/>
      <c r="B562" s="22"/>
      <c r="C562" s="8"/>
      <c r="D562" s="35"/>
      <c r="E562" s="8"/>
      <c r="F562" s="117" t="s">
        <v>173</v>
      </c>
      <c r="G562" s="118">
        <f>SUM(G547:G561)</f>
        <v>2178.3680000000004</v>
      </c>
    </row>
    <row r="565" spans="1:7">
      <c r="A565" t="s">
        <v>345</v>
      </c>
      <c r="B565" s="999">
        <v>134</v>
      </c>
      <c r="C565" t="s">
        <v>3665</v>
      </c>
      <c r="D565" s="1000">
        <v>50</v>
      </c>
    </row>
    <row r="566" spans="1:7">
      <c r="A566" t="s">
        <v>345</v>
      </c>
      <c r="B566" s="999">
        <v>134</v>
      </c>
      <c r="C566" t="s">
        <v>3666</v>
      </c>
      <c r="D566" s="1000">
        <v>16</v>
      </c>
    </row>
    <row r="570" spans="1:7" ht="15">
      <c r="A570" s="83" t="s">
        <v>3437</v>
      </c>
      <c r="B570" s="83" t="s">
        <v>171</v>
      </c>
      <c r="C570" s="84" t="s">
        <v>36</v>
      </c>
      <c r="D570" s="85" t="s">
        <v>3442</v>
      </c>
      <c r="E570" s="968" t="s">
        <v>3443</v>
      </c>
      <c r="F570" s="85" t="s">
        <v>116</v>
      </c>
      <c r="G570" s="85" t="s">
        <v>3438</v>
      </c>
    </row>
    <row r="571" spans="1:7" ht="15">
      <c r="A571" s="22">
        <v>3819</v>
      </c>
      <c r="B571" s="15">
        <v>38</v>
      </c>
      <c r="C571" s="22" t="s">
        <v>39</v>
      </c>
      <c r="D571" s="108">
        <v>50</v>
      </c>
      <c r="E571" s="35">
        <v>1</v>
      </c>
      <c r="F571" s="108">
        <v>50</v>
      </c>
      <c r="G571" s="39">
        <v>0.97</v>
      </c>
    </row>
    <row r="572" spans="1:7" ht="15">
      <c r="A572" s="22">
        <v>3819</v>
      </c>
      <c r="B572" s="15">
        <v>30</v>
      </c>
      <c r="C572" s="22" t="s">
        <v>39</v>
      </c>
      <c r="D572" s="108">
        <v>50</v>
      </c>
      <c r="E572" s="35">
        <v>1</v>
      </c>
      <c r="F572" s="108">
        <v>50</v>
      </c>
      <c r="G572" s="39">
        <v>0.75</v>
      </c>
    </row>
    <row r="573" spans="1:7" ht="15">
      <c r="A573" s="49"/>
      <c r="B573" s="102"/>
      <c r="C573" s="22" t="s">
        <v>14</v>
      </c>
      <c r="D573" s="8" t="s">
        <v>64</v>
      </c>
      <c r="E573" s="35"/>
      <c r="F573" s="8"/>
      <c r="G573" s="39">
        <v>12</v>
      </c>
    </row>
    <row r="576" spans="1:7" ht="15.75">
      <c r="A576" s="83" t="s">
        <v>3437</v>
      </c>
      <c r="B576" s="84" t="s">
        <v>36</v>
      </c>
      <c r="C576" s="85" t="s">
        <v>3667</v>
      </c>
      <c r="D576" s="108"/>
      <c r="E576" s="109"/>
      <c r="F576" s="110" t="s">
        <v>5</v>
      </c>
    </row>
    <row r="577" spans="1:12" ht="15">
      <c r="A577" s="22" t="s">
        <v>3532</v>
      </c>
      <c r="B577" s="22" t="s">
        <v>3626</v>
      </c>
      <c r="C577" s="108">
        <v>1213</v>
      </c>
      <c r="D577" s="108">
        <v>1213</v>
      </c>
      <c r="E577" s="108">
        <v>1213</v>
      </c>
      <c r="F577" s="39">
        <v>3.45</v>
      </c>
      <c r="G577" s="39">
        <f t="shared" ref="G577:G583" si="2">F577*C577</f>
        <v>4184.8500000000004</v>
      </c>
    </row>
    <row r="578" spans="1:12" ht="15">
      <c r="A578" s="22" t="s">
        <v>3532</v>
      </c>
      <c r="B578" s="22" t="s">
        <v>3541</v>
      </c>
      <c r="C578" s="108">
        <v>245</v>
      </c>
      <c r="D578" s="108">
        <v>245</v>
      </c>
      <c r="E578" s="108">
        <v>245</v>
      </c>
      <c r="F578" s="39">
        <v>3.45</v>
      </c>
      <c r="G578" s="39">
        <f t="shared" si="2"/>
        <v>845.25</v>
      </c>
    </row>
    <row r="579" spans="1:12" ht="15">
      <c r="A579" s="22" t="s">
        <v>3536</v>
      </c>
      <c r="B579" s="37" t="s">
        <v>3544</v>
      </c>
      <c r="C579" s="108">
        <v>1890</v>
      </c>
      <c r="D579" s="108">
        <v>1890</v>
      </c>
      <c r="E579" s="108">
        <v>1890</v>
      </c>
      <c r="F579" s="39">
        <v>4.32</v>
      </c>
      <c r="G579" s="39">
        <f t="shared" si="2"/>
        <v>8164.8</v>
      </c>
    </row>
    <row r="580" spans="1:12" ht="15">
      <c r="A580" s="22" t="s">
        <v>3536</v>
      </c>
      <c r="B580" s="22" t="s">
        <v>3541</v>
      </c>
      <c r="C580" s="108">
        <v>245</v>
      </c>
      <c r="D580" s="108">
        <v>245</v>
      </c>
      <c r="E580" s="108">
        <v>245</v>
      </c>
      <c r="F580" s="39">
        <v>4.32</v>
      </c>
      <c r="G580" s="39">
        <f t="shared" si="2"/>
        <v>1058.4000000000001</v>
      </c>
    </row>
    <row r="581" spans="1:12" ht="15">
      <c r="A581" s="22" t="s">
        <v>3536</v>
      </c>
      <c r="B581" s="22" t="s">
        <v>3626</v>
      </c>
      <c r="C581" s="108">
        <v>1140</v>
      </c>
      <c r="D581" s="108">
        <v>1140</v>
      </c>
      <c r="E581" s="108">
        <v>1140</v>
      </c>
      <c r="F581" s="39">
        <v>4.32</v>
      </c>
      <c r="G581" s="39">
        <f t="shared" si="2"/>
        <v>4924.8</v>
      </c>
    </row>
    <row r="582" spans="1:12" ht="15">
      <c r="A582" s="22" t="s">
        <v>3535</v>
      </c>
      <c r="B582" s="22" t="s">
        <v>3626</v>
      </c>
      <c r="C582" s="108">
        <v>1430</v>
      </c>
      <c r="D582" s="108">
        <v>1430</v>
      </c>
      <c r="E582" s="108">
        <v>1430</v>
      </c>
      <c r="F582" s="39">
        <v>3.32</v>
      </c>
      <c r="G582" s="39">
        <f t="shared" si="2"/>
        <v>4747.5999999999995</v>
      </c>
    </row>
    <row r="583" spans="1:12" ht="15">
      <c r="A583" s="22" t="s">
        <v>3535</v>
      </c>
      <c r="B583" s="22" t="s">
        <v>3541</v>
      </c>
      <c r="C583" s="108">
        <v>350</v>
      </c>
      <c r="D583" s="108">
        <v>350</v>
      </c>
      <c r="E583" s="108">
        <v>350</v>
      </c>
      <c r="F583" s="39">
        <v>3.32</v>
      </c>
      <c r="G583" s="39">
        <f t="shared" si="2"/>
        <v>1162</v>
      </c>
    </row>
    <row r="587" spans="1:12" ht="15">
      <c r="A587" s="83" t="s">
        <v>3437</v>
      </c>
      <c r="B587" s="84" t="s">
        <v>171</v>
      </c>
      <c r="C587" s="85" t="s">
        <v>99</v>
      </c>
      <c r="D587" s="85" t="s">
        <v>3442</v>
      </c>
      <c r="E587" s="968" t="s">
        <v>3443</v>
      </c>
      <c r="F587" s="85" t="s">
        <v>116</v>
      </c>
      <c r="G587" s="85" t="s">
        <v>3668</v>
      </c>
    </row>
    <row r="588" spans="1:12" ht="14.25">
      <c r="A588" s="48">
        <v>11700</v>
      </c>
      <c r="B588" s="64">
        <v>24</v>
      </c>
      <c r="C588" s="48" t="s">
        <v>29</v>
      </c>
      <c r="D588" s="30">
        <v>10</v>
      </c>
      <c r="E588" s="31">
        <v>1</v>
      </c>
      <c r="F588" s="30">
        <v>10</v>
      </c>
      <c r="G588" s="34">
        <v>20.2</v>
      </c>
    </row>
    <row r="589" spans="1:12" ht="14.25">
      <c r="A589" s="48">
        <v>11700</v>
      </c>
      <c r="B589" s="64">
        <v>24</v>
      </c>
      <c r="C589" s="48" t="s">
        <v>2886</v>
      </c>
      <c r="D589" s="30">
        <v>10</v>
      </c>
      <c r="E589" s="31">
        <v>1</v>
      </c>
      <c r="F589" s="30">
        <v>10</v>
      </c>
      <c r="G589" s="34">
        <v>20.2</v>
      </c>
    </row>
    <row r="592" spans="1:12" s="1" customFormat="1" ht="18" customHeight="1">
      <c r="A592" s="83" t="s">
        <v>3437</v>
      </c>
      <c r="B592" s="85" t="s">
        <v>99</v>
      </c>
      <c r="C592" s="85" t="s">
        <v>3442</v>
      </c>
      <c r="D592" s="968" t="s">
        <v>3443</v>
      </c>
      <c r="E592" s="85" t="s">
        <v>116</v>
      </c>
      <c r="F592" s="85" t="s">
        <v>3669</v>
      </c>
      <c r="G592" s="85" t="s">
        <v>3670</v>
      </c>
      <c r="H592" s="33"/>
      <c r="I592" s="33"/>
      <c r="J592" s="4"/>
      <c r="K592" s="977"/>
      <c r="L592" s="997"/>
    </row>
    <row r="593" spans="1:14" s="1" customFormat="1" ht="18" customHeight="1">
      <c r="A593" s="48" t="s">
        <v>97</v>
      </c>
      <c r="B593" s="64" t="s">
        <v>58</v>
      </c>
      <c r="C593" s="47">
        <v>13.7</v>
      </c>
      <c r="D593" s="57">
        <v>2</v>
      </c>
      <c r="E593" s="47">
        <v>27.4</v>
      </c>
      <c r="F593" s="34">
        <v>1.84</v>
      </c>
      <c r="G593" s="32" t="s">
        <v>3671</v>
      </c>
      <c r="H593" s="33"/>
      <c r="I593" s="139"/>
      <c r="J593" s="4"/>
      <c r="K593" s="34">
        <v>1.45</v>
      </c>
      <c r="M593" s="1">
        <v>98</v>
      </c>
      <c r="N593" s="26"/>
    </row>
    <row r="594" spans="1:14" s="1" customFormat="1" ht="18" customHeight="1">
      <c r="A594" s="48"/>
      <c r="B594" s="64"/>
      <c r="C594" s="47"/>
      <c r="D594" s="57"/>
      <c r="E594" s="47"/>
      <c r="F594" s="34"/>
      <c r="G594" s="32"/>
      <c r="H594" s="33"/>
      <c r="I594" s="139"/>
      <c r="J594" s="4"/>
      <c r="K594" s="34"/>
      <c r="N594" s="26"/>
    </row>
    <row r="595" spans="1:14" s="1" customFormat="1" ht="18" customHeight="1">
      <c r="A595" s="83" t="s">
        <v>3437</v>
      </c>
      <c r="B595" s="85" t="s">
        <v>99</v>
      </c>
      <c r="C595" s="85" t="s">
        <v>3442</v>
      </c>
      <c r="D595" s="968" t="s">
        <v>3443</v>
      </c>
      <c r="E595" s="85" t="s">
        <v>116</v>
      </c>
      <c r="F595" s="85" t="s">
        <v>3669</v>
      </c>
      <c r="G595" s="32"/>
      <c r="H595" s="33"/>
      <c r="I595" s="33"/>
      <c r="J595" s="4"/>
      <c r="K595" s="977"/>
      <c r="L595" s="997"/>
    </row>
    <row r="596" spans="1:14" s="1" customFormat="1" ht="18" customHeight="1">
      <c r="A596" s="48" t="s">
        <v>97</v>
      </c>
      <c r="B596" s="64" t="s">
        <v>58</v>
      </c>
      <c r="C596" s="47">
        <v>13.7</v>
      </c>
      <c r="D596" s="57">
        <v>36</v>
      </c>
      <c r="E596" s="47">
        <v>493.2</v>
      </c>
      <c r="F596" s="34">
        <v>1.84</v>
      </c>
      <c r="G596" s="1838" t="s">
        <v>3672</v>
      </c>
      <c r="H596" s="33"/>
      <c r="I596" s="139"/>
      <c r="J596" s="4"/>
      <c r="K596" s="34">
        <v>1.45</v>
      </c>
      <c r="M596" s="1">
        <v>98</v>
      </c>
      <c r="N596" s="26"/>
    </row>
    <row r="597" spans="1:14" s="1" customFormat="1" ht="18" customHeight="1">
      <c r="A597" s="48" t="s">
        <v>97</v>
      </c>
      <c r="B597" s="64" t="s">
        <v>127</v>
      </c>
      <c r="C597" s="47">
        <v>13.7</v>
      </c>
      <c r="D597" s="57">
        <v>112</v>
      </c>
      <c r="E597" s="47">
        <v>1534.3999999999999</v>
      </c>
      <c r="F597" s="34">
        <v>2.14</v>
      </c>
      <c r="G597" s="1839"/>
      <c r="H597" s="33"/>
      <c r="I597" s="139"/>
      <c r="J597" s="4"/>
      <c r="K597" s="34">
        <v>1.71</v>
      </c>
      <c r="L597" s="1">
        <v>128</v>
      </c>
      <c r="M597" s="1">
        <v>98</v>
      </c>
      <c r="N597" s="26" t="s">
        <v>98</v>
      </c>
    </row>
    <row r="598" spans="1:14" s="1" customFormat="1" ht="18" customHeight="1">
      <c r="A598" s="48" t="s">
        <v>97</v>
      </c>
      <c r="B598" s="64" t="s">
        <v>120</v>
      </c>
      <c r="C598" s="47">
        <v>13.7</v>
      </c>
      <c r="D598" s="57">
        <v>21</v>
      </c>
      <c r="E598" s="47">
        <v>287.7</v>
      </c>
      <c r="F598" s="34">
        <v>2.2400000000000002</v>
      </c>
      <c r="G598" s="1840"/>
      <c r="H598" s="33"/>
      <c r="I598" s="139"/>
      <c r="J598" s="4"/>
      <c r="K598" s="34">
        <v>1.79</v>
      </c>
      <c r="M598" s="1">
        <v>134</v>
      </c>
      <c r="N598" s="26"/>
    </row>
    <row r="602" spans="1:14" ht="15">
      <c r="A602" s="83" t="s">
        <v>3437</v>
      </c>
      <c r="B602" s="84" t="s">
        <v>171</v>
      </c>
      <c r="C602" s="85" t="s">
        <v>99</v>
      </c>
      <c r="D602" s="85" t="s">
        <v>3442</v>
      </c>
      <c r="E602" s="968" t="s">
        <v>3443</v>
      </c>
      <c r="F602" s="85" t="s">
        <v>116</v>
      </c>
      <c r="G602" s="85" t="s">
        <v>3668</v>
      </c>
      <c r="H602" s="85" t="s">
        <v>110</v>
      </c>
    </row>
    <row r="603" spans="1:14" ht="15.75">
      <c r="A603" s="48">
        <v>11700</v>
      </c>
      <c r="B603" s="64">
        <v>24</v>
      </c>
      <c r="C603" s="48" t="s">
        <v>29</v>
      </c>
      <c r="D603" s="30">
        <v>10</v>
      </c>
      <c r="E603" s="31">
        <v>1</v>
      </c>
      <c r="F603" s="30">
        <v>10</v>
      </c>
      <c r="G603" s="34">
        <v>20.2</v>
      </c>
      <c r="H603" s="1001" t="s">
        <v>3673</v>
      </c>
    </row>
    <row r="604" spans="1:14" ht="15.75">
      <c r="A604" s="48">
        <v>11700</v>
      </c>
      <c r="B604" s="64">
        <v>24</v>
      </c>
      <c r="C604" s="48" t="s">
        <v>2886</v>
      </c>
      <c r="D604" s="30">
        <v>10</v>
      </c>
      <c r="E604" s="31">
        <v>1</v>
      </c>
      <c r="F604" s="30">
        <v>10</v>
      </c>
      <c r="G604" s="34">
        <v>20.2</v>
      </c>
      <c r="H604" s="993" t="s">
        <v>3674</v>
      </c>
    </row>
    <row r="608" spans="1:14" ht="15">
      <c r="A608" s="83" t="s">
        <v>3437</v>
      </c>
      <c r="B608" s="84" t="s">
        <v>171</v>
      </c>
      <c r="C608" s="85" t="s">
        <v>99</v>
      </c>
      <c r="D608" s="85" t="s">
        <v>3442</v>
      </c>
      <c r="E608" s="968" t="s">
        <v>3443</v>
      </c>
      <c r="F608" s="85" t="s">
        <v>116</v>
      </c>
      <c r="G608" s="85" t="s">
        <v>3668</v>
      </c>
      <c r="H608" s="85" t="s">
        <v>110</v>
      </c>
    </row>
    <row r="609" spans="1:8" ht="15.75">
      <c r="A609" s="48">
        <v>12701</v>
      </c>
      <c r="B609" s="64">
        <v>4</v>
      </c>
      <c r="C609" s="48" t="s">
        <v>3284</v>
      </c>
      <c r="D609" s="30">
        <v>40</v>
      </c>
      <c r="E609" s="31">
        <v>1</v>
      </c>
      <c r="F609" s="30">
        <v>40</v>
      </c>
      <c r="G609" s="34">
        <v>15.16</v>
      </c>
      <c r="H609" s="993" t="s">
        <v>3674</v>
      </c>
    </row>
    <row r="610" spans="1:8" ht="15.75">
      <c r="A610" s="48">
        <v>12701</v>
      </c>
      <c r="B610" s="64">
        <v>9</v>
      </c>
      <c r="C610" s="48" t="s">
        <v>219</v>
      </c>
      <c r="D610" s="30">
        <v>10</v>
      </c>
      <c r="E610" s="31">
        <v>1</v>
      </c>
      <c r="F610" s="30">
        <v>10</v>
      </c>
      <c r="G610" s="34">
        <v>4.4000000000000004</v>
      </c>
      <c r="H610" s="993" t="s">
        <v>3674</v>
      </c>
    </row>
    <row r="611" spans="1:8" ht="15.75">
      <c r="A611" s="48">
        <v>12701</v>
      </c>
      <c r="B611" s="64">
        <v>9</v>
      </c>
      <c r="C611" s="48" t="s">
        <v>2146</v>
      </c>
      <c r="D611" s="30">
        <v>10</v>
      </c>
      <c r="E611" s="31">
        <v>1</v>
      </c>
      <c r="F611" s="30">
        <v>10</v>
      </c>
      <c r="G611" s="34">
        <v>4.4000000000000004</v>
      </c>
      <c r="H611" s="993" t="s">
        <v>3674</v>
      </c>
    </row>
    <row r="612" spans="1:8" ht="15.75">
      <c r="A612" s="48">
        <v>12701</v>
      </c>
      <c r="B612" s="64">
        <v>9</v>
      </c>
      <c r="C612" s="48" t="s">
        <v>1979</v>
      </c>
      <c r="D612" s="30">
        <v>10</v>
      </c>
      <c r="E612" s="31">
        <v>1</v>
      </c>
      <c r="F612" s="30">
        <v>10</v>
      </c>
      <c r="G612" s="34">
        <v>4.4000000000000004</v>
      </c>
      <c r="H612" s="1001" t="s">
        <v>3675</v>
      </c>
    </row>
    <row r="613" spans="1:8" ht="15.75">
      <c r="A613" s="48">
        <v>12701</v>
      </c>
      <c r="B613" s="64">
        <v>9</v>
      </c>
      <c r="C613" s="48" t="s">
        <v>2113</v>
      </c>
      <c r="D613" s="30">
        <v>10</v>
      </c>
      <c r="E613" s="31">
        <v>1</v>
      </c>
      <c r="F613" s="30">
        <v>10</v>
      </c>
      <c r="G613" s="34">
        <v>4.4000000000000004</v>
      </c>
      <c r="H613" s="993" t="s">
        <v>3674</v>
      </c>
    </row>
    <row r="614" spans="1:8" ht="15.75">
      <c r="A614" s="48">
        <v>12701</v>
      </c>
      <c r="B614" s="64">
        <v>12</v>
      </c>
      <c r="C614" s="48" t="s">
        <v>219</v>
      </c>
      <c r="D614" s="30">
        <v>10</v>
      </c>
      <c r="E614" s="31">
        <v>1</v>
      </c>
      <c r="F614" s="30">
        <v>10</v>
      </c>
      <c r="G614" s="34">
        <v>4.93</v>
      </c>
      <c r="H614" s="993" t="s">
        <v>3674</v>
      </c>
    </row>
    <row r="615" spans="1:8" ht="15.75">
      <c r="A615" s="48">
        <v>12701</v>
      </c>
      <c r="B615" s="64">
        <v>18</v>
      </c>
      <c r="C615" s="48" t="s">
        <v>219</v>
      </c>
      <c r="D615" s="30">
        <v>10</v>
      </c>
      <c r="E615" s="31">
        <v>1</v>
      </c>
      <c r="F615" s="30">
        <v>10</v>
      </c>
      <c r="G615" s="34">
        <v>6.4</v>
      </c>
      <c r="H615" s="993" t="s">
        <v>3674</v>
      </c>
    </row>
    <row r="616" spans="1:8" ht="15.75">
      <c r="A616" s="48">
        <v>12701</v>
      </c>
      <c r="B616" s="64">
        <v>24</v>
      </c>
      <c r="C616" s="48" t="s">
        <v>219</v>
      </c>
      <c r="D616" s="30">
        <v>10</v>
      </c>
      <c r="E616" s="31">
        <v>1</v>
      </c>
      <c r="F616" s="30">
        <v>10</v>
      </c>
      <c r="G616" s="34">
        <v>7.82</v>
      </c>
      <c r="H616" s="993" t="s">
        <v>3674</v>
      </c>
    </row>
    <row r="617" spans="1:8" ht="15.75">
      <c r="A617" s="48">
        <v>12701</v>
      </c>
      <c r="B617" s="64">
        <v>24</v>
      </c>
      <c r="C617" s="48" t="s">
        <v>3676</v>
      </c>
      <c r="D617" s="30">
        <v>10</v>
      </c>
      <c r="E617" s="31">
        <v>1</v>
      </c>
      <c r="F617" s="30">
        <v>10</v>
      </c>
      <c r="G617" s="34">
        <v>7.82</v>
      </c>
      <c r="H617" s="993" t="s">
        <v>3674</v>
      </c>
    </row>
    <row r="618" spans="1:8" ht="15.75">
      <c r="A618" s="48">
        <v>12701</v>
      </c>
      <c r="B618" s="64">
        <v>24</v>
      </c>
      <c r="C618" s="48" t="s">
        <v>369</v>
      </c>
      <c r="D618" s="30">
        <v>10</v>
      </c>
      <c r="E618" s="31">
        <v>1</v>
      </c>
      <c r="F618" s="30">
        <v>10</v>
      </c>
      <c r="G618" s="34">
        <v>7.82</v>
      </c>
      <c r="H618" s="993" t="s">
        <v>3674</v>
      </c>
    </row>
    <row r="619" spans="1:8" ht="15.75">
      <c r="A619" s="48">
        <v>12701</v>
      </c>
      <c r="B619" s="64">
        <v>24</v>
      </c>
      <c r="C619" s="48" t="s">
        <v>2113</v>
      </c>
      <c r="D619" s="30">
        <v>10</v>
      </c>
      <c r="E619" s="31">
        <v>1</v>
      </c>
      <c r="F619" s="30">
        <v>10</v>
      </c>
      <c r="G619" s="34">
        <v>7.82</v>
      </c>
      <c r="H619" s="993" t="s">
        <v>3674</v>
      </c>
    </row>
    <row r="621" spans="1:8" s="7" customFormat="1" ht="18" customHeight="1">
      <c r="A621" s="83" t="s">
        <v>3437</v>
      </c>
      <c r="B621" s="84" t="s">
        <v>171</v>
      </c>
      <c r="C621" s="85" t="s">
        <v>99</v>
      </c>
      <c r="D621" s="85" t="s">
        <v>37</v>
      </c>
      <c r="E621" s="85" t="s">
        <v>3669</v>
      </c>
    </row>
    <row r="622" spans="1:8" s="7" customFormat="1" ht="18" customHeight="1">
      <c r="A622" s="22">
        <v>3827</v>
      </c>
      <c r="B622" s="24">
        <v>50</v>
      </c>
      <c r="C622" s="22" t="s">
        <v>3677</v>
      </c>
      <c r="D622" s="60">
        <v>5</v>
      </c>
      <c r="E622" s="23">
        <v>1.92</v>
      </c>
    </row>
    <row r="623" spans="1:8" s="7" customFormat="1" ht="18" customHeight="1">
      <c r="A623" s="49"/>
      <c r="B623" s="37"/>
      <c r="C623" s="37" t="s">
        <v>14</v>
      </c>
      <c r="D623" s="8" t="s">
        <v>64</v>
      </c>
      <c r="E623" s="39">
        <v>12</v>
      </c>
    </row>
    <row r="625" spans="1:8" ht="15">
      <c r="A625" s="83" t="s">
        <v>3437</v>
      </c>
      <c r="B625" s="84" t="s">
        <v>171</v>
      </c>
      <c r="C625" s="85" t="s">
        <v>99</v>
      </c>
      <c r="D625" s="85" t="s">
        <v>3442</v>
      </c>
      <c r="E625" s="968" t="s">
        <v>3443</v>
      </c>
      <c r="F625" s="85" t="s">
        <v>116</v>
      </c>
      <c r="G625" s="85" t="s">
        <v>3668</v>
      </c>
      <c r="H625" s="85" t="s">
        <v>110</v>
      </c>
    </row>
    <row r="626" spans="1:8" ht="15.75">
      <c r="A626" s="48">
        <v>11700</v>
      </c>
      <c r="B626" s="64">
        <v>24</v>
      </c>
      <c r="C626" s="48" t="s">
        <v>79</v>
      </c>
      <c r="D626" s="30">
        <v>10</v>
      </c>
      <c r="E626" s="31">
        <v>1</v>
      </c>
      <c r="F626" s="30">
        <v>10</v>
      </c>
      <c r="G626" s="34">
        <v>20.2</v>
      </c>
      <c r="H626" s="993" t="s">
        <v>3678</v>
      </c>
    </row>
    <row r="627" spans="1:8" ht="15.75">
      <c r="A627" s="48">
        <v>11700</v>
      </c>
      <c r="B627" s="64">
        <v>24</v>
      </c>
      <c r="C627" s="48" t="s">
        <v>178</v>
      </c>
      <c r="D627" s="30">
        <v>10</v>
      </c>
      <c r="E627" s="31">
        <v>1</v>
      </c>
      <c r="F627" s="30">
        <v>10</v>
      </c>
      <c r="G627" s="34">
        <v>20.2</v>
      </c>
      <c r="H627" s="1001" t="s">
        <v>3679</v>
      </c>
    </row>
    <row r="628" spans="1:8" ht="15.75">
      <c r="A628" s="48">
        <v>11700</v>
      </c>
      <c r="B628" s="64">
        <v>24</v>
      </c>
      <c r="C628" s="48" t="s">
        <v>124</v>
      </c>
      <c r="D628" s="30">
        <v>10</v>
      </c>
      <c r="E628" s="31">
        <v>1</v>
      </c>
      <c r="F628" s="30">
        <v>10</v>
      </c>
      <c r="G628" s="34">
        <v>20.2</v>
      </c>
      <c r="H628" s="993" t="s">
        <v>3678</v>
      </c>
    </row>
    <row r="629" spans="1:8" ht="15.75">
      <c r="A629" s="48">
        <v>11700</v>
      </c>
      <c r="B629" s="64">
        <v>24</v>
      </c>
      <c r="C629" s="48" t="s">
        <v>151</v>
      </c>
      <c r="D629" s="30">
        <v>10</v>
      </c>
      <c r="E629" s="31">
        <v>1</v>
      </c>
      <c r="F629" s="30">
        <v>10</v>
      </c>
      <c r="G629" s="34">
        <v>20.2</v>
      </c>
      <c r="H629" s="993" t="s">
        <v>3678</v>
      </c>
    </row>
    <row r="630" spans="1:8" ht="15.75">
      <c r="A630" s="48">
        <v>12701</v>
      </c>
      <c r="B630" s="64">
        <v>18</v>
      </c>
      <c r="C630" s="48" t="s">
        <v>3680</v>
      </c>
      <c r="D630" s="30">
        <v>10</v>
      </c>
      <c r="E630" s="31">
        <v>1</v>
      </c>
      <c r="F630" s="30">
        <v>10</v>
      </c>
      <c r="G630" s="34">
        <v>6.4</v>
      </c>
      <c r="H630" s="993" t="s">
        <v>3678</v>
      </c>
    </row>
    <row r="632" spans="1:8" ht="15">
      <c r="A632" s="83" t="s">
        <v>3437</v>
      </c>
      <c r="B632" s="84" t="s">
        <v>171</v>
      </c>
      <c r="C632" s="85" t="s">
        <v>99</v>
      </c>
      <c r="D632" s="85" t="s">
        <v>3442</v>
      </c>
      <c r="E632" s="968" t="s">
        <v>3443</v>
      </c>
      <c r="F632" s="85" t="s">
        <v>116</v>
      </c>
      <c r="G632" s="85" t="s">
        <v>3668</v>
      </c>
      <c r="H632" s="85" t="s">
        <v>110</v>
      </c>
    </row>
    <row r="633" spans="1:8" ht="15.75">
      <c r="A633" s="48">
        <v>11700</v>
      </c>
      <c r="B633" s="64">
        <v>24</v>
      </c>
      <c r="C633" s="48" t="s">
        <v>29</v>
      </c>
      <c r="D633" s="30">
        <v>10</v>
      </c>
      <c r="E633" s="31">
        <v>1</v>
      </c>
      <c r="F633" s="30">
        <v>10</v>
      </c>
      <c r="G633" s="34">
        <v>20.2</v>
      </c>
      <c r="H633" s="1001" t="s">
        <v>3673</v>
      </c>
    </row>
    <row r="634" spans="1:8" ht="15.75">
      <c r="A634" s="48">
        <v>12701</v>
      </c>
      <c r="B634" s="64">
        <v>9</v>
      </c>
      <c r="C634" s="48" t="s">
        <v>1979</v>
      </c>
      <c r="D634" s="30">
        <v>10</v>
      </c>
      <c r="E634" s="31">
        <v>1</v>
      </c>
      <c r="F634" s="30">
        <v>10</v>
      </c>
      <c r="G634" s="34">
        <v>4.4000000000000004</v>
      </c>
      <c r="H634" s="1001" t="s">
        <v>3675</v>
      </c>
    </row>
    <row r="638" spans="1:8" ht="15">
      <c r="A638" s="83" t="s">
        <v>3437</v>
      </c>
      <c r="B638" s="84" t="s">
        <v>171</v>
      </c>
      <c r="C638" s="85" t="s">
        <v>99</v>
      </c>
      <c r="D638" s="85" t="s">
        <v>116</v>
      </c>
    </row>
    <row r="639" spans="1:8" ht="15">
      <c r="A639" s="22">
        <v>5311</v>
      </c>
      <c r="B639" s="24" t="s">
        <v>163</v>
      </c>
      <c r="C639" s="22" t="s">
        <v>3681</v>
      </c>
      <c r="D639" s="60">
        <v>12</v>
      </c>
    </row>
    <row r="641" spans="1:7" ht="15.75">
      <c r="A641" s="83" t="s">
        <v>3437</v>
      </c>
      <c r="B641" s="84" t="s">
        <v>171</v>
      </c>
      <c r="C641" s="85" t="s">
        <v>99</v>
      </c>
      <c r="D641" s="85" t="s">
        <v>3442</v>
      </c>
      <c r="E641" s="968" t="s">
        <v>3443</v>
      </c>
      <c r="F641" s="85" t="s">
        <v>116</v>
      </c>
      <c r="G641" s="199" t="s">
        <v>3682</v>
      </c>
    </row>
    <row r="642" spans="1:7" ht="15">
      <c r="A642" s="22">
        <v>2250</v>
      </c>
      <c r="B642" s="37">
        <v>12</v>
      </c>
      <c r="C642" s="37" t="s">
        <v>3683</v>
      </c>
      <c r="D642" s="108">
        <v>30</v>
      </c>
      <c r="E642" s="109">
        <v>244</v>
      </c>
      <c r="F642" s="108">
        <v>7320</v>
      </c>
      <c r="G642" s="137" t="s">
        <v>3684</v>
      </c>
    </row>
    <row r="643" spans="1:7" ht="15">
      <c r="A643" s="22">
        <v>2250</v>
      </c>
      <c r="B643" s="37">
        <v>12</v>
      </c>
      <c r="C643" s="37" t="s">
        <v>3685</v>
      </c>
      <c r="D643" s="108">
        <v>30</v>
      </c>
      <c r="E643" s="109">
        <v>70</v>
      </c>
      <c r="F643" s="108">
        <v>2100</v>
      </c>
      <c r="G643" s="137" t="s">
        <v>3684</v>
      </c>
    </row>
    <row r="644" spans="1:7" ht="15">
      <c r="A644" s="22">
        <v>2250</v>
      </c>
      <c r="B644" s="37">
        <v>9</v>
      </c>
      <c r="C644" s="37" t="s">
        <v>3683</v>
      </c>
      <c r="D644" s="108">
        <v>30</v>
      </c>
      <c r="E644" s="109">
        <v>76</v>
      </c>
      <c r="F644" s="108">
        <v>2280</v>
      </c>
      <c r="G644" s="137" t="s">
        <v>3686</v>
      </c>
    </row>
    <row r="645" spans="1:7" ht="15">
      <c r="A645" s="22">
        <v>2250</v>
      </c>
      <c r="B645" s="37">
        <v>9</v>
      </c>
      <c r="C645" s="37" t="s">
        <v>3685</v>
      </c>
      <c r="D645" s="108">
        <v>30</v>
      </c>
      <c r="E645" s="109">
        <v>36</v>
      </c>
      <c r="F645" s="108">
        <v>1080</v>
      </c>
      <c r="G645" s="137" t="s">
        <v>3686</v>
      </c>
    </row>
    <row r="647" spans="1:7" ht="15.75">
      <c r="A647" s="83" t="s">
        <v>3437</v>
      </c>
      <c r="B647" s="85" t="s">
        <v>99</v>
      </c>
      <c r="C647" s="85" t="s">
        <v>3442</v>
      </c>
      <c r="D647" s="968" t="s">
        <v>3443</v>
      </c>
      <c r="E647" s="85" t="s">
        <v>116</v>
      </c>
      <c r="F647" s="199" t="s">
        <v>201</v>
      </c>
    </row>
    <row r="648" spans="1:7" ht="15">
      <c r="A648" s="22" t="s">
        <v>2381</v>
      </c>
      <c r="B648" s="37" t="s">
        <v>2382</v>
      </c>
      <c r="C648" s="108">
        <v>13.7</v>
      </c>
      <c r="D648" s="109">
        <v>2</v>
      </c>
      <c r="E648" s="108">
        <v>27.4</v>
      </c>
      <c r="F648" s="137" t="s">
        <v>3687</v>
      </c>
    </row>
    <row r="653" spans="1:7" ht="15">
      <c r="A653" s="83" t="s">
        <v>3437</v>
      </c>
      <c r="B653" s="84" t="s">
        <v>171</v>
      </c>
      <c r="C653" s="85" t="s">
        <v>99</v>
      </c>
      <c r="D653" s="85" t="s">
        <v>3442</v>
      </c>
      <c r="E653" s="968" t="s">
        <v>3443</v>
      </c>
      <c r="F653" s="85" t="s">
        <v>116</v>
      </c>
      <c r="G653" s="85" t="s">
        <v>3668</v>
      </c>
    </row>
    <row r="654" spans="1:7" ht="14.25">
      <c r="A654" s="48">
        <v>12701</v>
      </c>
      <c r="B654" s="64">
        <v>6</v>
      </c>
      <c r="C654" s="48" t="s">
        <v>3688</v>
      </c>
      <c r="D654" s="30">
        <v>10</v>
      </c>
      <c r="E654" s="31">
        <v>60</v>
      </c>
      <c r="F654" s="30">
        <v>600</v>
      </c>
      <c r="G654" s="34">
        <v>0.63</v>
      </c>
    </row>
    <row r="655" spans="1:7" ht="14.25">
      <c r="A655" s="48">
        <v>12701</v>
      </c>
      <c r="B655" s="64">
        <v>6</v>
      </c>
      <c r="C655" s="48" t="s">
        <v>3689</v>
      </c>
      <c r="D655" s="30">
        <v>10</v>
      </c>
      <c r="E655" s="31">
        <v>141</v>
      </c>
      <c r="F655" s="30">
        <v>1410</v>
      </c>
      <c r="G655" s="34">
        <v>0.63</v>
      </c>
    </row>
    <row r="656" spans="1:7" ht="15">
      <c r="A656" s="48"/>
      <c r="B656" s="64"/>
      <c r="C656" s="48" t="s">
        <v>3690</v>
      </c>
      <c r="D656" s="126" t="s">
        <v>64</v>
      </c>
      <c r="E656" s="109"/>
      <c r="F656" s="108"/>
      <c r="G656" s="34">
        <v>210</v>
      </c>
    </row>
    <row r="657" spans="1:9" ht="14.25">
      <c r="A657" s="48">
        <v>12701</v>
      </c>
      <c r="B657" s="64">
        <v>6</v>
      </c>
      <c r="C657" s="48" t="s">
        <v>3691</v>
      </c>
      <c r="D657" s="30">
        <v>10</v>
      </c>
      <c r="E657" s="31">
        <v>77</v>
      </c>
      <c r="F657" s="30">
        <v>770</v>
      </c>
      <c r="G657" s="34">
        <v>0.63</v>
      </c>
    </row>
    <row r="658" spans="1:9" ht="14.25">
      <c r="A658" s="48">
        <v>12701</v>
      </c>
      <c r="B658" s="64">
        <v>6</v>
      </c>
      <c r="C658" s="48" t="s">
        <v>3692</v>
      </c>
      <c r="D658" s="30">
        <v>10</v>
      </c>
      <c r="E658" s="31">
        <v>85</v>
      </c>
      <c r="F658" s="30">
        <v>850</v>
      </c>
      <c r="G658" s="34">
        <v>0.63</v>
      </c>
    </row>
    <row r="659" spans="1:9" ht="14.25">
      <c r="A659" s="48">
        <v>5004</v>
      </c>
      <c r="B659" s="64">
        <v>18</v>
      </c>
      <c r="C659" s="48" t="s">
        <v>3693</v>
      </c>
      <c r="D659" s="30">
        <v>50</v>
      </c>
      <c r="E659" s="31">
        <v>12</v>
      </c>
      <c r="F659" s="30">
        <v>600</v>
      </c>
      <c r="G659" s="34">
        <v>0.79</v>
      </c>
    </row>
    <row r="660" spans="1:9" ht="14.25">
      <c r="A660" s="48">
        <v>5004</v>
      </c>
      <c r="B660" s="64">
        <v>18</v>
      </c>
      <c r="C660" s="48" t="s">
        <v>2729</v>
      </c>
      <c r="D660" s="30">
        <v>50</v>
      </c>
      <c r="E660" s="31">
        <v>28</v>
      </c>
      <c r="F660" s="30">
        <v>1400</v>
      </c>
      <c r="G660" s="34">
        <v>0.79</v>
      </c>
    </row>
    <row r="661" spans="1:9" ht="14.25">
      <c r="A661" s="48">
        <v>5004</v>
      </c>
      <c r="B661" s="64">
        <v>18</v>
      </c>
      <c r="C661" s="48" t="s">
        <v>3694</v>
      </c>
      <c r="D661" s="30">
        <v>50</v>
      </c>
      <c r="E661" s="31">
        <v>16</v>
      </c>
      <c r="F661" s="30">
        <v>800</v>
      </c>
      <c r="G661" s="34">
        <v>0.79</v>
      </c>
    </row>
    <row r="662" spans="1:9" ht="14.25">
      <c r="A662" s="48">
        <v>5004</v>
      </c>
      <c r="B662" s="64">
        <v>18</v>
      </c>
      <c r="C662" s="48" t="s">
        <v>3695</v>
      </c>
      <c r="D662" s="30">
        <v>50</v>
      </c>
      <c r="E662" s="31">
        <v>17</v>
      </c>
      <c r="F662" s="30">
        <v>850</v>
      </c>
      <c r="G662" s="34">
        <v>0.79</v>
      </c>
    </row>
    <row r="667" spans="1:9" ht="15">
      <c r="A667" s="83" t="s">
        <v>3437</v>
      </c>
      <c r="B667" s="84" t="s">
        <v>171</v>
      </c>
      <c r="C667" s="85" t="s">
        <v>99</v>
      </c>
      <c r="D667" s="85" t="s">
        <v>3442</v>
      </c>
      <c r="E667" s="968" t="s">
        <v>3443</v>
      </c>
      <c r="F667" s="85" t="s">
        <v>116</v>
      </c>
      <c r="G667" s="85" t="s">
        <v>3668</v>
      </c>
      <c r="H667" s="85"/>
      <c r="I667" s="85" t="s">
        <v>110</v>
      </c>
    </row>
    <row r="668" spans="1:9" ht="14.25">
      <c r="A668" s="48">
        <v>12701</v>
      </c>
      <c r="B668" s="64">
        <v>9</v>
      </c>
      <c r="C668" s="48" t="s">
        <v>3696</v>
      </c>
      <c r="D668" s="30">
        <v>10</v>
      </c>
      <c r="E668" s="31">
        <v>1</v>
      </c>
      <c r="F668" s="30">
        <v>10</v>
      </c>
      <c r="G668" s="34">
        <v>5.04</v>
      </c>
      <c r="H668" s="34">
        <f t="shared" ref="H668:H677" si="3">G668*E668</f>
        <v>5.04</v>
      </c>
      <c r="I668" s="33" t="s">
        <v>3697</v>
      </c>
    </row>
    <row r="669" spans="1:9" ht="14.25">
      <c r="A669" s="48">
        <v>12701</v>
      </c>
      <c r="B669" s="64">
        <v>9</v>
      </c>
      <c r="C669" s="48" t="s">
        <v>92</v>
      </c>
      <c r="D669" s="30">
        <v>10</v>
      </c>
      <c r="E669" s="31">
        <v>1</v>
      </c>
      <c r="F669" s="30">
        <v>10</v>
      </c>
      <c r="G669" s="34">
        <v>5.04</v>
      </c>
      <c r="H669" s="34">
        <f t="shared" si="3"/>
        <v>5.04</v>
      </c>
      <c r="I669" s="33" t="s">
        <v>3697</v>
      </c>
    </row>
    <row r="670" spans="1:9" ht="14.25">
      <c r="A670" s="48">
        <v>12701</v>
      </c>
      <c r="B670" s="64">
        <v>9</v>
      </c>
      <c r="C670" s="48" t="s">
        <v>3698</v>
      </c>
      <c r="D670" s="30">
        <v>10</v>
      </c>
      <c r="E670" s="31">
        <v>10</v>
      </c>
      <c r="F670" s="30">
        <v>100</v>
      </c>
      <c r="G670" s="34">
        <v>5.04</v>
      </c>
      <c r="H670" s="34">
        <f t="shared" si="3"/>
        <v>50.4</v>
      </c>
      <c r="I670" s="33" t="s">
        <v>3697</v>
      </c>
    </row>
    <row r="671" spans="1:9" ht="14.25">
      <c r="A671" s="48">
        <v>12701</v>
      </c>
      <c r="B671" s="64">
        <v>12</v>
      </c>
      <c r="C671" s="48" t="s">
        <v>1979</v>
      </c>
      <c r="D671" s="30">
        <v>10</v>
      </c>
      <c r="E671" s="31">
        <v>1</v>
      </c>
      <c r="F671" s="30">
        <v>10</v>
      </c>
      <c r="G671" s="34">
        <v>5.68</v>
      </c>
      <c r="H671" s="34">
        <f t="shared" si="3"/>
        <v>5.68</v>
      </c>
      <c r="I671" s="33" t="s">
        <v>3697</v>
      </c>
    </row>
    <row r="672" spans="1:9" ht="14.25">
      <c r="A672" s="48">
        <v>12701</v>
      </c>
      <c r="B672" s="64">
        <v>18</v>
      </c>
      <c r="C672" s="48" t="s">
        <v>2114</v>
      </c>
      <c r="D672" s="30">
        <v>10</v>
      </c>
      <c r="E672" s="31">
        <v>1</v>
      </c>
      <c r="F672" s="30">
        <v>10</v>
      </c>
      <c r="G672" s="34">
        <v>7.34</v>
      </c>
      <c r="H672" s="34">
        <f t="shared" si="3"/>
        <v>7.34</v>
      </c>
      <c r="I672" s="33" t="s">
        <v>3697</v>
      </c>
    </row>
    <row r="673" spans="1:9" ht="14.25">
      <c r="A673" s="48">
        <v>12701</v>
      </c>
      <c r="B673" s="64">
        <v>18</v>
      </c>
      <c r="C673" s="48" t="s">
        <v>2147</v>
      </c>
      <c r="D673" s="30">
        <v>10</v>
      </c>
      <c r="E673" s="31">
        <v>1</v>
      </c>
      <c r="F673" s="30">
        <v>10</v>
      </c>
      <c r="G673" s="34">
        <v>7.34</v>
      </c>
      <c r="H673" s="34">
        <f t="shared" si="3"/>
        <v>7.34</v>
      </c>
      <c r="I673" s="33" t="s">
        <v>3697</v>
      </c>
    </row>
    <row r="674" spans="1:9" ht="14.25">
      <c r="A674" s="48">
        <v>12701</v>
      </c>
      <c r="B674" s="64">
        <v>24</v>
      </c>
      <c r="C674" s="48" t="s">
        <v>3680</v>
      </c>
      <c r="D674" s="30">
        <v>10</v>
      </c>
      <c r="E674" s="31">
        <v>1</v>
      </c>
      <c r="F674" s="30">
        <v>10</v>
      </c>
      <c r="G674" s="34">
        <v>8.99</v>
      </c>
      <c r="H674" s="34">
        <f t="shared" si="3"/>
        <v>8.99</v>
      </c>
      <c r="I674" s="33" t="s">
        <v>3697</v>
      </c>
    </row>
    <row r="675" spans="1:9" ht="14.25">
      <c r="A675" s="48">
        <v>12701</v>
      </c>
      <c r="B675" s="64">
        <v>50</v>
      </c>
      <c r="C675" s="48" t="s">
        <v>3284</v>
      </c>
      <c r="D675" s="30">
        <v>10</v>
      </c>
      <c r="E675" s="31">
        <v>1</v>
      </c>
      <c r="F675" s="30">
        <v>10</v>
      </c>
      <c r="G675" s="34">
        <v>20.399999999999999</v>
      </c>
      <c r="H675" s="34">
        <f t="shared" si="3"/>
        <v>20.399999999999999</v>
      </c>
      <c r="I675" s="33" t="s">
        <v>3697</v>
      </c>
    </row>
    <row r="676" spans="1:9" ht="14.25">
      <c r="A676" s="48">
        <v>11700</v>
      </c>
      <c r="B676" s="64">
        <v>24</v>
      </c>
      <c r="C676" s="48" t="s">
        <v>3699</v>
      </c>
      <c r="D676" s="30">
        <v>10</v>
      </c>
      <c r="E676" s="31">
        <v>1</v>
      </c>
      <c r="F676" s="30">
        <v>10</v>
      </c>
      <c r="G676" s="34">
        <v>21.12</v>
      </c>
      <c r="H676" s="34">
        <f t="shared" si="3"/>
        <v>21.12</v>
      </c>
      <c r="I676" s="33" t="s">
        <v>3697</v>
      </c>
    </row>
    <row r="677" spans="1:9" ht="14.25">
      <c r="A677" s="48">
        <v>11700</v>
      </c>
      <c r="B677" s="64">
        <v>24</v>
      </c>
      <c r="C677" s="48" t="s">
        <v>124</v>
      </c>
      <c r="D677" s="30">
        <v>10</v>
      </c>
      <c r="E677" s="31">
        <v>1</v>
      </c>
      <c r="F677" s="30">
        <v>10</v>
      </c>
      <c r="G677" s="34">
        <v>21.12</v>
      </c>
      <c r="H677" s="34">
        <f t="shared" si="3"/>
        <v>21.12</v>
      </c>
      <c r="I677" s="33" t="s">
        <v>3697</v>
      </c>
    </row>
    <row r="678" spans="1:9" ht="14.25">
      <c r="A678" s="48">
        <v>11700</v>
      </c>
      <c r="B678" s="64">
        <v>36</v>
      </c>
      <c r="C678" s="48" t="s">
        <v>157</v>
      </c>
      <c r="D678" s="30">
        <v>10</v>
      </c>
      <c r="E678" s="31">
        <v>1</v>
      </c>
      <c r="F678" s="30">
        <v>10</v>
      </c>
      <c r="G678" s="34">
        <v>35.14</v>
      </c>
      <c r="H678" s="34"/>
      <c r="I678" s="404" t="s">
        <v>3700</v>
      </c>
    </row>
    <row r="679" spans="1:9" ht="14.25">
      <c r="A679" s="48">
        <v>11700</v>
      </c>
      <c r="B679" s="64">
        <v>36</v>
      </c>
      <c r="C679" s="48" t="s">
        <v>124</v>
      </c>
      <c r="D679" s="30">
        <v>10</v>
      </c>
      <c r="E679" s="31">
        <v>1</v>
      </c>
      <c r="F679" s="30">
        <v>10</v>
      </c>
      <c r="G679" s="34">
        <v>35.14</v>
      </c>
      <c r="H679" s="34">
        <f>G679*E679</f>
        <v>35.14</v>
      </c>
      <c r="I679" s="33" t="s">
        <v>3697</v>
      </c>
    </row>
    <row r="680" spans="1:9" ht="14.25">
      <c r="A680" s="48">
        <v>12701</v>
      </c>
      <c r="B680" s="64">
        <v>9</v>
      </c>
      <c r="C680" s="48" t="s">
        <v>1979</v>
      </c>
      <c r="D680" s="30">
        <v>10</v>
      </c>
      <c r="E680" s="31">
        <v>1</v>
      </c>
      <c r="F680" s="30">
        <v>10</v>
      </c>
      <c r="G680" s="34">
        <v>4.4000000000000004</v>
      </c>
      <c r="H680" s="34">
        <f>G680*E680</f>
        <v>4.4000000000000004</v>
      </c>
      <c r="I680" s="33" t="s">
        <v>3697</v>
      </c>
    </row>
    <row r="681" spans="1:9" ht="14.25">
      <c r="A681" s="48">
        <v>11700</v>
      </c>
      <c r="B681" s="64">
        <v>24</v>
      </c>
      <c r="C681" s="48" t="s">
        <v>178</v>
      </c>
      <c r="D681" s="30">
        <v>10</v>
      </c>
      <c r="E681" s="31">
        <v>1</v>
      </c>
      <c r="F681" s="30">
        <v>10</v>
      </c>
      <c r="G681" s="34">
        <v>20.2</v>
      </c>
      <c r="H681" s="34"/>
      <c r="I681" s="404" t="s">
        <v>3701</v>
      </c>
    </row>
    <row r="684" spans="1:9">
      <c r="A684" s="158" t="s">
        <v>2401</v>
      </c>
      <c r="B684" s="158" t="s">
        <v>3702</v>
      </c>
      <c r="C684" s="1002">
        <v>50</v>
      </c>
    </row>
    <row r="685" spans="1:9">
      <c r="A685" s="158" t="s">
        <v>2401</v>
      </c>
      <c r="B685" s="158" t="s">
        <v>3703</v>
      </c>
      <c r="C685" s="1002">
        <v>300</v>
      </c>
    </row>
    <row r="686" spans="1:9">
      <c r="A686" s="158" t="s">
        <v>2401</v>
      </c>
      <c r="B686" s="158" t="s">
        <v>3703</v>
      </c>
      <c r="C686" s="1002">
        <v>72</v>
      </c>
    </row>
    <row r="688" spans="1:9" ht="15">
      <c r="A688" s="83" t="s">
        <v>3437</v>
      </c>
      <c r="B688" s="84" t="s">
        <v>171</v>
      </c>
      <c r="C688" s="85" t="s">
        <v>99</v>
      </c>
      <c r="D688" s="85" t="s">
        <v>3442</v>
      </c>
      <c r="E688" s="968" t="s">
        <v>3443</v>
      </c>
      <c r="F688" s="85" t="s">
        <v>116</v>
      </c>
      <c r="G688" s="85" t="s">
        <v>3668</v>
      </c>
      <c r="H688" s="85"/>
      <c r="I688" s="85" t="s">
        <v>110</v>
      </c>
    </row>
    <row r="689" spans="1:9" ht="14.25">
      <c r="A689" s="48">
        <v>11700</v>
      </c>
      <c r="B689" s="64">
        <v>36</v>
      </c>
      <c r="C689" s="48" t="s">
        <v>157</v>
      </c>
      <c r="D689" s="30">
        <v>10</v>
      </c>
      <c r="E689" s="31">
        <v>1</v>
      </c>
      <c r="F689" s="30">
        <v>10</v>
      </c>
      <c r="G689" s="34">
        <v>35.14</v>
      </c>
      <c r="H689" s="34"/>
      <c r="I689" s="404" t="s">
        <v>3700</v>
      </c>
    </row>
    <row r="690" spans="1:9" ht="14.25">
      <c r="A690" s="48">
        <v>11700</v>
      </c>
      <c r="B690" s="64">
        <v>24</v>
      </c>
      <c r="C690" s="48" t="s">
        <v>178</v>
      </c>
      <c r="D690" s="30">
        <v>10</v>
      </c>
      <c r="E690" s="31">
        <v>1</v>
      </c>
      <c r="F690" s="30">
        <v>10</v>
      </c>
      <c r="G690" s="34">
        <v>20.2</v>
      </c>
      <c r="H690" s="34"/>
      <c r="I690" s="404" t="s">
        <v>3701</v>
      </c>
    </row>
    <row r="693" spans="1:9" ht="15.75">
      <c r="A693" s="76" t="s">
        <v>81</v>
      </c>
      <c r="B693" s="45" t="s">
        <v>2297</v>
      </c>
      <c r="C693" s="84" t="s">
        <v>171</v>
      </c>
      <c r="D693" s="64" t="s">
        <v>3704</v>
      </c>
      <c r="E693" s="85" t="s">
        <v>3442</v>
      </c>
      <c r="F693" s="968" t="s">
        <v>3443</v>
      </c>
      <c r="G693" s="85" t="s">
        <v>116</v>
      </c>
      <c r="H693" s="85" t="s">
        <v>3669</v>
      </c>
    </row>
    <row r="694" spans="1:9" ht="15">
      <c r="A694" s="6" t="s">
        <v>3705</v>
      </c>
      <c r="B694" s="22" t="s">
        <v>3706</v>
      </c>
      <c r="C694" s="37" t="s">
        <v>373</v>
      </c>
      <c r="D694" s="165" t="s">
        <v>3707</v>
      </c>
      <c r="E694" s="108">
        <v>50</v>
      </c>
      <c r="F694" s="109">
        <v>10</v>
      </c>
      <c r="G694" s="8">
        <v>500</v>
      </c>
      <c r="H694" s="39">
        <v>0.44</v>
      </c>
    </row>
    <row r="695" spans="1:9" ht="15">
      <c r="A695" s="6" t="s">
        <v>3705</v>
      </c>
      <c r="B695" s="22" t="s">
        <v>3706</v>
      </c>
      <c r="C695" s="37">
        <v>36</v>
      </c>
      <c r="D695" s="165" t="s">
        <v>3708</v>
      </c>
      <c r="E695" s="108">
        <v>50</v>
      </c>
      <c r="F695" s="109">
        <v>10</v>
      </c>
      <c r="G695" s="8">
        <v>500</v>
      </c>
      <c r="H695" s="39">
        <v>0.9</v>
      </c>
    </row>
    <row r="696" spans="1:9" ht="15">
      <c r="A696" s="6" t="s">
        <v>3705</v>
      </c>
      <c r="B696" s="22" t="s">
        <v>3706</v>
      </c>
      <c r="C696" s="37">
        <v>48</v>
      </c>
      <c r="D696" s="165" t="s">
        <v>3709</v>
      </c>
      <c r="E696" s="108">
        <v>50</v>
      </c>
      <c r="F696" s="109">
        <v>10</v>
      </c>
      <c r="G696" s="8">
        <v>500</v>
      </c>
      <c r="H696" s="39">
        <v>1.19</v>
      </c>
    </row>
    <row r="701" spans="1:9" ht="15">
      <c r="A701" s="19" t="s">
        <v>63</v>
      </c>
      <c r="B701" s="22"/>
      <c r="C701" s="60"/>
      <c r="D701" s="15"/>
      <c r="E701" s="61"/>
      <c r="F701" s="16" t="s">
        <v>5</v>
      </c>
    </row>
    <row r="702" spans="1:9" ht="15">
      <c r="A702" s="82" t="s">
        <v>3629</v>
      </c>
      <c r="B702" s="22" t="s">
        <v>39</v>
      </c>
      <c r="C702" s="108">
        <v>8380</v>
      </c>
      <c r="D702" s="108">
        <v>8380</v>
      </c>
      <c r="E702" s="108">
        <v>8380</v>
      </c>
      <c r="F702" s="39">
        <v>2.37</v>
      </c>
    </row>
    <row r="703" spans="1:9" ht="15">
      <c r="A703" s="82" t="s">
        <v>3629</v>
      </c>
      <c r="B703" s="22" t="s">
        <v>39</v>
      </c>
      <c r="C703" s="108">
        <v>7</v>
      </c>
      <c r="D703" s="108">
        <v>7</v>
      </c>
      <c r="E703" s="108">
        <v>7</v>
      </c>
      <c r="F703" s="39">
        <v>2.37</v>
      </c>
    </row>
    <row r="706" spans="1:8" ht="15.75">
      <c r="A706" s="76" t="s">
        <v>81</v>
      </c>
      <c r="B706" s="83" t="s">
        <v>3437</v>
      </c>
      <c r="C706" s="84" t="s">
        <v>171</v>
      </c>
      <c r="D706" s="85" t="s">
        <v>99</v>
      </c>
      <c r="E706" s="85" t="s">
        <v>3442</v>
      </c>
      <c r="F706" s="968" t="s">
        <v>3443</v>
      </c>
      <c r="G706" s="85" t="s">
        <v>116</v>
      </c>
      <c r="H706" s="85" t="s">
        <v>3710</v>
      </c>
    </row>
    <row r="707" spans="1:8" ht="15">
      <c r="A707" s="28" t="s">
        <v>3711</v>
      </c>
      <c r="B707" s="22">
        <v>2250</v>
      </c>
      <c r="C707" s="37">
        <v>12</v>
      </c>
      <c r="D707" s="37" t="s">
        <v>3712</v>
      </c>
      <c r="E707" s="108">
        <v>30</v>
      </c>
      <c r="F707" s="109">
        <v>6</v>
      </c>
      <c r="G707" s="8">
        <v>180</v>
      </c>
      <c r="H707" s="39">
        <v>0.3</v>
      </c>
    </row>
    <row r="708" spans="1:8" ht="15">
      <c r="A708" s="28" t="s">
        <v>3711</v>
      </c>
      <c r="B708" s="22">
        <v>2250</v>
      </c>
      <c r="C708" s="37">
        <v>24</v>
      </c>
      <c r="D708" s="37" t="s">
        <v>3712</v>
      </c>
      <c r="E708" s="108">
        <v>30</v>
      </c>
      <c r="F708" s="109">
        <v>7</v>
      </c>
      <c r="G708" s="8">
        <v>210</v>
      </c>
      <c r="H708" s="998">
        <v>0.53</v>
      </c>
    </row>
    <row r="709" spans="1:8" ht="15">
      <c r="A709" s="28" t="s">
        <v>3711</v>
      </c>
      <c r="B709" s="22">
        <v>2250</v>
      </c>
      <c r="C709" s="37">
        <v>24</v>
      </c>
      <c r="D709" s="37" t="s">
        <v>3713</v>
      </c>
      <c r="E709" s="108">
        <v>30</v>
      </c>
      <c r="F709" s="109">
        <v>35</v>
      </c>
      <c r="G709" s="8">
        <v>1050</v>
      </c>
      <c r="H709" s="39">
        <v>0.53</v>
      </c>
    </row>
    <row r="710" spans="1:8" ht="15">
      <c r="A710" s="28" t="s">
        <v>3711</v>
      </c>
      <c r="B710" s="22">
        <v>2250</v>
      </c>
      <c r="C710" s="37">
        <v>15</v>
      </c>
      <c r="D710" s="37" t="s">
        <v>2133</v>
      </c>
      <c r="E710" s="108">
        <v>30</v>
      </c>
      <c r="F710" s="109">
        <v>9</v>
      </c>
      <c r="G710" s="108">
        <v>270</v>
      </c>
      <c r="H710" s="39">
        <v>0.35</v>
      </c>
    </row>
    <row r="711" spans="1:8" ht="15">
      <c r="A711" s="28" t="s">
        <v>3711</v>
      </c>
      <c r="B711" s="22">
        <v>2250</v>
      </c>
      <c r="C711" s="37">
        <v>12</v>
      </c>
      <c r="D711" s="37" t="s">
        <v>3713</v>
      </c>
      <c r="E711" s="108">
        <v>30</v>
      </c>
      <c r="F711" s="109">
        <v>2</v>
      </c>
      <c r="G711" s="8">
        <v>60</v>
      </c>
      <c r="H711" s="39">
        <v>0.3</v>
      </c>
    </row>
    <row r="714" spans="1:8" ht="15">
      <c r="A714" s="83" t="s">
        <v>3437</v>
      </c>
      <c r="B714" s="84" t="s">
        <v>171</v>
      </c>
      <c r="C714" s="734" t="s">
        <v>3714</v>
      </c>
    </row>
    <row r="715" spans="1:8" ht="15">
      <c r="A715" s="22" t="s">
        <v>3715</v>
      </c>
      <c r="B715" s="37">
        <v>9</v>
      </c>
      <c r="C715" s="165" t="s">
        <v>3716</v>
      </c>
    </row>
    <row r="716" spans="1:8" ht="15">
      <c r="A716" s="22" t="s">
        <v>3717</v>
      </c>
      <c r="B716" s="37">
        <v>15</v>
      </c>
      <c r="C716" s="165" t="s">
        <v>3718</v>
      </c>
    </row>
    <row r="717" spans="1:8" ht="15">
      <c r="A717" s="22" t="s">
        <v>3719</v>
      </c>
      <c r="B717" s="37">
        <v>36</v>
      </c>
      <c r="C717" s="165" t="s">
        <v>3720</v>
      </c>
    </row>
    <row r="718" spans="1:8" ht="15">
      <c r="A718" s="22" t="s">
        <v>3721</v>
      </c>
      <c r="B718" s="37">
        <v>51</v>
      </c>
      <c r="C718" s="165" t="s">
        <v>3722</v>
      </c>
    </row>
    <row r="719" spans="1:8" ht="15">
      <c r="A719" s="83" t="s">
        <v>3437</v>
      </c>
      <c r="B719" s="85" t="s">
        <v>99</v>
      </c>
      <c r="C719" s="85" t="s">
        <v>116</v>
      </c>
      <c r="D719" s="85" t="s">
        <v>110</v>
      </c>
    </row>
    <row r="720" spans="1:8" ht="15">
      <c r="A720" s="22" t="s">
        <v>7</v>
      </c>
      <c r="B720" s="22" t="s">
        <v>3723</v>
      </c>
      <c r="C720" s="8">
        <v>150</v>
      </c>
      <c r="D720" s="33" t="s">
        <v>3724</v>
      </c>
    </row>
    <row r="721" spans="1:5" ht="15">
      <c r="A721" s="22" t="s">
        <v>7</v>
      </c>
      <c r="B721" s="22" t="s">
        <v>3725</v>
      </c>
      <c r="C721" s="8">
        <v>650</v>
      </c>
      <c r="D721" s="33" t="s">
        <v>3726</v>
      </c>
    </row>
    <row r="722" spans="1:5" ht="15">
      <c r="A722" s="22" t="s">
        <v>7</v>
      </c>
      <c r="B722" s="22" t="s">
        <v>3727</v>
      </c>
      <c r="C722" s="8">
        <v>94</v>
      </c>
      <c r="D722" s="404" t="s">
        <v>111</v>
      </c>
    </row>
    <row r="723" spans="1:5" ht="15">
      <c r="A723" s="22" t="s">
        <v>7</v>
      </c>
      <c r="B723" s="22" t="s">
        <v>3728</v>
      </c>
      <c r="C723" s="8">
        <v>100</v>
      </c>
      <c r="D723" s="404" t="s">
        <v>111</v>
      </c>
    </row>
    <row r="724" spans="1:5" ht="15">
      <c r="A724" s="22" t="s">
        <v>7</v>
      </c>
      <c r="B724" s="22" t="s">
        <v>3729</v>
      </c>
      <c r="C724" s="8">
        <v>100</v>
      </c>
      <c r="D724" s="33" t="s">
        <v>3724</v>
      </c>
    </row>
    <row r="725" spans="1:5" ht="15">
      <c r="A725" s="22" t="s">
        <v>7</v>
      </c>
      <c r="B725" s="22" t="s">
        <v>3730</v>
      </c>
      <c r="C725" s="8">
        <v>150</v>
      </c>
      <c r="D725" s="33">
        <v>43563</v>
      </c>
    </row>
    <row r="726" spans="1:5" ht="15">
      <c r="A726" s="22" t="s">
        <v>7</v>
      </c>
      <c r="B726" s="22" t="s">
        <v>2291</v>
      </c>
      <c r="C726" s="8">
        <v>100</v>
      </c>
      <c r="D726" s="404" t="s">
        <v>111</v>
      </c>
    </row>
    <row r="729" spans="1:5" ht="15">
      <c r="A729" s="83" t="s">
        <v>3437</v>
      </c>
      <c r="B729" s="84" t="s">
        <v>171</v>
      </c>
      <c r="C729" s="734" t="s">
        <v>3731</v>
      </c>
      <c r="D729" s="84" t="s">
        <v>313</v>
      </c>
      <c r="E729" s="85" t="s">
        <v>3732</v>
      </c>
    </row>
    <row r="730" spans="1:5" ht="15">
      <c r="A730" s="22" t="s">
        <v>3733</v>
      </c>
      <c r="B730" s="37">
        <v>15</v>
      </c>
      <c r="C730" s="216" t="s">
        <v>3734</v>
      </c>
      <c r="D730" s="8">
        <v>100</v>
      </c>
      <c r="E730" s="1841">
        <v>1800</v>
      </c>
    </row>
    <row r="731" spans="1:5" ht="15">
      <c r="A731" s="22" t="s">
        <v>3735</v>
      </c>
      <c r="B731" s="37">
        <v>36</v>
      </c>
      <c r="C731" s="216" t="s">
        <v>3736</v>
      </c>
      <c r="D731" s="8">
        <v>100</v>
      </c>
      <c r="E731" s="1842"/>
    </row>
    <row r="732" spans="1:5" ht="15">
      <c r="A732" s="22" t="s">
        <v>3737</v>
      </c>
      <c r="B732" s="37">
        <v>48</v>
      </c>
      <c r="C732" s="216" t="s">
        <v>3738</v>
      </c>
      <c r="D732" s="8">
        <v>100</v>
      </c>
      <c r="E732" s="1842"/>
    </row>
    <row r="733" spans="1:5" ht="15">
      <c r="A733" s="22" t="s">
        <v>3739</v>
      </c>
      <c r="B733" s="37">
        <v>9</v>
      </c>
      <c r="C733" s="216" t="s">
        <v>3740</v>
      </c>
      <c r="D733" s="8">
        <v>100</v>
      </c>
      <c r="E733" s="1843"/>
    </row>
    <row r="734" spans="1:5" ht="15">
      <c r="A734" s="22"/>
      <c r="B734" s="116"/>
      <c r="C734" s="22" t="s">
        <v>3741</v>
      </c>
      <c r="D734" s="8" t="s">
        <v>64</v>
      </c>
      <c r="E734" s="39">
        <v>700</v>
      </c>
    </row>
    <row r="738" spans="1:8" ht="15">
      <c r="A738" s="83" t="s">
        <v>3437</v>
      </c>
      <c r="B738" s="85" t="s">
        <v>99</v>
      </c>
      <c r="C738" s="84" t="s">
        <v>313</v>
      </c>
      <c r="D738" s="85" t="s">
        <v>194</v>
      </c>
      <c r="E738" s="7"/>
    </row>
    <row r="739" spans="1:8" ht="15">
      <c r="A739" s="22">
        <v>53022</v>
      </c>
      <c r="B739" s="22" t="s">
        <v>100</v>
      </c>
      <c r="C739" s="1003">
        <v>27.4</v>
      </c>
      <c r="D739" s="91" t="s">
        <v>3742</v>
      </c>
      <c r="E739" s="7">
        <v>319</v>
      </c>
    </row>
    <row r="740" spans="1:8" ht="15">
      <c r="A740" s="22">
        <v>55436</v>
      </c>
      <c r="B740" s="22" t="s">
        <v>100</v>
      </c>
      <c r="C740" s="1003">
        <v>27.4</v>
      </c>
      <c r="D740" s="91" t="s">
        <v>3743</v>
      </c>
      <c r="E740" s="7">
        <v>1100</v>
      </c>
    </row>
    <row r="741" spans="1:8" ht="15">
      <c r="A741" s="22">
        <v>55426</v>
      </c>
      <c r="B741" s="22" t="s">
        <v>100</v>
      </c>
      <c r="C741" s="1003">
        <v>27.4</v>
      </c>
      <c r="D741" s="91" t="s">
        <v>3744</v>
      </c>
      <c r="E741" s="7">
        <v>482</v>
      </c>
    </row>
    <row r="742" spans="1:8" ht="15">
      <c r="A742" s="22">
        <v>52333</v>
      </c>
      <c r="B742" s="22" t="s">
        <v>100</v>
      </c>
      <c r="C742" s="1003">
        <v>27.4</v>
      </c>
      <c r="D742" s="91" t="s">
        <v>3745</v>
      </c>
      <c r="E742" s="7">
        <v>172</v>
      </c>
    </row>
    <row r="746" spans="1:8" ht="15.75">
      <c r="A746" s="76" t="s">
        <v>81</v>
      </c>
      <c r="B746" s="83" t="s">
        <v>3437</v>
      </c>
      <c r="C746" s="84" t="s">
        <v>171</v>
      </c>
      <c r="D746" s="85" t="s">
        <v>99</v>
      </c>
      <c r="E746" s="85" t="s">
        <v>3442</v>
      </c>
      <c r="F746" s="968" t="s">
        <v>3443</v>
      </c>
      <c r="G746" s="85" t="s">
        <v>116</v>
      </c>
      <c r="H746" s="85" t="s">
        <v>3710</v>
      </c>
    </row>
    <row r="747" spans="1:8" ht="15">
      <c r="A747" s="6" t="s">
        <v>3746</v>
      </c>
      <c r="B747" s="82" t="s">
        <v>3439</v>
      </c>
      <c r="C747" s="15">
        <v>8</v>
      </c>
      <c r="D747" s="22" t="s">
        <v>2186</v>
      </c>
      <c r="E747" s="108">
        <v>100</v>
      </c>
      <c r="F747" s="109">
        <v>2</v>
      </c>
      <c r="G747" s="8">
        <v>200</v>
      </c>
      <c r="H747" s="39">
        <v>0.78</v>
      </c>
    </row>
    <row r="748" spans="1:8" ht="15">
      <c r="A748" s="6" t="s">
        <v>3746</v>
      </c>
      <c r="B748" s="22"/>
      <c r="C748" s="15"/>
      <c r="D748" s="37" t="s">
        <v>204</v>
      </c>
      <c r="E748" s="126" t="s">
        <v>64</v>
      </c>
      <c r="F748" s="109"/>
      <c r="G748" s="108"/>
      <c r="H748" s="39">
        <v>225</v>
      </c>
    </row>
    <row r="749" spans="1:8" ht="15">
      <c r="A749" s="6" t="s">
        <v>3746</v>
      </c>
      <c r="B749" s="82" t="s">
        <v>3747</v>
      </c>
      <c r="C749" s="15">
        <v>10</v>
      </c>
      <c r="D749" s="22" t="s">
        <v>2186</v>
      </c>
      <c r="E749" s="108">
        <v>100</v>
      </c>
      <c r="F749" s="109">
        <v>3</v>
      </c>
      <c r="G749" s="8">
        <v>300</v>
      </c>
      <c r="H749" s="39">
        <v>0.85</v>
      </c>
    </row>
    <row r="750" spans="1:8" ht="15">
      <c r="A750" s="6" t="s">
        <v>3746</v>
      </c>
      <c r="B750" s="22"/>
      <c r="C750" s="15"/>
      <c r="D750" s="37" t="s">
        <v>204</v>
      </c>
      <c r="E750" s="126" t="s">
        <v>64</v>
      </c>
      <c r="F750" s="109"/>
      <c r="G750" s="108"/>
      <c r="H750" s="39">
        <v>437.5</v>
      </c>
    </row>
    <row r="753" spans="1:7" ht="15">
      <c r="A753" s="83" t="s">
        <v>3437</v>
      </c>
      <c r="B753" s="84" t="s">
        <v>171</v>
      </c>
      <c r="C753" s="85" t="s">
        <v>99</v>
      </c>
      <c r="D753" s="85" t="s">
        <v>3442</v>
      </c>
    </row>
    <row r="754" spans="1:7" ht="15">
      <c r="A754" s="22">
        <v>12701</v>
      </c>
      <c r="B754" s="37">
        <v>18</v>
      </c>
      <c r="C754" s="22" t="s">
        <v>3246</v>
      </c>
      <c r="D754" s="35">
        <v>1</v>
      </c>
      <c r="E754" s="8">
        <v>10</v>
      </c>
      <c r="F754" s="35">
        <v>1</v>
      </c>
      <c r="G754" s="39">
        <v>7.34</v>
      </c>
    </row>
    <row r="755" spans="1:7" ht="15">
      <c r="A755" s="22">
        <v>11700</v>
      </c>
      <c r="B755" s="37">
        <v>24</v>
      </c>
      <c r="C755" s="22" t="s">
        <v>350</v>
      </c>
      <c r="D755" s="35">
        <v>1</v>
      </c>
      <c r="E755" s="8">
        <v>10</v>
      </c>
      <c r="F755" s="35">
        <v>1</v>
      </c>
      <c r="G755" s="39">
        <v>21.12</v>
      </c>
    </row>
    <row r="758" spans="1:7" ht="15">
      <c r="A758" s="83" t="s">
        <v>3437</v>
      </c>
      <c r="B758" s="85" t="s">
        <v>99</v>
      </c>
      <c r="C758" s="84" t="s">
        <v>313</v>
      </c>
      <c r="D758" s="85" t="s">
        <v>194</v>
      </c>
    </row>
    <row r="759" spans="1:7" ht="15">
      <c r="A759" s="22" t="s">
        <v>3748</v>
      </c>
      <c r="B759" s="22" t="s">
        <v>58</v>
      </c>
      <c r="C759" s="196">
        <v>28</v>
      </c>
      <c r="D759" s="1004" t="s">
        <v>3749</v>
      </c>
    </row>
    <row r="760" spans="1:7" ht="15">
      <c r="A760" s="22"/>
      <c r="B760" s="22" t="s">
        <v>14</v>
      </c>
      <c r="C760" s="8"/>
      <c r="D760" s="39">
        <v>12</v>
      </c>
    </row>
    <row r="763" spans="1:7" ht="15.75">
      <c r="A763" s="199" t="s">
        <v>3750</v>
      </c>
      <c r="B763" s="1005" t="s">
        <v>112</v>
      </c>
      <c r="C763" s="64" t="s">
        <v>3751</v>
      </c>
      <c r="D763" s="85" t="s">
        <v>194</v>
      </c>
    </row>
    <row r="764" spans="1:7" ht="15">
      <c r="A764" s="114" t="s">
        <v>3752</v>
      </c>
      <c r="B764" s="37">
        <v>9</v>
      </c>
      <c r="C764" s="216" t="s">
        <v>3753</v>
      </c>
      <c r="D764" s="1004" t="s">
        <v>3754</v>
      </c>
    </row>
    <row r="765" spans="1:7" ht="15">
      <c r="A765" s="114" t="s">
        <v>3752</v>
      </c>
      <c r="B765" s="37">
        <v>15</v>
      </c>
      <c r="C765" s="216" t="s">
        <v>3753</v>
      </c>
      <c r="D765" s="1004" t="s">
        <v>3755</v>
      </c>
    </row>
    <row r="766" spans="1:7" ht="15">
      <c r="A766" s="114" t="s">
        <v>3752</v>
      </c>
      <c r="B766" s="37">
        <v>36</v>
      </c>
      <c r="C766" s="216" t="s">
        <v>3756</v>
      </c>
      <c r="D766" s="1004" t="s">
        <v>3757</v>
      </c>
    </row>
    <row r="767" spans="1:7" ht="15">
      <c r="A767" s="114" t="s">
        <v>3752</v>
      </c>
      <c r="B767" s="37">
        <v>48</v>
      </c>
      <c r="C767" s="216" t="s">
        <v>3753</v>
      </c>
      <c r="D767" s="1004" t="s">
        <v>3758</v>
      </c>
    </row>
    <row r="768" spans="1:7" ht="15">
      <c r="A768" s="1006"/>
      <c r="B768" s="298"/>
      <c r="C768" s="1007"/>
    </row>
    <row r="771" spans="1:8" ht="15">
      <c r="A771" s="83" t="s">
        <v>3437</v>
      </c>
      <c r="B771" s="84" t="s">
        <v>171</v>
      </c>
      <c r="C771" s="734" t="s">
        <v>3759</v>
      </c>
      <c r="D771" s="84" t="s">
        <v>331</v>
      </c>
      <c r="E771" s="84" t="s">
        <v>3760</v>
      </c>
      <c r="F771" s="85" t="s">
        <v>3710</v>
      </c>
    </row>
    <row r="772" spans="1:8" ht="15">
      <c r="A772" s="22" t="s">
        <v>3733</v>
      </c>
      <c r="B772" s="37" t="s">
        <v>373</v>
      </c>
      <c r="C772" s="1008" t="s">
        <v>3761</v>
      </c>
      <c r="D772" s="1009">
        <v>50</v>
      </c>
      <c r="E772" s="108">
        <v>300</v>
      </c>
      <c r="F772" s="39">
        <v>0.72</v>
      </c>
    </row>
    <row r="773" spans="1:8" ht="15">
      <c r="A773" s="22" t="s">
        <v>3735</v>
      </c>
      <c r="B773" s="37">
        <v>36</v>
      </c>
      <c r="C773" s="1008" t="s">
        <v>3762</v>
      </c>
      <c r="D773" s="1009">
        <v>50</v>
      </c>
      <c r="E773" s="108">
        <v>300</v>
      </c>
      <c r="F773" s="39">
        <v>1.74</v>
      </c>
    </row>
    <row r="776" spans="1:8" ht="31.5">
      <c r="A776" s="233" t="s">
        <v>260</v>
      </c>
      <c r="B776" s="284" t="s">
        <v>169</v>
      </c>
      <c r="C776" s="285" t="s">
        <v>2</v>
      </c>
      <c r="D776" s="227" t="s">
        <v>282</v>
      </c>
      <c r="E776" s="227" t="s">
        <v>3763</v>
      </c>
      <c r="F776" s="1010" t="s">
        <v>327</v>
      </c>
      <c r="G776" s="1010" t="s">
        <v>244</v>
      </c>
      <c r="H776" s="1011" t="s">
        <v>3764</v>
      </c>
    </row>
    <row r="781" spans="1:8" ht="15.75">
      <c r="A781" s="83" t="s">
        <v>81</v>
      </c>
      <c r="B781" s="83" t="s">
        <v>3437</v>
      </c>
      <c r="C781" s="84" t="s">
        <v>171</v>
      </c>
      <c r="D781" s="85" t="s">
        <v>99</v>
      </c>
      <c r="E781" s="84" t="s">
        <v>313</v>
      </c>
      <c r="F781" s="29" t="s">
        <v>5</v>
      </c>
      <c r="G781" s="84" t="s">
        <v>148</v>
      </c>
      <c r="H781" s="1012"/>
    </row>
    <row r="782" spans="1:8" ht="15">
      <c r="A782" s="28" t="s">
        <v>3765</v>
      </c>
      <c r="B782" s="22" t="s">
        <v>7</v>
      </c>
      <c r="C782" s="102">
        <v>134</v>
      </c>
      <c r="D782" s="22" t="s">
        <v>3725</v>
      </c>
      <c r="E782" s="8">
        <v>452</v>
      </c>
      <c r="F782" s="39">
        <v>3.57</v>
      </c>
      <c r="G782" s="1844" t="s">
        <v>3766</v>
      </c>
      <c r="H782" s="39"/>
    </row>
    <row r="783" spans="1:8" ht="15">
      <c r="A783" s="28" t="s">
        <v>3765</v>
      </c>
      <c r="B783" s="22" t="s">
        <v>7</v>
      </c>
      <c r="C783" s="102">
        <v>134</v>
      </c>
      <c r="D783" s="22" t="s">
        <v>3727</v>
      </c>
      <c r="E783" s="8">
        <v>94</v>
      </c>
      <c r="F783" s="39">
        <v>3.57</v>
      </c>
      <c r="G783" s="1845"/>
      <c r="H783" s="32"/>
    </row>
    <row r="784" spans="1:8" ht="15">
      <c r="A784" s="28" t="s">
        <v>3765</v>
      </c>
      <c r="B784" s="22" t="s">
        <v>7</v>
      </c>
      <c r="C784" s="102">
        <v>134</v>
      </c>
      <c r="D784" s="22" t="s">
        <v>3728</v>
      </c>
      <c r="E784" s="8">
        <v>100</v>
      </c>
      <c r="F784" s="39">
        <v>3.57</v>
      </c>
      <c r="G784" s="1845"/>
      <c r="H784" s="32"/>
    </row>
    <row r="785" spans="1:8" ht="15">
      <c r="A785" s="28" t="s">
        <v>3765</v>
      </c>
      <c r="B785" s="22" t="s">
        <v>7</v>
      </c>
      <c r="C785" s="102">
        <v>134</v>
      </c>
      <c r="D785" s="22" t="s">
        <v>3730</v>
      </c>
      <c r="E785" s="8">
        <v>150</v>
      </c>
      <c r="F785" s="39">
        <v>3.57</v>
      </c>
      <c r="G785" s="1845"/>
      <c r="H785" s="32"/>
    </row>
    <row r="786" spans="1:8" ht="15">
      <c r="A786" s="28" t="s">
        <v>3765</v>
      </c>
      <c r="B786" s="22" t="s">
        <v>7</v>
      </c>
      <c r="C786" s="102">
        <v>134</v>
      </c>
      <c r="D786" s="22" t="s">
        <v>2291</v>
      </c>
      <c r="E786" s="8">
        <v>100</v>
      </c>
      <c r="F786" s="39">
        <v>3.57</v>
      </c>
      <c r="G786" s="1846"/>
      <c r="H786" s="32"/>
    </row>
    <row r="787" spans="1:8" ht="15">
      <c r="A787" s="28" t="s">
        <v>3765</v>
      </c>
      <c r="B787" s="22" t="s">
        <v>7</v>
      </c>
      <c r="C787" s="102">
        <v>134</v>
      </c>
      <c r="D787" s="22" t="s">
        <v>3723</v>
      </c>
      <c r="E787" s="8">
        <v>150</v>
      </c>
      <c r="F787" s="39">
        <v>3.57</v>
      </c>
      <c r="G787" s="1833" t="s">
        <v>3767</v>
      </c>
      <c r="H787" s="39">
        <f>F787*E787</f>
        <v>535.5</v>
      </c>
    </row>
    <row r="788" spans="1:8" ht="15">
      <c r="A788" s="28" t="s">
        <v>3765</v>
      </c>
      <c r="B788" s="22" t="s">
        <v>7</v>
      </c>
      <c r="C788" s="102">
        <v>134</v>
      </c>
      <c r="D788" s="22" t="s">
        <v>3725</v>
      </c>
      <c r="E788" s="8">
        <v>198</v>
      </c>
      <c r="F788" s="39">
        <v>3.57</v>
      </c>
      <c r="G788" s="1834"/>
      <c r="H788" s="39">
        <f>F788*E788</f>
        <v>706.86</v>
      </c>
    </row>
    <row r="789" spans="1:8" ht="15">
      <c r="A789" s="28" t="s">
        <v>3765</v>
      </c>
      <c r="B789" s="22" t="s">
        <v>7</v>
      </c>
      <c r="C789" s="102">
        <v>134</v>
      </c>
      <c r="D789" s="22" t="s">
        <v>3729</v>
      </c>
      <c r="E789" s="8">
        <v>100</v>
      </c>
      <c r="F789" s="39">
        <v>3.57</v>
      </c>
      <c r="G789" s="1835"/>
      <c r="H789" s="39">
        <f>F789*E789</f>
        <v>357</v>
      </c>
    </row>
    <row r="790" spans="1:8">
      <c r="A790" s="194"/>
    </row>
    <row r="791" spans="1:8">
      <c r="A791" s="194"/>
    </row>
    <row r="792" spans="1:8" ht="15.75">
      <c r="A792" s="83" t="s">
        <v>81</v>
      </c>
      <c r="B792" s="83" t="s">
        <v>3437</v>
      </c>
      <c r="C792" s="84" t="s">
        <v>171</v>
      </c>
      <c r="D792" s="85" t="s">
        <v>99</v>
      </c>
      <c r="E792" s="84" t="s">
        <v>313</v>
      </c>
      <c r="F792" s="29" t="s">
        <v>5</v>
      </c>
      <c r="G792" s="84" t="s">
        <v>148</v>
      </c>
    </row>
    <row r="793" spans="1:8" ht="15">
      <c r="A793" s="28" t="s">
        <v>3768</v>
      </c>
      <c r="B793" s="22" t="s">
        <v>7</v>
      </c>
      <c r="C793" s="102">
        <v>134</v>
      </c>
      <c r="D793" s="22" t="s">
        <v>3723</v>
      </c>
      <c r="E793" s="8">
        <v>50</v>
      </c>
      <c r="F793" s="39">
        <v>3.57</v>
      </c>
      <c r="G793" s="1833" t="s">
        <v>3767</v>
      </c>
      <c r="H793" s="39">
        <f>F793*E793</f>
        <v>178.5</v>
      </c>
    </row>
    <row r="794" spans="1:8" ht="15">
      <c r="A794" s="28" t="s">
        <v>3768</v>
      </c>
      <c r="B794" s="22" t="s">
        <v>7</v>
      </c>
      <c r="C794" s="102">
        <v>134</v>
      </c>
      <c r="D794" s="22" t="s">
        <v>3725</v>
      </c>
      <c r="E794" s="8">
        <v>214</v>
      </c>
      <c r="F794" s="39">
        <v>3.57</v>
      </c>
      <c r="G794" s="1834"/>
      <c r="H794" s="39">
        <f>F794*E794</f>
        <v>763.98</v>
      </c>
    </row>
    <row r="795" spans="1:8" ht="15">
      <c r="A795" s="28" t="s">
        <v>3768</v>
      </c>
      <c r="B795" s="22" t="s">
        <v>7</v>
      </c>
      <c r="C795" s="102">
        <v>134</v>
      </c>
      <c r="D795" s="22" t="s">
        <v>3728</v>
      </c>
      <c r="E795" s="8">
        <v>49</v>
      </c>
      <c r="F795" s="39">
        <v>3.57</v>
      </c>
      <c r="G795" s="1834"/>
      <c r="H795" s="39">
        <f>F795*E795</f>
        <v>174.92999999999998</v>
      </c>
    </row>
    <row r="796" spans="1:8" ht="15">
      <c r="A796" s="28" t="s">
        <v>3768</v>
      </c>
      <c r="B796" s="22" t="s">
        <v>7</v>
      </c>
      <c r="C796" s="102">
        <v>134</v>
      </c>
      <c r="D796" s="22" t="s">
        <v>3730</v>
      </c>
      <c r="E796" s="8">
        <v>50</v>
      </c>
      <c r="F796" s="39">
        <v>3.57</v>
      </c>
      <c r="G796" s="1834"/>
      <c r="H796" s="39">
        <f>F796*E796</f>
        <v>178.5</v>
      </c>
    </row>
    <row r="797" spans="1:8" ht="15">
      <c r="A797" s="28" t="s">
        <v>3768</v>
      </c>
      <c r="B797" s="22" t="s">
        <v>7</v>
      </c>
      <c r="C797" s="102">
        <v>134</v>
      </c>
      <c r="D797" s="22" t="s">
        <v>2291</v>
      </c>
      <c r="E797" s="8">
        <v>50</v>
      </c>
      <c r="F797" s="39">
        <v>3.57</v>
      </c>
      <c r="G797" s="1835"/>
      <c r="H797" s="39">
        <f>F797*E797</f>
        <v>178.5</v>
      </c>
    </row>
    <row r="799" spans="1:8" ht="15">
      <c r="A799" s="83" t="s">
        <v>3437</v>
      </c>
      <c r="B799" s="85" t="s">
        <v>99</v>
      </c>
      <c r="C799" s="84" t="s">
        <v>313</v>
      </c>
    </row>
    <row r="800" spans="1:8" ht="15">
      <c r="A800" s="22" t="s">
        <v>7</v>
      </c>
      <c r="B800" s="22" t="s">
        <v>3723</v>
      </c>
      <c r="C800" s="8">
        <v>50</v>
      </c>
    </row>
    <row r="801" spans="1:17" ht="15">
      <c r="A801" s="22" t="s">
        <v>7</v>
      </c>
      <c r="B801" s="22" t="s">
        <v>3725</v>
      </c>
      <c r="C801" s="8">
        <v>214</v>
      </c>
    </row>
    <row r="802" spans="1:17" ht="15">
      <c r="A802" s="22" t="s">
        <v>7</v>
      </c>
      <c r="B802" s="22" t="s">
        <v>3728</v>
      </c>
      <c r="C802" s="8">
        <v>49</v>
      </c>
    </row>
    <row r="803" spans="1:17" ht="15">
      <c r="A803" s="22" t="s">
        <v>7</v>
      </c>
      <c r="B803" s="22" t="s">
        <v>3730</v>
      </c>
      <c r="C803" s="8">
        <v>50</v>
      </c>
    </row>
    <row r="804" spans="1:17" ht="15">
      <c r="A804" s="22" t="s">
        <v>7</v>
      </c>
      <c r="B804" s="22" t="s">
        <v>2291</v>
      </c>
      <c r="C804" s="8">
        <v>50</v>
      </c>
    </row>
    <row r="807" spans="1:17" ht="15.75">
      <c r="A807" s="83" t="s">
        <v>3437</v>
      </c>
      <c r="B807" s="84" t="s">
        <v>171</v>
      </c>
      <c r="C807" s="85" t="s">
        <v>99</v>
      </c>
      <c r="D807" s="84" t="s">
        <v>313</v>
      </c>
      <c r="E807" s="1013" t="s">
        <v>3769</v>
      </c>
      <c r="F807" s="35"/>
      <c r="G807" s="110" t="s">
        <v>5</v>
      </c>
      <c r="H807" s="1012"/>
      <c r="I807" s="11"/>
      <c r="J807" s="144"/>
      <c r="K807" s="6"/>
      <c r="L807" s="39"/>
      <c r="M807" s="39"/>
      <c r="N807" s="7"/>
    </row>
    <row r="808" spans="1:17" ht="15">
      <c r="A808" s="82" t="s">
        <v>3735</v>
      </c>
      <c r="B808" s="37">
        <v>36</v>
      </c>
      <c r="C808" s="216" t="s">
        <v>3736</v>
      </c>
      <c r="D808" s="8">
        <v>2500</v>
      </c>
      <c r="E808" s="81" t="s">
        <v>3770</v>
      </c>
      <c r="F808" s="8">
        <v>2500</v>
      </c>
      <c r="G808" s="39">
        <v>1.67</v>
      </c>
      <c r="H808" s="32"/>
      <c r="I808" s="33"/>
      <c r="J808" s="139"/>
      <c r="K808" s="722"/>
      <c r="L808" s="23">
        <v>1.34</v>
      </c>
      <c r="M808" s="120"/>
      <c r="N808" s="7">
        <v>100</v>
      </c>
    </row>
    <row r="809" spans="1:17" ht="15">
      <c r="A809" s="82" t="s">
        <v>3733</v>
      </c>
      <c r="B809" s="37">
        <v>15</v>
      </c>
      <c r="C809" s="216" t="s">
        <v>3734</v>
      </c>
      <c r="D809" s="8">
        <v>3500</v>
      </c>
      <c r="E809" s="81" t="s">
        <v>3771</v>
      </c>
      <c r="F809" s="8">
        <v>3500</v>
      </c>
      <c r="G809" s="39">
        <v>0.7</v>
      </c>
      <c r="H809" s="32"/>
      <c r="I809" s="33"/>
      <c r="J809" s="139"/>
      <c r="K809" s="722"/>
      <c r="L809" s="23">
        <v>0.56000000000000005</v>
      </c>
      <c r="M809" s="120"/>
      <c r="N809" s="7">
        <v>42</v>
      </c>
    </row>
    <row r="812" spans="1:17" s="7" customFormat="1" ht="17.25" customHeight="1">
      <c r="A812" s="6" t="s">
        <v>3772</v>
      </c>
      <c r="B812" s="14" t="s">
        <v>3773</v>
      </c>
      <c r="C812" s="22">
        <v>5636</v>
      </c>
      <c r="D812" s="37" t="s">
        <v>230</v>
      </c>
      <c r="E812" s="37" t="s">
        <v>2232</v>
      </c>
      <c r="F812" s="8">
        <v>50</v>
      </c>
      <c r="G812" s="108">
        <v>50</v>
      </c>
      <c r="H812" s="109">
        <v>1</v>
      </c>
      <c r="I812" s="39">
        <v>0.22</v>
      </c>
      <c r="J812" s="32" t="s">
        <v>3774</v>
      </c>
      <c r="K812" s="33">
        <v>43532</v>
      </c>
      <c r="L812" s="139">
        <v>43532</v>
      </c>
      <c r="M812" s="722"/>
      <c r="N812" s="39">
        <v>0.17</v>
      </c>
      <c r="O812" s="772" t="s">
        <v>3775</v>
      </c>
      <c r="P812" s="7">
        <v>10.4</v>
      </c>
      <c r="Q812" s="752" t="s">
        <v>3776</v>
      </c>
    </row>
    <row r="813" spans="1:17" s="7" customFormat="1" ht="17.25" customHeight="1">
      <c r="A813" s="6" t="s">
        <v>3772</v>
      </c>
      <c r="B813" s="14" t="s">
        <v>3773</v>
      </c>
      <c r="C813" s="22">
        <v>5636</v>
      </c>
      <c r="D813" s="37" t="s">
        <v>230</v>
      </c>
      <c r="E813" s="37" t="s">
        <v>3777</v>
      </c>
      <c r="F813" s="8">
        <v>50</v>
      </c>
      <c r="G813" s="108">
        <v>50</v>
      </c>
      <c r="H813" s="109">
        <v>1</v>
      </c>
      <c r="I813" s="39">
        <v>0.22</v>
      </c>
      <c r="J813" s="32" t="s">
        <v>3774</v>
      </c>
      <c r="K813" s="33">
        <v>43532</v>
      </c>
      <c r="L813" s="139">
        <v>43532</v>
      </c>
      <c r="M813" s="722"/>
      <c r="N813" s="39">
        <v>0.17</v>
      </c>
      <c r="O813" s="772"/>
      <c r="Q813" s="752" t="s">
        <v>3776</v>
      </c>
    </row>
    <row r="814" spans="1:17" s="7" customFormat="1" ht="17.25" customHeight="1">
      <c r="A814" s="6" t="s">
        <v>3772</v>
      </c>
      <c r="B814" s="14" t="s">
        <v>3773</v>
      </c>
      <c r="C814" s="22">
        <v>5636</v>
      </c>
      <c r="D814" s="37" t="s">
        <v>230</v>
      </c>
      <c r="E814" s="37" t="s">
        <v>3778</v>
      </c>
      <c r="F814" s="8">
        <v>50</v>
      </c>
      <c r="G814" s="108">
        <v>50</v>
      </c>
      <c r="H814" s="109">
        <v>1</v>
      </c>
      <c r="I814" s="39">
        <v>0.22</v>
      </c>
      <c r="J814" s="32" t="s">
        <v>3774</v>
      </c>
      <c r="K814" s="33">
        <v>43532</v>
      </c>
      <c r="L814" s="139">
        <v>43532</v>
      </c>
      <c r="M814" s="722"/>
      <c r="N814" s="39">
        <v>0.17</v>
      </c>
      <c r="O814" s="772"/>
      <c r="Q814" s="752" t="s">
        <v>3776</v>
      </c>
    </row>
    <row r="815" spans="1:17" s="7" customFormat="1" ht="17.25" customHeight="1">
      <c r="A815" s="6" t="s">
        <v>3772</v>
      </c>
      <c r="B815" s="14" t="s">
        <v>3773</v>
      </c>
      <c r="C815" s="22">
        <v>5636</v>
      </c>
      <c r="D815" s="37" t="s">
        <v>230</v>
      </c>
      <c r="E815" s="37" t="s">
        <v>3779</v>
      </c>
      <c r="F815" s="8">
        <v>50</v>
      </c>
      <c r="G815" s="108">
        <v>50</v>
      </c>
      <c r="H815" s="109">
        <v>1</v>
      </c>
      <c r="I815" s="39">
        <v>0.22</v>
      </c>
      <c r="J815" s="32" t="s">
        <v>3774</v>
      </c>
      <c r="K815" s="33">
        <v>43532</v>
      </c>
      <c r="L815" s="139">
        <v>43532</v>
      </c>
      <c r="M815" s="722"/>
      <c r="N815" s="39">
        <v>0.17</v>
      </c>
      <c r="O815" s="772"/>
      <c r="Q815" s="752" t="s">
        <v>3776</v>
      </c>
    </row>
    <row r="816" spans="1:17" s="7" customFormat="1" ht="17.25" customHeight="1">
      <c r="A816" s="6" t="s">
        <v>3772</v>
      </c>
      <c r="B816" s="14" t="s">
        <v>3773</v>
      </c>
      <c r="C816" s="22">
        <v>5636</v>
      </c>
      <c r="D816" s="37" t="s">
        <v>230</v>
      </c>
      <c r="E816" s="37" t="s">
        <v>3780</v>
      </c>
      <c r="F816" s="8">
        <v>50</v>
      </c>
      <c r="G816" s="108">
        <v>50</v>
      </c>
      <c r="H816" s="109">
        <v>1</v>
      </c>
      <c r="I816" s="39">
        <v>0.22</v>
      </c>
      <c r="J816" s="32" t="s">
        <v>3774</v>
      </c>
      <c r="K816" s="33">
        <v>43532</v>
      </c>
      <c r="L816" s="139">
        <v>43532</v>
      </c>
      <c r="M816" s="722"/>
      <c r="N816" s="39">
        <v>0.17</v>
      </c>
      <c r="O816" s="772"/>
      <c r="Q816" s="752" t="s">
        <v>3776</v>
      </c>
    </row>
    <row r="817" spans="1:17" s="7" customFormat="1" ht="17.25" customHeight="1">
      <c r="A817" s="6" t="s">
        <v>3772</v>
      </c>
      <c r="B817" s="14" t="s">
        <v>3773</v>
      </c>
      <c r="C817" s="22">
        <v>5636</v>
      </c>
      <c r="D817" s="37" t="s">
        <v>230</v>
      </c>
      <c r="E817" s="37" t="s">
        <v>3781</v>
      </c>
      <c r="F817" s="8">
        <v>50</v>
      </c>
      <c r="G817" s="108">
        <v>50</v>
      </c>
      <c r="H817" s="109">
        <v>1</v>
      </c>
      <c r="I817" s="39">
        <v>0.22</v>
      </c>
      <c r="J817" s="32" t="s">
        <v>3774</v>
      </c>
      <c r="K817" s="33">
        <v>43532</v>
      </c>
      <c r="L817" s="139">
        <v>43532</v>
      </c>
      <c r="M817" s="722"/>
      <c r="N817" s="39">
        <v>0.17</v>
      </c>
      <c r="O817" s="772"/>
      <c r="Q817" s="752" t="s">
        <v>3776</v>
      </c>
    </row>
    <row r="818" spans="1:17" s="7" customFormat="1" ht="17.25" customHeight="1">
      <c r="A818" s="6" t="s">
        <v>3772</v>
      </c>
      <c r="B818" s="14" t="s">
        <v>3773</v>
      </c>
      <c r="C818" s="22">
        <v>5636</v>
      </c>
      <c r="D818" s="37" t="s">
        <v>230</v>
      </c>
      <c r="E818" s="37" t="s">
        <v>3782</v>
      </c>
      <c r="F818" s="8">
        <v>50</v>
      </c>
      <c r="G818" s="108">
        <v>50</v>
      </c>
      <c r="H818" s="109">
        <v>1</v>
      </c>
      <c r="I818" s="39">
        <v>0.22</v>
      </c>
      <c r="J818" s="32" t="s">
        <v>3774</v>
      </c>
      <c r="K818" s="33">
        <v>43532</v>
      </c>
      <c r="L818" s="139">
        <v>43532</v>
      </c>
      <c r="M818" s="722"/>
      <c r="N818" s="39">
        <v>0.17</v>
      </c>
      <c r="O818" s="772"/>
      <c r="Q818" s="752" t="s">
        <v>3776</v>
      </c>
    </row>
    <row r="819" spans="1:17" s="7" customFormat="1" ht="17.25" customHeight="1">
      <c r="A819" s="6" t="s">
        <v>3783</v>
      </c>
      <c r="B819" s="14" t="s">
        <v>3773</v>
      </c>
      <c r="C819" s="22">
        <v>5636</v>
      </c>
      <c r="D819" s="37" t="s">
        <v>230</v>
      </c>
      <c r="E819" s="37" t="s">
        <v>3784</v>
      </c>
      <c r="F819" s="8">
        <v>50</v>
      </c>
      <c r="G819" s="108">
        <v>50</v>
      </c>
      <c r="H819" s="109">
        <v>1</v>
      </c>
      <c r="I819" s="39">
        <v>0.22</v>
      </c>
      <c r="J819" s="32" t="s">
        <v>3785</v>
      </c>
      <c r="K819" s="33">
        <v>43549</v>
      </c>
      <c r="L819" s="139">
        <v>43549</v>
      </c>
      <c r="M819" s="722"/>
      <c r="N819" s="39">
        <v>0.17</v>
      </c>
      <c r="O819" s="772"/>
      <c r="Q819" s="752" t="s">
        <v>3776</v>
      </c>
    </row>
    <row r="820" spans="1:17" s="7" customFormat="1" ht="17.25" customHeight="1">
      <c r="A820" s="6" t="s">
        <v>3783</v>
      </c>
      <c r="B820" s="14" t="s">
        <v>3773</v>
      </c>
      <c r="C820" s="22">
        <v>5636</v>
      </c>
      <c r="D820" s="37" t="s">
        <v>230</v>
      </c>
      <c r="E820" s="37" t="s">
        <v>3786</v>
      </c>
      <c r="F820" s="8">
        <v>50</v>
      </c>
      <c r="G820" s="108">
        <v>50</v>
      </c>
      <c r="H820" s="109">
        <v>1</v>
      </c>
      <c r="I820" s="39">
        <v>0.22</v>
      </c>
      <c r="J820" s="32" t="s">
        <v>3785</v>
      </c>
      <c r="K820" s="33">
        <v>43549</v>
      </c>
      <c r="L820" s="139">
        <v>43549</v>
      </c>
      <c r="M820" s="722"/>
      <c r="N820" s="39">
        <v>0.17</v>
      </c>
      <c r="O820" s="772"/>
      <c r="Q820" s="752" t="s">
        <v>3776</v>
      </c>
    </row>
    <row r="821" spans="1:17" s="7" customFormat="1" ht="17.25" customHeight="1">
      <c r="A821" s="6" t="s">
        <v>3787</v>
      </c>
      <c r="B821" s="14" t="s">
        <v>3773</v>
      </c>
      <c r="C821" s="22">
        <v>5636</v>
      </c>
      <c r="D821" s="37" t="s">
        <v>230</v>
      </c>
      <c r="E821" s="37" t="s">
        <v>3788</v>
      </c>
      <c r="F821" s="8">
        <v>50</v>
      </c>
      <c r="G821" s="108">
        <v>50</v>
      </c>
      <c r="H821" s="109">
        <v>1</v>
      </c>
      <c r="I821" s="39">
        <v>0.22</v>
      </c>
      <c r="J821" s="32" t="s">
        <v>3789</v>
      </c>
      <c r="K821" s="33">
        <v>43579</v>
      </c>
      <c r="L821" s="139">
        <v>43579</v>
      </c>
      <c r="M821" s="722"/>
      <c r="N821" s="39">
        <v>0.17</v>
      </c>
      <c r="O821" s="772"/>
      <c r="Q821" s="752" t="s">
        <v>3776</v>
      </c>
    </row>
    <row r="822" spans="1:17" s="7" customFormat="1" ht="17.25" customHeight="1">
      <c r="A822" s="6" t="s">
        <v>3790</v>
      </c>
      <c r="B822" s="14" t="s">
        <v>3773</v>
      </c>
      <c r="C822" s="22">
        <v>5636</v>
      </c>
      <c r="D822" s="37" t="s">
        <v>230</v>
      </c>
      <c r="E822" s="37" t="s">
        <v>3791</v>
      </c>
      <c r="F822" s="8">
        <v>50</v>
      </c>
      <c r="G822" s="108">
        <v>50</v>
      </c>
      <c r="H822" s="109">
        <v>1</v>
      </c>
      <c r="I822" s="39">
        <v>0.22</v>
      </c>
      <c r="J822" s="32" t="s">
        <v>3792</v>
      </c>
      <c r="K822" s="33">
        <v>43607</v>
      </c>
      <c r="L822" s="139">
        <v>43607</v>
      </c>
      <c r="M822" s="722"/>
      <c r="N822" s="39">
        <v>0.17</v>
      </c>
      <c r="O822" s="772"/>
      <c r="Q822" s="752" t="s">
        <v>3776</v>
      </c>
    </row>
    <row r="823" spans="1:17" s="7" customFormat="1" ht="17.25" customHeight="1">
      <c r="A823" s="6" t="s">
        <v>3790</v>
      </c>
      <c r="B823" s="14" t="s">
        <v>3773</v>
      </c>
      <c r="C823" s="22">
        <v>5636</v>
      </c>
      <c r="D823" s="37" t="s">
        <v>230</v>
      </c>
      <c r="E823" s="37" t="s">
        <v>187</v>
      </c>
      <c r="F823" s="8">
        <v>50</v>
      </c>
      <c r="G823" s="108">
        <v>50</v>
      </c>
      <c r="H823" s="109">
        <v>1</v>
      </c>
      <c r="I823" s="39">
        <v>0.22</v>
      </c>
      <c r="J823" s="32" t="s">
        <v>3792</v>
      </c>
      <c r="K823" s="33">
        <v>43607</v>
      </c>
      <c r="L823" s="139">
        <v>43607</v>
      </c>
      <c r="M823" s="722"/>
      <c r="N823" s="39">
        <v>0.17</v>
      </c>
      <c r="O823" s="772"/>
      <c r="Q823" s="752" t="s">
        <v>3776</v>
      </c>
    </row>
    <row r="824" spans="1:17" s="7" customFormat="1" ht="17.25" customHeight="1">
      <c r="A824" s="6" t="s">
        <v>3790</v>
      </c>
      <c r="B824" s="14" t="s">
        <v>3773</v>
      </c>
      <c r="C824" s="22">
        <v>5636</v>
      </c>
      <c r="D824" s="37" t="s">
        <v>230</v>
      </c>
      <c r="E824" s="37" t="s">
        <v>286</v>
      </c>
      <c r="F824" s="8">
        <v>50</v>
      </c>
      <c r="G824" s="108">
        <v>50</v>
      </c>
      <c r="H824" s="109">
        <v>1</v>
      </c>
      <c r="I824" s="39">
        <v>0.22</v>
      </c>
      <c r="J824" s="32" t="s">
        <v>3792</v>
      </c>
      <c r="K824" s="33">
        <v>43607</v>
      </c>
      <c r="L824" s="139">
        <v>43607</v>
      </c>
      <c r="M824" s="722"/>
      <c r="N824" s="39">
        <v>0.17</v>
      </c>
      <c r="O824" s="772"/>
      <c r="Q824" s="752" t="s">
        <v>3776</v>
      </c>
    </row>
    <row r="825" spans="1:17" s="7" customFormat="1" ht="17.25" customHeight="1">
      <c r="A825" s="6" t="s">
        <v>3793</v>
      </c>
      <c r="B825" s="14" t="s">
        <v>2231</v>
      </c>
      <c r="C825" s="22">
        <v>5636</v>
      </c>
      <c r="D825" s="37" t="s">
        <v>230</v>
      </c>
      <c r="E825" s="37" t="s">
        <v>2232</v>
      </c>
      <c r="F825" s="8">
        <v>650</v>
      </c>
      <c r="G825" s="108">
        <v>50</v>
      </c>
      <c r="H825" s="109">
        <v>13</v>
      </c>
      <c r="I825" s="39">
        <v>0.23</v>
      </c>
      <c r="J825" s="32" t="s">
        <v>3794</v>
      </c>
      <c r="K825" s="33">
        <v>43612</v>
      </c>
      <c r="L825" s="139">
        <v>43612</v>
      </c>
      <c r="M825" s="722"/>
      <c r="N825" s="39">
        <v>0.18</v>
      </c>
      <c r="O825" s="772" t="s">
        <v>3775</v>
      </c>
      <c r="P825" s="7">
        <v>10.4</v>
      </c>
      <c r="Q825" s="752" t="s">
        <v>3776</v>
      </c>
    </row>
    <row r="826" spans="1:17" s="7" customFormat="1" ht="17.25" customHeight="1">
      <c r="A826" s="6" t="s">
        <v>3793</v>
      </c>
      <c r="B826" s="14" t="s">
        <v>2231</v>
      </c>
      <c r="C826" s="22">
        <v>5636</v>
      </c>
      <c r="D826" s="37" t="s">
        <v>230</v>
      </c>
      <c r="E826" s="37" t="s">
        <v>3795</v>
      </c>
      <c r="F826" s="8">
        <v>450</v>
      </c>
      <c r="G826" s="108">
        <v>50</v>
      </c>
      <c r="H826" s="109">
        <v>9</v>
      </c>
      <c r="I826" s="39">
        <v>0.23</v>
      </c>
      <c r="J826" s="32" t="s">
        <v>3794</v>
      </c>
      <c r="K826" s="33">
        <v>43612</v>
      </c>
      <c r="L826" s="139">
        <v>43612</v>
      </c>
      <c r="M826" s="722"/>
      <c r="N826" s="39">
        <v>0.18</v>
      </c>
      <c r="O826" s="772"/>
      <c r="Q826" s="752" t="s">
        <v>3776</v>
      </c>
    </row>
    <row r="827" spans="1:17" s="7" customFormat="1" ht="17.25" customHeight="1">
      <c r="A827" s="6" t="s">
        <v>3793</v>
      </c>
      <c r="B827" s="14" t="s">
        <v>2231</v>
      </c>
      <c r="C827" s="22">
        <v>5636</v>
      </c>
      <c r="D827" s="37" t="s">
        <v>230</v>
      </c>
      <c r="E827" s="37" t="s">
        <v>3796</v>
      </c>
      <c r="F827" s="8">
        <v>200</v>
      </c>
      <c r="G827" s="108">
        <v>50</v>
      </c>
      <c r="H827" s="109">
        <v>4</v>
      </c>
      <c r="I827" s="39">
        <v>0.23</v>
      </c>
      <c r="J827" s="32" t="s">
        <v>3794</v>
      </c>
      <c r="K827" s="33">
        <v>43612</v>
      </c>
      <c r="L827" s="139">
        <v>43612</v>
      </c>
      <c r="M827" s="722"/>
      <c r="N827" s="39">
        <v>0.18</v>
      </c>
      <c r="O827" s="772"/>
      <c r="Q827" s="752" t="s">
        <v>3776</v>
      </c>
    </row>
    <row r="828" spans="1:17" s="7" customFormat="1" ht="17.25" customHeight="1">
      <c r="A828" s="6" t="s">
        <v>3797</v>
      </c>
      <c r="B828" s="14" t="s">
        <v>2231</v>
      </c>
      <c r="C828" s="22">
        <v>5636</v>
      </c>
      <c r="D828" s="37" t="s">
        <v>230</v>
      </c>
      <c r="E828" s="37" t="s">
        <v>2232</v>
      </c>
      <c r="F828" s="8">
        <v>50</v>
      </c>
      <c r="G828" s="108">
        <v>50</v>
      </c>
      <c r="H828" s="109">
        <v>1</v>
      </c>
      <c r="I828" s="39">
        <v>0.23</v>
      </c>
      <c r="J828" s="32" t="s">
        <v>3798</v>
      </c>
      <c r="K828" s="33">
        <v>43626</v>
      </c>
      <c r="L828" s="139">
        <v>43626</v>
      </c>
      <c r="M828" s="722"/>
      <c r="N828" s="39">
        <v>0.18</v>
      </c>
      <c r="O828" s="772" t="s">
        <v>3775</v>
      </c>
      <c r="P828" s="7">
        <v>10.4</v>
      </c>
      <c r="Q828" s="752" t="s">
        <v>3776</v>
      </c>
    </row>
    <row r="829" spans="1:17" s="7" customFormat="1" ht="17.25" customHeight="1">
      <c r="A829" s="6" t="s">
        <v>3799</v>
      </c>
      <c r="B829" s="14" t="s">
        <v>3773</v>
      </c>
      <c r="C829" s="22">
        <v>5636</v>
      </c>
      <c r="D829" s="37" t="s">
        <v>230</v>
      </c>
      <c r="E829" s="37" t="s">
        <v>3800</v>
      </c>
      <c r="F829" s="8">
        <v>50</v>
      </c>
      <c r="G829" s="108">
        <v>50</v>
      </c>
      <c r="H829" s="109">
        <v>1</v>
      </c>
      <c r="I829" s="39">
        <v>0.22</v>
      </c>
      <c r="J829" s="32" t="s">
        <v>3801</v>
      </c>
      <c r="K829" s="33">
        <v>43623</v>
      </c>
      <c r="L829" s="139">
        <v>43623</v>
      </c>
      <c r="M829" s="722"/>
      <c r="N829" s="39">
        <v>0.17</v>
      </c>
      <c r="O829" s="772"/>
      <c r="Q829" s="752" t="s">
        <v>3776</v>
      </c>
    </row>
    <row r="830" spans="1:17" s="7" customFormat="1" ht="17.25" customHeight="1">
      <c r="A830" s="6" t="s">
        <v>3802</v>
      </c>
      <c r="B830" s="14" t="s">
        <v>3773</v>
      </c>
      <c r="C830" s="22">
        <v>5636</v>
      </c>
      <c r="D830" s="37" t="s">
        <v>230</v>
      </c>
      <c r="E830" s="37" t="s">
        <v>2306</v>
      </c>
      <c r="F830" s="8">
        <v>50</v>
      </c>
      <c r="G830" s="108">
        <v>50</v>
      </c>
      <c r="H830" s="109">
        <v>1</v>
      </c>
      <c r="I830" s="39">
        <v>0.22</v>
      </c>
      <c r="J830" s="32"/>
      <c r="K830" s="33"/>
      <c r="L830" s="139"/>
      <c r="M830" s="722"/>
      <c r="N830" s="39">
        <v>0.17</v>
      </c>
      <c r="O830" s="772"/>
      <c r="Q830" s="752" t="s">
        <v>3776</v>
      </c>
    </row>
    <row r="831" spans="1:17" s="7" customFormat="1" ht="17.25" customHeight="1">
      <c r="A831" s="6" t="s">
        <v>3802</v>
      </c>
      <c r="B831" s="14" t="s">
        <v>3773</v>
      </c>
      <c r="C831" s="22">
        <v>5636</v>
      </c>
      <c r="D831" s="37" t="s">
        <v>230</v>
      </c>
      <c r="E831" s="37" t="s">
        <v>2305</v>
      </c>
      <c r="F831" s="8">
        <v>50</v>
      </c>
      <c r="G831" s="108">
        <v>50</v>
      </c>
      <c r="H831" s="109">
        <v>1</v>
      </c>
      <c r="I831" s="39">
        <v>0.22</v>
      </c>
      <c r="J831" s="32"/>
      <c r="K831" s="33"/>
      <c r="L831" s="139"/>
      <c r="M831" s="722"/>
      <c r="N831" s="39">
        <v>0.17</v>
      </c>
      <c r="O831" s="772"/>
      <c r="Q831" s="752" t="s">
        <v>3776</v>
      </c>
    </row>
    <row r="832" spans="1:17" s="7" customFormat="1" ht="17.25" customHeight="1">
      <c r="A832" s="6" t="s">
        <v>3802</v>
      </c>
      <c r="B832" s="14" t="s">
        <v>3773</v>
      </c>
      <c r="C832" s="22">
        <v>5636</v>
      </c>
      <c r="D832" s="37" t="s">
        <v>230</v>
      </c>
      <c r="E832" s="37" t="s">
        <v>3795</v>
      </c>
      <c r="F832" s="8">
        <v>50</v>
      </c>
      <c r="G832" s="108">
        <v>50</v>
      </c>
      <c r="H832" s="109">
        <v>1</v>
      </c>
      <c r="I832" s="39">
        <v>0.22</v>
      </c>
      <c r="J832" s="32"/>
      <c r="K832" s="33"/>
      <c r="L832" s="139"/>
      <c r="M832" s="722"/>
      <c r="N832" s="39">
        <v>0.17</v>
      </c>
      <c r="O832" s="772"/>
      <c r="Q832" s="752" t="s">
        <v>3776</v>
      </c>
    </row>
    <row r="833" spans="1:17" s="7" customFormat="1" ht="17.25" customHeight="1">
      <c r="A833" s="6" t="s">
        <v>3802</v>
      </c>
      <c r="B833" s="14" t="s">
        <v>3773</v>
      </c>
      <c r="C833" s="22">
        <v>5636</v>
      </c>
      <c r="D833" s="37" t="s">
        <v>230</v>
      </c>
      <c r="E833" s="37" t="s">
        <v>3803</v>
      </c>
      <c r="F833" s="8">
        <v>50</v>
      </c>
      <c r="G833" s="108">
        <v>50</v>
      </c>
      <c r="H833" s="109">
        <v>1</v>
      </c>
      <c r="I833" s="39">
        <v>0.22</v>
      </c>
      <c r="J833" s="32"/>
      <c r="K833" s="33"/>
      <c r="L833" s="139"/>
      <c r="M833" s="722"/>
      <c r="N833" s="39">
        <v>0.17</v>
      </c>
      <c r="O833" s="772"/>
      <c r="Q833" s="752" t="s">
        <v>3776</v>
      </c>
    </row>
    <row r="834" spans="1:17" s="7" customFormat="1" ht="17.25" customHeight="1">
      <c r="A834" s="6" t="s">
        <v>3802</v>
      </c>
      <c r="B834" s="14" t="s">
        <v>3773</v>
      </c>
      <c r="C834" s="22">
        <v>5636</v>
      </c>
      <c r="D834" s="37" t="s">
        <v>230</v>
      </c>
      <c r="E834" s="37" t="s">
        <v>3781</v>
      </c>
      <c r="F834" s="8">
        <v>50</v>
      </c>
      <c r="G834" s="108">
        <v>50</v>
      </c>
      <c r="H834" s="109">
        <v>1</v>
      </c>
      <c r="I834" s="39">
        <v>0.22</v>
      </c>
      <c r="J834" s="32"/>
      <c r="K834" s="33"/>
      <c r="L834" s="139"/>
      <c r="M834" s="722"/>
      <c r="N834" s="39">
        <v>0.17</v>
      </c>
      <c r="O834" s="772"/>
      <c r="Q834" s="752" t="s">
        <v>3776</v>
      </c>
    </row>
    <row r="838" spans="1:17" ht="15">
      <c r="A838" s="83" t="s">
        <v>3437</v>
      </c>
      <c r="B838" s="85" t="s">
        <v>99</v>
      </c>
      <c r="C838" s="85" t="s">
        <v>3442</v>
      </c>
      <c r="D838" s="968" t="s">
        <v>3443</v>
      </c>
      <c r="E838" s="85" t="s">
        <v>116</v>
      </c>
      <c r="F838" s="108"/>
    </row>
    <row r="839" spans="1:17" ht="15">
      <c r="A839" s="22" t="s">
        <v>2381</v>
      </c>
      <c r="B839" s="37" t="s">
        <v>2382</v>
      </c>
      <c r="C839" s="108">
        <v>13.7</v>
      </c>
      <c r="D839" s="109">
        <v>2</v>
      </c>
      <c r="E839" s="108">
        <v>27.4</v>
      </c>
    </row>
    <row r="840" spans="1:17" ht="15">
      <c r="A840" s="22"/>
      <c r="B840" s="22" t="s">
        <v>180</v>
      </c>
      <c r="C840" s="8" t="s">
        <v>181</v>
      </c>
      <c r="D840" s="35"/>
      <c r="E840" s="8"/>
    </row>
    <row r="842" spans="1:17" ht="14.25">
      <c r="A842" s="113" t="s">
        <v>46</v>
      </c>
      <c r="B842" s="113" t="s">
        <v>112</v>
      </c>
      <c r="C842" s="113" t="s">
        <v>3804</v>
      </c>
      <c r="D842" s="113" t="s">
        <v>50</v>
      </c>
    </row>
    <row r="843" spans="1:17" ht="15">
      <c r="A843" s="22">
        <v>1038</v>
      </c>
      <c r="B843" s="37">
        <v>30</v>
      </c>
      <c r="C843" s="37" t="s">
        <v>3805</v>
      </c>
      <c r="D843" s="164" t="s">
        <v>3806</v>
      </c>
    </row>
    <row r="844" spans="1:17" ht="15">
      <c r="A844" s="22">
        <v>1038</v>
      </c>
      <c r="B844" s="37">
        <v>30</v>
      </c>
      <c r="C844" s="37" t="s">
        <v>3807</v>
      </c>
      <c r="D844" s="164" t="s">
        <v>1883</v>
      </c>
    </row>
    <row r="847" spans="1:17" ht="15.75">
      <c r="A847" s="83" t="s">
        <v>3437</v>
      </c>
      <c r="B847" s="85" t="s">
        <v>99</v>
      </c>
      <c r="C847" s="85" t="s">
        <v>3442</v>
      </c>
      <c r="D847" s="968" t="s">
        <v>3443</v>
      </c>
      <c r="E847" s="85" t="s">
        <v>116</v>
      </c>
      <c r="F847" s="104" t="s">
        <v>3808</v>
      </c>
      <c r="G847" s="111"/>
      <c r="H847" s="11"/>
      <c r="I847" s="11"/>
      <c r="J847" s="6"/>
      <c r="K847" s="91"/>
      <c r="L847" s="21"/>
      <c r="M847" s="7"/>
    </row>
    <row r="848" spans="1:17" ht="15">
      <c r="A848" s="22" t="s">
        <v>3644</v>
      </c>
      <c r="B848" s="37" t="s">
        <v>100</v>
      </c>
      <c r="C848" s="108">
        <v>13.7</v>
      </c>
      <c r="D848" s="109">
        <v>4</v>
      </c>
      <c r="E848" s="108">
        <v>54.8</v>
      </c>
      <c r="F848" s="22" t="s">
        <v>3809</v>
      </c>
      <c r="G848" s="39"/>
      <c r="H848" s="1014" t="s">
        <v>3810</v>
      </c>
      <c r="I848" s="139"/>
      <c r="J848" s="6"/>
      <c r="K848" s="39">
        <v>1.9</v>
      </c>
      <c r="L848" s="7"/>
      <c r="M848" s="7">
        <v>142</v>
      </c>
    </row>
    <row r="849" spans="1:13" ht="15">
      <c r="A849" s="22" t="s">
        <v>3811</v>
      </c>
      <c r="B849" s="37" t="s">
        <v>100</v>
      </c>
      <c r="C849" s="108">
        <v>13.7</v>
      </c>
      <c r="D849" s="109">
        <v>2</v>
      </c>
      <c r="E849" s="108">
        <v>27.4</v>
      </c>
      <c r="F849" s="22" t="s">
        <v>3812</v>
      </c>
      <c r="G849" s="39"/>
      <c r="H849" s="1014" t="s">
        <v>3810</v>
      </c>
      <c r="I849" s="139"/>
      <c r="J849" s="6"/>
      <c r="K849" s="39">
        <v>2.87</v>
      </c>
      <c r="L849" s="7"/>
      <c r="M849" s="7">
        <v>215</v>
      </c>
    </row>
    <row r="850" spans="1:13" ht="15">
      <c r="A850" s="22" t="s">
        <v>3813</v>
      </c>
      <c r="B850" s="37" t="s">
        <v>100</v>
      </c>
      <c r="C850" s="108">
        <v>13.7</v>
      </c>
      <c r="D850" s="109">
        <v>7</v>
      </c>
      <c r="E850" s="108">
        <v>95.899999999999991</v>
      </c>
      <c r="F850" s="22" t="s">
        <v>3814</v>
      </c>
      <c r="G850" s="39"/>
      <c r="H850" s="33"/>
      <c r="I850" s="139"/>
      <c r="J850" s="6"/>
      <c r="K850" s="39">
        <v>4.26</v>
      </c>
      <c r="L850" s="7"/>
      <c r="M850" s="7">
        <v>319</v>
      </c>
    </row>
    <row r="851" spans="1:13" ht="15">
      <c r="A851" s="22" t="s">
        <v>3815</v>
      </c>
      <c r="B851" s="37" t="s">
        <v>100</v>
      </c>
      <c r="C851" s="108">
        <v>13.7</v>
      </c>
      <c r="D851" s="109">
        <v>2</v>
      </c>
      <c r="E851" s="108">
        <v>27.4</v>
      </c>
      <c r="F851" s="22" t="s">
        <v>3816</v>
      </c>
      <c r="G851" s="39"/>
      <c r="H851" s="160">
        <v>43671</v>
      </c>
      <c r="I851" s="139"/>
      <c r="J851" s="6"/>
      <c r="K851" s="39">
        <v>6</v>
      </c>
      <c r="L851" s="7"/>
      <c r="M851" s="7">
        <v>450</v>
      </c>
    </row>
    <row r="852" spans="1:13" ht="15">
      <c r="A852" s="22" t="s">
        <v>3817</v>
      </c>
      <c r="B852" s="37" t="s">
        <v>100</v>
      </c>
      <c r="C852" s="108">
        <v>30</v>
      </c>
      <c r="D852" s="108">
        <v>30</v>
      </c>
      <c r="E852" s="108">
        <v>30</v>
      </c>
      <c r="F852" s="22" t="s">
        <v>3818</v>
      </c>
      <c r="G852" s="39"/>
      <c r="H852" s="33"/>
      <c r="I852" s="139"/>
      <c r="J852" s="6"/>
      <c r="K852" s="39">
        <v>3.38</v>
      </c>
      <c r="L852" s="7"/>
      <c r="M852" s="7">
        <v>253</v>
      </c>
    </row>
    <row r="853" spans="1:13" ht="15">
      <c r="A853" s="22" t="s">
        <v>3819</v>
      </c>
      <c r="B853" s="37" t="s">
        <v>100</v>
      </c>
      <c r="C853" s="108">
        <v>20</v>
      </c>
      <c r="D853" s="108">
        <v>20</v>
      </c>
      <c r="E853" s="108">
        <v>20</v>
      </c>
      <c r="F853" s="22" t="s">
        <v>3820</v>
      </c>
      <c r="G853" s="39"/>
      <c r="H853" s="33"/>
      <c r="I853" s="139"/>
      <c r="J853" s="6"/>
      <c r="K853" s="39">
        <v>5.44</v>
      </c>
      <c r="L853" s="7"/>
      <c r="M853" s="7">
        <v>408</v>
      </c>
    </row>
    <row r="857" spans="1:13" ht="15.75">
      <c r="A857" s="83" t="s">
        <v>3437</v>
      </c>
      <c r="B857" s="85" t="s">
        <v>99</v>
      </c>
      <c r="C857" s="85" t="s">
        <v>3442</v>
      </c>
      <c r="D857" s="968" t="s">
        <v>3443</v>
      </c>
      <c r="E857" s="85" t="s">
        <v>116</v>
      </c>
      <c r="F857" s="104" t="s">
        <v>3808</v>
      </c>
    </row>
    <row r="858" spans="1:13" ht="15">
      <c r="A858" s="22" t="s">
        <v>3813</v>
      </c>
      <c r="B858" s="37" t="s">
        <v>100</v>
      </c>
      <c r="C858" s="108">
        <v>13.7</v>
      </c>
      <c r="D858" s="109">
        <v>7</v>
      </c>
      <c r="E858" s="108">
        <v>95.899999999999991</v>
      </c>
      <c r="F858" s="22" t="s">
        <v>3814</v>
      </c>
    </row>
    <row r="859" spans="1:13" ht="15">
      <c r="A859" s="22" t="s">
        <v>3815</v>
      </c>
      <c r="B859" s="37" t="s">
        <v>100</v>
      </c>
      <c r="C859" s="108">
        <v>13.7</v>
      </c>
      <c r="D859" s="109">
        <v>2</v>
      </c>
      <c r="E859" s="108">
        <v>27.4</v>
      </c>
      <c r="F859" s="22" t="s">
        <v>3816</v>
      </c>
    </row>
    <row r="861" spans="1:13" ht="15.75">
      <c r="A861" s="83" t="s">
        <v>3437</v>
      </c>
      <c r="B861" s="85" t="s">
        <v>99</v>
      </c>
      <c r="C861" s="85" t="s">
        <v>3442</v>
      </c>
      <c r="D861" s="968" t="s">
        <v>3443</v>
      </c>
      <c r="E861" s="85" t="s">
        <v>116</v>
      </c>
      <c r="F861" s="104" t="s">
        <v>3808</v>
      </c>
    </row>
    <row r="862" spans="1:13" ht="15">
      <c r="A862" s="22" t="s">
        <v>3817</v>
      </c>
      <c r="B862" s="37" t="s">
        <v>100</v>
      </c>
      <c r="C862" s="108">
        <v>30</v>
      </c>
      <c r="D862" s="108">
        <v>30</v>
      </c>
      <c r="E862" s="108">
        <v>30</v>
      </c>
      <c r="F862" s="22" t="s">
        <v>3818</v>
      </c>
    </row>
    <row r="863" spans="1:13" ht="15">
      <c r="A863" s="22" t="s">
        <v>3819</v>
      </c>
      <c r="B863" s="37" t="s">
        <v>100</v>
      </c>
      <c r="C863" s="108">
        <v>20</v>
      </c>
      <c r="D863" s="108">
        <v>20</v>
      </c>
      <c r="E863" s="108">
        <v>20</v>
      </c>
      <c r="F863" s="22" t="s">
        <v>3820</v>
      </c>
    </row>
    <row r="865" spans="1:11" ht="15.75">
      <c r="A865" s="113" t="s">
        <v>46</v>
      </c>
      <c r="B865" s="113" t="s">
        <v>112</v>
      </c>
      <c r="C865" s="113" t="s">
        <v>3804</v>
      </c>
      <c r="D865" s="113" t="s">
        <v>50</v>
      </c>
      <c r="E865" s="104" t="s">
        <v>3808</v>
      </c>
    </row>
    <row r="866" spans="1:11" ht="15">
      <c r="A866" s="221" t="s">
        <v>3821</v>
      </c>
      <c r="B866" s="37" t="s">
        <v>1882</v>
      </c>
      <c r="C866" s="37" t="s">
        <v>184</v>
      </c>
      <c r="D866" s="108">
        <v>50</v>
      </c>
      <c r="E866" s="22" t="s">
        <v>3822</v>
      </c>
    </row>
    <row r="867" spans="1:11" ht="15">
      <c r="A867" s="221" t="s">
        <v>3821</v>
      </c>
      <c r="B867" s="37" t="s">
        <v>1882</v>
      </c>
      <c r="C867" s="37" t="s">
        <v>3823</v>
      </c>
      <c r="D867" s="108">
        <v>50</v>
      </c>
      <c r="E867" s="22" t="s">
        <v>3822</v>
      </c>
    </row>
    <row r="868" spans="1:11" ht="15">
      <c r="A868" s="22"/>
      <c r="B868" s="102"/>
      <c r="C868" s="22" t="s">
        <v>180</v>
      </c>
      <c r="D868" s="8"/>
      <c r="E868" s="39">
        <v>12</v>
      </c>
    </row>
    <row r="871" spans="1:11" ht="15.75">
      <c r="A871" s="113" t="s">
        <v>46</v>
      </c>
      <c r="B871" s="113" t="s">
        <v>3804</v>
      </c>
      <c r="C871" s="113" t="s">
        <v>50</v>
      </c>
      <c r="D871" s="104" t="s">
        <v>3808</v>
      </c>
      <c r="E871" s="111"/>
      <c r="F871" s="11"/>
      <c r="G871" s="11"/>
      <c r="H871" s="6"/>
      <c r="I871" s="91"/>
      <c r="J871" s="21"/>
      <c r="K871" s="7"/>
    </row>
    <row r="872" spans="1:11" ht="15">
      <c r="A872" s="22" t="s">
        <v>70</v>
      </c>
      <c r="B872" s="37" t="s">
        <v>100</v>
      </c>
      <c r="C872" s="108">
        <v>14</v>
      </c>
      <c r="D872" s="22" t="s">
        <v>3824</v>
      </c>
      <c r="E872" s="32"/>
      <c r="F872" s="33"/>
      <c r="G872" s="139"/>
      <c r="H872" s="6"/>
      <c r="I872" s="39">
        <v>1.04</v>
      </c>
      <c r="J872" s="7"/>
      <c r="K872" s="7">
        <v>36</v>
      </c>
    </row>
    <row r="873" spans="1:11" ht="15">
      <c r="A873" s="22" t="s">
        <v>197</v>
      </c>
      <c r="B873" s="37" t="s">
        <v>100</v>
      </c>
      <c r="C873" s="108">
        <v>14</v>
      </c>
      <c r="D873" s="22" t="s">
        <v>3825</v>
      </c>
      <c r="E873" s="32"/>
      <c r="F873" s="33"/>
      <c r="G873" s="139"/>
      <c r="H873" s="6"/>
      <c r="I873" s="39">
        <v>1.63</v>
      </c>
      <c r="J873" s="7">
        <v>122</v>
      </c>
      <c r="K873" s="7">
        <v>92</v>
      </c>
    </row>
    <row r="874" spans="1:11" ht="15">
      <c r="A874" s="22"/>
      <c r="B874" s="22" t="s">
        <v>180</v>
      </c>
      <c r="C874" s="8"/>
      <c r="D874" s="39">
        <v>12</v>
      </c>
      <c r="E874" s="32"/>
      <c r="F874" s="33"/>
      <c r="G874" s="139"/>
      <c r="H874" s="6"/>
      <c r="I874" s="39">
        <v>12</v>
      </c>
      <c r="J874" s="21"/>
      <c r="K874" s="7">
        <v>1000</v>
      </c>
    </row>
    <row r="878" spans="1:11" ht="15">
      <c r="A878" s="83" t="s">
        <v>3437</v>
      </c>
      <c r="B878" s="84" t="s">
        <v>171</v>
      </c>
      <c r="C878" s="85" t="s">
        <v>99</v>
      </c>
      <c r="D878" s="85" t="s">
        <v>3442</v>
      </c>
      <c r="E878" s="968" t="s">
        <v>3443</v>
      </c>
      <c r="F878" s="85" t="s">
        <v>116</v>
      </c>
      <c r="G878" s="85" t="s">
        <v>3826</v>
      </c>
      <c r="H878" s="85" t="s">
        <v>110</v>
      </c>
    </row>
    <row r="879" spans="1:11" ht="15">
      <c r="A879" s="22">
        <v>12701</v>
      </c>
      <c r="B879" s="37">
        <v>9</v>
      </c>
      <c r="C879" s="22" t="s">
        <v>2147</v>
      </c>
      <c r="D879" s="8">
        <v>10</v>
      </c>
      <c r="E879" s="35">
        <v>1</v>
      </c>
      <c r="F879" s="8">
        <v>10</v>
      </c>
      <c r="G879" s="39">
        <v>5.04</v>
      </c>
      <c r="H879" s="1015" t="s">
        <v>222</v>
      </c>
    </row>
    <row r="880" spans="1:11" ht="15">
      <c r="A880" s="22">
        <v>12701</v>
      </c>
      <c r="B880" s="37">
        <v>9</v>
      </c>
      <c r="C880" s="22" t="s">
        <v>3827</v>
      </c>
      <c r="D880" s="8">
        <v>10</v>
      </c>
      <c r="E880" s="35">
        <v>1</v>
      </c>
      <c r="F880" s="8">
        <v>10</v>
      </c>
      <c r="G880" s="39">
        <v>5.04</v>
      </c>
      <c r="H880" s="1015" t="s">
        <v>222</v>
      </c>
    </row>
    <row r="881" spans="1:8" ht="15">
      <c r="A881" s="22">
        <v>12701</v>
      </c>
      <c r="B881" s="37">
        <v>9</v>
      </c>
      <c r="C881" s="22" t="s">
        <v>219</v>
      </c>
      <c r="D881" s="8">
        <v>10</v>
      </c>
      <c r="E881" s="35">
        <v>1</v>
      </c>
      <c r="F881" s="8">
        <v>10</v>
      </c>
      <c r="G881" s="39">
        <v>5.04</v>
      </c>
      <c r="H881" s="1015" t="s">
        <v>222</v>
      </c>
    </row>
    <row r="882" spans="1:8" ht="15">
      <c r="A882" s="22">
        <v>12701</v>
      </c>
      <c r="B882" s="37">
        <v>9</v>
      </c>
      <c r="C882" s="22" t="s">
        <v>2146</v>
      </c>
      <c r="D882" s="8">
        <v>10</v>
      </c>
      <c r="E882" s="35">
        <v>1</v>
      </c>
      <c r="F882" s="8">
        <v>10</v>
      </c>
      <c r="G882" s="39">
        <v>5.04</v>
      </c>
      <c r="H882" s="1015" t="s">
        <v>222</v>
      </c>
    </row>
    <row r="883" spans="1:8" ht="15">
      <c r="A883" s="22">
        <v>12701</v>
      </c>
      <c r="B883" s="37">
        <v>9</v>
      </c>
      <c r="C883" s="22" t="s">
        <v>3828</v>
      </c>
      <c r="D883" s="8">
        <v>10</v>
      </c>
      <c r="E883" s="35">
        <v>1</v>
      </c>
      <c r="F883" s="8">
        <v>10</v>
      </c>
      <c r="G883" s="39">
        <v>5.04</v>
      </c>
      <c r="H883" s="1015" t="s">
        <v>222</v>
      </c>
    </row>
    <row r="884" spans="1:8" ht="15">
      <c r="A884" s="22">
        <v>12701</v>
      </c>
      <c r="B884" s="37">
        <v>9</v>
      </c>
      <c r="C884" s="22" t="s">
        <v>92</v>
      </c>
      <c r="D884" s="8">
        <v>10</v>
      </c>
      <c r="E884" s="35">
        <v>1</v>
      </c>
      <c r="F884" s="8">
        <v>10</v>
      </c>
      <c r="G884" s="39">
        <v>5.04</v>
      </c>
      <c r="H884" s="1015" t="s">
        <v>222</v>
      </c>
    </row>
    <row r="885" spans="1:8" ht="15">
      <c r="A885" s="22">
        <v>12701</v>
      </c>
      <c r="B885" s="37">
        <v>9</v>
      </c>
      <c r="C885" s="22" t="s">
        <v>3829</v>
      </c>
      <c r="D885" s="8">
        <v>10</v>
      </c>
      <c r="E885" s="35">
        <v>1</v>
      </c>
      <c r="F885" s="8">
        <v>10</v>
      </c>
      <c r="G885" s="39">
        <v>5.04</v>
      </c>
      <c r="H885" s="1015" t="s">
        <v>222</v>
      </c>
    </row>
    <row r="886" spans="1:8" ht="15">
      <c r="A886" s="22">
        <v>12701</v>
      </c>
      <c r="B886" s="37">
        <v>9</v>
      </c>
      <c r="C886" s="22" t="s">
        <v>3830</v>
      </c>
      <c r="D886" s="8">
        <v>10</v>
      </c>
      <c r="E886" s="35">
        <v>1</v>
      </c>
      <c r="F886" s="8">
        <v>10</v>
      </c>
      <c r="G886" s="39">
        <v>5.04</v>
      </c>
      <c r="H886" s="1015" t="s">
        <v>222</v>
      </c>
    </row>
    <row r="887" spans="1:8" ht="15">
      <c r="A887" s="22">
        <v>12701</v>
      </c>
      <c r="B887" s="37">
        <v>9</v>
      </c>
      <c r="C887" s="22" t="s">
        <v>3680</v>
      </c>
      <c r="D887" s="8">
        <v>10</v>
      </c>
      <c r="E887" s="35">
        <v>1</v>
      </c>
      <c r="F887" s="8">
        <v>10</v>
      </c>
      <c r="G887" s="39">
        <v>5.04</v>
      </c>
      <c r="H887" s="1015" t="s">
        <v>222</v>
      </c>
    </row>
    <row r="888" spans="1:8" ht="15">
      <c r="A888" s="22">
        <v>12701</v>
      </c>
      <c r="B888" s="37">
        <v>9</v>
      </c>
      <c r="C888" s="22" t="s">
        <v>1978</v>
      </c>
      <c r="D888" s="8">
        <v>10</v>
      </c>
      <c r="E888" s="35">
        <v>1</v>
      </c>
      <c r="F888" s="8">
        <v>10</v>
      </c>
      <c r="G888" s="39">
        <v>5.04</v>
      </c>
      <c r="H888" s="1015" t="s">
        <v>222</v>
      </c>
    </row>
    <row r="889" spans="1:8" ht="15">
      <c r="A889" s="22">
        <v>12701</v>
      </c>
      <c r="B889" s="37">
        <v>9</v>
      </c>
      <c r="C889" s="22" t="s">
        <v>1979</v>
      </c>
      <c r="D889" s="8">
        <v>10</v>
      </c>
      <c r="E889" s="35">
        <v>1</v>
      </c>
      <c r="F889" s="8">
        <v>10</v>
      </c>
      <c r="G889" s="39">
        <v>5.04</v>
      </c>
      <c r="H889" s="1015" t="s">
        <v>222</v>
      </c>
    </row>
    <row r="890" spans="1:8" ht="15">
      <c r="A890" s="22">
        <v>12701</v>
      </c>
      <c r="B890" s="37">
        <v>9</v>
      </c>
      <c r="C890" s="22" t="s">
        <v>220</v>
      </c>
      <c r="D890" s="8">
        <v>10</v>
      </c>
      <c r="E890" s="35">
        <v>1</v>
      </c>
      <c r="F890" s="8">
        <v>10</v>
      </c>
      <c r="G890" s="39">
        <v>5.04</v>
      </c>
      <c r="H890" s="1015" t="s">
        <v>222</v>
      </c>
    </row>
    <row r="891" spans="1:8" ht="15">
      <c r="A891" s="22">
        <v>12701</v>
      </c>
      <c r="B891" s="37">
        <v>9</v>
      </c>
      <c r="C891" s="22" t="s">
        <v>3831</v>
      </c>
      <c r="D891" s="8">
        <v>10</v>
      </c>
      <c r="E891" s="35">
        <v>1</v>
      </c>
      <c r="F891" s="8">
        <v>10</v>
      </c>
      <c r="G891" s="39">
        <v>5.04</v>
      </c>
      <c r="H891" s="1015" t="s">
        <v>222</v>
      </c>
    </row>
    <row r="892" spans="1:8" ht="15">
      <c r="A892" s="22">
        <v>12701</v>
      </c>
      <c r="B892" s="37">
        <v>9</v>
      </c>
      <c r="C892" s="22" t="s">
        <v>3284</v>
      </c>
      <c r="D892" s="8">
        <v>10</v>
      </c>
      <c r="E892" s="35">
        <v>1</v>
      </c>
      <c r="F892" s="8">
        <v>10</v>
      </c>
      <c r="G892" s="39">
        <v>5.04</v>
      </c>
      <c r="H892" s="1015" t="s">
        <v>222</v>
      </c>
    </row>
    <row r="893" spans="1:8" ht="15">
      <c r="A893" s="22">
        <v>12701</v>
      </c>
      <c r="B893" s="37">
        <v>9</v>
      </c>
      <c r="C893" s="22" t="s">
        <v>3696</v>
      </c>
      <c r="D893" s="8">
        <v>10</v>
      </c>
      <c r="E893" s="35">
        <v>2</v>
      </c>
      <c r="F893" s="8">
        <v>20</v>
      </c>
      <c r="G893" s="39">
        <v>5.04</v>
      </c>
      <c r="H893" s="1015" t="s">
        <v>222</v>
      </c>
    </row>
    <row r="894" spans="1:8" ht="15">
      <c r="A894" s="22">
        <v>12701</v>
      </c>
      <c r="B894" s="37">
        <v>24</v>
      </c>
      <c r="C894" s="22" t="s">
        <v>3696</v>
      </c>
      <c r="D894" s="8">
        <v>10</v>
      </c>
      <c r="E894" s="35">
        <v>1</v>
      </c>
      <c r="F894" s="8">
        <v>10</v>
      </c>
      <c r="G894" s="39">
        <v>8.99</v>
      </c>
      <c r="H894" s="1015" t="s">
        <v>222</v>
      </c>
    </row>
    <row r="895" spans="1:8" ht="15">
      <c r="A895" s="19"/>
      <c r="B895" s="24"/>
      <c r="C895" s="22"/>
      <c r="D895" s="60"/>
      <c r="E895" s="61"/>
      <c r="F895" s="60"/>
      <c r="G895" s="110"/>
      <c r="H895" s="1016"/>
    </row>
    <row r="896" spans="1:8" ht="15">
      <c r="A896" s="22">
        <v>11700</v>
      </c>
      <c r="B896" s="24">
        <v>9</v>
      </c>
      <c r="C896" s="22" t="s">
        <v>124</v>
      </c>
      <c r="D896" s="60">
        <v>10</v>
      </c>
      <c r="E896" s="61">
        <v>1</v>
      </c>
      <c r="F896" s="60">
        <v>10</v>
      </c>
      <c r="G896" s="39">
        <v>12.17</v>
      </c>
      <c r="H896" s="1015" t="s">
        <v>222</v>
      </c>
    </row>
    <row r="897" spans="1:8" ht="15">
      <c r="A897" s="22">
        <v>11700</v>
      </c>
      <c r="B897" s="24">
        <v>18</v>
      </c>
      <c r="C897" s="22" t="s">
        <v>3832</v>
      </c>
      <c r="D897" s="60">
        <v>10</v>
      </c>
      <c r="E897" s="61">
        <v>1</v>
      </c>
      <c r="F897" s="60">
        <v>10</v>
      </c>
      <c r="G897" s="39">
        <v>17.04</v>
      </c>
      <c r="H897" s="1015" t="s">
        <v>222</v>
      </c>
    </row>
    <row r="898" spans="1:8" ht="15">
      <c r="A898" s="22">
        <v>11700</v>
      </c>
      <c r="B898" s="24">
        <v>18</v>
      </c>
      <c r="C898" s="22" t="s">
        <v>178</v>
      </c>
      <c r="D898" s="60">
        <v>10</v>
      </c>
      <c r="E898" s="61">
        <v>1</v>
      </c>
      <c r="F898" s="60">
        <v>10</v>
      </c>
      <c r="G898" s="39">
        <v>17.04</v>
      </c>
      <c r="H898" s="1015" t="s">
        <v>222</v>
      </c>
    </row>
    <row r="899" spans="1:8" ht="15">
      <c r="A899" s="22">
        <v>11700</v>
      </c>
      <c r="B899" s="24">
        <v>18</v>
      </c>
      <c r="C899" s="22" t="s">
        <v>159</v>
      </c>
      <c r="D899" s="60">
        <v>10</v>
      </c>
      <c r="E899" s="61">
        <v>1</v>
      </c>
      <c r="F899" s="60">
        <v>10</v>
      </c>
      <c r="G899" s="39">
        <v>17.04</v>
      </c>
      <c r="H899" s="1015" t="s">
        <v>222</v>
      </c>
    </row>
    <row r="900" spans="1:8" ht="15">
      <c r="A900" s="22">
        <v>11700</v>
      </c>
      <c r="B900" s="24">
        <v>18</v>
      </c>
      <c r="C900" s="22" t="s">
        <v>2886</v>
      </c>
      <c r="D900" s="60">
        <v>10</v>
      </c>
      <c r="E900" s="61">
        <v>1</v>
      </c>
      <c r="F900" s="60">
        <v>10</v>
      </c>
      <c r="G900" s="39">
        <v>17.04</v>
      </c>
      <c r="H900" s="1017" t="s">
        <v>3833</v>
      </c>
    </row>
    <row r="901" spans="1:8" ht="15">
      <c r="A901" s="22">
        <v>11700</v>
      </c>
      <c r="B901" s="24">
        <v>18</v>
      </c>
      <c r="C901" s="22" t="s">
        <v>3699</v>
      </c>
      <c r="D901" s="60">
        <v>10</v>
      </c>
      <c r="E901" s="61">
        <v>1</v>
      </c>
      <c r="F901" s="60">
        <v>10</v>
      </c>
      <c r="G901" s="39">
        <v>17.04</v>
      </c>
      <c r="H901" s="1015" t="s">
        <v>222</v>
      </c>
    </row>
    <row r="902" spans="1:8" ht="15">
      <c r="A902" s="22">
        <v>11700</v>
      </c>
      <c r="B902" s="24">
        <v>18</v>
      </c>
      <c r="C902" s="22" t="s">
        <v>165</v>
      </c>
      <c r="D902" s="60">
        <v>10</v>
      </c>
      <c r="E902" s="61">
        <v>1</v>
      </c>
      <c r="F902" s="60">
        <v>10</v>
      </c>
      <c r="G902" s="39">
        <v>17.04</v>
      </c>
      <c r="H902" s="1015" t="s">
        <v>222</v>
      </c>
    </row>
    <row r="903" spans="1:8" ht="15">
      <c r="A903" s="22">
        <v>11700</v>
      </c>
      <c r="B903" s="24">
        <v>18</v>
      </c>
      <c r="C903" s="22" t="s">
        <v>29</v>
      </c>
      <c r="D903" s="60">
        <v>10</v>
      </c>
      <c r="E903" s="61">
        <v>1</v>
      </c>
      <c r="F903" s="60">
        <v>10</v>
      </c>
      <c r="G903" s="39">
        <v>17.04</v>
      </c>
      <c r="H903" s="1015" t="s">
        <v>222</v>
      </c>
    </row>
    <row r="904" spans="1:8" ht="15">
      <c r="A904" s="22">
        <v>11700</v>
      </c>
      <c r="B904" s="24">
        <v>18</v>
      </c>
      <c r="C904" s="22" t="s">
        <v>2094</v>
      </c>
      <c r="D904" s="60">
        <v>10</v>
      </c>
      <c r="E904" s="61">
        <v>1</v>
      </c>
      <c r="F904" s="60">
        <v>10</v>
      </c>
      <c r="G904" s="39">
        <v>17.04</v>
      </c>
      <c r="H904" s="1015" t="s">
        <v>222</v>
      </c>
    </row>
    <row r="905" spans="1:8" ht="15">
      <c r="A905" s="22">
        <v>11700</v>
      </c>
      <c r="B905" s="24">
        <v>18</v>
      </c>
      <c r="C905" s="22" t="s">
        <v>157</v>
      </c>
      <c r="D905" s="60">
        <v>10</v>
      </c>
      <c r="E905" s="61">
        <v>1</v>
      </c>
      <c r="F905" s="60">
        <v>10</v>
      </c>
      <c r="G905" s="39">
        <v>17.04</v>
      </c>
      <c r="H905" s="1015" t="s">
        <v>222</v>
      </c>
    </row>
    <row r="906" spans="1:8" ht="15">
      <c r="A906" s="22">
        <v>11700</v>
      </c>
      <c r="B906" s="24">
        <v>18</v>
      </c>
      <c r="C906" s="22" t="s">
        <v>151</v>
      </c>
      <c r="D906" s="60">
        <v>10</v>
      </c>
      <c r="E906" s="61">
        <v>1</v>
      </c>
      <c r="F906" s="60">
        <v>10</v>
      </c>
      <c r="G906" s="39">
        <v>17.04</v>
      </c>
      <c r="H906" s="1015" t="s">
        <v>222</v>
      </c>
    </row>
    <row r="907" spans="1:8" ht="15">
      <c r="A907" s="22">
        <v>11700</v>
      </c>
      <c r="B907" s="24">
        <v>18</v>
      </c>
      <c r="C907" s="22" t="s">
        <v>319</v>
      </c>
      <c r="D907" s="60">
        <v>10</v>
      </c>
      <c r="E907" s="61">
        <v>1</v>
      </c>
      <c r="F907" s="60">
        <v>10</v>
      </c>
      <c r="G907" s="39">
        <v>17.04</v>
      </c>
      <c r="H907" s="1015" t="s">
        <v>222</v>
      </c>
    </row>
    <row r="908" spans="1:8" ht="15">
      <c r="A908" s="22">
        <v>11700</v>
      </c>
      <c r="B908" s="24">
        <v>18</v>
      </c>
      <c r="C908" s="22" t="s">
        <v>3834</v>
      </c>
      <c r="D908" s="60">
        <v>10</v>
      </c>
      <c r="E908" s="61">
        <v>1</v>
      </c>
      <c r="F908" s="60">
        <v>10</v>
      </c>
      <c r="G908" s="39">
        <v>17.04</v>
      </c>
      <c r="H908" s="1015" t="s">
        <v>222</v>
      </c>
    </row>
    <row r="909" spans="1:8" ht="15">
      <c r="A909" s="22">
        <v>11700</v>
      </c>
      <c r="B909" s="24">
        <v>18</v>
      </c>
      <c r="C909" s="22" t="s">
        <v>2281</v>
      </c>
      <c r="D909" s="60">
        <v>10</v>
      </c>
      <c r="E909" s="61">
        <v>1</v>
      </c>
      <c r="F909" s="60">
        <v>10</v>
      </c>
      <c r="G909" s="39">
        <v>17.04</v>
      </c>
      <c r="H909" s="1015" t="s">
        <v>222</v>
      </c>
    </row>
    <row r="910" spans="1:8" ht="15">
      <c r="A910" s="22">
        <v>11700</v>
      </c>
      <c r="B910" s="24">
        <v>18</v>
      </c>
      <c r="C910" s="22" t="s">
        <v>3835</v>
      </c>
      <c r="D910" s="60">
        <v>10</v>
      </c>
      <c r="E910" s="61">
        <v>1</v>
      </c>
      <c r="F910" s="60">
        <v>10</v>
      </c>
      <c r="G910" s="39">
        <v>17.04</v>
      </c>
      <c r="H910" s="1015" t="s">
        <v>222</v>
      </c>
    </row>
    <row r="911" spans="1:8" ht="15">
      <c r="A911" s="22">
        <v>11700</v>
      </c>
      <c r="B911" s="24">
        <v>18</v>
      </c>
      <c r="C911" s="22" t="s">
        <v>124</v>
      </c>
      <c r="D911" s="60">
        <v>10</v>
      </c>
      <c r="E911" s="61">
        <v>1</v>
      </c>
      <c r="F911" s="60">
        <v>10</v>
      </c>
      <c r="G911" s="39">
        <v>17.04</v>
      </c>
      <c r="H911" s="1015" t="s">
        <v>222</v>
      </c>
    </row>
    <row r="912" spans="1:8" ht="15">
      <c r="A912" s="22">
        <v>11700</v>
      </c>
      <c r="B912" s="24">
        <v>36</v>
      </c>
      <c r="C912" s="22" t="s">
        <v>3832</v>
      </c>
      <c r="D912" s="60">
        <v>10</v>
      </c>
      <c r="E912" s="61">
        <v>1</v>
      </c>
      <c r="F912" s="60">
        <v>10</v>
      </c>
      <c r="G912" s="39">
        <v>35.14</v>
      </c>
      <c r="H912" s="1015" t="s">
        <v>222</v>
      </c>
    </row>
    <row r="913" spans="1:8" ht="15">
      <c r="A913" s="22">
        <v>11700</v>
      </c>
      <c r="B913" s="24">
        <v>36</v>
      </c>
      <c r="C913" s="22" t="s">
        <v>178</v>
      </c>
      <c r="D913" s="60">
        <v>10</v>
      </c>
      <c r="E913" s="61">
        <v>1</v>
      </c>
      <c r="F913" s="60">
        <v>10</v>
      </c>
      <c r="G913" s="39">
        <v>35.14</v>
      </c>
      <c r="H913" s="1015" t="s">
        <v>222</v>
      </c>
    </row>
    <row r="914" spans="1:8" ht="15">
      <c r="A914" s="22">
        <v>11700</v>
      </c>
      <c r="B914" s="24">
        <v>36</v>
      </c>
      <c r="C914" s="22" t="s">
        <v>159</v>
      </c>
      <c r="D914" s="60">
        <v>10</v>
      </c>
      <c r="E914" s="61">
        <v>1</v>
      </c>
      <c r="F914" s="60">
        <v>10</v>
      </c>
      <c r="G914" s="39">
        <v>35.14</v>
      </c>
      <c r="H914" s="1015" t="s">
        <v>222</v>
      </c>
    </row>
    <row r="915" spans="1:8" ht="15">
      <c r="A915" s="22">
        <v>11700</v>
      </c>
      <c r="B915" s="24">
        <v>36</v>
      </c>
      <c r="C915" s="22" t="s">
        <v>2886</v>
      </c>
      <c r="D915" s="60">
        <v>10</v>
      </c>
      <c r="E915" s="61">
        <v>1</v>
      </c>
      <c r="F915" s="60">
        <v>10</v>
      </c>
      <c r="G915" s="39">
        <v>35.14</v>
      </c>
      <c r="H915" s="1015" t="s">
        <v>222</v>
      </c>
    </row>
    <row r="916" spans="1:8" ht="15">
      <c r="A916" s="22">
        <v>11700</v>
      </c>
      <c r="B916" s="24">
        <v>36</v>
      </c>
      <c r="C916" s="22" t="s">
        <v>3699</v>
      </c>
      <c r="D916" s="60">
        <v>10</v>
      </c>
      <c r="E916" s="61">
        <v>1</v>
      </c>
      <c r="F916" s="60">
        <v>10</v>
      </c>
      <c r="G916" s="39">
        <v>35.14</v>
      </c>
      <c r="H916" s="1015" t="s">
        <v>222</v>
      </c>
    </row>
    <row r="917" spans="1:8" ht="15">
      <c r="A917" s="22">
        <v>11700</v>
      </c>
      <c r="B917" s="24">
        <v>36</v>
      </c>
      <c r="C917" s="22" t="s">
        <v>165</v>
      </c>
      <c r="D917" s="60">
        <v>10</v>
      </c>
      <c r="E917" s="61">
        <v>1</v>
      </c>
      <c r="F917" s="60">
        <v>10</v>
      </c>
      <c r="G917" s="39">
        <v>35.14</v>
      </c>
      <c r="H917" s="1015" t="s">
        <v>222</v>
      </c>
    </row>
    <row r="918" spans="1:8" ht="15">
      <c r="A918" s="22">
        <v>11700</v>
      </c>
      <c r="B918" s="24">
        <v>36</v>
      </c>
      <c r="C918" s="22" t="s">
        <v>29</v>
      </c>
      <c r="D918" s="60">
        <v>10</v>
      </c>
      <c r="E918" s="61">
        <v>1</v>
      </c>
      <c r="F918" s="60">
        <v>10</v>
      </c>
      <c r="G918" s="39">
        <v>35.14</v>
      </c>
      <c r="H918" s="1017" t="s">
        <v>3836</v>
      </c>
    </row>
    <row r="919" spans="1:8" ht="15">
      <c r="A919" s="22">
        <v>11700</v>
      </c>
      <c r="B919" s="24">
        <v>36</v>
      </c>
      <c r="C919" s="22" t="s">
        <v>2094</v>
      </c>
      <c r="D919" s="60">
        <v>10</v>
      </c>
      <c r="E919" s="61">
        <v>1</v>
      </c>
      <c r="F919" s="60">
        <v>10</v>
      </c>
      <c r="G919" s="39">
        <v>35.14</v>
      </c>
      <c r="H919" s="1015" t="s">
        <v>222</v>
      </c>
    </row>
    <row r="920" spans="1:8" ht="15">
      <c r="A920" s="22">
        <v>11700</v>
      </c>
      <c r="B920" s="24">
        <v>36</v>
      </c>
      <c r="C920" s="22" t="s">
        <v>157</v>
      </c>
      <c r="D920" s="60">
        <v>10</v>
      </c>
      <c r="E920" s="61">
        <v>1</v>
      </c>
      <c r="F920" s="60">
        <v>10</v>
      </c>
      <c r="G920" s="39">
        <v>35.14</v>
      </c>
      <c r="H920" s="1015" t="s">
        <v>222</v>
      </c>
    </row>
    <row r="921" spans="1:8" ht="15">
      <c r="A921" s="22">
        <v>11700</v>
      </c>
      <c r="B921" s="24">
        <v>36</v>
      </c>
      <c r="C921" s="22" t="s">
        <v>151</v>
      </c>
      <c r="D921" s="60">
        <v>10</v>
      </c>
      <c r="E921" s="61">
        <v>1</v>
      </c>
      <c r="F921" s="60">
        <v>10</v>
      </c>
      <c r="G921" s="39">
        <v>35.14</v>
      </c>
      <c r="H921" s="1015" t="s">
        <v>222</v>
      </c>
    </row>
    <row r="922" spans="1:8" ht="15">
      <c r="A922" s="22">
        <v>11700</v>
      </c>
      <c r="B922" s="24">
        <v>36</v>
      </c>
      <c r="C922" s="22" t="s">
        <v>319</v>
      </c>
      <c r="D922" s="60">
        <v>10</v>
      </c>
      <c r="E922" s="61">
        <v>1</v>
      </c>
      <c r="F922" s="60">
        <v>10</v>
      </c>
      <c r="G922" s="39">
        <v>35.14</v>
      </c>
      <c r="H922" s="1015" t="s">
        <v>222</v>
      </c>
    </row>
    <row r="923" spans="1:8" ht="15">
      <c r="A923" s="22">
        <v>11700</v>
      </c>
      <c r="B923" s="24">
        <v>36</v>
      </c>
      <c r="C923" s="22" t="s">
        <v>3834</v>
      </c>
      <c r="D923" s="60">
        <v>10</v>
      </c>
      <c r="E923" s="61">
        <v>1</v>
      </c>
      <c r="F923" s="60">
        <v>10</v>
      </c>
      <c r="G923" s="39">
        <v>35.14</v>
      </c>
      <c r="H923" s="1017" t="s">
        <v>3837</v>
      </c>
    </row>
    <row r="924" spans="1:8" ht="15">
      <c r="A924" s="22">
        <v>11700</v>
      </c>
      <c r="B924" s="24">
        <v>36</v>
      </c>
      <c r="C924" s="22" t="s">
        <v>2281</v>
      </c>
      <c r="D924" s="60">
        <v>10</v>
      </c>
      <c r="E924" s="61">
        <v>1</v>
      </c>
      <c r="F924" s="60">
        <v>10</v>
      </c>
      <c r="G924" s="39">
        <v>35.14</v>
      </c>
      <c r="H924" s="1015" t="s">
        <v>222</v>
      </c>
    </row>
    <row r="925" spans="1:8" ht="15">
      <c r="A925" s="22">
        <v>11700</v>
      </c>
      <c r="B925" s="24">
        <v>36</v>
      </c>
      <c r="C925" s="22" t="s">
        <v>3835</v>
      </c>
      <c r="D925" s="60">
        <v>10</v>
      </c>
      <c r="E925" s="61">
        <v>1</v>
      </c>
      <c r="F925" s="60">
        <v>10</v>
      </c>
      <c r="G925" s="39">
        <v>35.14</v>
      </c>
      <c r="H925" s="1015" t="s">
        <v>222</v>
      </c>
    </row>
    <row r="926" spans="1:8" ht="15">
      <c r="A926" s="22">
        <v>11700</v>
      </c>
      <c r="B926" s="24">
        <v>36</v>
      </c>
      <c r="C926" s="22" t="s">
        <v>124</v>
      </c>
      <c r="D926" s="60">
        <v>10</v>
      </c>
      <c r="E926" s="61">
        <v>1</v>
      </c>
      <c r="F926" s="60">
        <v>10</v>
      </c>
      <c r="G926" s="39">
        <v>35.14</v>
      </c>
      <c r="H926" s="1015" t="s">
        <v>222</v>
      </c>
    </row>
    <row r="930" spans="1:17" ht="15.75">
      <c r="A930" s="83" t="s">
        <v>3437</v>
      </c>
      <c r="B930" s="85" t="s">
        <v>99</v>
      </c>
      <c r="C930" s="85" t="s">
        <v>116</v>
      </c>
      <c r="D930" s="104" t="s">
        <v>3808</v>
      </c>
      <c r="E930" s="7"/>
      <c r="F930" s="7"/>
    </row>
    <row r="931" spans="1:17" ht="15">
      <c r="A931" s="22" t="s">
        <v>3838</v>
      </c>
      <c r="B931" s="37" t="s">
        <v>100</v>
      </c>
      <c r="C931" s="108">
        <v>54.8</v>
      </c>
      <c r="D931" s="897" t="s">
        <v>3839</v>
      </c>
      <c r="E931" s="7">
        <v>319</v>
      </c>
      <c r="F931" s="12" t="s">
        <v>3840</v>
      </c>
    </row>
    <row r="932" spans="1:17" ht="15.75">
      <c r="A932" s="83" t="s">
        <v>3437</v>
      </c>
      <c r="B932" s="85" t="s">
        <v>99</v>
      </c>
      <c r="C932" s="85" t="s">
        <v>116</v>
      </c>
      <c r="D932" s="104" t="s">
        <v>3808</v>
      </c>
      <c r="E932" s="7"/>
      <c r="F932" s="12"/>
    </row>
    <row r="933" spans="1:17" ht="15">
      <c r="A933" s="22" t="s">
        <v>3841</v>
      </c>
      <c r="B933" s="37" t="s">
        <v>100</v>
      </c>
      <c r="C933" s="108">
        <v>54.8</v>
      </c>
      <c r="D933" s="897" t="s">
        <v>3842</v>
      </c>
      <c r="E933" s="7">
        <v>253</v>
      </c>
      <c r="F933" s="12" t="s">
        <v>3843</v>
      </c>
    </row>
    <row r="934" spans="1:17" ht="15.75">
      <c r="A934" s="83" t="s">
        <v>3437</v>
      </c>
      <c r="B934" s="85" t="s">
        <v>99</v>
      </c>
      <c r="C934" s="85" t="s">
        <v>116</v>
      </c>
      <c r="D934" s="104" t="s">
        <v>3808</v>
      </c>
      <c r="E934" s="7"/>
      <c r="F934" s="12"/>
    </row>
    <row r="935" spans="1:17" ht="15">
      <c r="A935" s="22" t="s">
        <v>3844</v>
      </c>
      <c r="B935" s="37" t="s">
        <v>100</v>
      </c>
      <c r="C935" s="108">
        <v>54.8</v>
      </c>
      <c r="D935" s="897" t="s">
        <v>3845</v>
      </c>
    </row>
    <row r="937" spans="1:17" s="7" customFormat="1" ht="15">
      <c r="A937" s="83" t="s">
        <v>214</v>
      </c>
      <c r="B937" s="83" t="s">
        <v>3437</v>
      </c>
      <c r="C937" s="85" t="s">
        <v>35</v>
      </c>
      <c r="D937" s="85" t="s">
        <v>99</v>
      </c>
      <c r="E937" s="85" t="s">
        <v>116</v>
      </c>
      <c r="F937" s="85" t="s">
        <v>3442</v>
      </c>
      <c r="G937" s="968" t="s">
        <v>3443</v>
      </c>
      <c r="H937" s="85" t="s">
        <v>3710</v>
      </c>
      <c r="I937" s="14"/>
      <c r="J937" s="11"/>
      <c r="K937" s="14"/>
      <c r="L937" s="6" t="s">
        <v>3</v>
      </c>
      <c r="M937" s="120"/>
      <c r="N937" s="120"/>
    </row>
    <row r="938" spans="1:17" s="7" customFormat="1" ht="15.75" customHeight="1">
      <c r="A938" s="6" t="s">
        <v>3846</v>
      </c>
      <c r="B938" s="22" t="s">
        <v>3447</v>
      </c>
      <c r="C938" s="24"/>
      <c r="D938" s="22" t="s">
        <v>120</v>
      </c>
      <c r="E938" s="8">
        <f>F938*G938</f>
        <v>210</v>
      </c>
      <c r="F938" s="47">
        <v>14</v>
      </c>
      <c r="G938" s="31">
        <v>15</v>
      </c>
      <c r="H938" s="39">
        <v>1.99</v>
      </c>
      <c r="I938" s="32"/>
      <c r="J938" s="33"/>
      <c r="K938" s="139"/>
      <c r="L938" s="6"/>
      <c r="M938" s="39">
        <v>1.59</v>
      </c>
      <c r="N938" s="14"/>
      <c r="O938" s="7" t="s">
        <v>3847</v>
      </c>
      <c r="P938" s="12"/>
    </row>
    <row r="939" spans="1:17" s="7" customFormat="1" ht="15.75" customHeight="1">
      <c r="A939" s="6" t="s">
        <v>3846</v>
      </c>
      <c r="B939" s="22" t="s">
        <v>198</v>
      </c>
      <c r="C939" s="24"/>
      <c r="D939" s="22" t="s">
        <v>58</v>
      </c>
      <c r="E939" s="8">
        <f>F939*G939</f>
        <v>98</v>
      </c>
      <c r="F939" s="47">
        <v>14</v>
      </c>
      <c r="G939" s="31">
        <v>7</v>
      </c>
      <c r="H939" s="39">
        <v>1.99</v>
      </c>
      <c r="I939" s="32"/>
      <c r="J939" s="33"/>
      <c r="K939" s="139"/>
      <c r="L939" s="6"/>
      <c r="M939" s="39">
        <v>1.59</v>
      </c>
      <c r="N939" s="14"/>
      <c r="O939" s="7">
        <v>71</v>
      </c>
      <c r="P939" s="12" t="s">
        <v>98</v>
      </c>
      <c r="Q939" s="7" t="s">
        <v>3847</v>
      </c>
    </row>
    <row r="940" spans="1:17" s="7" customFormat="1" ht="15.95" customHeight="1">
      <c r="A940" s="6" t="s">
        <v>3846</v>
      </c>
      <c r="B940" s="22" t="s">
        <v>3848</v>
      </c>
      <c r="C940" s="37"/>
      <c r="D940" s="37" t="s">
        <v>120</v>
      </c>
      <c r="E940" s="131">
        <f>F940*G940</f>
        <v>68.5</v>
      </c>
      <c r="F940" s="108">
        <v>13.7</v>
      </c>
      <c r="G940" s="109">
        <v>5</v>
      </c>
      <c r="H940" s="39">
        <v>1.99</v>
      </c>
      <c r="I940" s="32"/>
      <c r="J940" s="33"/>
      <c r="K940" s="139"/>
      <c r="L940" s="6"/>
      <c r="M940" s="39">
        <v>1.59</v>
      </c>
      <c r="N940" s="14"/>
      <c r="O940" s="7" t="s">
        <v>3847</v>
      </c>
      <c r="P940" s="12"/>
    </row>
    <row r="941" spans="1:17" s="7" customFormat="1" ht="18" customHeight="1">
      <c r="A941" s="6" t="s">
        <v>3846</v>
      </c>
      <c r="B941" s="22" t="s">
        <v>65</v>
      </c>
      <c r="C941" s="37"/>
      <c r="D941" s="37" t="s">
        <v>3849</v>
      </c>
      <c r="E941" s="18">
        <f>F941*G941</f>
        <v>95.899999999999991</v>
      </c>
      <c r="F941" s="108">
        <v>13.7</v>
      </c>
      <c r="G941" s="109">
        <v>7</v>
      </c>
      <c r="H941" s="39">
        <v>2.4</v>
      </c>
      <c r="I941" s="32"/>
      <c r="J941" s="33"/>
      <c r="K941" s="139"/>
      <c r="L941" s="6"/>
      <c r="M941" s="39">
        <v>1.92</v>
      </c>
      <c r="N941" s="1018"/>
      <c r="O941" s="7" t="s">
        <v>3850</v>
      </c>
      <c r="P941" s="7" t="s">
        <v>3851</v>
      </c>
    </row>
    <row r="942" spans="1:17" s="1" customFormat="1" ht="18" customHeight="1">
      <c r="A942" s="6" t="s">
        <v>3846</v>
      </c>
      <c r="B942" s="22">
        <v>2250</v>
      </c>
      <c r="C942" s="37">
        <v>18</v>
      </c>
      <c r="D942" s="37" t="s">
        <v>3852</v>
      </c>
      <c r="E942" s="8">
        <f>F942*G942</f>
        <v>180</v>
      </c>
      <c r="F942" s="108">
        <v>30</v>
      </c>
      <c r="G942" s="109">
        <v>6</v>
      </c>
      <c r="H942" s="39">
        <v>0.41</v>
      </c>
      <c r="I942" s="32"/>
      <c r="J942" s="33"/>
      <c r="K942" s="139"/>
      <c r="L942" s="6"/>
      <c r="M942" s="39">
        <v>0.33</v>
      </c>
      <c r="N942" s="39"/>
      <c r="O942" s="7">
        <v>24.5</v>
      </c>
      <c r="P942" s="752">
        <f>O942*F942</f>
        <v>735</v>
      </c>
      <c r="Q942" s="12"/>
    </row>
    <row r="943" spans="1:17" s="7" customFormat="1" ht="15">
      <c r="A943" s="6" t="s">
        <v>3846</v>
      </c>
      <c r="B943" s="22"/>
      <c r="C943" s="102"/>
      <c r="D943" s="22" t="s">
        <v>14</v>
      </c>
      <c r="E943" s="8"/>
      <c r="F943" s="8" t="s">
        <v>64</v>
      </c>
      <c r="G943" s="35"/>
      <c r="H943" s="39">
        <v>12</v>
      </c>
      <c r="I943" s="32"/>
      <c r="J943" s="33"/>
      <c r="K943" s="139"/>
      <c r="L943" s="6" t="s">
        <v>3</v>
      </c>
      <c r="M943" s="39">
        <v>12</v>
      </c>
      <c r="N943" s="21"/>
    </row>
    <row r="945" spans="1:8" ht="15">
      <c r="A945" s="83" t="s">
        <v>3437</v>
      </c>
      <c r="B945" s="85" t="s">
        <v>35</v>
      </c>
      <c r="C945" s="734" t="s">
        <v>3704</v>
      </c>
      <c r="D945" s="108"/>
      <c r="E945" s="8"/>
      <c r="F945" s="35"/>
    </row>
    <row r="946" spans="1:8" ht="15">
      <c r="A946" s="22" t="s">
        <v>3735</v>
      </c>
      <c r="B946" s="37">
        <v>36</v>
      </c>
      <c r="C946" s="216" t="s">
        <v>3736</v>
      </c>
      <c r="D946" s="8">
        <v>705</v>
      </c>
      <c r="E946" s="8">
        <v>700</v>
      </c>
      <c r="F946" s="8">
        <v>700</v>
      </c>
    </row>
    <row r="947" spans="1:8" ht="15">
      <c r="A947" s="83" t="s">
        <v>3437</v>
      </c>
      <c r="B947" s="85" t="s">
        <v>35</v>
      </c>
      <c r="C947" s="85" t="s">
        <v>99</v>
      </c>
      <c r="D947" s="85" t="s">
        <v>37</v>
      </c>
    </row>
    <row r="948" spans="1:8" ht="15">
      <c r="A948" s="22" t="s">
        <v>3853</v>
      </c>
      <c r="B948" s="24" t="s">
        <v>3854</v>
      </c>
      <c r="C948" s="22" t="s">
        <v>3855</v>
      </c>
      <c r="D948" s="8">
        <v>5</v>
      </c>
    </row>
    <row r="949" spans="1:8" ht="15">
      <c r="A949" s="22" t="s">
        <v>3853</v>
      </c>
      <c r="B949" s="24" t="s">
        <v>3854</v>
      </c>
      <c r="C949" s="22" t="s">
        <v>22</v>
      </c>
      <c r="D949" s="8">
        <v>5</v>
      </c>
    </row>
    <row r="952" spans="1:8" ht="15">
      <c r="A952" s="83" t="s">
        <v>214</v>
      </c>
      <c r="B952" s="83" t="s">
        <v>3437</v>
      </c>
      <c r="C952" s="85" t="s">
        <v>35</v>
      </c>
      <c r="D952" s="85" t="s">
        <v>99</v>
      </c>
      <c r="E952" s="85" t="s">
        <v>116</v>
      </c>
      <c r="F952" s="85" t="s">
        <v>3442</v>
      </c>
      <c r="G952" s="968" t="s">
        <v>3443</v>
      </c>
      <c r="H952" s="85" t="s">
        <v>3710</v>
      </c>
    </row>
    <row r="953" spans="1:8" ht="15">
      <c r="A953" s="6" t="s">
        <v>3856</v>
      </c>
      <c r="B953" s="22" t="s">
        <v>3439</v>
      </c>
      <c r="C953" s="15">
        <v>8</v>
      </c>
      <c r="D953" s="22" t="s">
        <v>120</v>
      </c>
      <c r="E953" s="108">
        <v>100</v>
      </c>
      <c r="F953" s="109">
        <v>2</v>
      </c>
      <c r="G953" s="8">
        <v>200</v>
      </c>
      <c r="H953" s="39">
        <v>0.78</v>
      </c>
    </row>
    <row r="954" spans="1:8" ht="15">
      <c r="A954" s="6" t="s">
        <v>3856</v>
      </c>
      <c r="B954" s="22"/>
      <c r="C954" s="15"/>
      <c r="D954" s="37" t="s">
        <v>3857</v>
      </c>
      <c r="E954" s="126"/>
      <c r="F954" s="126" t="s">
        <v>64</v>
      </c>
      <c r="G954" s="108"/>
      <c r="H954" s="39">
        <v>225</v>
      </c>
    </row>
    <row r="955" spans="1:8" ht="15">
      <c r="A955" s="6" t="s">
        <v>3856</v>
      </c>
      <c r="B955" s="22"/>
      <c r="C955" s="102"/>
      <c r="D955" s="22" t="s">
        <v>14</v>
      </c>
      <c r="E955" s="8"/>
      <c r="F955" s="8" t="s">
        <v>64</v>
      </c>
      <c r="G955" s="8"/>
      <c r="H955" s="39">
        <v>12</v>
      </c>
    </row>
    <row r="957" spans="1:8" ht="15">
      <c r="A957" s="83" t="s">
        <v>3437</v>
      </c>
      <c r="B957" s="85" t="s">
        <v>35</v>
      </c>
      <c r="C957" s="85" t="s">
        <v>99</v>
      </c>
      <c r="D957" s="85" t="s">
        <v>3442</v>
      </c>
      <c r="E957" s="968" t="s">
        <v>3443</v>
      </c>
      <c r="F957" s="85" t="s">
        <v>116</v>
      </c>
      <c r="G957" s="85" t="s">
        <v>3710</v>
      </c>
    </row>
    <row r="958" spans="1:8" ht="15">
      <c r="A958" s="22" t="s">
        <v>3747</v>
      </c>
      <c r="B958" s="24">
        <v>10</v>
      </c>
      <c r="C958" s="22" t="s">
        <v>2186</v>
      </c>
      <c r="D958" s="108">
        <v>100</v>
      </c>
      <c r="E958" s="109">
        <v>3</v>
      </c>
      <c r="F958" s="8">
        <f>D958*E958</f>
        <v>300</v>
      </c>
      <c r="G958" s="39">
        <v>0.87</v>
      </c>
    </row>
    <row r="959" spans="1:8" ht="15">
      <c r="A959" s="22"/>
      <c r="B959" s="15"/>
      <c r="C959" s="37" t="s">
        <v>3858</v>
      </c>
      <c r="D959" s="126"/>
      <c r="E959" s="126" t="s">
        <v>64</v>
      </c>
      <c r="F959" s="108"/>
      <c r="G959" s="39">
        <v>437.5</v>
      </c>
    </row>
    <row r="961" spans="1:7" ht="15.75">
      <c r="A961" s="83" t="s">
        <v>3437</v>
      </c>
      <c r="B961" s="85" t="s">
        <v>99</v>
      </c>
      <c r="C961" s="85" t="s">
        <v>3442</v>
      </c>
      <c r="D961" s="968" t="s">
        <v>3443</v>
      </c>
      <c r="E961" s="85" t="s">
        <v>116</v>
      </c>
      <c r="F961" s="104" t="s">
        <v>3808</v>
      </c>
      <c r="G961" s="110" t="s">
        <v>101</v>
      </c>
    </row>
    <row r="962" spans="1:7" ht="15">
      <c r="A962" s="22" t="s">
        <v>3496</v>
      </c>
      <c r="B962" s="37" t="s">
        <v>126</v>
      </c>
      <c r="C962" s="108">
        <v>13.7</v>
      </c>
      <c r="D962" s="109">
        <v>2</v>
      </c>
      <c r="E962" s="108">
        <f>C962*D962</f>
        <v>27.4</v>
      </c>
      <c r="F962" s="897" t="s">
        <v>3859</v>
      </c>
    </row>
    <row r="963" spans="1:7" ht="15">
      <c r="A963" s="22" t="s">
        <v>2381</v>
      </c>
      <c r="B963" s="37" t="s">
        <v>2382</v>
      </c>
      <c r="C963" s="108">
        <v>13.7</v>
      </c>
      <c r="D963" s="109">
        <v>2</v>
      </c>
      <c r="E963" s="108">
        <f>C963*D963</f>
        <v>27.4</v>
      </c>
      <c r="F963" s="897" t="s">
        <v>3859</v>
      </c>
    </row>
    <row r="966" spans="1:7" ht="15.75">
      <c r="A966" s="83" t="s">
        <v>3437</v>
      </c>
      <c r="B966" s="85" t="s">
        <v>99</v>
      </c>
      <c r="C966" s="85" t="s">
        <v>37</v>
      </c>
      <c r="D966" s="104" t="s">
        <v>3808</v>
      </c>
    </row>
    <row r="967" spans="1:7" ht="15">
      <c r="A967" s="22" t="s">
        <v>2380</v>
      </c>
      <c r="B967" s="37" t="s">
        <v>58</v>
      </c>
      <c r="C967" s="131">
        <v>27.4</v>
      </c>
      <c r="D967" s="897" t="s">
        <v>3860</v>
      </c>
    </row>
    <row r="968" spans="1:7" ht="15">
      <c r="A968" s="22"/>
      <c r="B968" s="22" t="s">
        <v>14</v>
      </c>
      <c r="C968" s="8"/>
      <c r="D968" s="39">
        <v>12</v>
      </c>
    </row>
    <row r="971" spans="1:7" ht="15">
      <c r="A971" s="83" t="s">
        <v>3437</v>
      </c>
      <c r="B971" s="83" t="s">
        <v>171</v>
      </c>
      <c r="C971" s="83" t="s">
        <v>99</v>
      </c>
      <c r="D971" s="83" t="s">
        <v>37</v>
      </c>
      <c r="E971" s="88" t="s">
        <v>3861</v>
      </c>
      <c r="F971" s="300"/>
      <c r="G971" s="320"/>
    </row>
    <row r="972" spans="1:7" ht="15">
      <c r="A972" s="22">
        <v>14552</v>
      </c>
      <c r="B972" s="24">
        <v>10</v>
      </c>
      <c r="C972" s="22" t="s">
        <v>274</v>
      </c>
      <c r="D972" s="8">
        <v>180</v>
      </c>
      <c r="E972" s="1019" t="s">
        <v>3862</v>
      </c>
      <c r="F972" s="108">
        <v>30</v>
      </c>
      <c r="G972" s="109">
        <v>6</v>
      </c>
    </row>
    <row r="973" spans="1:7" ht="15">
      <c r="A973" s="22">
        <v>14552</v>
      </c>
      <c r="B973" s="24">
        <v>10</v>
      </c>
      <c r="C973" s="22" t="s">
        <v>3863</v>
      </c>
      <c r="D973" s="8">
        <v>90</v>
      </c>
      <c r="E973" s="1019" t="s">
        <v>3864</v>
      </c>
      <c r="F973" s="108">
        <v>30</v>
      </c>
      <c r="G973" s="109">
        <v>3</v>
      </c>
    </row>
    <row r="976" spans="1:7" ht="15">
      <c r="A976" s="83" t="s">
        <v>3437</v>
      </c>
      <c r="B976" s="83" t="s">
        <v>171</v>
      </c>
      <c r="C976" s="83" t="s">
        <v>99</v>
      </c>
      <c r="D976" s="85" t="s">
        <v>3442</v>
      </c>
      <c r="E976" s="968" t="s">
        <v>3443</v>
      </c>
      <c r="F976" s="85" t="s">
        <v>116</v>
      </c>
      <c r="G976" s="85" t="s">
        <v>3710</v>
      </c>
    </row>
    <row r="977" spans="1:7" ht="15">
      <c r="A977" s="22" t="s">
        <v>3865</v>
      </c>
      <c r="B977" s="37">
        <v>20</v>
      </c>
      <c r="C977" s="22" t="s">
        <v>3866</v>
      </c>
      <c r="D977" s="8">
        <v>30</v>
      </c>
      <c r="E977" s="35">
        <v>2</v>
      </c>
      <c r="F977" s="108">
        <f>D977*E977</f>
        <v>60</v>
      </c>
      <c r="G977" s="39">
        <v>1.2</v>
      </c>
    </row>
    <row r="978" spans="1:7" ht="15">
      <c r="A978" s="22" t="s">
        <v>3865</v>
      </c>
      <c r="B978" s="37">
        <v>20</v>
      </c>
      <c r="C978" s="22" t="s">
        <v>3867</v>
      </c>
      <c r="D978" s="8">
        <v>30</v>
      </c>
      <c r="E978" s="35">
        <v>3</v>
      </c>
      <c r="F978" s="108">
        <f>D978*E978</f>
        <v>90</v>
      </c>
      <c r="G978" s="39">
        <v>1.2</v>
      </c>
    </row>
    <row r="979" spans="1:7" ht="15">
      <c r="A979" s="22"/>
      <c r="B979" s="102"/>
      <c r="C979" s="22" t="s">
        <v>3868</v>
      </c>
      <c r="D979" s="8"/>
      <c r="E979" s="8" t="s">
        <v>108</v>
      </c>
      <c r="F979" s="8"/>
      <c r="G979" s="39">
        <v>315</v>
      </c>
    </row>
    <row r="980" spans="1:7" ht="15">
      <c r="A980" s="22" t="s">
        <v>3869</v>
      </c>
      <c r="B980" s="37">
        <v>25</v>
      </c>
      <c r="C980" s="22" t="s">
        <v>3870</v>
      </c>
      <c r="D980" s="8">
        <v>30</v>
      </c>
      <c r="E980" s="35">
        <v>2</v>
      </c>
      <c r="F980" s="108">
        <f>D980*E980</f>
        <v>60</v>
      </c>
      <c r="G980" s="39">
        <v>1.92</v>
      </c>
    </row>
    <row r="981" spans="1:7" ht="15">
      <c r="A981" s="22" t="s">
        <v>3869</v>
      </c>
      <c r="B981" s="37">
        <v>25</v>
      </c>
      <c r="C981" s="22" t="s">
        <v>3871</v>
      </c>
      <c r="D981" s="8">
        <v>30</v>
      </c>
      <c r="E981" s="35">
        <v>3</v>
      </c>
      <c r="F981" s="108">
        <f>D981*E981</f>
        <v>90</v>
      </c>
      <c r="G981" s="39">
        <v>1.92</v>
      </c>
    </row>
    <row r="984" spans="1:7" ht="15">
      <c r="A984" s="83" t="s">
        <v>3437</v>
      </c>
      <c r="B984" s="83" t="s">
        <v>171</v>
      </c>
      <c r="C984" s="83" t="s">
        <v>99</v>
      </c>
      <c r="D984" s="85" t="s">
        <v>37</v>
      </c>
      <c r="E984" s="85" t="s">
        <v>3710</v>
      </c>
      <c r="F984" s="85" t="s">
        <v>3710</v>
      </c>
    </row>
    <row r="985" spans="1:7" ht="15.75">
      <c r="A985" s="22" t="s">
        <v>3640</v>
      </c>
      <c r="B985" s="15">
        <v>10</v>
      </c>
      <c r="C985" s="22" t="s">
        <v>3872</v>
      </c>
      <c r="D985" s="108">
        <v>100</v>
      </c>
      <c r="E985" s="39">
        <v>0.97</v>
      </c>
      <c r="F985" s="161" t="s">
        <v>3873</v>
      </c>
    </row>
    <row r="986" spans="1:7" ht="15.75">
      <c r="A986" s="49"/>
      <c r="B986" s="15"/>
      <c r="C986" s="22" t="s">
        <v>3874</v>
      </c>
      <c r="D986" s="126" t="s">
        <v>64</v>
      </c>
      <c r="E986" s="39">
        <v>437.5</v>
      </c>
      <c r="F986" s="161" t="s">
        <v>3873</v>
      </c>
    </row>
    <row r="990" spans="1:7" ht="15.75">
      <c r="A990" s="83" t="s">
        <v>3437</v>
      </c>
      <c r="B990" s="83" t="s">
        <v>99</v>
      </c>
      <c r="C990" s="85" t="s">
        <v>3442</v>
      </c>
      <c r="D990" s="968" t="s">
        <v>3443</v>
      </c>
      <c r="E990" s="85" t="s">
        <v>116</v>
      </c>
      <c r="F990" s="110" t="s">
        <v>101</v>
      </c>
    </row>
    <row r="991" spans="1:7" ht="15">
      <c r="A991" s="22" t="s">
        <v>3841</v>
      </c>
      <c r="B991" s="37" t="s">
        <v>100</v>
      </c>
      <c r="C991" s="108">
        <v>13.7</v>
      </c>
      <c r="D991" s="109">
        <v>17</v>
      </c>
      <c r="E991" s="131">
        <v>232.89999999999998</v>
      </c>
      <c r="F991" s="39">
        <v>5.14</v>
      </c>
    </row>
    <row r="992" spans="1:7" ht="15">
      <c r="A992" s="22" t="s">
        <v>3841</v>
      </c>
      <c r="B992" s="37" t="s">
        <v>100</v>
      </c>
      <c r="C992" s="108">
        <v>13.7</v>
      </c>
      <c r="D992" s="109">
        <v>34</v>
      </c>
      <c r="E992" s="131">
        <v>465.79999999999995</v>
      </c>
      <c r="F992" s="39">
        <v>5.14</v>
      </c>
    </row>
    <row r="993" spans="1:6" ht="15">
      <c r="A993" s="22" t="s">
        <v>3838</v>
      </c>
      <c r="B993" s="37" t="s">
        <v>100</v>
      </c>
      <c r="C993" s="108">
        <v>13.7</v>
      </c>
      <c r="D993" s="109">
        <v>43</v>
      </c>
      <c r="E993" s="108">
        <v>589.1</v>
      </c>
      <c r="F993" s="39">
        <v>5.84</v>
      </c>
    </row>
    <row r="995" spans="1:6" ht="15">
      <c r="A995" s="83" t="s">
        <v>3437</v>
      </c>
      <c r="B995" s="83" t="s">
        <v>99</v>
      </c>
      <c r="C995" s="85" t="s">
        <v>116</v>
      </c>
    </row>
    <row r="996" spans="1:6" ht="15">
      <c r="A996" s="22" t="s">
        <v>280</v>
      </c>
      <c r="B996" s="37" t="s">
        <v>100</v>
      </c>
      <c r="C996" s="8">
        <v>5</v>
      </c>
    </row>
    <row r="997" spans="1:6" ht="15">
      <c r="A997" s="22" t="s">
        <v>3875</v>
      </c>
      <c r="B997" s="37" t="s">
        <v>100</v>
      </c>
      <c r="C997" s="8">
        <v>5</v>
      </c>
    </row>
    <row r="998" spans="1:6" ht="15">
      <c r="A998" s="22" t="s">
        <v>152</v>
      </c>
      <c r="B998" s="37" t="s">
        <v>100</v>
      </c>
      <c r="C998" s="8">
        <v>5</v>
      </c>
    </row>
    <row r="999" spans="1:6" ht="15">
      <c r="A999" s="22" t="s">
        <v>332</v>
      </c>
      <c r="B999" s="37" t="s">
        <v>100</v>
      </c>
      <c r="C999" s="8">
        <v>5</v>
      </c>
    </row>
    <row r="1000" spans="1:6" ht="15">
      <c r="A1000" s="22" t="s">
        <v>259</v>
      </c>
      <c r="B1000" s="37" t="s">
        <v>100</v>
      </c>
      <c r="C1000" s="8">
        <v>5</v>
      </c>
    </row>
    <row r="1001" spans="1:6" ht="15">
      <c r="A1001" s="22" t="s">
        <v>3876</v>
      </c>
      <c r="B1001" s="37" t="s">
        <v>100</v>
      </c>
      <c r="C1001" s="8">
        <v>5</v>
      </c>
    </row>
    <row r="1002" spans="1:6" ht="15">
      <c r="A1002" s="22" t="s">
        <v>3877</v>
      </c>
      <c r="B1002" s="37" t="s">
        <v>100</v>
      </c>
      <c r="C1002" s="8">
        <v>5</v>
      </c>
    </row>
    <row r="1003" spans="1:6" ht="15">
      <c r="A1003" s="22" t="s">
        <v>281</v>
      </c>
      <c r="B1003" s="37" t="s">
        <v>100</v>
      </c>
      <c r="C1003" s="131">
        <v>13.7</v>
      </c>
    </row>
    <row r="1006" spans="1:6" ht="15">
      <c r="A1006" s="83" t="s">
        <v>3437</v>
      </c>
      <c r="B1006" s="83" t="s">
        <v>99</v>
      </c>
      <c r="C1006" s="85" t="s">
        <v>116</v>
      </c>
      <c r="D1006" s="85" t="s">
        <v>148</v>
      </c>
    </row>
    <row r="1007" spans="1:6" ht="15">
      <c r="A1007" s="22" t="s">
        <v>3878</v>
      </c>
      <c r="B1007" s="37" t="s">
        <v>3879</v>
      </c>
      <c r="C1007" s="8">
        <v>1592</v>
      </c>
      <c r="D1007" s="88" t="s">
        <v>3880</v>
      </c>
    </row>
    <row r="1008" spans="1:6" ht="15">
      <c r="A1008" s="82" t="s">
        <v>3878</v>
      </c>
      <c r="B1008" s="37" t="s">
        <v>3881</v>
      </c>
      <c r="C1008" s="8">
        <v>1958</v>
      </c>
      <c r="D1008" s="1020" t="s">
        <v>3882</v>
      </c>
    </row>
    <row r="1009" spans="1:4" ht="15">
      <c r="A1009" s="22" t="s">
        <v>3878</v>
      </c>
      <c r="B1009" s="37" t="s">
        <v>100</v>
      </c>
      <c r="C1009" s="8">
        <v>7965</v>
      </c>
      <c r="D1009" s="88" t="s">
        <v>3883</v>
      </c>
    </row>
    <row r="1010" spans="1:4" ht="15">
      <c r="A1010" s="82" t="s">
        <v>3878</v>
      </c>
      <c r="B1010" s="37" t="s">
        <v>100</v>
      </c>
      <c r="C1010" s="8">
        <v>3110</v>
      </c>
      <c r="D1010" s="1020" t="s">
        <v>3882</v>
      </c>
    </row>
    <row r="1011" spans="1:4" ht="15.75" customHeight="1">
      <c r="A1011" s="22" t="s">
        <v>3884</v>
      </c>
      <c r="B1011" s="37" t="s">
        <v>3879</v>
      </c>
      <c r="C1011" s="8">
        <v>807</v>
      </c>
      <c r="D1011" s="88" t="s">
        <v>3880</v>
      </c>
    </row>
    <row r="1012" spans="1:4" ht="15">
      <c r="A1012" s="82" t="s">
        <v>3884</v>
      </c>
      <c r="B1012" s="37" t="s">
        <v>3881</v>
      </c>
      <c r="C1012" s="8">
        <v>753</v>
      </c>
      <c r="D1012" s="1020" t="s">
        <v>3882</v>
      </c>
    </row>
    <row r="1013" spans="1:4" ht="15">
      <c r="A1013" s="22" t="s">
        <v>3884</v>
      </c>
      <c r="B1013" s="37" t="s">
        <v>100</v>
      </c>
      <c r="C1013" s="8">
        <v>3453</v>
      </c>
      <c r="D1013" s="88" t="s">
        <v>3883</v>
      </c>
    </row>
    <row r="1014" spans="1:4" ht="15">
      <c r="A1014" s="82" t="s">
        <v>3884</v>
      </c>
      <c r="B1014" s="37" t="s">
        <v>100</v>
      </c>
      <c r="C1014" s="8">
        <v>1347</v>
      </c>
      <c r="D1014" s="1020" t="s">
        <v>3882</v>
      </c>
    </row>
    <row r="1015" spans="1:4" ht="15">
      <c r="A1015" s="22" t="s">
        <v>3625</v>
      </c>
      <c r="B1015" s="37" t="s">
        <v>120</v>
      </c>
      <c r="C1015" s="108">
        <v>502</v>
      </c>
      <c r="D1015" s="88" t="s">
        <v>3883</v>
      </c>
    </row>
    <row r="1016" spans="1:4" ht="15.75">
      <c r="A1016" s="82" t="s">
        <v>3625</v>
      </c>
      <c r="B1016" s="37" t="s">
        <v>3885</v>
      </c>
      <c r="C1016" s="1021" t="s">
        <v>3886</v>
      </c>
      <c r="D1016" s="1020" t="s">
        <v>3887</v>
      </c>
    </row>
    <row r="1018" spans="1:4" ht="15">
      <c r="A1018" s="83" t="s">
        <v>3437</v>
      </c>
      <c r="B1018" s="83" t="s">
        <v>99</v>
      </c>
      <c r="C1018" s="85" t="s">
        <v>116</v>
      </c>
      <c r="D1018" s="85" t="s">
        <v>3710</v>
      </c>
    </row>
    <row r="1019" spans="1:4" ht="15">
      <c r="A1019" s="22" t="s">
        <v>3888</v>
      </c>
      <c r="B1019" s="37" t="s">
        <v>100</v>
      </c>
      <c r="C1019" s="8">
        <v>3</v>
      </c>
      <c r="D1019" s="39">
        <v>4</v>
      </c>
    </row>
    <row r="1020" spans="1:4" ht="15">
      <c r="A1020" s="22" t="s">
        <v>3889</v>
      </c>
      <c r="B1020" s="37" t="s">
        <v>100</v>
      </c>
      <c r="C1020" s="8">
        <v>5</v>
      </c>
      <c r="D1020" s="39">
        <v>1.34</v>
      </c>
    </row>
    <row r="1021" spans="1:4" ht="15">
      <c r="A1021" s="22" t="s">
        <v>280</v>
      </c>
      <c r="B1021" s="37" t="s">
        <v>100</v>
      </c>
      <c r="C1021" s="8">
        <v>5</v>
      </c>
      <c r="D1021" s="39">
        <v>1.64</v>
      </c>
    </row>
    <row r="1022" spans="1:4" ht="15">
      <c r="A1022" s="22" t="s">
        <v>3875</v>
      </c>
      <c r="B1022" s="37" t="s">
        <v>100</v>
      </c>
      <c r="C1022" s="8">
        <v>5</v>
      </c>
      <c r="D1022" s="39">
        <v>1.42</v>
      </c>
    </row>
    <row r="1023" spans="1:4" ht="15">
      <c r="A1023" s="22" t="s">
        <v>152</v>
      </c>
      <c r="B1023" s="37" t="s">
        <v>100</v>
      </c>
      <c r="C1023" s="8">
        <v>5</v>
      </c>
      <c r="D1023" s="39">
        <v>1.59</v>
      </c>
    </row>
    <row r="1024" spans="1:4" ht="15">
      <c r="A1024" s="22" t="s">
        <v>332</v>
      </c>
      <c r="B1024" s="37" t="s">
        <v>100</v>
      </c>
      <c r="C1024" s="8">
        <v>5</v>
      </c>
      <c r="D1024" s="39">
        <v>2.17</v>
      </c>
    </row>
    <row r="1025" spans="1:7" ht="15">
      <c r="A1025" s="22" t="s">
        <v>259</v>
      </c>
      <c r="B1025" s="37" t="s">
        <v>100</v>
      </c>
      <c r="C1025" s="8">
        <v>5</v>
      </c>
      <c r="D1025" s="39">
        <v>2.44</v>
      </c>
    </row>
    <row r="1026" spans="1:7" ht="15">
      <c r="A1026" s="22" t="s">
        <v>3876</v>
      </c>
      <c r="B1026" s="37" t="s">
        <v>100</v>
      </c>
      <c r="C1026" s="8">
        <v>5</v>
      </c>
      <c r="D1026" s="39">
        <v>1.25</v>
      </c>
    </row>
    <row r="1027" spans="1:7" ht="15">
      <c r="A1027" s="22" t="s">
        <v>3877</v>
      </c>
      <c r="B1027" s="37" t="s">
        <v>100</v>
      </c>
      <c r="C1027" s="8">
        <v>5</v>
      </c>
      <c r="D1027" s="39">
        <v>1.1499999999999999</v>
      </c>
    </row>
    <row r="1028" spans="1:7" ht="15">
      <c r="A1028" s="22" t="s">
        <v>281</v>
      </c>
      <c r="B1028" s="37" t="s">
        <v>100</v>
      </c>
      <c r="C1028" s="131">
        <v>13.7</v>
      </c>
      <c r="D1028" s="39">
        <v>1.44</v>
      </c>
    </row>
    <row r="1029" spans="1:7" ht="15">
      <c r="A1029" s="22" t="s">
        <v>14</v>
      </c>
      <c r="B1029" s="8"/>
      <c r="C1029" s="8" t="s">
        <v>64</v>
      </c>
      <c r="D1029" s="39">
        <v>15</v>
      </c>
    </row>
    <row r="1031" spans="1:7" ht="15">
      <c r="A1031" s="14"/>
      <c r="B1031" s="83" t="s">
        <v>3437</v>
      </c>
      <c r="C1031" s="83" t="s">
        <v>171</v>
      </c>
      <c r="D1031" s="83" t="s">
        <v>99</v>
      </c>
      <c r="E1031" s="85" t="s">
        <v>3442</v>
      </c>
      <c r="F1031" s="968" t="s">
        <v>3443</v>
      </c>
      <c r="G1031" s="85" t="s">
        <v>116</v>
      </c>
    </row>
    <row r="1032" spans="1:7" ht="15">
      <c r="A1032" s="14" t="s">
        <v>3890</v>
      </c>
      <c r="B1032" s="22" t="s">
        <v>3891</v>
      </c>
      <c r="C1032" s="37">
        <v>9</v>
      </c>
      <c r="D1032" s="37" t="s">
        <v>120</v>
      </c>
      <c r="E1032" s="108">
        <v>100</v>
      </c>
      <c r="F1032" s="109">
        <v>1</v>
      </c>
      <c r="G1032" s="8">
        <v>100</v>
      </c>
    </row>
    <row r="1033" spans="1:7" ht="15">
      <c r="A1033" s="14" t="s">
        <v>3890</v>
      </c>
      <c r="B1033" s="22" t="s">
        <v>3892</v>
      </c>
      <c r="C1033" s="37">
        <v>16</v>
      </c>
      <c r="D1033" s="37" t="s">
        <v>120</v>
      </c>
      <c r="E1033" s="108">
        <v>50</v>
      </c>
      <c r="F1033" s="109">
        <v>2</v>
      </c>
      <c r="G1033" s="60">
        <v>100</v>
      </c>
    </row>
    <row r="1037" spans="1:7" ht="15">
      <c r="A1037" s="83" t="s">
        <v>3437</v>
      </c>
      <c r="B1037" s="83" t="s">
        <v>171</v>
      </c>
      <c r="C1037" s="83" t="s">
        <v>99</v>
      </c>
      <c r="D1037" s="83" t="s">
        <v>37</v>
      </c>
    </row>
    <row r="1038" spans="1:7" ht="15">
      <c r="A1038" s="22">
        <v>4111</v>
      </c>
      <c r="B1038" s="15">
        <v>8</v>
      </c>
      <c r="C1038" s="22" t="s">
        <v>3893</v>
      </c>
      <c r="D1038" s="8">
        <v>5</v>
      </c>
    </row>
    <row r="1039" spans="1:7" ht="15">
      <c r="A1039" s="22">
        <v>4111</v>
      </c>
      <c r="B1039" s="15">
        <v>8</v>
      </c>
      <c r="C1039" s="22" t="s">
        <v>3894</v>
      </c>
      <c r="D1039" s="8">
        <v>5</v>
      </c>
    </row>
    <row r="1040" spans="1:7" ht="15">
      <c r="A1040" s="22">
        <v>4111</v>
      </c>
      <c r="B1040" s="15">
        <v>8</v>
      </c>
      <c r="C1040" s="22" t="s">
        <v>184</v>
      </c>
      <c r="D1040" s="8">
        <v>5</v>
      </c>
    </row>
    <row r="1041" spans="1:6" ht="15">
      <c r="A1041" s="22">
        <v>4111</v>
      </c>
      <c r="B1041" s="15">
        <v>8</v>
      </c>
      <c r="C1041" s="22" t="s">
        <v>2904</v>
      </c>
      <c r="D1041" s="8">
        <v>5</v>
      </c>
    </row>
    <row r="1043" spans="1:6" ht="15">
      <c r="A1043" s="83" t="s">
        <v>3437</v>
      </c>
      <c r="B1043" s="83" t="s">
        <v>171</v>
      </c>
      <c r="C1043" s="83" t="s">
        <v>99</v>
      </c>
      <c r="D1043" s="85" t="s">
        <v>3442</v>
      </c>
      <c r="E1043" s="968" t="s">
        <v>3443</v>
      </c>
      <c r="F1043" s="85" t="s">
        <v>116</v>
      </c>
    </row>
    <row r="1044" spans="1:6" ht="15">
      <c r="A1044" s="22">
        <v>3721</v>
      </c>
      <c r="B1044" s="37">
        <v>25</v>
      </c>
      <c r="C1044" s="37" t="s">
        <v>3895</v>
      </c>
      <c r="D1044" s="108">
        <v>30</v>
      </c>
      <c r="E1044" s="109">
        <v>4</v>
      </c>
      <c r="F1044" s="8">
        <v>120</v>
      </c>
    </row>
    <row r="1045" spans="1:6" ht="15">
      <c r="A1045" s="22">
        <v>3721</v>
      </c>
      <c r="B1045" s="37">
        <v>25</v>
      </c>
      <c r="C1045" s="37" t="s">
        <v>3896</v>
      </c>
      <c r="D1045" s="108">
        <v>30</v>
      </c>
      <c r="E1045" s="109">
        <v>4</v>
      </c>
      <c r="F1045" s="8">
        <v>120</v>
      </c>
    </row>
    <row r="1046" spans="1:6" ht="15">
      <c r="A1046" s="22">
        <v>3722</v>
      </c>
      <c r="B1046" s="37" t="s">
        <v>3897</v>
      </c>
      <c r="C1046" s="37" t="s">
        <v>3898</v>
      </c>
      <c r="D1046" s="108">
        <v>30</v>
      </c>
      <c r="E1046" s="109">
        <v>33</v>
      </c>
      <c r="F1046" s="8">
        <v>990</v>
      </c>
    </row>
    <row r="1047" spans="1:6" ht="15">
      <c r="A1047" s="22">
        <v>3705</v>
      </c>
      <c r="B1047" s="24">
        <v>19</v>
      </c>
      <c r="C1047" s="22" t="s">
        <v>3899</v>
      </c>
      <c r="D1047" s="8">
        <v>30</v>
      </c>
      <c r="E1047" s="35">
        <v>18</v>
      </c>
      <c r="F1047" s="8">
        <v>540</v>
      </c>
    </row>
    <row r="1050" spans="1:6" ht="15">
      <c r="A1050" s="83" t="s">
        <v>3437</v>
      </c>
      <c r="B1050" s="83" t="s">
        <v>99</v>
      </c>
      <c r="C1050" s="85" t="s">
        <v>116</v>
      </c>
    </row>
    <row r="1051" spans="1:6" ht="15">
      <c r="A1051" s="22" t="s">
        <v>3878</v>
      </c>
      <c r="B1051" s="37" t="s">
        <v>100</v>
      </c>
      <c r="C1051" s="8">
        <v>7965</v>
      </c>
    </row>
    <row r="1052" spans="1:6" ht="15">
      <c r="A1052" s="22" t="s">
        <v>3878</v>
      </c>
      <c r="B1052" s="37" t="s">
        <v>3900</v>
      </c>
      <c r="C1052" s="8">
        <v>3110</v>
      </c>
    </row>
    <row r="1053" spans="1:6" ht="15">
      <c r="A1053" s="119" t="s">
        <v>3878</v>
      </c>
      <c r="B1053" s="138" t="s">
        <v>3901</v>
      </c>
      <c r="C1053" s="173">
        <v>8285</v>
      </c>
    </row>
    <row r="1054" spans="1:6" ht="15">
      <c r="A1054" s="22" t="s">
        <v>3878</v>
      </c>
      <c r="B1054" s="37" t="s">
        <v>3879</v>
      </c>
      <c r="C1054" s="8">
        <v>1592</v>
      </c>
    </row>
    <row r="1055" spans="1:6" ht="15">
      <c r="A1055" s="22" t="s">
        <v>3878</v>
      </c>
      <c r="B1055" s="37" t="s">
        <v>3902</v>
      </c>
      <c r="C1055" s="8">
        <v>1958</v>
      </c>
    </row>
    <row r="1056" spans="1:6" ht="15">
      <c r="A1056" s="119" t="s">
        <v>3878</v>
      </c>
      <c r="B1056" s="138" t="s">
        <v>3903</v>
      </c>
      <c r="C1056" s="173">
        <v>2150</v>
      </c>
    </row>
    <row r="1057" spans="1:4" ht="15">
      <c r="A1057" s="22" t="s">
        <v>3884</v>
      </c>
      <c r="B1057" s="37" t="s">
        <v>100</v>
      </c>
      <c r="C1057" s="8">
        <v>3453</v>
      </c>
    </row>
    <row r="1058" spans="1:4" ht="15">
      <c r="A1058" s="22" t="s">
        <v>3884</v>
      </c>
      <c r="B1058" s="37" t="s">
        <v>3900</v>
      </c>
      <c r="C1058" s="8">
        <v>1347</v>
      </c>
    </row>
    <row r="1059" spans="1:4" ht="15">
      <c r="A1059" s="119" t="s">
        <v>3884</v>
      </c>
      <c r="B1059" s="138" t="s">
        <v>3901</v>
      </c>
      <c r="C1059" s="173">
        <v>4260</v>
      </c>
    </row>
    <row r="1060" spans="1:4" ht="15">
      <c r="A1060" s="22" t="s">
        <v>3884</v>
      </c>
      <c r="B1060" s="37" t="s">
        <v>3879</v>
      </c>
      <c r="C1060" s="8">
        <v>807</v>
      </c>
    </row>
    <row r="1061" spans="1:4" ht="15">
      <c r="A1061" s="22" t="s">
        <v>3884</v>
      </c>
      <c r="B1061" s="37" t="s">
        <v>3904</v>
      </c>
      <c r="C1061" s="8">
        <v>753</v>
      </c>
    </row>
    <row r="1062" spans="1:4" ht="15">
      <c r="A1062" s="119" t="s">
        <v>3884</v>
      </c>
      <c r="B1062" s="138" t="s">
        <v>3905</v>
      </c>
      <c r="C1062" s="173">
        <v>1480</v>
      </c>
    </row>
    <row r="1063" spans="1:4" ht="15">
      <c r="A1063" s="22" t="s">
        <v>3625</v>
      </c>
      <c r="B1063" s="37" t="s">
        <v>3885</v>
      </c>
      <c r="C1063" s="108">
        <v>650</v>
      </c>
    </row>
    <row r="1064" spans="1:4" ht="15">
      <c r="A1064" s="22" t="s">
        <v>3625</v>
      </c>
      <c r="B1064" s="37" t="s">
        <v>3906</v>
      </c>
      <c r="C1064" s="108">
        <v>80</v>
      </c>
    </row>
    <row r="1065" spans="1:4" ht="15">
      <c r="A1065" s="119" t="s">
        <v>3625</v>
      </c>
      <c r="B1065" s="1022" t="s">
        <v>3907</v>
      </c>
      <c r="C1065" s="173">
        <v>730</v>
      </c>
    </row>
    <row r="1066" spans="1:4" ht="15">
      <c r="A1066" s="22" t="s">
        <v>3625</v>
      </c>
      <c r="B1066" s="37" t="s">
        <v>120</v>
      </c>
      <c r="C1066" s="108">
        <v>502</v>
      </c>
    </row>
    <row r="1067" spans="1:4" ht="15">
      <c r="A1067" s="119" t="s">
        <v>3625</v>
      </c>
      <c r="B1067" s="138" t="s">
        <v>3908</v>
      </c>
      <c r="C1067" s="1023">
        <v>370</v>
      </c>
    </row>
    <row r="1072" spans="1:4" ht="15.75">
      <c r="A1072" s="83" t="s">
        <v>3437</v>
      </c>
      <c r="B1072" s="83" t="s">
        <v>99</v>
      </c>
      <c r="C1072" s="83" t="s">
        <v>37</v>
      </c>
      <c r="D1072" s="104" t="s">
        <v>3808</v>
      </c>
    </row>
    <row r="1073" spans="1:4" ht="15">
      <c r="A1073" s="22" t="s">
        <v>3909</v>
      </c>
      <c r="B1073" s="37" t="s">
        <v>100</v>
      </c>
      <c r="C1073" s="108">
        <v>10</v>
      </c>
      <c r="D1073" s="897" t="s">
        <v>3910</v>
      </c>
    </row>
    <row r="1074" spans="1:4" ht="15">
      <c r="A1074" s="22" t="s">
        <v>3911</v>
      </c>
      <c r="B1074" s="37" t="s">
        <v>100</v>
      </c>
      <c r="C1074" s="108">
        <v>10</v>
      </c>
      <c r="D1074" s="897" t="s">
        <v>3912</v>
      </c>
    </row>
    <row r="1077" spans="1:4" ht="15">
      <c r="A1077" s="83" t="s">
        <v>3437</v>
      </c>
      <c r="B1077" s="83" t="s">
        <v>99</v>
      </c>
      <c r="C1077" s="83" t="s">
        <v>37</v>
      </c>
    </row>
    <row r="1078" spans="1:4" ht="15">
      <c r="A1078" s="22" t="s">
        <v>3878</v>
      </c>
      <c r="B1078" s="37" t="s">
        <v>100</v>
      </c>
      <c r="C1078" s="8">
        <v>8235</v>
      </c>
    </row>
    <row r="1079" spans="1:4" ht="15">
      <c r="A1079" s="22" t="s">
        <v>3878</v>
      </c>
      <c r="B1079" s="37" t="s">
        <v>3913</v>
      </c>
      <c r="C1079" s="8">
        <v>2125</v>
      </c>
    </row>
    <row r="1080" spans="1:4" ht="15">
      <c r="A1080" s="22" t="s">
        <v>3884</v>
      </c>
      <c r="B1080" s="37" t="s">
        <v>100</v>
      </c>
      <c r="C1080" s="8">
        <v>4230</v>
      </c>
    </row>
    <row r="1081" spans="1:4" ht="15">
      <c r="A1081" s="22" t="s">
        <v>3884</v>
      </c>
      <c r="B1081" s="37" t="s">
        <v>3914</v>
      </c>
      <c r="C1081" s="8">
        <v>1460</v>
      </c>
    </row>
    <row r="1082" spans="1:4" ht="15">
      <c r="A1082" s="22" t="s">
        <v>3625</v>
      </c>
      <c r="B1082" s="37" t="s">
        <v>3915</v>
      </c>
      <c r="C1082" s="108">
        <v>725</v>
      </c>
    </row>
    <row r="1083" spans="1:4" ht="15">
      <c r="A1083" s="22" t="s">
        <v>3625</v>
      </c>
      <c r="B1083" s="37" t="s">
        <v>120</v>
      </c>
      <c r="C1083" s="108">
        <v>365</v>
      </c>
    </row>
    <row r="1085" spans="1:4" ht="15">
      <c r="A1085" s="19" t="s">
        <v>3916</v>
      </c>
      <c r="B1085" s="22"/>
      <c r="C1085" s="60"/>
    </row>
    <row r="1086" spans="1:4" ht="15">
      <c r="A1086" s="22" t="s">
        <v>3878</v>
      </c>
      <c r="B1086" s="37" t="s">
        <v>100</v>
      </c>
      <c r="C1086" s="8">
        <v>2790</v>
      </c>
    </row>
    <row r="1087" spans="1:4" ht="15">
      <c r="A1087" s="22" t="s">
        <v>3878</v>
      </c>
      <c r="B1087" s="37" t="s">
        <v>3881</v>
      </c>
      <c r="C1087" s="8">
        <v>1400</v>
      </c>
    </row>
    <row r="1088" spans="1:4" ht="15">
      <c r="A1088" s="22" t="s">
        <v>3884</v>
      </c>
      <c r="B1088" s="37" t="s">
        <v>100</v>
      </c>
      <c r="C1088" s="8">
        <v>540</v>
      </c>
    </row>
    <row r="1089" spans="1:7" ht="15">
      <c r="A1089" s="22" t="s">
        <v>3884</v>
      </c>
      <c r="B1089" s="37" t="s">
        <v>3881</v>
      </c>
      <c r="C1089" s="8">
        <v>80</v>
      </c>
    </row>
    <row r="1090" spans="1:7" ht="15">
      <c r="A1090" s="22" t="s">
        <v>3625</v>
      </c>
      <c r="B1090" s="37" t="s">
        <v>120</v>
      </c>
      <c r="C1090" s="108">
        <v>132</v>
      </c>
    </row>
    <row r="1093" spans="1:7" ht="15">
      <c r="A1093" s="83" t="s">
        <v>3437</v>
      </c>
      <c r="B1093" s="83" t="s">
        <v>171</v>
      </c>
      <c r="C1093" s="83" t="s">
        <v>99</v>
      </c>
      <c r="D1093" s="83" t="s">
        <v>37</v>
      </c>
    </row>
    <row r="1094" spans="1:7" ht="15">
      <c r="A1094" s="22">
        <v>4111</v>
      </c>
      <c r="B1094" s="15">
        <v>12</v>
      </c>
      <c r="C1094" s="22" t="s">
        <v>184</v>
      </c>
      <c r="D1094" s="8">
        <v>5</v>
      </c>
    </row>
    <row r="1097" spans="1:7" ht="15">
      <c r="A1097" s="83" t="s">
        <v>3437</v>
      </c>
      <c r="B1097" s="83" t="s">
        <v>171</v>
      </c>
      <c r="C1097" s="83" t="s">
        <v>99</v>
      </c>
      <c r="D1097" s="85" t="s">
        <v>3442</v>
      </c>
      <c r="E1097" s="968" t="s">
        <v>3443</v>
      </c>
      <c r="F1097" s="85" t="s">
        <v>116</v>
      </c>
      <c r="G1097" s="85" t="s">
        <v>3710</v>
      </c>
    </row>
    <row r="1098" spans="1:7" ht="15">
      <c r="A1098" s="22">
        <v>2250</v>
      </c>
      <c r="B1098" s="37">
        <v>18</v>
      </c>
      <c r="C1098" s="22" t="s">
        <v>3917</v>
      </c>
      <c r="D1098" s="108">
        <v>30</v>
      </c>
      <c r="E1098" s="109">
        <v>15</v>
      </c>
      <c r="F1098" s="60">
        <v>450</v>
      </c>
      <c r="G1098" s="39">
        <v>0.41</v>
      </c>
    </row>
    <row r="1099" spans="1:7" ht="15">
      <c r="A1099" s="22">
        <v>2250</v>
      </c>
      <c r="B1099" s="37">
        <v>18</v>
      </c>
      <c r="C1099" s="22" t="s">
        <v>2133</v>
      </c>
      <c r="D1099" s="108">
        <v>30</v>
      </c>
      <c r="E1099" s="109">
        <v>2</v>
      </c>
      <c r="F1099" s="60">
        <v>60</v>
      </c>
      <c r="G1099" s="39">
        <v>0.41</v>
      </c>
    </row>
    <row r="1100" spans="1:7" ht="15">
      <c r="A1100" s="22">
        <v>2250</v>
      </c>
      <c r="B1100" s="37">
        <v>24</v>
      </c>
      <c r="C1100" s="22" t="s">
        <v>3917</v>
      </c>
      <c r="D1100" s="108">
        <v>30</v>
      </c>
      <c r="E1100" s="109">
        <v>22</v>
      </c>
      <c r="F1100" s="60">
        <v>660</v>
      </c>
      <c r="G1100" s="39">
        <v>0.53</v>
      </c>
    </row>
    <row r="1101" spans="1:7" ht="15">
      <c r="A1101" s="19"/>
      <c r="B1101" s="107"/>
      <c r="C1101" s="22"/>
      <c r="D1101" s="108"/>
      <c r="E1101" s="109"/>
      <c r="F1101" s="108"/>
      <c r="G1101" s="29"/>
    </row>
    <row r="1102" spans="1:7" ht="15">
      <c r="A1102" s="22" t="s">
        <v>6</v>
      </c>
      <c r="B1102" s="107">
        <v>160</v>
      </c>
      <c r="C1102" s="22" t="s">
        <v>3491</v>
      </c>
      <c r="D1102" s="8"/>
      <c r="E1102" s="8">
        <v>189</v>
      </c>
      <c r="F1102" s="8"/>
      <c r="G1102" s="39">
        <v>4</v>
      </c>
    </row>
    <row r="1103" spans="1:7" ht="15">
      <c r="A1103" s="22"/>
      <c r="B1103" s="102"/>
      <c r="C1103" s="22" t="s">
        <v>14</v>
      </c>
      <c r="D1103" s="8"/>
      <c r="E1103" s="8" t="s">
        <v>64</v>
      </c>
      <c r="F1103" s="8"/>
      <c r="G1103" s="39">
        <v>20</v>
      </c>
    </row>
    <row r="1107" spans="1:5" ht="15">
      <c r="A1107" s="83" t="s">
        <v>3437</v>
      </c>
      <c r="B1107" s="83" t="s">
        <v>171</v>
      </c>
      <c r="C1107" s="83" t="s">
        <v>99</v>
      </c>
      <c r="D1107" s="85" t="s">
        <v>37</v>
      </c>
      <c r="E1107" s="85" t="s">
        <v>148</v>
      </c>
    </row>
    <row r="1108" spans="1:5" ht="15">
      <c r="A1108" s="22" t="s">
        <v>1996</v>
      </c>
      <c r="B1108" s="15">
        <v>12</v>
      </c>
      <c r="C1108" s="22" t="s">
        <v>2001</v>
      </c>
      <c r="D1108" s="8" t="s">
        <v>3918</v>
      </c>
      <c r="E1108" s="87" t="s">
        <v>3919</v>
      </c>
    </row>
    <row r="1109" spans="1:5" ht="15">
      <c r="A1109" s="22" t="s">
        <v>1996</v>
      </c>
      <c r="B1109" s="15">
        <v>12</v>
      </c>
      <c r="C1109" s="22" t="s">
        <v>3920</v>
      </c>
      <c r="D1109" s="8" t="s">
        <v>3921</v>
      </c>
      <c r="E1109" s="87" t="s">
        <v>3922</v>
      </c>
    </row>
    <row r="1110" spans="1:5" ht="15">
      <c r="A1110" s="22" t="s">
        <v>1996</v>
      </c>
      <c r="B1110" s="15">
        <v>12</v>
      </c>
      <c r="C1110" s="22" t="s">
        <v>3923</v>
      </c>
      <c r="D1110" s="8">
        <v>300</v>
      </c>
      <c r="E1110" s="87" t="s">
        <v>3924</v>
      </c>
    </row>
    <row r="1111" spans="1:5" ht="15">
      <c r="A1111" s="25" t="s">
        <v>1996</v>
      </c>
      <c r="B1111" s="1024">
        <v>12</v>
      </c>
      <c r="C1111" s="25" t="s">
        <v>3925</v>
      </c>
      <c r="D1111" s="234" t="s">
        <v>3926</v>
      </c>
      <c r="E1111" s="1025" t="s">
        <v>3927</v>
      </c>
    </row>
    <row r="1112" spans="1:5" ht="15">
      <c r="A1112" s="22" t="s">
        <v>1996</v>
      </c>
      <c r="B1112" s="15">
        <v>15</v>
      </c>
      <c r="C1112" s="22" t="s">
        <v>2001</v>
      </c>
      <c r="D1112" s="8" t="s">
        <v>3928</v>
      </c>
      <c r="E1112" s="87" t="s">
        <v>3929</v>
      </c>
    </row>
    <row r="1113" spans="1:5" ht="15">
      <c r="A1113" s="22" t="s">
        <v>1996</v>
      </c>
      <c r="B1113" s="15">
        <v>15</v>
      </c>
      <c r="C1113" s="22" t="s">
        <v>3920</v>
      </c>
      <c r="D1113" s="8">
        <v>1020</v>
      </c>
      <c r="E1113" s="1026" t="s">
        <v>3883</v>
      </c>
    </row>
    <row r="1114" spans="1:5" ht="15">
      <c r="A1114" s="22" t="s">
        <v>1996</v>
      </c>
      <c r="B1114" s="15">
        <v>15</v>
      </c>
      <c r="C1114" s="22" t="s">
        <v>3923</v>
      </c>
      <c r="D1114" s="8">
        <v>210</v>
      </c>
      <c r="E1114" s="1026" t="s">
        <v>3883</v>
      </c>
    </row>
    <row r="1115" spans="1:5" s="162" customFormat="1" ht="15">
      <c r="A1115" s="25" t="s">
        <v>1996</v>
      </c>
      <c r="B1115" s="1024">
        <v>15</v>
      </c>
      <c r="C1115" s="25" t="s">
        <v>3925</v>
      </c>
      <c r="D1115" s="234">
        <v>300</v>
      </c>
      <c r="E1115" s="1025" t="s">
        <v>3927</v>
      </c>
    </row>
    <row r="1116" spans="1:5" s="162" customFormat="1" ht="15">
      <c r="A1116" s="25" t="s">
        <v>1996</v>
      </c>
      <c r="B1116" s="1024">
        <v>6</v>
      </c>
      <c r="C1116" s="25" t="s">
        <v>2001</v>
      </c>
      <c r="D1116" s="234">
        <v>120</v>
      </c>
      <c r="E1116" s="1025" t="s">
        <v>3927</v>
      </c>
    </row>
    <row r="1117" spans="1:5" s="162" customFormat="1" ht="15">
      <c r="A1117" s="25" t="s">
        <v>1996</v>
      </c>
      <c r="B1117" s="1027" t="s">
        <v>3930</v>
      </c>
      <c r="C1117" s="25" t="s">
        <v>2001</v>
      </c>
      <c r="D1117" s="234">
        <v>420</v>
      </c>
      <c r="E1117" s="1025" t="s">
        <v>3927</v>
      </c>
    </row>
    <row r="1118" spans="1:5" ht="15">
      <c r="A1118" s="14"/>
      <c r="B1118" s="15"/>
      <c r="C1118" s="14"/>
      <c r="D1118" s="60"/>
      <c r="E1118" s="158"/>
    </row>
    <row r="1119" spans="1:5" ht="15">
      <c r="A1119" s="1028" t="s">
        <v>3931</v>
      </c>
      <c r="B1119" s="128">
        <v>10</v>
      </c>
      <c r="C1119" s="22" t="s">
        <v>120</v>
      </c>
      <c r="D1119" s="8" t="s">
        <v>3932</v>
      </c>
      <c r="E1119" s="87" t="s">
        <v>3933</v>
      </c>
    </row>
    <row r="1120" spans="1:5" ht="15">
      <c r="A1120" s="1028" t="s">
        <v>3931</v>
      </c>
      <c r="B1120" s="128">
        <v>10</v>
      </c>
      <c r="C1120" s="22" t="s">
        <v>3934</v>
      </c>
      <c r="D1120" s="8" t="s">
        <v>3935</v>
      </c>
      <c r="E1120" s="1025" t="s">
        <v>3936</v>
      </c>
    </row>
    <row r="1121" spans="1:6" ht="15">
      <c r="A1121" s="1028" t="s">
        <v>3931</v>
      </c>
      <c r="B1121" s="128">
        <v>10</v>
      </c>
      <c r="C1121" s="22" t="s">
        <v>3937</v>
      </c>
      <c r="D1121" s="8">
        <v>200</v>
      </c>
      <c r="E1121" s="1025" t="s">
        <v>3936</v>
      </c>
    </row>
    <row r="1122" spans="1:6" ht="15">
      <c r="A1122" s="1028"/>
      <c r="B1122" s="128"/>
      <c r="C1122" s="22"/>
      <c r="D1122" s="8"/>
      <c r="E1122" s="1025"/>
    </row>
    <row r="1123" spans="1:6" s="162" customFormat="1" ht="15">
      <c r="A1123" s="25" t="s">
        <v>2185</v>
      </c>
      <c r="B1123" s="1027">
        <v>10</v>
      </c>
      <c r="C1123" s="25" t="s">
        <v>2476</v>
      </c>
      <c r="D1123" s="1029">
        <v>400</v>
      </c>
      <c r="E1123" s="1025" t="s">
        <v>3938</v>
      </c>
    </row>
    <row r="1124" spans="1:6" s="162" customFormat="1" ht="15">
      <c r="A1124" s="25" t="s">
        <v>2185</v>
      </c>
      <c r="B1124" s="1027">
        <v>10</v>
      </c>
      <c r="C1124" s="25" t="s">
        <v>3939</v>
      </c>
      <c r="D1124" s="1029">
        <v>200</v>
      </c>
      <c r="E1124" s="1025" t="s">
        <v>3938</v>
      </c>
    </row>
    <row r="1127" spans="1:6" ht="15">
      <c r="A1127" s="83" t="s">
        <v>3437</v>
      </c>
      <c r="B1127" s="83" t="s">
        <v>171</v>
      </c>
      <c r="C1127" s="83" t="s">
        <v>99</v>
      </c>
      <c r="D1127" s="85" t="s">
        <v>37</v>
      </c>
      <c r="E1127" s="85" t="s">
        <v>117</v>
      </c>
      <c r="F1127" s="93" t="s">
        <v>209</v>
      </c>
    </row>
    <row r="1128" spans="1:6" ht="15">
      <c r="A1128" s="1028" t="s">
        <v>3931</v>
      </c>
      <c r="B1128" s="128">
        <v>10</v>
      </c>
      <c r="C1128" s="82" t="s">
        <v>3940</v>
      </c>
      <c r="D1128" s="8">
        <v>900</v>
      </c>
      <c r="E1128" s="109">
        <v>9</v>
      </c>
      <c r="F1128" s="109"/>
    </row>
    <row r="1129" spans="1:6" ht="15">
      <c r="A1129" s="22" t="s">
        <v>1996</v>
      </c>
      <c r="B1129" s="15">
        <v>15</v>
      </c>
      <c r="C1129" s="22" t="s">
        <v>1997</v>
      </c>
      <c r="D1129" s="8">
        <v>5820</v>
      </c>
      <c r="E1129" s="109">
        <v>194</v>
      </c>
      <c r="F1129" s="109"/>
    </row>
    <row r="1130" spans="1:6" ht="15">
      <c r="A1130" s="22" t="s">
        <v>1996</v>
      </c>
      <c r="B1130" s="15">
        <v>12</v>
      </c>
      <c r="C1130" s="22" t="s">
        <v>1997</v>
      </c>
      <c r="D1130" s="8">
        <v>900</v>
      </c>
      <c r="E1130" s="109">
        <v>30</v>
      </c>
      <c r="F1130" s="109"/>
    </row>
    <row r="1134" spans="1:6" ht="15">
      <c r="A1134" s="83" t="s">
        <v>3437</v>
      </c>
      <c r="B1134" s="83" t="s">
        <v>99</v>
      </c>
      <c r="C1134" s="85" t="s">
        <v>37</v>
      </c>
      <c r="D1134" s="85" t="s">
        <v>3710</v>
      </c>
    </row>
    <row r="1135" spans="1:6" ht="15">
      <c r="A1135" s="82">
        <v>5348</v>
      </c>
      <c r="B1135" s="37" t="s">
        <v>267</v>
      </c>
      <c r="C1135" s="8">
        <v>5</v>
      </c>
      <c r="D1135" s="39">
        <v>1.04</v>
      </c>
    </row>
    <row r="1136" spans="1:6" ht="15">
      <c r="A1136" s="82">
        <v>5348</v>
      </c>
      <c r="B1136" s="37" t="s">
        <v>3941</v>
      </c>
      <c r="C1136" s="8">
        <v>5</v>
      </c>
      <c r="D1136" s="39">
        <v>1.04</v>
      </c>
    </row>
    <row r="1137" spans="1:6" ht="15">
      <c r="A1137" s="49"/>
      <c r="B1137" s="22" t="s">
        <v>14</v>
      </c>
      <c r="C1137" s="8" t="s">
        <v>64</v>
      </c>
      <c r="D1137" s="39">
        <v>12</v>
      </c>
    </row>
    <row r="1141" spans="1:6" ht="15">
      <c r="A1141" s="83" t="s">
        <v>3942</v>
      </c>
      <c r="B1141" s="83" t="s">
        <v>235</v>
      </c>
      <c r="C1141" s="83" t="s">
        <v>171</v>
      </c>
      <c r="D1141" s="83" t="s">
        <v>99</v>
      </c>
      <c r="E1141" s="83" t="s">
        <v>3943</v>
      </c>
      <c r="F1141" s="83" t="s">
        <v>3944</v>
      </c>
    </row>
    <row r="1142" spans="1:6" ht="15">
      <c r="A1142" s="6" t="s">
        <v>3945</v>
      </c>
      <c r="B1142" s="1028" t="s">
        <v>3946</v>
      </c>
      <c r="C1142" s="128">
        <v>10</v>
      </c>
      <c r="D1142" s="22" t="s">
        <v>2186</v>
      </c>
      <c r="E1142" s="8">
        <v>900</v>
      </c>
      <c r="F1142" s="8">
        <v>900</v>
      </c>
    </row>
    <row r="1143" spans="1:6" ht="15">
      <c r="A1143" s="6" t="s">
        <v>3945</v>
      </c>
      <c r="B1143" s="22" t="s">
        <v>1996</v>
      </c>
      <c r="C1143" s="15">
        <v>15</v>
      </c>
      <c r="D1143" s="22" t="s">
        <v>1997</v>
      </c>
      <c r="E1143" s="8">
        <v>1800</v>
      </c>
      <c r="F1143" s="8">
        <v>1800</v>
      </c>
    </row>
    <row r="1144" spans="1:6" ht="15">
      <c r="A1144" s="6"/>
      <c r="B1144" s="22"/>
      <c r="C1144" s="15"/>
      <c r="D1144" s="22"/>
      <c r="E1144" s="8"/>
      <c r="F1144" s="1030"/>
    </row>
    <row r="1145" spans="1:6" ht="15">
      <c r="A1145" s="6" t="s">
        <v>3947</v>
      </c>
      <c r="B1145" s="22" t="s">
        <v>1996</v>
      </c>
      <c r="C1145" s="15">
        <v>15</v>
      </c>
      <c r="D1145" s="22" t="s">
        <v>1997</v>
      </c>
      <c r="E1145" s="8" t="s">
        <v>3948</v>
      </c>
      <c r="F1145" s="1031" t="s">
        <v>3949</v>
      </c>
    </row>
    <row r="1146" spans="1:6" ht="15">
      <c r="A1146" s="6" t="s">
        <v>3947</v>
      </c>
      <c r="B1146" s="22" t="s">
        <v>1996</v>
      </c>
      <c r="C1146" s="15">
        <v>12</v>
      </c>
      <c r="D1146" s="22" t="s">
        <v>1997</v>
      </c>
      <c r="E1146" s="8" t="s">
        <v>3950</v>
      </c>
      <c r="F1146" s="1031" t="s">
        <v>3951</v>
      </c>
    </row>
    <row r="1147" spans="1:6" ht="15">
      <c r="A1147" s="6"/>
      <c r="B1147" s="22"/>
      <c r="C1147" s="15"/>
      <c r="D1147" s="22"/>
      <c r="E1147" s="8"/>
      <c r="F1147" s="1031"/>
    </row>
    <row r="1148" spans="1:6" ht="15">
      <c r="A1148" s="6" t="s">
        <v>3952</v>
      </c>
      <c r="B1148" s="22" t="s">
        <v>1996</v>
      </c>
      <c r="C1148" s="15">
        <v>15</v>
      </c>
      <c r="D1148" s="22" t="s">
        <v>1997</v>
      </c>
      <c r="E1148" s="8">
        <v>900</v>
      </c>
      <c r="F1148" s="8">
        <v>900</v>
      </c>
    </row>
    <row r="1149" spans="1:6" ht="15">
      <c r="A1149" s="6"/>
      <c r="B1149" s="22"/>
      <c r="C1149" s="15"/>
      <c r="D1149" s="22"/>
      <c r="E1149" s="8"/>
      <c r="F1149" s="1030"/>
    </row>
    <row r="1150" spans="1:6" ht="15">
      <c r="A1150" s="6" t="s">
        <v>3953</v>
      </c>
      <c r="B1150" s="22" t="s">
        <v>1996</v>
      </c>
      <c r="C1150" s="15">
        <v>15</v>
      </c>
      <c r="D1150" s="22" t="s">
        <v>1997</v>
      </c>
      <c r="E1150" s="8" t="s">
        <v>3954</v>
      </c>
      <c r="F1150" s="8" t="s">
        <v>3955</v>
      </c>
    </row>
    <row r="1151" spans="1:6" ht="15">
      <c r="A1151" s="6" t="s">
        <v>3953</v>
      </c>
      <c r="B1151" s="22" t="s">
        <v>1996</v>
      </c>
      <c r="C1151" s="15">
        <v>12</v>
      </c>
      <c r="D1151" s="22" t="s">
        <v>1997</v>
      </c>
      <c r="E1151" s="8" t="s">
        <v>3956</v>
      </c>
      <c r="F1151" s="8" t="s">
        <v>3957</v>
      </c>
    </row>
    <row r="1155" spans="1:7" ht="19.5" thickBot="1">
      <c r="A1155" s="1032"/>
    </row>
    <row r="1156" spans="1:7" ht="14.25" thickBot="1">
      <c r="A1156" s="1033" t="s">
        <v>3958</v>
      </c>
      <c r="B1156" s="1034" t="s">
        <v>179</v>
      </c>
      <c r="C1156" s="1034" t="s">
        <v>3959</v>
      </c>
      <c r="D1156" s="1034" t="s">
        <v>279</v>
      </c>
      <c r="E1156" s="1034" t="s">
        <v>3960</v>
      </c>
      <c r="F1156" s="1034" t="s">
        <v>3961</v>
      </c>
      <c r="G1156" s="1035" t="s">
        <v>3962</v>
      </c>
    </row>
    <row r="1157" spans="1:7" ht="14.25" thickTop="1">
      <c r="A1157" s="1849" t="s">
        <v>3963</v>
      </c>
      <c r="B1157" s="1849" t="s">
        <v>3964</v>
      </c>
      <c r="C1157" s="1849" t="s">
        <v>278</v>
      </c>
      <c r="D1157" s="398" t="s">
        <v>3965</v>
      </c>
      <c r="E1157" s="1849" t="s">
        <v>3966</v>
      </c>
      <c r="F1157" s="1849" t="s">
        <v>3966</v>
      </c>
      <c r="G1157" s="1867" t="s">
        <v>3967</v>
      </c>
    </row>
    <row r="1158" spans="1:7" ht="14.25" thickBot="1">
      <c r="A1158" s="1848"/>
      <c r="B1158" s="1848"/>
      <c r="C1158" s="1848"/>
      <c r="D1158" s="390" t="s">
        <v>3968</v>
      </c>
      <c r="E1158" s="1848"/>
      <c r="F1158" s="1848"/>
      <c r="G1158" s="1868"/>
    </row>
    <row r="1159" spans="1:7" ht="14.25" thickBot="1">
      <c r="A1159" s="389" t="s">
        <v>3963</v>
      </c>
      <c r="B1159" s="390" t="s">
        <v>3969</v>
      </c>
      <c r="C1159" s="390" t="s">
        <v>3970</v>
      </c>
      <c r="D1159" s="390" t="s">
        <v>3971</v>
      </c>
      <c r="E1159" s="390" t="s">
        <v>3972</v>
      </c>
      <c r="F1159" s="390" t="s">
        <v>3972</v>
      </c>
      <c r="G1159" s="1036" t="s">
        <v>3967</v>
      </c>
    </row>
    <row r="1160" spans="1:7" ht="14.25" thickBot="1">
      <c r="A1160" s="1037"/>
      <c r="B1160" s="1038"/>
      <c r="C1160" s="1038"/>
      <c r="D1160" s="1038"/>
      <c r="E1160" s="1038"/>
      <c r="F1160" s="1038"/>
      <c r="G1160" s="1039"/>
    </row>
    <row r="1161" spans="1:7">
      <c r="A1161" s="1847" t="s">
        <v>3973</v>
      </c>
      <c r="B1161" s="1847" t="s">
        <v>3969</v>
      </c>
      <c r="C1161" s="1847" t="s">
        <v>3970</v>
      </c>
      <c r="D1161" s="1847" t="s">
        <v>3971</v>
      </c>
      <c r="E1161" s="1040" t="s">
        <v>3974</v>
      </c>
      <c r="F1161" s="1847" t="s">
        <v>3975</v>
      </c>
      <c r="G1161" s="1041" t="s">
        <v>3976</v>
      </c>
    </row>
    <row r="1162" spans="1:7" ht="14.25" thickBot="1">
      <c r="A1162" s="1848"/>
      <c r="B1162" s="1848"/>
      <c r="C1162" s="1848"/>
      <c r="D1162" s="1848"/>
      <c r="E1162" s="390" t="s">
        <v>3977</v>
      </c>
      <c r="F1162" s="1848"/>
      <c r="G1162" s="1042" t="s">
        <v>3978</v>
      </c>
    </row>
    <row r="1163" spans="1:7">
      <c r="A1163" s="1847" t="s">
        <v>3973</v>
      </c>
      <c r="B1163" s="1847" t="s">
        <v>3969</v>
      </c>
      <c r="C1163" s="1847" t="s">
        <v>3979</v>
      </c>
      <c r="D1163" s="1847" t="s">
        <v>3971</v>
      </c>
      <c r="E1163" s="1040" t="s">
        <v>3974</v>
      </c>
      <c r="F1163" s="1847" t="s">
        <v>339</v>
      </c>
      <c r="G1163" s="1865" t="s">
        <v>3980</v>
      </c>
    </row>
    <row r="1164" spans="1:7" ht="14.25" thickBot="1">
      <c r="A1164" s="1848"/>
      <c r="B1164" s="1848"/>
      <c r="C1164" s="1848"/>
      <c r="D1164" s="1848"/>
      <c r="E1164" s="390" t="s">
        <v>3981</v>
      </c>
      <c r="F1164" s="1848"/>
      <c r="G1164" s="1866"/>
    </row>
    <row r="1165" spans="1:7" ht="14.25" thickBot="1">
      <c r="A1165" s="1037"/>
      <c r="B1165" s="1038"/>
      <c r="C1165" s="1038"/>
      <c r="D1165" s="1038"/>
      <c r="E1165" s="1038"/>
      <c r="F1165" s="1038"/>
      <c r="G1165" s="1043"/>
    </row>
    <row r="1166" spans="1:7" ht="14.25" thickBot="1">
      <c r="A1166" s="389" t="s">
        <v>3982</v>
      </c>
      <c r="B1166" s="390" t="s">
        <v>3969</v>
      </c>
      <c r="C1166" s="390" t="s">
        <v>3970</v>
      </c>
      <c r="D1166" s="390" t="s">
        <v>3971</v>
      </c>
      <c r="E1166" s="390" t="s">
        <v>3966</v>
      </c>
      <c r="F1166" s="390" t="s">
        <v>3983</v>
      </c>
      <c r="G1166" s="1036" t="s">
        <v>3967</v>
      </c>
    </row>
    <row r="1167" spans="1:7" ht="14.25" thickBot="1">
      <c r="A1167" s="1037"/>
      <c r="B1167" s="1038"/>
      <c r="C1167" s="1038"/>
      <c r="D1167" s="1038"/>
      <c r="E1167" s="1038"/>
      <c r="F1167" s="1038"/>
      <c r="G1167" s="1039"/>
    </row>
    <row r="1168" spans="1:7" ht="14.25" thickBot="1">
      <c r="A1168" s="389" t="s">
        <v>3984</v>
      </c>
      <c r="B1168" s="390" t="s">
        <v>3969</v>
      </c>
      <c r="C1168" s="390" t="s">
        <v>3970</v>
      </c>
      <c r="D1168" s="390" t="s">
        <v>3971</v>
      </c>
      <c r="E1168" s="390" t="s">
        <v>3985</v>
      </c>
      <c r="F1168" s="390" t="s">
        <v>3986</v>
      </c>
      <c r="G1168" s="1042" t="s">
        <v>3987</v>
      </c>
    </row>
    <row r="1169" spans="1:7" ht="14.25" thickBot="1">
      <c r="A1169" s="389" t="s">
        <v>3984</v>
      </c>
      <c r="B1169" s="390" t="s">
        <v>3969</v>
      </c>
      <c r="C1169" s="390" t="s">
        <v>3979</v>
      </c>
      <c r="D1169" s="390" t="s">
        <v>3971</v>
      </c>
      <c r="E1169" s="390" t="s">
        <v>3988</v>
      </c>
      <c r="F1169" s="390" t="s">
        <v>3989</v>
      </c>
      <c r="G1169" s="1042" t="s">
        <v>3980</v>
      </c>
    </row>
    <row r="1170" spans="1:7" ht="18.75">
      <c r="A1170" s="1032"/>
    </row>
    <row r="1172" spans="1:7" ht="15">
      <c r="A1172" s="83" t="s">
        <v>235</v>
      </c>
      <c r="B1172" s="83" t="s">
        <v>171</v>
      </c>
      <c r="C1172" s="83" t="s">
        <v>99</v>
      </c>
      <c r="D1172" s="83" t="s">
        <v>37</v>
      </c>
    </row>
    <row r="1173" spans="1:7" ht="15">
      <c r="A1173" s="1028" t="s">
        <v>3946</v>
      </c>
      <c r="B1173" s="128">
        <v>10</v>
      </c>
      <c r="C1173" s="22" t="s">
        <v>2186</v>
      </c>
      <c r="D1173" s="8">
        <v>1000</v>
      </c>
    </row>
    <row r="1174" spans="1:7" ht="15">
      <c r="A1174" s="22" t="s">
        <v>1996</v>
      </c>
      <c r="B1174" s="15">
        <v>15</v>
      </c>
      <c r="C1174" s="22" t="s">
        <v>1997</v>
      </c>
      <c r="D1174" s="8">
        <v>3750</v>
      </c>
    </row>
    <row r="1175" spans="1:7" ht="15">
      <c r="A1175" s="22" t="s">
        <v>1996</v>
      </c>
      <c r="B1175" s="15">
        <v>12</v>
      </c>
      <c r="C1175" s="22" t="s">
        <v>1997</v>
      </c>
      <c r="D1175" s="8">
        <v>900</v>
      </c>
    </row>
    <row r="1179" spans="1:7" ht="15">
      <c r="A1179" s="83" t="s">
        <v>235</v>
      </c>
      <c r="B1179" s="83" t="s">
        <v>171</v>
      </c>
      <c r="C1179" s="83" t="s">
        <v>99</v>
      </c>
      <c r="D1179" s="83" t="s">
        <v>37</v>
      </c>
    </row>
    <row r="1180" spans="1:7" ht="15">
      <c r="A1180" s="22" t="s">
        <v>1996</v>
      </c>
      <c r="B1180" s="15">
        <v>12</v>
      </c>
      <c r="C1180" s="22" t="s">
        <v>3920</v>
      </c>
      <c r="D1180" s="8">
        <v>30</v>
      </c>
    </row>
    <row r="1181" spans="1:7" ht="15">
      <c r="A1181" s="1028" t="s">
        <v>3946</v>
      </c>
      <c r="B1181" s="128">
        <v>10</v>
      </c>
      <c r="C1181" s="22" t="s">
        <v>120</v>
      </c>
      <c r="D1181" s="8">
        <v>700</v>
      </c>
    </row>
    <row r="1182" spans="1:7" ht="15">
      <c r="A1182" s="1028" t="s">
        <v>3931</v>
      </c>
      <c r="B1182" s="128">
        <v>10</v>
      </c>
      <c r="C1182" s="22" t="s">
        <v>3990</v>
      </c>
      <c r="D1182" s="8">
        <v>800</v>
      </c>
    </row>
    <row r="1183" spans="1:7" ht="15">
      <c r="A1183" s="1028" t="s">
        <v>3931</v>
      </c>
      <c r="B1183" s="128">
        <v>10</v>
      </c>
      <c r="C1183" s="22" t="s">
        <v>3991</v>
      </c>
      <c r="D1183" s="8">
        <v>200</v>
      </c>
    </row>
    <row r="1186" spans="1:6" ht="15">
      <c r="A1186" s="83" t="s">
        <v>235</v>
      </c>
      <c r="B1186" s="83" t="s">
        <v>171</v>
      </c>
      <c r="C1186" s="83" t="s">
        <v>99</v>
      </c>
      <c r="D1186" s="8"/>
    </row>
    <row r="1187" spans="1:6" ht="15">
      <c r="A1187" s="22" t="s">
        <v>3992</v>
      </c>
      <c r="B1187" s="37">
        <v>13</v>
      </c>
      <c r="C1187" s="37" t="s">
        <v>3993</v>
      </c>
      <c r="D1187" s="8">
        <v>12</v>
      </c>
    </row>
    <row r="1188" spans="1:6" ht="15">
      <c r="A1188" s="22" t="s">
        <v>3992</v>
      </c>
      <c r="B1188" s="37">
        <v>13</v>
      </c>
      <c r="C1188" s="37" t="s">
        <v>3993</v>
      </c>
      <c r="D1188" s="8">
        <v>1</v>
      </c>
    </row>
    <row r="1191" spans="1:6" ht="15">
      <c r="A1191" s="83" t="s">
        <v>235</v>
      </c>
      <c r="B1191" s="83" t="s">
        <v>99</v>
      </c>
      <c r="C1191" s="85" t="s">
        <v>3442</v>
      </c>
      <c r="D1191" s="968" t="s">
        <v>3443</v>
      </c>
      <c r="E1191" s="85" t="s">
        <v>116</v>
      </c>
    </row>
    <row r="1192" spans="1:6" ht="15">
      <c r="A1192" s="22" t="s">
        <v>3994</v>
      </c>
      <c r="B1192" s="37" t="s">
        <v>2007</v>
      </c>
      <c r="C1192" s="108">
        <v>100</v>
      </c>
      <c r="D1192" s="109">
        <v>5</v>
      </c>
      <c r="E1192" s="8">
        <v>500</v>
      </c>
    </row>
    <row r="1193" spans="1:6" ht="15">
      <c r="A1193" s="22" t="s">
        <v>3994</v>
      </c>
      <c r="B1193" s="37" t="s">
        <v>3995</v>
      </c>
      <c r="C1193" s="108">
        <v>100</v>
      </c>
      <c r="D1193" s="109">
        <v>4</v>
      </c>
      <c r="E1193" s="8">
        <v>400</v>
      </c>
    </row>
    <row r="1196" spans="1:6">
      <c r="A1196" s="88" t="s">
        <v>46</v>
      </c>
      <c r="B1196" s="88" t="s">
        <v>112</v>
      </c>
      <c r="C1196" s="780" t="s">
        <v>3996</v>
      </c>
      <c r="D1196" s="1044" t="s">
        <v>50</v>
      </c>
    </row>
    <row r="1197" spans="1:6" ht="15">
      <c r="A1197" s="22" t="s">
        <v>3997</v>
      </c>
      <c r="B1197" s="37">
        <v>36</v>
      </c>
      <c r="C1197" s="781" t="s">
        <v>3998</v>
      </c>
      <c r="D1197" s="8">
        <v>65</v>
      </c>
    </row>
    <row r="1198" spans="1:6" ht="15">
      <c r="A1198" s="12"/>
      <c r="B1198" s="298"/>
      <c r="C1198" s="1045"/>
      <c r="D1198" s="235"/>
    </row>
    <row r="1199" spans="1:6">
      <c r="A1199" s="88" t="s">
        <v>46</v>
      </c>
      <c r="B1199" s="88" t="s">
        <v>112</v>
      </c>
      <c r="C1199" s="1046" t="s">
        <v>234</v>
      </c>
      <c r="D1199" s="1044" t="s">
        <v>50</v>
      </c>
    </row>
    <row r="1200" spans="1:6" ht="15">
      <c r="A1200" s="22">
        <v>1050</v>
      </c>
      <c r="B1200" s="15">
        <v>12</v>
      </c>
      <c r="C1200" s="22" t="s">
        <v>3920</v>
      </c>
      <c r="D1200" s="8">
        <v>30</v>
      </c>
      <c r="E1200" s="108">
        <v>30</v>
      </c>
      <c r="F1200" s="109">
        <v>1</v>
      </c>
    </row>
    <row r="1201" spans="1:7" ht="15">
      <c r="A1201" s="1028" t="s">
        <v>3999</v>
      </c>
      <c r="B1201" s="128">
        <v>10</v>
      </c>
      <c r="C1201" s="22" t="s">
        <v>120</v>
      </c>
      <c r="D1201" s="8">
        <v>700</v>
      </c>
      <c r="E1201" s="108">
        <v>100</v>
      </c>
      <c r="F1201" s="109">
        <v>7</v>
      </c>
    </row>
    <row r="1202" spans="1:7" ht="15">
      <c r="A1202" s="1028" t="s">
        <v>4000</v>
      </c>
      <c r="B1202" s="128">
        <v>10</v>
      </c>
      <c r="C1202" s="22" t="s">
        <v>3990</v>
      </c>
      <c r="D1202" s="8">
        <v>800</v>
      </c>
      <c r="E1202" s="108">
        <v>100</v>
      </c>
      <c r="F1202" s="109">
        <v>8</v>
      </c>
    </row>
    <row r="1203" spans="1:7" ht="15">
      <c r="A1203" s="1028" t="s">
        <v>4000</v>
      </c>
      <c r="B1203" s="128">
        <v>10</v>
      </c>
      <c r="C1203" s="22" t="s">
        <v>3991</v>
      </c>
      <c r="D1203" s="8">
        <v>200</v>
      </c>
      <c r="E1203" s="108">
        <v>100</v>
      </c>
      <c r="F1203" s="109">
        <v>2</v>
      </c>
    </row>
    <row r="1204" spans="1:7" ht="15">
      <c r="A1204" s="22" t="s">
        <v>3747</v>
      </c>
      <c r="B1204" s="163">
        <v>10</v>
      </c>
      <c r="C1204" s="22" t="s">
        <v>2476</v>
      </c>
      <c r="D1204" s="8">
        <v>300</v>
      </c>
      <c r="E1204" s="108">
        <v>100</v>
      </c>
      <c r="F1204" s="109">
        <v>3</v>
      </c>
    </row>
    <row r="1207" spans="1:7">
      <c r="A1207" s="88" t="s">
        <v>46</v>
      </c>
      <c r="B1207" s="88" t="s">
        <v>112</v>
      </c>
      <c r="C1207" s="1046" t="s">
        <v>234</v>
      </c>
      <c r="D1207" s="1046" t="s">
        <v>50</v>
      </c>
      <c r="E1207" s="1047" t="s">
        <v>4001</v>
      </c>
      <c r="F1207" s="1048" t="s">
        <v>4002</v>
      </c>
      <c r="G1207" s="1049" t="s">
        <v>4003</v>
      </c>
    </row>
    <row r="1208" spans="1:7" ht="15">
      <c r="A1208" s="22">
        <v>5636</v>
      </c>
      <c r="B1208" s="24" t="s">
        <v>230</v>
      </c>
      <c r="C1208" s="22" t="s">
        <v>4004</v>
      </c>
      <c r="D1208" s="8" t="s">
        <v>64</v>
      </c>
      <c r="E1208" s="39">
        <v>40</v>
      </c>
      <c r="F1208" s="39">
        <v>36</v>
      </c>
      <c r="G1208" s="81" t="s">
        <v>4005</v>
      </c>
    </row>
    <row r="1209" spans="1:7" ht="15">
      <c r="A1209" s="22"/>
      <c r="B1209" s="102"/>
      <c r="C1209" s="22" t="s">
        <v>14</v>
      </c>
      <c r="D1209" s="8" t="s">
        <v>64</v>
      </c>
      <c r="E1209" s="39">
        <v>12</v>
      </c>
      <c r="F1209" s="39">
        <v>12</v>
      </c>
      <c r="G1209" s="731" t="s">
        <v>202</v>
      </c>
    </row>
    <row r="1210" spans="1:7" ht="15">
      <c r="A1210" s="22">
        <v>5636</v>
      </c>
      <c r="B1210" s="37" t="s">
        <v>230</v>
      </c>
      <c r="C1210" s="37" t="s">
        <v>4006</v>
      </c>
      <c r="D1210" s="108">
        <v>2050</v>
      </c>
      <c r="E1210" s="39">
        <v>0.41</v>
      </c>
      <c r="F1210" s="39">
        <v>0.33</v>
      </c>
      <c r="G1210" s="1050" t="s">
        <v>4007</v>
      </c>
    </row>
    <row r="1211" spans="1:7" ht="15">
      <c r="A1211" s="22"/>
      <c r="B1211" s="102"/>
      <c r="C1211" s="22" t="s">
        <v>4008</v>
      </c>
      <c r="D1211" s="8" t="s">
        <v>64</v>
      </c>
      <c r="E1211" s="39">
        <v>300</v>
      </c>
      <c r="F1211" s="39">
        <v>270</v>
      </c>
      <c r="G1211" s="1051" t="s">
        <v>4009</v>
      </c>
    </row>
    <row r="1212" spans="1:7" ht="15">
      <c r="A1212" s="22"/>
      <c r="B1212" s="102"/>
      <c r="C1212" s="22" t="s">
        <v>14</v>
      </c>
      <c r="D1212" s="8" t="s">
        <v>64</v>
      </c>
      <c r="E1212" s="39">
        <v>12</v>
      </c>
      <c r="F1212" s="39">
        <v>12</v>
      </c>
      <c r="G1212" s="1051" t="s">
        <v>4010</v>
      </c>
    </row>
    <row r="1213" spans="1:7" ht="15">
      <c r="A1213" s="22">
        <v>5636</v>
      </c>
      <c r="B1213" s="37" t="s">
        <v>230</v>
      </c>
      <c r="C1213" s="37" t="s">
        <v>4006</v>
      </c>
      <c r="D1213" s="108">
        <v>450</v>
      </c>
      <c r="E1213" s="39">
        <v>0.41</v>
      </c>
      <c r="F1213" s="39">
        <v>0.33</v>
      </c>
      <c r="G1213" s="1050" t="s">
        <v>4007</v>
      </c>
    </row>
    <row r="1215" spans="1:7">
      <c r="A1215" s="88" t="s">
        <v>46</v>
      </c>
      <c r="B1215" s="88" t="s">
        <v>112</v>
      </c>
      <c r="C1215" s="1046" t="s">
        <v>234</v>
      </c>
      <c r="D1215" s="1046" t="s">
        <v>113</v>
      </c>
      <c r="E1215" s="1046" t="s">
        <v>347</v>
      </c>
      <c r="F1215" s="1046" t="s">
        <v>348</v>
      </c>
      <c r="G1215" s="1046" t="s">
        <v>201</v>
      </c>
    </row>
    <row r="1216" spans="1:7" ht="15">
      <c r="A1216" s="22">
        <v>1100</v>
      </c>
      <c r="B1216" s="37">
        <v>40</v>
      </c>
      <c r="C1216" s="22" t="s">
        <v>128</v>
      </c>
      <c r="D1216" s="8">
        <v>30</v>
      </c>
      <c r="E1216" s="35">
        <v>10</v>
      </c>
      <c r="F1216" s="8">
        <v>300</v>
      </c>
      <c r="G1216" s="137" t="s">
        <v>4011</v>
      </c>
    </row>
    <row r="1217" spans="1:6" ht="21">
      <c r="D1217" ph="1"/>
      <c r="F1217" ph="1"/>
    </row>
    <row r="1220" spans="1:6" ht="15">
      <c r="A1220" s="83" t="s">
        <v>235</v>
      </c>
      <c r="B1220" s="83" t="s">
        <v>171</v>
      </c>
      <c r="C1220" s="83" t="s">
        <v>99</v>
      </c>
      <c r="D1220" s="83" t="s">
        <v>37</v>
      </c>
    </row>
    <row r="1221" spans="1:6" ht="15">
      <c r="A1221" s="22" t="s">
        <v>4012</v>
      </c>
      <c r="B1221" s="24" t="s">
        <v>230</v>
      </c>
      <c r="C1221" s="22" t="s">
        <v>1990</v>
      </c>
      <c r="D1221" s="8">
        <v>5</v>
      </c>
    </row>
    <row r="1222" spans="1:6" ht="15">
      <c r="A1222" s="22" t="s">
        <v>4012</v>
      </c>
      <c r="B1222" s="24" t="s">
        <v>230</v>
      </c>
      <c r="C1222" s="22" t="s">
        <v>157</v>
      </c>
      <c r="D1222" s="8">
        <v>5</v>
      </c>
    </row>
    <row r="1223" spans="1:6" ht="15">
      <c r="A1223" s="83" t="s">
        <v>235</v>
      </c>
      <c r="B1223" s="83" t="s">
        <v>171</v>
      </c>
      <c r="C1223" s="83" t="s">
        <v>99</v>
      </c>
      <c r="D1223" s="83" t="s">
        <v>37</v>
      </c>
    </row>
    <row r="1224" spans="1:6" ht="15">
      <c r="A1224" s="22">
        <v>9527</v>
      </c>
      <c r="B1224" s="24"/>
      <c r="C1224" s="22" t="s">
        <v>4013</v>
      </c>
      <c r="D1224" s="8">
        <v>5</v>
      </c>
    </row>
    <row r="1225" spans="1:6" ht="15">
      <c r="A1225" s="22">
        <v>9527</v>
      </c>
      <c r="B1225" s="24"/>
      <c r="C1225" s="22" t="s">
        <v>1985</v>
      </c>
      <c r="D1225" s="8">
        <v>5</v>
      </c>
    </row>
    <row r="1226" spans="1:6" ht="15">
      <c r="A1226" s="22">
        <v>9527</v>
      </c>
      <c r="B1226" s="24"/>
      <c r="C1226" s="22" t="s">
        <v>92</v>
      </c>
      <c r="D1226" s="8">
        <v>5</v>
      </c>
    </row>
    <row r="1227" spans="1:6" ht="15">
      <c r="A1227" s="22">
        <v>9527</v>
      </c>
      <c r="B1227" s="24"/>
      <c r="C1227" s="22" t="s">
        <v>1988</v>
      </c>
      <c r="D1227" s="8">
        <v>5</v>
      </c>
    </row>
    <row r="1228" spans="1:6" ht="15">
      <c r="A1228" s="22">
        <v>9527</v>
      </c>
      <c r="B1228" s="24"/>
      <c r="C1228" s="22" t="s">
        <v>1987</v>
      </c>
      <c r="D1228" s="8">
        <v>5</v>
      </c>
    </row>
    <row r="1229" spans="1:6" ht="15">
      <c r="A1229" s="20"/>
      <c r="B1229" s="15"/>
      <c r="C1229" s="22"/>
      <c r="D1229" s="108"/>
    </row>
    <row r="1230" spans="1:6" ht="15">
      <c r="A1230" s="22">
        <v>4255</v>
      </c>
      <c r="B1230" s="24">
        <v>50</v>
      </c>
      <c r="C1230" s="22" t="s">
        <v>123</v>
      </c>
      <c r="D1230" s="8">
        <v>5</v>
      </c>
    </row>
    <row r="1231" spans="1:6" ht="15">
      <c r="A1231" s="22">
        <v>4255</v>
      </c>
      <c r="B1231" s="24">
        <v>50</v>
      </c>
      <c r="C1231" s="22" t="s">
        <v>1992</v>
      </c>
      <c r="D1231" s="8">
        <v>5</v>
      </c>
    </row>
    <row r="1234" spans="1:4" ht="15">
      <c r="A1234" s="83" t="s">
        <v>4014</v>
      </c>
      <c r="B1234" s="83" t="s">
        <v>171</v>
      </c>
      <c r="C1234" s="115" t="s">
        <v>4015</v>
      </c>
      <c r="D1234" s="83" t="s">
        <v>37</v>
      </c>
    </row>
    <row r="1235" spans="1:4" ht="15">
      <c r="A1235" s="22" t="s">
        <v>4016</v>
      </c>
      <c r="B1235" s="1052">
        <v>1.5</v>
      </c>
      <c r="C1235" s="165" t="s">
        <v>4017</v>
      </c>
      <c r="D1235" s="8">
        <v>35</v>
      </c>
    </row>
    <row r="1236" spans="1:4" ht="15">
      <c r="A1236" s="22" t="s">
        <v>4016</v>
      </c>
      <c r="B1236" s="1052">
        <v>2.5</v>
      </c>
      <c r="C1236" s="165" t="s">
        <v>4017</v>
      </c>
      <c r="D1236" s="8">
        <v>35</v>
      </c>
    </row>
    <row r="1237" spans="1:4" ht="15">
      <c r="A1237" s="22" t="s">
        <v>4016</v>
      </c>
      <c r="B1237" s="1052">
        <v>3.75</v>
      </c>
      <c r="C1237" s="165" t="s">
        <v>4017</v>
      </c>
      <c r="D1237" s="8">
        <v>35</v>
      </c>
    </row>
    <row r="1238" spans="1:4" ht="15">
      <c r="A1238" s="22" t="s">
        <v>4018</v>
      </c>
      <c r="B1238" s="1052">
        <v>1.5</v>
      </c>
      <c r="C1238" s="165" t="s">
        <v>4019</v>
      </c>
      <c r="D1238" s="8">
        <v>35</v>
      </c>
    </row>
    <row r="1239" spans="1:4" ht="15">
      <c r="A1239" s="22" t="s">
        <v>4018</v>
      </c>
      <c r="B1239" s="1052">
        <v>2.5</v>
      </c>
      <c r="C1239" s="165" t="s">
        <v>4019</v>
      </c>
      <c r="D1239" s="8">
        <v>35</v>
      </c>
    </row>
    <row r="1240" spans="1:4" ht="15">
      <c r="A1240" s="22" t="s">
        <v>4018</v>
      </c>
      <c r="B1240" s="1052">
        <v>3.75</v>
      </c>
      <c r="C1240" s="165" t="s">
        <v>4019</v>
      </c>
      <c r="D1240" s="8">
        <v>35</v>
      </c>
    </row>
    <row r="1241" spans="1:4" ht="15">
      <c r="A1241" s="22" t="s">
        <v>4020</v>
      </c>
      <c r="B1241" s="1052">
        <v>1.5</v>
      </c>
      <c r="C1241" s="165" t="s">
        <v>4021</v>
      </c>
      <c r="D1241" s="8">
        <v>35</v>
      </c>
    </row>
    <row r="1242" spans="1:4" ht="15">
      <c r="A1242" s="22" t="s">
        <v>4020</v>
      </c>
      <c r="B1242" s="1052">
        <v>2.5</v>
      </c>
      <c r="C1242" s="165" t="s">
        <v>4021</v>
      </c>
      <c r="D1242" s="8">
        <v>35</v>
      </c>
    </row>
    <row r="1243" spans="1:4" ht="15">
      <c r="A1243" s="22" t="s">
        <v>4020</v>
      </c>
      <c r="B1243" s="1052">
        <v>3.75</v>
      </c>
      <c r="C1243" s="165" t="s">
        <v>4021</v>
      </c>
      <c r="D1243" s="8">
        <v>35</v>
      </c>
    </row>
    <row r="1244" spans="1:4" ht="15">
      <c r="A1244" s="22" t="s">
        <v>4022</v>
      </c>
      <c r="B1244" s="1052">
        <v>1.5</v>
      </c>
      <c r="C1244" s="165" t="s">
        <v>4023</v>
      </c>
      <c r="D1244" s="8">
        <v>35</v>
      </c>
    </row>
    <row r="1245" spans="1:4" ht="15">
      <c r="A1245" s="22" t="s">
        <v>4022</v>
      </c>
      <c r="B1245" s="1052">
        <v>2.5</v>
      </c>
      <c r="C1245" s="165" t="s">
        <v>4023</v>
      </c>
      <c r="D1245" s="8">
        <v>35</v>
      </c>
    </row>
    <row r="1246" spans="1:4" ht="15">
      <c r="A1246" s="22" t="s">
        <v>4022</v>
      </c>
      <c r="B1246" s="1052">
        <v>3.75</v>
      </c>
      <c r="C1246" s="165" t="s">
        <v>4023</v>
      </c>
      <c r="D1246" s="8">
        <v>35</v>
      </c>
    </row>
    <row r="1247" spans="1:4" ht="15">
      <c r="A1247" s="22" t="s">
        <v>4024</v>
      </c>
      <c r="B1247" s="1052">
        <v>1.5</v>
      </c>
      <c r="C1247" s="165" t="s">
        <v>4025</v>
      </c>
      <c r="D1247" s="8">
        <v>35</v>
      </c>
    </row>
    <row r="1248" spans="1:4" ht="15">
      <c r="A1248" s="22" t="s">
        <v>4024</v>
      </c>
      <c r="B1248" s="1052">
        <v>2.5</v>
      </c>
      <c r="C1248" s="165" t="s">
        <v>4025</v>
      </c>
      <c r="D1248" s="8">
        <v>35</v>
      </c>
    </row>
    <row r="1249" spans="1:4" ht="15">
      <c r="A1249" s="22" t="s">
        <v>4024</v>
      </c>
      <c r="B1249" s="1052">
        <v>3.75</v>
      </c>
      <c r="C1249" s="165" t="s">
        <v>4025</v>
      </c>
      <c r="D1249" s="8">
        <v>35</v>
      </c>
    </row>
    <row r="1250" spans="1:4" ht="15">
      <c r="A1250" s="22" t="s">
        <v>4026</v>
      </c>
      <c r="B1250" s="1052">
        <v>1.5</v>
      </c>
      <c r="C1250" s="165" t="s">
        <v>4027</v>
      </c>
      <c r="D1250" s="8">
        <v>35</v>
      </c>
    </row>
    <row r="1251" spans="1:4" ht="15">
      <c r="A1251" s="22" t="s">
        <v>4026</v>
      </c>
      <c r="B1251" s="1052">
        <v>2.5</v>
      </c>
      <c r="C1251" s="165" t="s">
        <v>4027</v>
      </c>
      <c r="D1251" s="8">
        <v>35</v>
      </c>
    </row>
    <row r="1252" spans="1:4" ht="15">
      <c r="A1252" s="22" t="s">
        <v>4026</v>
      </c>
      <c r="B1252" s="1052">
        <v>3.75</v>
      </c>
      <c r="C1252" s="165" t="s">
        <v>4027</v>
      </c>
      <c r="D1252" s="8">
        <v>35</v>
      </c>
    </row>
    <row r="1256" spans="1:4" ht="15">
      <c r="A1256" s="22" t="s">
        <v>4016</v>
      </c>
      <c r="B1256" s="1052">
        <v>2.5</v>
      </c>
      <c r="C1256" s="165" t="s">
        <v>4028</v>
      </c>
      <c r="D1256" s="8">
        <v>30</v>
      </c>
    </row>
    <row r="1257" spans="1:4" ht="15">
      <c r="A1257" s="22" t="s">
        <v>4018</v>
      </c>
      <c r="B1257" s="1052">
        <v>2.5</v>
      </c>
      <c r="C1257" s="165" t="s">
        <v>4029</v>
      </c>
      <c r="D1257" s="8">
        <v>30</v>
      </c>
    </row>
    <row r="1258" spans="1:4" ht="15">
      <c r="A1258" s="22" t="s">
        <v>4020</v>
      </c>
      <c r="B1258" s="1052">
        <v>2.5</v>
      </c>
      <c r="C1258" s="165" t="s">
        <v>4030</v>
      </c>
      <c r="D1258" s="8">
        <v>30</v>
      </c>
    </row>
    <row r="1259" spans="1:4" ht="15">
      <c r="A1259" s="22" t="s">
        <v>4022</v>
      </c>
      <c r="B1259" s="1052">
        <v>2.5</v>
      </c>
      <c r="C1259" s="165" t="s">
        <v>4031</v>
      </c>
      <c r="D1259" s="8">
        <v>30</v>
      </c>
    </row>
    <row r="1260" spans="1:4" ht="15">
      <c r="A1260" s="22" t="s">
        <v>4024</v>
      </c>
      <c r="B1260" s="1052">
        <v>2.5</v>
      </c>
      <c r="C1260" s="165" t="s">
        <v>4032</v>
      </c>
      <c r="D1260" s="8">
        <v>30</v>
      </c>
    </row>
    <row r="1261" spans="1:4" ht="15">
      <c r="A1261" s="22" t="s">
        <v>4026</v>
      </c>
      <c r="B1261" s="1052">
        <v>2.5</v>
      </c>
      <c r="C1261" s="165" t="s">
        <v>4033</v>
      </c>
      <c r="D1261" s="8">
        <v>30</v>
      </c>
    </row>
    <row r="1262" spans="1:4" ht="15">
      <c r="A1262" s="22" t="s">
        <v>4016</v>
      </c>
      <c r="B1262" s="1052">
        <v>3.75</v>
      </c>
      <c r="C1262" s="165" t="s">
        <v>4028</v>
      </c>
      <c r="D1262" s="8">
        <v>30</v>
      </c>
    </row>
    <row r="1263" spans="1:4" ht="15">
      <c r="A1263" s="22" t="s">
        <v>4018</v>
      </c>
      <c r="B1263" s="1052">
        <v>3.75</v>
      </c>
      <c r="C1263" s="165" t="s">
        <v>4029</v>
      </c>
      <c r="D1263" s="8">
        <v>30</v>
      </c>
    </row>
    <row r="1264" spans="1:4" ht="15">
      <c r="A1264" s="22" t="s">
        <v>4020</v>
      </c>
      <c r="B1264" s="1052">
        <v>3.75</v>
      </c>
      <c r="C1264" s="165" t="s">
        <v>4030</v>
      </c>
      <c r="D1264" s="8">
        <v>30</v>
      </c>
    </row>
    <row r="1265" spans="1:5" ht="15">
      <c r="A1265" s="22" t="s">
        <v>4022</v>
      </c>
      <c r="B1265" s="1052">
        <v>3.75</v>
      </c>
      <c r="C1265" s="165" t="s">
        <v>4031</v>
      </c>
      <c r="D1265" s="8">
        <v>30</v>
      </c>
    </row>
    <row r="1266" spans="1:5" ht="15">
      <c r="A1266" s="22" t="s">
        <v>4024</v>
      </c>
      <c r="B1266" s="1052">
        <v>3.75</v>
      </c>
      <c r="C1266" s="165" t="s">
        <v>4032</v>
      </c>
      <c r="D1266" s="8">
        <v>30</v>
      </c>
    </row>
    <row r="1267" spans="1:5" ht="15">
      <c r="A1267" s="22" t="s">
        <v>4026</v>
      </c>
      <c r="B1267" s="1052">
        <v>3.75</v>
      </c>
      <c r="C1267" s="165" t="s">
        <v>4033</v>
      </c>
      <c r="D1267" s="8">
        <v>30</v>
      </c>
    </row>
    <row r="1270" spans="1:5" ht="15">
      <c r="A1270" s="83" t="s">
        <v>4014</v>
      </c>
      <c r="B1270" s="83" t="s">
        <v>171</v>
      </c>
      <c r="C1270" s="84" t="s">
        <v>36</v>
      </c>
      <c r="D1270" s="84" t="s">
        <v>37</v>
      </c>
      <c r="E1270" s="85" t="s">
        <v>3710</v>
      </c>
    </row>
    <row r="1271" spans="1:5" ht="15">
      <c r="A1271" s="22" t="s">
        <v>329</v>
      </c>
      <c r="B1271" s="24">
        <v>6</v>
      </c>
      <c r="C1271" s="22" t="s">
        <v>4034</v>
      </c>
      <c r="D1271" s="8">
        <v>120</v>
      </c>
      <c r="E1271" s="39">
        <v>2.1800000000000002</v>
      </c>
    </row>
    <row r="1272" spans="1:5" ht="15">
      <c r="A1272" s="49"/>
      <c r="B1272" s="22" t="s">
        <v>14</v>
      </c>
      <c r="C1272" s="22"/>
      <c r="D1272" s="8" t="s">
        <v>64</v>
      </c>
      <c r="E1272" s="39">
        <v>12</v>
      </c>
    </row>
    <row r="1276" spans="1:5" ht="15">
      <c r="A1276" s="83" t="s">
        <v>4014</v>
      </c>
      <c r="B1276" s="84" t="s">
        <v>36</v>
      </c>
      <c r="C1276" s="84" t="s">
        <v>37</v>
      </c>
      <c r="D1276" s="85" t="s">
        <v>3710</v>
      </c>
    </row>
    <row r="1277" spans="1:5" ht="15">
      <c r="A1277" s="22" t="s">
        <v>4035</v>
      </c>
      <c r="B1277" s="37" t="s">
        <v>100</v>
      </c>
      <c r="C1277" s="60">
        <v>15</v>
      </c>
      <c r="D1277" s="39">
        <v>3.74</v>
      </c>
    </row>
    <row r="1278" spans="1:5" ht="15">
      <c r="A1278" s="22" t="s">
        <v>4036</v>
      </c>
      <c r="B1278" s="37" t="s">
        <v>100</v>
      </c>
      <c r="C1278" s="60">
        <v>5</v>
      </c>
      <c r="D1278" s="39">
        <v>3.84</v>
      </c>
    </row>
    <row r="1279" spans="1:5" ht="15">
      <c r="A1279" s="22" t="s">
        <v>4037</v>
      </c>
      <c r="B1279" s="37" t="s">
        <v>100</v>
      </c>
      <c r="C1279" s="60">
        <v>5</v>
      </c>
      <c r="D1279" s="39">
        <v>5.34</v>
      </c>
    </row>
    <row r="1280" spans="1:5" ht="15">
      <c r="A1280" s="22" t="s">
        <v>4038</v>
      </c>
      <c r="B1280" s="37" t="s">
        <v>100</v>
      </c>
      <c r="C1280" s="60">
        <v>10</v>
      </c>
      <c r="D1280" s="39">
        <v>5.93</v>
      </c>
    </row>
    <row r="1281" spans="1:8" ht="15">
      <c r="A1281" s="22" t="s">
        <v>4039</v>
      </c>
      <c r="B1281" s="37" t="s">
        <v>100</v>
      </c>
      <c r="C1281" s="60">
        <v>5</v>
      </c>
      <c r="D1281" s="39">
        <v>6.65</v>
      </c>
    </row>
    <row r="1282" spans="1:8" ht="15">
      <c r="A1282" s="49"/>
      <c r="B1282" s="37" t="s">
        <v>14</v>
      </c>
      <c r="C1282" s="8" t="s">
        <v>64</v>
      </c>
      <c r="D1282" s="39">
        <v>12</v>
      </c>
    </row>
    <row r="1285" spans="1:8" ht="15">
      <c r="A1285" s="83" t="s">
        <v>4014</v>
      </c>
      <c r="B1285" s="84" t="s">
        <v>36</v>
      </c>
      <c r="C1285" s="84" t="s">
        <v>37</v>
      </c>
    </row>
    <row r="1286" spans="1:8" ht="15">
      <c r="A1286" s="22" t="s">
        <v>1960</v>
      </c>
      <c r="B1286" s="37" t="s">
        <v>218</v>
      </c>
      <c r="C1286" s="108">
        <v>12</v>
      </c>
    </row>
    <row r="1287" spans="1:8" ht="15">
      <c r="A1287" s="22" t="s">
        <v>1960</v>
      </c>
      <c r="B1287" s="37" t="s">
        <v>1961</v>
      </c>
      <c r="C1287" s="108">
        <v>24.5</v>
      </c>
    </row>
    <row r="1291" spans="1:8" ht="15">
      <c r="A1291" s="83" t="s">
        <v>4014</v>
      </c>
    </row>
    <row r="1292" spans="1:8" ht="15">
      <c r="A1292" s="88" t="s">
        <v>4040</v>
      </c>
      <c r="B1292" s="83" t="s">
        <v>4014</v>
      </c>
      <c r="C1292" s="83" t="s">
        <v>171</v>
      </c>
      <c r="D1292" s="84" t="s">
        <v>36</v>
      </c>
      <c r="E1292" s="84" t="s">
        <v>2</v>
      </c>
      <c r="F1292" s="84" t="s">
        <v>117</v>
      </c>
      <c r="G1292" s="84" t="s">
        <v>116</v>
      </c>
      <c r="H1292" s="89" t="s">
        <v>362</v>
      </c>
    </row>
    <row r="1293" spans="1:8" ht="15">
      <c r="A1293" s="22" t="s">
        <v>4041</v>
      </c>
      <c r="B1293" s="22" t="s">
        <v>1996</v>
      </c>
      <c r="C1293" s="163" t="s">
        <v>16</v>
      </c>
      <c r="D1293" s="22" t="s">
        <v>2001</v>
      </c>
      <c r="E1293" s="108">
        <v>30</v>
      </c>
      <c r="F1293" s="109">
        <v>8</v>
      </c>
      <c r="G1293" s="8">
        <v>240</v>
      </c>
      <c r="H1293" s="1053" t="s">
        <v>4042</v>
      </c>
    </row>
    <row r="1294" spans="1:8" ht="15">
      <c r="A1294" s="22" t="s">
        <v>4041</v>
      </c>
      <c r="B1294" s="22" t="s">
        <v>1996</v>
      </c>
      <c r="C1294" s="15">
        <v>15</v>
      </c>
      <c r="D1294" s="22" t="s">
        <v>2001</v>
      </c>
      <c r="E1294" s="108">
        <v>30</v>
      </c>
      <c r="F1294" s="109">
        <v>20</v>
      </c>
      <c r="G1294" s="8">
        <v>600</v>
      </c>
      <c r="H1294" s="1053" t="s">
        <v>4042</v>
      </c>
    </row>
    <row r="1295" spans="1:8" ht="15">
      <c r="A1295" s="22" t="s">
        <v>4041</v>
      </c>
      <c r="B1295" s="22" t="s">
        <v>1996</v>
      </c>
      <c r="C1295" s="15">
        <v>15</v>
      </c>
      <c r="D1295" s="22" t="s">
        <v>1997</v>
      </c>
      <c r="E1295" s="108">
        <v>30</v>
      </c>
      <c r="F1295" s="109">
        <v>43</v>
      </c>
      <c r="G1295" s="8">
        <v>1290</v>
      </c>
      <c r="H1295" s="1053" t="s">
        <v>4042</v>
      </c>
    </row>
    <row r="1296" spans="1:8" ht="15">
      <c r="A1296" s="180"/>
      <c r="B1296" s="217"/>
      <c r="C1296" s="182"/>
      <c r="D1296" s="182"/>
      <c r="E1296" s="184"/>
      <c r="F1296" s="185"/>
      <c r="G1296" s="183"/>
      <c r="H1296" s="183"/>
    </row>
    <row r="1297" spans="1:8" ht="15">
      <c r="A1297" s="22" t="s">
        <v>4043</v>
      </c>
      <c r="B1297" s="22" t="s">
        <v>1996</v>
      </c>
      <c r="C1297" s="163" t="s">
        <v>16</v>
      </c>
      <c r="D1297" s="22" t="s">
        <v>1997</v>
      </c>
      <c r="E1297" s="108">
        <v>30</v>
      </c>
      <c r="F1297" s="109">
        <v>57</v>
      </c>
      <c r="G1297" s="8">
        <v>1710</v>
      </c>
      <c r="H1297" s="1053" t="s">
        <v>4044</v>
      </c>
    </row>
    <row r="1298" spans="1:8" ht="15">
      <c r="A1298" s="22" t="s">
        <v>4043</v>
      </c>
      <c r="B1298" s="22" t="s">
        <v>1996</v>
      </c>
      <c r="C1298" s="15">
        <v>15</v>
      </c>
      <c r="D1298" s="22" t="s">
        <v>1997</v>
      </c>
      <c r="E1298" s="108">
        <v>30</v>
      </c>
      <c r="F1298" s="109">
        <v>67</v>
      </c>
      <c r="G1298" s="8">
        <v>2010</v>
      </c>
      <c r="H1298" s="1053" t="s">
        <v>4045</v>
      </c>
    </row>
    <row r="1299" spans="1:8" ht="15">
      <c r="A1299" s="22" t="s">
        <v>4043</v>
      </c>
      <c r="B1299" s="22" t="s">
        <v>1996</v>
      </c>
      <c r="C1299" s="15">
        <v>18</v>
      </c>
      <c r="D1299" s="22" t="s">
        <v>1997</v>
      </c>
      <c r="E1299" s="108">
        <v>30</v>
      </c>
      <c r="F1299" s="109">
        <v>9</v>
      </c>
      <c r="G1299" s="8">
        <v>270</v>
      </c>
      <c r="H1299" s="1053" t="s">
        <v>4042</v>
      </c>
    </row>
    <row r="1302" spans="1:8" ht="15">
      <c r="A1302" s="83" t="s">
        <v>4014</v>
      </c>
      <c r="B1302" s="83" t="s">
        <v>171</v>
      </c>
      <c r="C1302" s="84" t="s">
        <v>36</v>
      </c>
      <c r="D1302" s="84" t="s">
        <v>37</v>
      </c>
      <c r="E1302" s="84" t="s">
        <v>110</v>
      </c>
    </row>
    <row r="1303" spans="1:8" ht="15">
      <c r="A1303" s="22">
        <v>9527</v>
      </c>
      <c r="B1303" s="24"/>
      <c r="C1303" s="22" t="s">
        <v>178</v>
      </c>
      <c r="D1303" s="8">
        <v>5</v>
      </c>
      <c r="E1303" s="1054" t="s">
        <v>4046</v>
      </c>
    </row>
    <row r="1304" spans="1:8" ht="15">
      <c r="A1304" s="22">
        <v>9527</v>
      </c>
      <c r="B1304" s="24"/>
      <c r="C1304" s="22" t="s">
        <v>2045</v>
      </c>
      <c r="D1304" s="8">
        <v>5</v>
      </c>
      <c r="E1304" s="1054" t="s">
        <v>4046</v>
      </c>
    </row>
    <row r="1305" spans="1:8" ht="15">
      <c r="A1305" s="22">
        <v>9527</v>
      </c>
      <c r="B1305" s="24"/>
      <c r="C1305" s="22" t="s">
        <v>2046</v>
      </c>
      <c r="D1305" s="8">
        <v>5</v>
      </c>
      <c r="E1305" s="1054" t="s">
        <v>4046</v>
      </c>
    </row>
    <row r="1306" spans="1:8" ht="15">
      <c r="A1306" s="83" t="s">
        <v>4014</v>
      </c>
      <c r="B1306" s="83" t="s">
        <v>171</v>
      </c>
      <c r="C1306" s="84" t="s">
        <v>36</v>
      </c>
      <c r="D1306" s="84" t="s">
        <v>37</v>
      </c>
      <c r="E1306" s="1054"/>
    </row>
    <row r="1307" spans="1:8" ht="15">
      <c r="A1307" s="22">
        <v>5637</v>
      </c>
      <c r="B1307" s="24" t="s">
        <v>230</v>
      </c>
      <c r="C1307" s="22" t="s">
        <v>188</v>
      </c>
      <c r="D1307" s="8">
        <v>5</v>
      </c>
      <c r="E1307" s="1054" t="s">
        <v>4047</v>
      </c>
    </row>
    <row r="1308" spans="1:8" ht="15">
      <c r="A1308" s="22">
        <v>5637</v>
      </c>
      <c r="B1308" s="24" t="s">
        <v>230</v>
      </c>
      <c r="C1308" s="22" t="s">
        <v>254</v>
      </c>
      <c r="D1308" s="8">
        <v>5</v>
      </c>
      <c r="E1308" s="1054" t="s">
        <v>4047</v>
      </c>
    </row>
    <row r="1309" spans="1:8" ht="15">
      <c r="A1309" s="22">
        <v>5637</v>
      </c>
      <c r="B1309" s="24" t="s">
        <v>230</v>
      </c>
      <c r="C1309" s="22" t="s">
        <v>2048</v>
      </c>
      <c r="D1309" s="8">
        <v>5</v>
      </c>
      <c r="E1309" s="1054" t="s">
        <v>4047</v>
      </c>
    </row>
    <row r="1310" spans="1:8" ht="15">
      <c r="A1310" s="22">
        <v>5637</v>
      </c>
      <c r="B1310" s="24" t="s">
        <v>230</v>
      </c>
      <c r="C1310" s="22" t="s">
        <v>2049</v>
      </c>
      <c r="D1310" s="8">
        <v>5</v>
      </c>
      <c r="E1310" s="1054" t="s">
        <v>4047</v>
      </c>
    </row>
    <row r="1315" spans="1:4" ht="15">
      <c r="A1315" s="1055" t="s">
        <v>4048</v>
      </c>
      <c r="B1315" s="84"/>
      <c r="C1315" s="84"/>
      <c r="D1315" s="85"/>
    </row>
    <row r="1316" spans="1:4" ht="15">
      <c r="A1316" s="83" t="s">
        <v>4014</v>
      </c>
      <c r="B1316" s="84" t="s">
        <v>36</v>
      </c>
      <c r="C1316" s="84" t="s">
        <v>37</v>
      </c>
      <c r="D1316" s="85" t="s">
        <v>4049</v>
      </c>
    </row>
    <row r="1317" spans="1:4" ht="15">
      <c r="A1317" s="48" t="s">
        <v>2075</v>
      </c>
      <c r="B1317" s="37" t="s">
        <v>4050</v>
      </c>
      <c r="C1317" s="108">
        <v>30</v>
      </c>
      <c r="D1317" s="39">
        <v>4.5999999999999996</v>
      </c>
    </row>
    <row r="1318" spans="1:4" ht="15">
      <c r="A1318" s="48" t="s">
        <v>2075</v>
      </c>
      <c r="B1318" s="37" t="s">
        <v>4051</v>
      </c>
      <c r="C1318" s="108">
        <v>30</v>
      </c>
      <c r="D1318" s="39">
        <v>4.5999999999999996</v>
      </c>
    </row>
    <row r="1319" spans="1:4" ht="15">
      <c r="A1319" s="48" t="s">
        <v>2078</v>
      </c>
      <c r="B1319" s="37" t="s">
        <v>4050</v>
      </c>
      <c r="C1319" s="108">
        <v>30</v>
      </c>
      <c r="D1319" s="39">
        <v>5.65</v>
      </c>
    </row>
    <row r="1320" spans="1:4" ht="15">
      <c r="A1320" s="48" t="s">
        <v>2078</v>
      </c>
      <c r="B1320" s="37" t="s">
        <v>4051</v>
      </c>
      <c r="C1320" s="108">
        <v>30</v>
      </c>
      <c r="D1320" s="39">
        <v>5.65</v>
      </c>
    </row>
    <row r="1321" spans="1:4" ht="15">
      <c r="A1321" s="48" t="s">
        <v>2080</v>
      </c>
      <c r="B1321" s="37" t="s">
        <v>4050</v>
      </c>
      <c r="C1321" s="108">
        <v>30</v>
      </c>
      <c r="D1321" s="39">
        <v>6.03</v>
      </c>
    </row>
    <row r="1322" spans="1:4" ht="15">
      <c r="A1322" s="48" t="s">
        <v>2080</v>
      </c>
      <c r="B1322" s="37" t="s">
        <v>4051</v>
      </c>
      <c r="C1322" s="108">
        <v>30</v>
      </c>
      <c r="D1322" s="39">
        <v>6.03</v>
      </c>
    </row>
    <row r="1323" spans="1:4" ht="15">
      <c r="A1323" s="48" t="s">
        <v>2081</v>
      </c>
      <c r="B1323" s="37" t="s">
        <v>4050</v>
      </c>
      <c r="C1323" s="108">
        <v>30</v>
      </c>
      <c r="D1323" s="39">
        <v>4.59</v>
      </c>
    </row>
    <row r="1324" spans="1:4" ht="15">
      <c r="A1324" s="48" t="s">
        <v>2081</v>
      </c>
      <c r="B1324" s="37" t="s">
        <v>4051</v>
      </c>
      <c r="C1324" s="108">
        <v>30</v>
      </c>
      <c r="D1324" s="39">
        <v>4.59</v>
      </c>
    </row>
    <row r="1325" spans="1:4" ht="15">
      <c r="A1325" s="22"/>
      <c r="B1325" s="37" t="s">
        <v>204</v>
      </c>
      <c r="C1325" s="195" t="s">
        <v>4052</v>
      </c>
      <c r="D1325" s="39">
        <v>80</v>
      </c>
    </row>
    <row r="1326" spans="1:4" ht="15">
      <c r="A1326" s="1055" t="s">
        <v>4053</v>
      </c>
      <c r="B1326" s="37"/>
      <c r="C1326" s="195"/>
      <c r="D1326" s="39"/>
    </row>
    <row r="1327" spans="1:4" ht="15">
      <c r="A1327" s="83" t="s">
        <v>4014</v>
      </c>
      <c r="B1327" s="84" t="s">
        <v>36</v>
      </c>
      <c r="C1327" s="84" t="s">
        <v>37</v>
      </c>
      <c r="D1327" s="85" t="s">
        <v>3710</v>
      </c>
    </row>
    <row r="1328" spans="1:4" ht="15">
      <c r="A1328" s="22" t="s">
        <v>2053</v>
      </c>
      <c r="B1328" s="37" t="s">
        <v>4050</v>
      </c>
      <c r="C1328" s="108">
        <v>50</v>
      </c>
      <c r="D1328" s="39">
        <v>2.04</v>
      </c>
    </row>
    <row r="1329" spans="1:8" ht="15">
      <c r="A1329" s="22" t="s">
        <v>2053</v>
      </c>
      <c r="B1329" s="37" t="s">
        <v>4051</v>
      </c>
      <c r="C1329" s="108">
        <v>50</v>
      </c>
      <c r="D1329" s="39">
        <v>2.04</v>
      </c>
    </row>
    <row r="1330" spans="1:8" ht="15">
      <c r="A1330" s="22"/>
      <c r="B1330" s="37" t="s">
        <v>204</v>
      </c>
      <c r="C1330" s="195" t="s">
        <v>4054</v>
      </c>
      <c r="D1330" s="39">
        <v>250</v>
      </c>
    </row>
    <row r="1331" spans="1:8" ht="15">
      <c r="A1331" s="22"/>
      <c r="B1331" s="37" t="s">
        <v>14</v>
      </c>
      <c r="C1331" s="38">
        <v>1</v>
      </c>
      <c r="D1331" s="39">
        <v>12</v>
      </c>
    </row>
    <row r="1333" spans="1:8" ht="14.25" thickBot="1"/>
    <row r="1334" spans="1:8" ht="15.75" thickBot="1">
      <c r="A1334" s="1850" t="s">
        <v>4055</v>
      </c>
      <c r="B1334" s="1852" t="s">
        <v>4056</v>
      </c>
      <c r="C1334" s="1853"/>
      <c r="D1334" s="1853"/>
      <c r="E1334" s="1854"/>
      <c r="F1334" s="1056" t="s">
        <v>4057</v>
      </c>
      <c r="G1334" s="1057" t="s">
        <v>371</v>
      </c>
      <c r="H1334" s="1850" t="s">
        <v>4058</v>
      </c>
    </row>
    <row r="1335" spans="1:8" ht="15.75" thickBot="1">
      <c r="A1335" s="1851"/>
      <c r="B1335" s="1058" t="s">
        <v>4059</v>
      </c>
      <c r="C1335" s="1058" t="s">
        <v>4060</v>
      </c>
      <c r="D1335" s="1058" t="s">
        <v>4061</v>
      </c>
      <c r="E1335" s="1058" t="s">
        <v>4062</v>
      </c>
      <c r="F1335" s="1059" t="s">
        <v>4063</v>
      </c>
      <c r="G1335" s="1060" t="s">
        <v>4064</v>
      </c>
      <c r="H1335" s="1851"/>
    </row>
    <row r="1336" spans="1:8" ht="15.75" thickBot="1">
      <c r="A1336" s="1061" t="s">
        <v>2075</v>
      </c>
      <c r="B1336" s="1062">
        <v>4.5999999999999996</v>
      </c>
      <c r="C1336" s="1062">
        <v>4.3</v>
      </c>
      <c r="D1336" s="1062">
        <v>4.1500000000000004</v>
      </c>
      <c r="E1336" s="1062">
        <v>3.99</v>
      </c>
      <c r="F1336" s="1063">
        <v>343.2</v>
      </c>
      <c r="G1336" s="1063">
        <v>8.5</v>
      </c>
      <c r="H1336" s="1064" t="s">
        <v>4065</v>
      </c>
    </row>
    <row r="1337" spans="1:8" ht="15.75" thickBot="1">
      <c r="A1337" s="1061" t="s">
        <v>2078</v>
      </c>
      <c r="B1337" s="1062">
        <v>5.65</v>
      </c>
      <c r="C1337" s="1062">
        <v>5.28</v>
      </c>
      <c r="D1337" s="1062">
        <v>5.09</v>
      </c>
      <c r="E1337" s="1062">
        <v>4.9000000000000004</v>
      </c>
      <c r="F1337" s="1063">
        <v>300</v>
      </c>
      <c r="G1337" s="1063">
        <v>9.3000000000000007</v>
      </c>
      <c r="H1337" s="1064" t="s">
        <v>4066</v>
      </c>
    </row>
    <row r="1338" spans="1:8" ht="15.75" thickBot="1">
      <c r="A1338" s="1061" t="s">
        <v>2080</v>
      </c>
      <c r="B1338" s="1062">
        <v>6.03</v>
      </c>
      <c r="C1338" s="1062">
        <v>5.4</v>
      </c>
      <c r="D1338" s="1062">
        <v>4.79</v>
      </c>
      <c r="E1338" s="1062">
        <v>4.53</v>
      </c>
      <c r="F1338" s="1063">
        <v>633</v>
      </c>
      <c r="G1338" s="1063">
        <v>8.6999999999999993</v>
      </c>
      <c r="H1338" s="1064" t="s">
        <v>4067</v>
      </c>
    </row>
    <row r="1339" spans="1:8" ht="15.75" thickBot="1">
      <c r="A1339" s="1061" t="s">
        <v>2081</v>
      </c>
      <c r="B1339" s="1062">
        <v>4.59</v>
      </c>
      <c r="C1339" s="1062">
        <v>4.29</v>
      </c>
      <c r="D1339" s="1062">
        <v>4.1399999999999997</v>
      </c>
      <c r="E1339" s="1062">
        <v>3.98</v>
      </c>
      <c r="F1339" s="1063">
        <v>292.8</v>
      </c>
      <c r="G1339" s="1063">
        <v>12.5</v>
      </c>
      <c r="H1339" s="1064" t="s">
        <v>4068</v>
      </c>
    </row>
    <row r="1340" spans="1:8" ht="15.75">
      <c r="A1340" s="1065"/>
    </row>
    <row r="1345" spans="1:6" ht="15">
      <c r="A1345" s="22" t="s">
        <v>2053</v>
      </c>
      <c r="B1345" s="37" t="s">
        <v>2076</v>
      </c>
      <c r="C1345" s="108">
        <v>42</v>
      </c>
    </row>
    <row r="1346" spans="1:6" ht="15">
      <c r="A1346" s="22" t="s">
        <v>2053</v>
      </c>
      <c r="B1346" s="37" t="s">
        <v>2077</v>
      </c>
      <c r="C1346" s="108">
        <v>42</v>
      </c>
    </row>
    <row r="1351" spans="1:6" ht="15">
      <c r="A1351" s="83" t="s">
        <v>4014</v>
      </c>
      <c r="B1351" s="83" t="s">
        <v>240</v>
      </c>
      <c r="C1351" s="83" t="s">
        <v>4069</v>
      </c>
      <c r="D1351" s="83" t="s">
        <v>313</v>
      </c>
      <c r="E1351" s="85" t="s">
        <v>4070</v>
      </c>
      <c r="F1351" s="85" t="s">
        <v>320</v>
      </c>
    </row>
    <row r="1352" spans="1:6" ht="15">
      <c r="A1352" s="22" t="s">
        <v>257</v>
      </c>
      <c r="B1352" s="112">
        <v>158</v>
      </c>
      <c r="C1352" s="165" t="s">
        <v>2061</v>
      </c>
      <c r="D1352" s="166">
        <v>120</v>
      </c>
      <c r="E1352" s="39">
        <v>0.88</v>
      </c>
      <c r="F1352" s="404" t="s">
        <v>4071</v>
      </c>
    </row>
    <row r="1353" spans="1:6" ht="15">
      <c r="A1353" s="22" t="s">
        <v>257</v>
      </c>
      <c r="B1353" s="112">
        <v>158</v>
      </c>
      <c r="C1353" s="165" t="s">
        <v>2063</v>
      </c>
      <c r="D1353" s="166">
        <v>120</v>
      </c>
      <c r="E1353" s="39">
        <v>0.88</v>
      </c>
      <c r="F1353" s="404" t="s">
        <v>4071</v>
      </c>
    </row>
    <row r="1354" spans="1:6" ht="15">
      <c r="A1354" s="22"/>
      <c r="B1354" s="37"/>
      <c r="C1354" s="37" t="s">
        <v>14</v>
      </c>
      <c r="D1354" s="38">
        <v>1</v>
      </c>
      <c r="E1354" s="39">
        <v>12</v>
      </c>
      <c r="F1354" s="404" t="s">
        <v>4071</v>
      </c>
    </row>
    <row r="1355" spans="1:6" ht="15">
      <c r="A1355" s="22" t="s">
        <v>257</v>
      </c>
      <c r="B1355" s="112">
        <v>180</v>
      </c>
      <c r="C1355" s="165" t="s">
        <v>2064</v>
      </c>
      <c r="D1355" s="166">
        <v>250</v>
      </c>
      <c r="E1355" s="39">
        <v>0.95</v>
      </c>
      <c r="F1355" s="404" t="s">
        <v>4072</v>
      </c>
    </row>
    <row r="1356" spans="1:6" ht="15">
      <c r="A1356" s="22" t="s">
        <v>257</v>
      </c>
      <c r="B1356" s="112">
        <v>158</v>
      </c>
      <c r="C1356" s="165" t="s">
        <v>2061</v>
      </c>
      <c r="D1356" s="166">
        <v>100</v>
      </c>
      <c r="E1356" s="39">
        <v>0.88</v>
      </c>
      <c r="F1356" s="404" t="s">
        <v>4072</v>
      </c>
    </row>
    <row r="1357" spans="1:6" ht="15">
      <c r="A1357" s="49"/>
      <c r="B1357" s="37"/>
      <c r="C1357" s="37" t="s">
        <v>14</v>
      </c>
      <c r="D1357" s="38">
        <v>1</v>
      </c>
      <c r="E1357" s="39">
        <v>12</v>
      </c>
      <c r="F1357" s="404" t="s">
        <v>4072</v>
      </c>
    </row>
    <row r="1359" spans="1:6" ht="15">
      <c r="A1359" s="83" t="s">
        <v>4014</v>
      </c>
      <c r="B1359" s="84" t="s">
        <v>36</v>
      </c>
      <c r="C1359" s="84" t="s">
        <v>37</v>
      </c>
      <c r="D1359" s="85" t="s">
        <v>3710</v>
      </c>
    </row>
    <row r="1360" spans="1:6" ht="15">
      <c r="A1360" s="22" t="s">
        <v>2119</v>
      </c>
      <c r="B1360" s="22" t="s">
        <v>2120</v>
      </c>
      <c r="C1360" s="108">
        <v>6</v>
      </c>
      <c r="D1360" s="954"/>
    </row>
    <row r="1361" spans="1:7" ht="15">
      <c r="A1361" s="22" t="s">
        <v>2121</v>
      </c>
      <c r="B1361" s="22" t="s">
        <v>2122</v>
      </c>
      <c r="C1361" s="108">
        <v>6</v>
      </c>
      <c r="D1361" s="954"/>
    </row>
    <row r="1362" spans="1:7" ht="15">
      <c r="A1362" s="22" t="s">
        <v>2123</v>
      </c>
      <c r="B1362" s="22" t="s">
        <v>2120</v>
      </c>
      <c r="C1362" s="108">
        <v>6</v>
      </c>
      <c r="D1362" s="954"/>
    </row>
    <row r="1363" spans="1:7" ht="15">
      <c r="A1363" s="22" t="s">
        <v>2124</v>
      </c>
      <c r="B1363" s="22" t="s">
        <v>2120</v>
      </c>
      <c r="C1363" s="108">
        <v>6</v>
      </c>
      <c r="D1363" s="954"/>
    </row>
    <row r="1364" spans="1:7" ht="15">
      <c r="A1364" s="22" t="s">
        <v>211</v>
      </c>
      <c r="B1364" s="22" t="s">
        <v>2120</v>
      </c>
      <c r="C1364" s="108">
        <v>6</v>
      </c>
      <c r="D1364" s="954"/>
    </row>
    <row r="1365" spans="1:7" ht="15">
      <c r="A1365" s="22"/>
      <c r="B1365" s="37" t="s">
        <v>14</v>
      </c>
      <c r="C1365" s="38">
        <v>1</v>
      </c>
      <c r="D1365" s="39">
        <v>12</v>
      </c>
    </row>
    <row r="1369" spans="1:7" ht="15.75">
      <c r="A1369" s="83" t="s">
        <v>4014</v>
      </c>
      <c r="B1369" s="83" t="s">
        <v>171</v>
      </c>
      <c r="C1369" s="83" t="s">
        <v>99</v>
      </c>
      <c r="D1369" s="103" t="s">
        <v>2</v>
      </c>
      <c r="E1369" s="103" t="s">
        <v>117</v>
      </c>
      <c r="F1369" s="103" t="s">
        <v>116</v>
      </c>
      <c r="G1369" s="103" t="s">
        <v>4073</v>
      </c>
    </row>
    <row r="1370" spans="1:7" ht="15">
      <c r="A1370" s="22">
        <v>2250</v>
      </c>
      <c r="B1370" s="37">
        <v>9</v>
      </c>
      <c r="C1370" s="22" t="s">
        <v>2132</v>
      </c>
      <c r="D1370" s="108">
        <v>30</v>
      </c>
      <c r="E1370" s="109">
        <v>10</v>
      </c>
      <c r="F1370" s="8">
        <v>300</v>
      </c>
      <c r="G1370" s="404" t="s">
        <v>4074</v>
      </c>
    </row>
    <row r="1371" spans="1:7" ht="15">
      <c r="A1371" s="22">
        <v>2250</v>
      </c>
      <c r="B1371" s="37">
        <v>12</v>
      </c>
      <c r="C1371" s="22" t="s">
        <v>2133</v>
      </c>
      <c r="D1371" s="108">
        <v>30</v>
      </c>
      <c r="E1371" s="109">
        <v>4</v>
      </c>
      <c r="F1371" s="8">
        <v>120</v>
      </c>
      <c r="G1371" s="404" t="s">
        <v>210</v>
      </c>
    </row>
    <row r="1372" spans="1:7" ht="15">
      <c r="A1372" s="22">
        <v>2250</v>
      </c>
      <c r="B1372" s="37">
        <v>9</v>
      </c>
      <c r="C1372" s="22" t="s">
        <v>2133</v>
      </c>
      <c r="D1372" s="108">
        <v>30</v>
      </c>
      <c r="E1372" s="109">
        <v>11</v>
      </c>
      <c r="F1372" s="8">
        <v>330</v>
      </c>
      <c r="G1372" s="404" t="s">
        <v>210</v>
      </c>
    </row>
    <row r="1375" spans="1:7" ht="15">
      <c r="A1375" s="22" t="s">
        <v>2015</v>
      </c>
      <c r="B1375" s="22" t="s">
        <v>100</v>
      </c>
    </row>
    <row r="1376" spans="1:7" ht="15">
      <c r="A1376" s="22" t="s">
        <v>2015</v>
      </c>
      <c r="B1376" s="22" t="s">
        <v>192</v>
      </c>
    </row>
    <row r="1377" spans="1:8" ht="15">
      <c r="A1377" s="22" t="s">
        <v>2013</v>
      </c>
      <c r="B1377" s="22" t="s">
        <v>100</v>
      </c>
    </row>
    <row r="1378" spans="1:8" ht="15">
      <c r="A1378" s="22" t="s">
        <v>2013</v>
      </c>
      <c r="B1378" s="22" t="s">
        <v>192</v>
      </c>
    </row>
    <row r="1380" spans="1:8" ht="15.75">
      <c r="A1380" s="83" t="s">
        <v>4014</v>
      </c>
      <c r="B1380" s="83" t="s">
        <v>171</v>
      </c>
      <c r="C1380" s="83" t="s">
        <v>99</v>
      </c>
      <c r="D1380" s="103" t="s">
        <v>2</v>
      </c>
      <c r="E1380" s="103" t="s">
        <v>117</v>
      </c>
      <c r="F1380" s="103" t="s">
        <v>116</v>
      </c>
      <c r="G1380" s="16" t="s">
        <v>5</v>
      </c>
    </row>
    <row r="1381" spans="1:8" ht="15">
      <c r="A1381" s="22" t="s">
        <v>1996</v>
      </c>
      <c r="B1381" s="163" t="s">
        <v>223</v>
      </c>
      <c r="C1381" s="22" t="s">
        <v>2184</v>
      </c>
      <c r="D1381" s="108">
        <v>30</v>
      </c>
      <c r="E1381" s="109">
        <v>10</v>
      </c>
      <c r="F1381" s="8">
        <v>300</v>
      </c>
      <c r="G1381" s="39">
        <v>1.57</v>
      </c>
    </row>
    <row r="1382" spans="1:8" ht="15">
      <c r="A1382" s="22" t="s">
        <v>2185</v>
      </c>
      <c r="B1382" s="163">
        <v>10</v>
      </c>
      <c r="C1382" s="22" t="s">
        <v>2186</v>
      </c>
      <c r="D1382" s="108">
        <v>100</v>
      </c>
      <c r="E1382" s="109">
        <v>3</v>
      </c>
      <c r="F1382" s="8">
        <v>300</v>
      </c>
      <c r="G1382" s="39">
        <v>1.06</v>
      </c>
    </row>
    <row r="1383" spans="1:8" ht="15">
      <c r="A1383" s="22"/>
      <c r="B1383" s="15"/>
      <c r="C1383" s="37" t="s">
        <v>2187</v>
      </c>
      <c r="D1383" s="126"/>
      <c r="E1383" s="109"/>
      <c r="F1383" s="38">
        <v>1</v>
      </c>
      <c r="G1383" s="39">
        <v>485</v>
      </c>
    </row>
    <row r="1384" spans="1:8" ht="14.25" thickBot="1"/>
    <row r="1385" spans="1:8" ht="15.75" thickBot="1">
      <c r="A1385" s="1850" t="s">
        <v>4055</v>
      </c>
      <c r="B1385" s="1852" t="s">
        <v>4056</v>
      </c>
      <c r="C1385" s="1853"/>
      <c r="D1385" s="1853"/>
      <c r="E1385" s="1854"/>
      <c r="F1385" s="1056" t="s">
        <v>4057</v>
      </c>
      <c r="G1385" s="1057" t="s">
        <v>371</v>
      </c>
      <c r="H1385" s="1850" t="s">
        <v>4058</v>
      </c>
    </row>
    <row r="1386" spans="1:8" ht="15.75" thickBot="1">
      <c r="A1386" s="1851"/>
      <c r="B1386" s="1058" t="s">
        <v>4059</v>
      </c>
      <c r="C1386" s="1058" t="s">
        <v>4060</v>
      </c>
      <c r="D1386" s="1058" t="s">
        <v>4061</v>
      </c>
      <c r="E1386" s="1058" t="s">
        <v>4062</v>
      </c>
      <c r="F1386" s="1059" t="s">
        <v>4063</v>
      </c>
      <c r="G1386" s="1060" t="s">
        <v>4064</v>
      </c>
      <c r="H1386" s="1851"/>
    </row>
    <row r="1387" spans="1:8" ht="15.75" thickBot="1">
      <c r="A1387" s="1061" t="s">
        <v>2078</v>
      </c>
      <c r="B1387" s="1062">
        <v>5.65</v>
      </c>
      <c r="C1387" s="1062">
        <v>5.28</v>
      </c>
      <c r="D1387" s="1062">
        <v>5.09</v>
      </c>
      <c r="E1387" s="1062">
        <v>4.9000000000000004</v>
      </c>
      <c r="F1387" s="1063">
        <v>300</v>
      </c>
      <c r="G1387" s="1063">
        <v>9.3000000000000007</v>
      </c>
      <c r="H1387" s="1064" t="s">
        <v>4066</v>
      </c>
    </row>
    <row r="1388" spans="1:8" ht="15.75" thickBot="1">
      <c r="A1388" s="1061" t="s">
        <v>2080</v>
      </c>
      <c r="B1388" s="1062">
        <v>6.03</v>
      </c>
      <c r="C1388" s="1062">
        <v>5.4</v>
      </c>
      <c r="D1388" s="1062">
        <v>4.79</v>
      </c>
      <c r="E1388" s="1062">
        <v>4.53</v>
      </c>
      <c r="F1388" s="1063">
        <v>633</v>
      </c>
      <c r="G1388" s="1063">
        <v>8.6999999999999993</v>
      </c>
      <c r="H1388" s="1064" t="s">
        <v>4067</v>
      </c>
    </row>
    <row r="1390" spans="1:8" ht="14.25" thickBot="1">
      <c r="A1390" t="s">
        <v>4075</v>
      </c>
    </row>
    <row r="1391" spans="1:8" ht="15.75" thickBot="1">
      <c r="A1391" s="1850" t="s">
        <v>4055</v>
      </c>
      <c r="B1391" s="1852" t="s">
        <v>4056</v>
      </c>
      <c r="C1391" s="1853"/>
      <c r="D1391" s="1853"/>
      <c r="E1391" s="1854"/>
      <c r="F1391" s="1056" t="s">
        <v>4057</v>
      </c>
      <c r="G1391" s="1057" t="s">
        <v>371</v>
      </c>
      <c r="H1391" s="1850" t="s">
        <v>4058</v>
      </c>
    </row>
    <row r="1392" spans="1:8" ht="15.75" thickBot="1">
      <c r="A1392" s="1851"/>
      <c r="B1392" s="1058" t="s">
        <v>4059</v>
      </c>
      <c r="C1392" s="1058" t="s">
        <v>4060</v>
      </c>
      <c r="D1392" s="1058" t="s">
        <v>4061</v>
      </c>
      <c r="E1392" s="1058" t="s">
        <v>4062</v>
      </c>
      <c r="F1392" s="1059" t="s">
        <v>4063</v>
      </c>
      <c r="G1392" s="1060" t="s">
        <v>4064</v>
      </c>
      <c r="H1392" s="1851"/>
    </row>
    <row r="1393" spans="1:8" ht="15.75" thickBot="1">
      <c r="A1393" s="1061" t="s">
        <v>4076</v>
      </c>
      <c r="B1393" s="1062">
        <v>5.09</v>
      </c>
      <c r="C1393" s="1062">
        <v>4.5</v>
      </c>
      <c r="D1393" s="1062">
        <v>3.95</v>
      </c>
      <c r="E1393" s="1062">
        <v>3.75</v>
      </c>
      <c r="F1393" s="1063">
        <v>300</v>
      </c>
      <c r="G1393" s="1063">
        <v>9.3000000000000007</v>
      </c>
      <c r="H1393" s="1064" t="s">
        <v>4077</v>
      </c>
    </row>
    <row r="1394" spans="1:8" ht="15.75" thickBot="1">
      <c r="A1394" s="1061" t="s">
        <v>4078</v>
      </c>
      <c r="B1394" s="1062">
        <v>4.79</v>
      </c>
      <c r="C1394" s="1062">
        <v>4.13</v>
      </c>
      <c r="D1394" s="1062">
        <v>3.75</v>
      </c>
      <c r="E1394" s="1062">
        <v>3.65</v>
      </c>
      <c r="F1394" s="1063">
        <v>633</v>
      </c>
      <c r="G1394" s="1063">
        <v>8.6999999999999993</v>
      </c>
      <c r="H1394" s="1064" t="s">
        <v>4079</v>
      </c>
    </row>
    <row r="1395" spans="1:8" ht="15">
      <c r="A1395" s="397"/>
    </row>
    <row r="1396" spans="1:8" ht="15">
      <c r="A1396" s="1055" t="s">
        <v>4048</v>
      </c>
      <c r="B1396" s="84"/>
      <c r="C1396" s="84"/>
      <c r="D1396" s="85"/>
    </row>
    <row r="1397" spans="1:8" ht="15">
      <c r="A1397" s="83" t="s">
        <v>4014</v>
      </c>
      <c r="B1397" s="84" t="s">
        <v>36</v>
      </c>
      <c r="C1397" s="84" t="s">
        <v>37</v>
      </c>
      <c r="D1397" s="85" t="s">
        <v>4049</v>
      </c>
    </row>
    <row r="1398" spans="1:8" ht="15">
      <c r="A1398" s="48" t="s">
        <v>2078</v>
      </c>
      <c r="B1398" s="37" t="s">
        <v>128</v>
      </c>
      <c r="C1398" s="108">
        <v>50</v>
      </c>
      <c r="D1398" s="39">
        <v>5.09</v>
      </c>
    </row>
    <row r="1399" spans="1:8" ht="15">
      <c r="A1399" s="48" t="s">
        <v>2078</v>
      </c>
      <c r="B1399" s="37" t="s">
        <v>4051</v>
      </c>
      <c r="C1399" s="108">
        <v>30</v>
      </c>
      <c r="D1399" s="39">
        <v>5.09</v>
      </c>
    </row>
    <row r="1400" spans="1:8" ht="15">
      <c r="A1400" s="48" t="s">
        <v>2080</v>
      </c>
      <c r="B1400" s="37" t="s">
        <v>128</v>
      </c>
      <c r="C1400" s="108">
        <v>50</v>
      </c>
      <c r="D1400" s="39">
        <v>4.79</v>
      </c>
    </row>
    <row r="1401" spans="1:8" ht="15">
      <c r="A1401" s="48" t="s">
        <v>2080</v>
      </c>
      <c r="B1401" s="37" t="s">
        <v>4051</v>
      </c>
      <c r="C1401" s="108">
        <v>30</v>
      </c>
      <c r="D1401" s="39">
        <v>4.79</v>
      </c>
    </row>
    <row r="1402" spans="1:8" ht="15">
      <c r="A1402" s="22"/>
      <c r="B1402" s="37" t="s">
        <v>204</v>
      </c>
      <c r="C1402" s="195" t="s">
        <v>4080</v>
      </c>
      <c r="D1402" s="39">
        <v>80</v>
      </c>
    </row>
    <row r="1405" spans="1:8" ht="15">
      <c r="A1405" s="1055" t="s">
        <v>4048</v>
      </c>
      <c r="B1405" s="158"/>
      <c r="C1405" s="158"/>
      <c r="D1405" s="158"/>
    </row>
    <row r="1406" spans="1:8" ht="15">
      <c r="A1406" s="83" t="s">
        <v>4014</v>
      </c>
      <c r="B1406" s="84" t="s">
        <v>36</v>
      </c>
      <c r="C1406" s="84" t="s">
        <v>37</v>
      </c>
      <c r="D1406" s="85" t="s">
        <v>4049</v>
      </c>
    </row>
    <row r="1407" spans="1:8" ht="15">
      <c r="A1407" s="48" t="s">
        <v>2078</v>
      </c>
      <c r="B1407" s="37" t="s">
        <v>2215</v>
      </c>
      <c r="C1407" s="8">
        <v>50</v>
      </c>
      <c r="D1407" s="39">
        <v>5.09</v>
      </c>
    </row>
    <row r="1408" spans="1:8" ht="15">
      <c r="A1408" s="48" t="s">
        <v>2078</v>
      </c>
      <c r="B1408" s="37" t="s">
        <v>2077</v>
      </c>
      <c r="C1408" s="8">
        <v>30</v>
      </c>
      <c r="D1408" s="39">
        <v>5.09</v>
      </c>
    </row>
    <row r="1409" spans="1:7" ht="15">
      <c r="A1409" s="48" t="s">
        <v>2080</v>
      </c>
      <c r="B1409" s="37" t="s">
        <v>2215</v>
      </c>
      <c r="C1409" s="8">
        <v>50</v>
      </c>
      <c r="D1409" s="39">
        <v>4.79</v>
      </c>
    </row>
    <row r="1410" spans="1:7" ht="15">
      <c r="A1410" s="48" t="s">
        <v>2080</v>
      </c>
      <c r="B1410" s="37" t="s">
        <v>2077</v>
      </c>
      <c r="C1410" s="8">
        <v>30</v>
      </c>
      <c r="D1410" s="39">
        <v>4.79</v>
      </c>
    </row>
    <row r="1411" spans="1:7" ht="15">
      <c r="A1411" s="22"/>
      <c r="B1411" s="37" t="s">
        <v>2219</v>
      </c>
      <c r="C1411" s="195" t="s">
        <v>64</v>
      </c>
      <c r="D1411" s="39">
        <v>40</v>
      </c>
    </row>
    <row r="1412" spans="1:7" ht="15">
      <c r="A1412" s="1055" t="s">
        <v>4053</v>
      </c>
      <c r="B1412" s="22"/>
      <c r="C1412" s="60"/>
      <c r="D1412" s="16"/>
    </row>
    <row r="1413" spans="1:7" ht="15">
      <c r="A1413" s="83" t="s">
        <v>4014</v>
      </c>
      <c r="B1413" s="84" t="s">
        <v>36</v>
      </c>
      <c r="C1413" s="84" t="s">
        <v>37</v>
      </c>
      <c r="D1413" s="85" t="s">
        <v>3710</v>
      </c>
    </row>
    <row r="1414" spans="1:7" ht="15">
      <c r="A1414" s="22" t="s">
        <v>2053</v>
      </c>
      <c r="B1414" s="37" t="s">
        <v>192</v>
      </c>
      <c r="C1414" s="8">
        <v>50</v>
      </c>
      <c r="D1414" s="39">
        <v>2.04</v>
      </c>
    </row>
    <row r="1415" spans="1:7" ht="15">
      <c r="A1415" s="22" t="s">
        <v>2053</v>
      </c>
      <c r="B1415" s="37" t="s">
        <v>2077</v>
      </c>
      <c r="C1415" s="8">
        <v>30</v>
      </c>
      <c r="D1415" s="39">
        <v>2.04</v>
      </c>
    </row>
    <row r="1416" spans="1:7" ht="15">
      <c r="A1416" s="22"/>
      <c r="B1416" s="37" t="s">
        <v>2219</v>
      </c>
      <c r="C1416" s="195" t="s">
        <v>64</v>
      </c>
      <c r="D1416" s="39">
        <v>125</v>
      </c>
    </row>
    <row r="1417" spans="1:7" ht="15">
      <c r="A1417" s="22"/>
      <c r="B1417" s="37" t="s">
        <v>14</v>
      </c>
      <c r="C1417" s="38">
        <v>1</v>
      </c>
      <c r="D1417" s="39">
        <v>12</v>
      </c>
    </row>
    <row r="1423" spans="1:7" ht="15">
      <c r="A1423" s="14" t="s">
        <v>376</v>
      </c>
      <c r="B1423" s="136"/>
      <c r="C1423" s="37"/>
      <c r="D1423" s="108"/>
      <c r="E1423" s="38"/>
      <c r="F1423" s="109"/>
      <c r="G1423" s="16" t="s">
        <v>5</v>
      </c>
    </row>
    <row r="1424" spans="1:7" ht="15">
      <c r="A1424" s="65" t="s">
        <v>2078</v>
      </c>
      <c r="B1424" s="37"/>
      <c r="C1424" s="37" t="s">
        <v>2215</v>
      </c>
      <c r="D1424" s="8">
        <v>50</v>
      </c>
      <c r="E1424" s="8">
        <v>50</v>
      </c>
      <c r="F1424" s="8">
        <v>50</v>
      </c>
      <c r="G1424" s="39">
        <v>5.09</v>
      </c>
    </row>
    <row r="1425" spans="1:7" ht="15">
      <c r="A1425" s="65" t="s">
        <v>2078</v>
      </c>
      <c r="B1425" s="37"/>
      <c r="C1425" s="37" t="s">
        <v>2077</v>
      </c>
      <c r="D1425" s="8">
        <v>30</v>
      </c>
      <c r="E1425" s="8">
        <v>30</v>
      </c>
      <c r="F1425" s="8">
        <v>30</v>
      </c>
      <c r="G1425" s="39">
        <v>5.09</v>
      </c>
    </row>
    <row r="1426" spans="1:7" ht="15">
      <c r="A1426" s="55" t="s">
        <v>2079</v>
      </c>
      <c r="B1426" s="37"/>
      <c r="C1426" s="37"/>
      <c r="D1426" s="108"/>
      <c r="E1426" s="38"/>
      <c r="F1426" s="109"/>
      <c r="G1426" s="39"/>
    </row>
    <row r="1427" spans="1:7" ht="15">
      <c r="A1427" s="65" t="s">
        <v>2080</v>
      </c>
      <c r="B1427" s="37"/>
      <c r="C1427" s="37" t="s">
        <v>2215</v>
      </c>
      <c r="D1427" s="8">
        <v>50</v>
      </c>
      <c r="E1427" s="8">
        <v>50</v>
      </c>
      <c r="F1427" s="8">
        <v>50</v>
      </c>
      <c r="G1427" s="39">
        <v>4.79</v>
      </c>
    </row>
    <row r="1428" spans="1:7" ht="15">
      <c r="A1428" s="65" t="s">
        <v>2080</v>
      </c>
      <c r="B1428" s="37"/>
      <c r="C1428" s="37" t="s">
        <v>2077</v>
      </c>
      <c r="D1428" s="8">
        <v>30</v>
      </c>
      <c r="E1428" s="8">
        <v>30</v>
      </c>
      <c r="F1428" s="8">
        <v>30</v>
      </c>
      <c r="G1428" s="39">
        <v>4.79</v>
      </c>
    </row>
    <row r="1429" spans="1:7" ht="15">
      <c r="A1429" s="49"/>
      <c r="B1429" s="136"/>
      <c r="C1429" s="37" t="s">
        <v>2216</v>
      </c>
      <c r="D1429" s="38">
        <v>1</v>
      </c>
      <c r="E1429" s="39"/>
      <c r="F1429" s="109"/>
      <c r="G1429" s="39">
        <v>40</v>
      </c>
    </row>
    <row r="1430" spans="1:7" ht="15">
      <c r="A1430" s="49"/>
      <c r="B1430" s="136"/>
      <c r="C1430" s="37" t="s">
        <v>2216</v>
      </c>
      <c r="D1430" s="38">
        <v>1</v>
      </c>
      <c r="E1430" s="39"/>
      <c r="F1430" s="109"/>
      <c r="G1430" s="39">
        <v>40</v>
      </c>
    </row>
    <row r="1431" spans="1:7" ht="15">
      <c r="A1431" s="19" t="s">
        <v>376</v>
      </c>
      <c r="B1431" s="24"/>
      <c r="C1431" s="22"/>
      <c r="D1431" s="60"/>
      <c r="E1431" s="60"/>
      <c r="F1431" s="61"/>
      <c r="G1431" s="16" t="s">
        <v>5</v>
      </c>
    </row>
    <row r="1432" spans="1:7" ht="15">
      <c r="A1432" s="49" t="s">
        <v>2053</v>
      </c>
      <c r="B1432" s="37"/>
      <c r="C1432" s="37" t="s">
        <v>2218</v>
      </c>
      <c r="D1432" s="8">
        <v>50</v>
      </c>
      <c r="E1432" s="8">
        <v>50</v>
      </c>
      <c r="F1432" s="8">
        <v>50</v>
      </c>
      <c r="G1432" s="39">
        <v>2.04</v>
      </c>
    </row>
    <row r="1433" spans="1:7" ht="15">
      <c r="A1433" s="49" t="s">
        <v>2053</v>
      </c>
      <c r="B1433" s="37"/>
      <c r="C1433" s="37" t="s">
        <v>2077</v>
      </c>
      <c r="D1433" s="8">
        <v>30</v>
      </c>
      <c r="E1433" s="8">
        <v>30</v>
      </c>
      <c r="F1433" s="8">
        <v>30</v>
      </c>
      <c r="G1433" s="39">
        <v>2.04</v>
      </c>
    </row>
    <row r="1434" spans="1:7" ht="22.5">
      <c r="A1434" s="22"/>
      <c r="B1434" s="340"/>
      <c r="C1434" s="37" t="s">
        <v>2219</v>
      </c>
      <c r="D1434" s="195">
        <v>1</v>
      </c>
      <c r="E1434" s="749"/>
      <c r="F1434" s="109" ph="1"/>
      <c r="G1434" s="39">
        <v>125</v>
      </c>
    </row>
    <row r="1435" spans="1:7" ht="22.5">
      <c r="A1435" s="22"/>
      <c r="B1435" s="340"/>
      <c r="C1435" s="37" t="s">
        <v>2220</v>
      </c>
      <c r="D1435" s="195">
        <v>1</v>
      </c>
      <c r="E1435" s="749"/>
      <c r="F1435" s="109" ph="1"/>
      <c r="G1435" s="39">
        <v>125</v>
      </c>
    </row>
    <row r="1436" spans="1:7" ht="22.5">
      <c r="A1436" s="22"/>
      <c r="B1436" s="340"/>
      <c r="C1436" s="37" t="s">
        <v>14</v>
      </c>
      <c r="D1436" s="38">
        <v>1</v>
      </c>
      <c r="E1436" s="8"/>
      <c r="F1436" s="109" ph="1"/>
      <c r="G1436" s="39">
        <v>12</v>
      </c>
    </row>
    <row r="1440" spans="1:7" ht="15">
      <c r="A1440" s="22" t="s">
        <v>291</v>
      </c>
      <c r="B1440" s="22" t="s">
        <v>4081</v>
      </c>
    </row>
    <row r="1441" spans="1:8" ht="15">
      <c r="A1441" s="22">
        <v>3047</v>
      </c>
      <c r="B1441" s="39">
        <v>418.31</v>
      </c>
    </row>
    <row r="1442" spans="1:8" ht="15">
      <c r="A1442" s="22">
        <v>3048</v>
      </c>
      <c r="B1442" s="39">
        <v>503.58</v>
      </c>
    </row>
    <row r="1443" spans="1:8" ht="15">
      <c r="A1443" s="22">
        <v>3054</v>
      </c>
      <c r="B1443" s="39">
        <v>308.36</v>
      </c>
    </row>
    <row r="1444" spans="1:8" ht="15.75">
      <c r="A1444" s="77" t="s">
        <v>168</v>
      </c>
      <c r="B1444" s="118">
        <f>SUM(B1441:B1443)</f>
        <v>1230.25</v>
      </c>
    </row>
    <row r="1447" spans="1:8" ht="15">
      <c r="A1447" s="83" t="s">
        <v>4014</v>
      </c>
      <c r="B1447" s="84" t="s">
        <v>36</v>
      </c>
      <c r="C1447" s="84" t="s">
        <v>37</v>
      </c>
      <c r="D1447" s="85" t="s">
        <v>4082</v>
      </c>
    </row>
    <row r="1448" spans="1:8" ht="15">
      <c r="A1448" s="22">
        <v>5540</v>
      </c>
      <c r="B1448" s="22" t="s">
        <v>218</v>
      </c>
      <c r="C1448" s="108">
        <v>17.5</v>
      </c>
      <c r="D1448" s="91" t="s">
        <v>4083</v>
      </c>
    </row>
    <row r="1449" spans="1:8" ht="15">
      <c r="A1449" s="83" t="s">
        <v>4014</v>
      </c>
      <c r="B1449" s="84" t="s">
        <v>36</v>
      </c>
      <c r="C1449" s="84" t="s">
        <v>37</v>
      </c>
      <c r="D1449" s="85" t="s">
        <v>4082</v>
      </c>
    </row>
    <row r="1450" spans="1:8" ht="15">
      <c r="A1450" s="22" t="s">
        <v>2278</v>
      </c>
      <c r="B1450" s="37" t="s">
        <v>100</v>
      </c>
      <c r="C1450" s="8">
        <v>9</v>
      </c>
      <c r="D1450" s="91" t="s">
        <v>4084</v>
      </c>
    </row>
    <row r="1451" spans="1:8" ht="22.5">
      <c r="A1451" s="83" t="s">
        <v>4014</v>
      </c>
      <c r="B1451" s="84" t="s">
        <v>36</v>
      </c>
      <c r="C1451" s="84" t="s">
        <v>37</v>
      </c>
      <c r="D1451" s="85" t="s">
        <v>4082</v>
      </c>
      <c r="F1451" ph="1"/>
    </row>
    <row r="1452" spans="1:8" ht="15">
      <c r="A1452" s="22" t="s">
        <v>4085</v>
      </c>
      <c r="B1452" s="37" t="s">
        <v>100</v>
      </c>
      <c r="C1452" s="60">
        <v>14</v>
      </c>
      <c r="D1452" s="91" t="s">
        <v>4086</v>
      </c>
    </row>
    <row r="1453" spans="1:8" ht="21">
      <c r="F1453" ph="1"/>
    </row>
    <row r="1455" spans="1:8" ht="15.75">
      <c r="A1455" s="83" t="s">
        <v>4014</v>
      </c>
      <c r="B1455" s="84" t="s">
        <v>36</v>
      </c>
      <c r="C1455" s="103" t="s">
        <v>2</v>
      </c>
      <c r="D1455" s="103" t="s">
        <v>117</v>
      </c>
      <c r="E1455" s="103" t="s">
        <v>116</v>
      </c>
      <c r="F1455" s="85" t="s">
        <v>4082</v>
      </c>
      <c r="G1455" s="7"/>
      <c r="H1455" s="7"/>
    </row>
    <row r="1456" spans="1:8" ht="15">
      <c r="A1456" s="22" t="s">
        <v>2261</v>
      </c>
      <c r="B1456" s="37" t="s">
        <v>4087</v>
      </c>
      <c r="C1456" s="108">
        <v>13.7</v>
      </c>
      <c r="D1456" s="109">
        <v>1</v>
      </c>
      <c r="E1456" s="131">
        <v>13.7</v>
      </c>
      <c r="F1456" s="91" t="s">
        <v>4088</v>
      </c>
      <c r="G1456" s="7">
        <v>2800</v>
      </c>
      <c r="H1456" s="7">
        <f>G1456*E1456</f>
        <v>38360</v>
      </c>
    </row>
    <row r="1457" spans="1:8" ht="15">
      <c r="A1457" s="22" t="s">
        <v>2261</v>
      </c>
      <c r="B1457" s="37" t="s">
        <v>4089</v>
      </c>
      <c r="C1457" s="108">
        <v>13.7</v>
      </c>
      <c r="D1457" s="109">
        <v>2</v>
      </c>
      <c r="E1457" s="131">
        <v>27.4</v>
      </c>
      <c r="F1457" s="91" t="s">
        <v>4088</v>
      </c>
      <c r="G1457" s="7">
        <v>2800</v>
      </c>
      <c r="H1457" s="7">
        <f>G1457*E1457</f>
        <v>76720</v>
      </c>
    </row>
    <row r="1458" spans="1:8" ht="15">
      <c r="A1458" s="22" t="s">
        <v>2261</v>
      </c>
      <c r="B1458" s="37" t="s">
        <v>312</v>
      </c>
      <c r="C1458" s="108">
        <v>13.7</v>
      </c>
      <c r="D1458" s="109">
        <v>1</v>
      </c>
      <c r="E1458" s="131">
        <v>13.7</v>
      </c>
      <c r="F1458" s="91" t="s">
        <v>4088</v>
      </c>
      <c r="G1458" s="7">
        <v>2800</v>
      </c>
      <c r="H1458" s="7">
        <f>G1458*E1458</f>
        <v>38360</v>
      </c>
    </row>
    <row r="1459" spans="1:8" ht="15">
      <c r="A1459" s="49"/>
      <c r="B1459" s="37"/>
      <c r="C1459" s="37" t="s">
        <v>204</v>
      </c>
      <c r="D1459" s="109"/>
      <c r="E1459" s="131"/>
      <c r="F1459" s="91" t="s">
        <v>4090</v>
      </c>
      <c r="G1459" s="7">
        <f>19600+26000+19600</f>
        <v>65200</v>
      </c>
      <c r="H1459" s="7">
        <f>19600+26000+19600</f>
        <v>65200</v>
      </c>
    </row>
    <row r="1462" spans="1:8" ht="15">
      <c r="A1462" s="83" t="s">
        <v>4014</v>
      </c>
      <c r="B1462" s="84" t="s">
        <v>36</v>
      </c>
      <c r="C1462" s="84" t="s">
        <v>116</v>
      </c>
    </row>
    <row r="1463" spans="1:8" ht="15">
      <c r="A1463" s="22" t="s">
        <v>2053</v>
      </c>
      <c r="B1463" s="37" t="s">
        <v>192</v>
      </c>
      <c r="C1463" s="8">
        <v>1320</v>
      </c>
    </row>
    <row r="1464" spans="1:8" ht="15">
      <c r="A1464" s="22" t="s">
        <v>2053</v>
      </c>
      <c r="B1464" s="37" t="s">
        <v>2077</v>
      </c>
      <c r="C1464" s="8">
        <v>1770</v>
      </c>
    </row>
    <row r="1465" spans="1:8" ht="15">
      <c r="A1465" s="22" t="s">
        <v>2053</v>
      </c>
      <c r="B1465" s="37" t="s">
        <v>192</v>
      </c>
      <c r="C1465" s="8">
        <v>5</v>
      </c>
    </row>
    <row r="1466" spans="1:8" ht="15">
      <c r="A1466" s="22" t="s">
        <v>2053</v>
      </c>
      <c r="B1466" s="37" t="s">
        <v>2077</v>
      </c>
      <c r="C1466" s="8">
        <v>5</v>
      </c>
    </row>
    <row r="1468" spans="1:8" ht="15">
      <c r="A1468" s="83" t="s">
        <v>81</v>
      </c>
      <c r="B1468" s="83" t="s">
        <v>4014</v>
      </c>
      <c r="C1468" s="84" t="s">
        <v>36</v>
      </c>
      <c r="D1468" s="84" t="s">
        <v>116</v>
      </c>
      <c r="E1468" s="84" t="s">
        <v>4091</v>
      </c>
    </row>
    <row r="1469" spans="1:8" ht="15">
      <c r="A1469" s="6" t="s">
        <v>2336</v>
      </c>
      <c r="B1469" s="48" t="s">
        <v>4092</v>
      </c>
      <c r="C1469" s="37" t="s">
        <v>2215</v>
      </c>
      <c r="D1469" s="8">
        <v>1195</v>
      </c>
      <c r="E1469" s="39">
        <v>5.09</v>
      </c>
    </row>
    <row r="1470" spans="1:8" ht="15">
      <c r="A1470" s="6" t="s">
        <v>2336</v>
      </c>
      <c r="B1470" s="48" t="s">
        <v>4093</v>
      </c>
      <c r="C1470" s="37" t="s">
        <v>2215</v>
      </c>
      <c r="D1470" s="8">
        <v>380</v>
      </c>
      <c r="E1470" s="39">
        <v>4.79</v>
      </c>
    </row>
    <row r="1474" spans="1:6" ht="15.75">
      <c r="A1474" s="83" t="s">
        <v>81</v>
      </c>
      <c r="B1474" s="83" t="s">
        <v>4014</v>
      </c>
      <c r="C1474" s="84" t="s">
        <v>36</v>
      </c>
      <c r="D1474" s="84" t="s">
        <v>116</v>
      </c>
      <c r="E1474" s="84" t="s">
        <v>4094</v>
      </c>
      <c r="F1474" s="103" t="s">
        <v>272</v>
      </c>
    </row>
    <row r="1475" spans="1:6" ht="15.75">
      <c r="A1475" s="28" t="s">
        <v>2336</v>
      </c>
      <c r="B1475" s="22" t="s">
        <v>2078</v>
      </c>
      <c r="C1475" s="37" t="s">
        <v>2215</v>
      </c>
      <c r="D1475" s="8">
        <v>1195</v>
      </c>
      <c r="E1475" s="39">
        <v>4.9000000000000004</v>
      </c>
      <c r="F1475" s="993" t="s">
        <v>4095</v>
      </c>
    </row>
    <row r="1476" spans="1:6" ht="15.75">
      <c r="A1476" s="28" t="s">
        <v>2336</v>
      </c>
      <c r="B1476" s="22" t="s">
        <v>2080</v>
      </c>
      <c r="C1476" s="37" t="s">
        <v>2215</v>
      </c>
      <c r="D1476" s="8">
        <v>380</v>
      </c>
      <c r="E1476" s="39">
        <v>4.79</v>
      </c>
      <c r="F1476" s="993" t="s">
        <v>210</v>
      </c>
    </row>
    <row r="1477" spans="1:6" ht="15">
      <c r="A1477" s="28"/>
      <c r="B1477" s="22"/>
      <c r="C1477" s="37"/>
      <c r="D1477" s="8"/>
      <c r="E1477" s="39"/>
    </row>
    <row r="1478" spans="1:6" ht="15.75">
      <c r="A1478" s="83" t="s">
        <v>81</v>
      </c>
      <c r="B1478" s="77" t="s">
        <v>4014</v>
      </c>
      <c r="C1478" s="84" t="s">
        <v>36</v>
      </c>
      <c r="D1478" s="84" t="s">
        <v>116</v>
      </c>
      <c r="E1478" s="85" t="s">
        <v>3710</v>
      </c>
      <c r="F1478" s="103" t="s">
        <v>272</v>
      </c>
    </row>
    <row r="1479" spans="1:6" ht="15.75">
      <c r="A1479" s="28" t="s">
        <v>2338</v>
      </c>
      <c r="B1479" s="22" t="s">
        <v>2053</v>
      </c>
      <c r="C1479" s="37" t="s">
        <v>2218</v>
      </c>
      <c r="D1479" s="8">
        <v>1320</v>
      </c>
      <c r="E1479" s="39">
        <v>2.04</v>
      </c>
      <c r="F1479" s="993" t="s">
        <v>4096</v>
      </c>
    </row>
    <row r="1480" spans="1:6" ht="15.75">
      <c r="A1480" s="28" t="s">
        <v>2338</v>
      </c>
      <c r="B1480" s="22" t="s">
        <v>2053</v>
      </c>
      <c r="C1480" s="37" t="s">
        <v>2077</v>
      </c>
      <c r="D1480" s="8">
        <v>1770</v>
      </c>
      <c r="E1480" s="39">
        <v>2.04</v>
      </c>
      <c r="F1480" s="993" t="s">
        <v>4096</v>
      </c>
    </row>
    <row r="1483" spans="1:6" ht="15.75">
      <c r="A1483" s="77" t="s">
        <v>4014</v>
      </c>
      <c r="B1483" s="84" t="s">
        <v>36</v>
      </c>
      <c r="C1483" s="84" t="s">
        <v>116</v>
      </c>
    </row>
    <row r="1484" spans="1:6" ht="15">
      <c r="A1484" s="22" t="s">
        <v>6</v>
      </c>
      <c r="B1484" s="22" t="s">
        <v>2342</v>
      </c>
      <c r="C1484" s="108">
        <v>15</v>
      </c>
    </row>
    <row r="1485" spans="1:6" ht="15">
      <c r="A1485" s="22" t="s">
        <v>6</v>
      </c>
      <c r="B1485" s="22" t="s">
        <v>2343</v>
      </c>
      <c r="C1485" s="108">
        <v>15</v>
      </c>
    </row>
    <row r="1488" spans="1:6" ht="15.75">
      <c r="A1488" s="77" t="s">
        <v>4014</v>
      </c>
      <c r="B1488" s="84" t="s">
        <v>36</v>
      </c>
      <c r="C1488" s="84" t="s">
        <v>37</v>
      </c>
      <c r="D1488" s="89" t="s">
        <v>4097</v>
      </c>
      <c r="E1488" s="61"/>
      <c r="F1488" s="16" t="s">
        <v>5</v>
      </c>
    </row>
    <row r="1489" spans="1:6" ht="15">
      <c r="A1489" s="22" t="s">
        <v>2053</v>
      </c>
      <c r="B1489" s="37" t="s">
        <v>2218</v>
      </c>
      <c r="C1489" s="8">
        <v>130</v>
      </c>
      <c r="D1489" s="8" t="s">
        <v>4098</v>
      </c>
      <c r="E1489" s="8">
        <v>130</v>
      </c>
      <c r="F1489" s="39">
        <v>2.04</v>
      </c>
    </row>
    <row r="1490" spans="1:6" ht="15">
      <c r="A1490" s="22" t="s">
        <v>2053</v>
      </c>
      <c r="B1490" s="37" t="s">
        <v>2077</v>
      </c>
      <c r="C1490" s="8">
        <v>130</v>
      </c>
      <c r="D1490" s="8" t="s">
        <v>4098</v>
      </c>
      <c r="E1490" s="8">
        <v>130</v>
      </c>
      <c r="F1490" s="39">
        <v>2.04</v>
      </c>
    </row>
    <row r="1491" spans="1:6" ht="15">
      <c r="A1491" s="22" t="s">
        <v>2053</v>
      </c>
      <c r="B1491" s="37" t="s">
        <v>2218</v>
      </c>
      <c r="C1491" s="8" t="s">
        <v>4099</v>
      </c>
      <c r="D1491" s="8" t="s">
        <v>4098</v>
      </c>
      <c r="E1491" s="8">
        <v>10</v>
      </c>
      <c r="F1491" s="39">
        <v>2.04</v>
      </c>
    </row>
    <row r="1492" spans="1:6" ht="15">
      <c r="A1492" s="22" t="s">
        <v>2053</v>
      </c>
      <c r="B1492" s="37" t="s">
        <v>2077</v>
      </c>
      <c r="C1492" s="8" t="s">
        <v>4099</v>
      </c>
      <c r="D1492" s="8" t="s">
        <v>4098</v>
      </c>
      <c r="E1492" s="8">
        <v>10</v>
      </c>
      <c r="F1492" s="39">
        <v>2.04</v>
      </c>
    </row>
    <row r="1493" spans="1:6" ht="15">
      <c r="A1493" s="22" t="s">
        <v>2053</v>
      </c>
      <c r="B1493" s="37" t="s">
        <v>2218</v>
      </c>
      <c r="C1493" s="8">
        <v>1270</v>
      </c>
      <c r="D1493" s="8" t="s">
        <v>4100</v>
      </c>
      <c r="E1493" s="8">
        <v>1270</v>
      </c>
      <c r="F1493" s="39">
        <v>2.04</v>
      </c>
    </row>
    <row r="1494" spans="1:6" ht="15">
      <c r="A1494" s="22" t="s">
        <v>2053</v>
      </c>
      <c r="B1494" s="37" t="s">
        <v>2077</v>
      </c>
      <c r="C1494" s="8">
        <v>1710</v>
      </c>
      <c r="D1494" s="8" t="s">
        <v>4100</v>
      </c>
      <c r="E1494" s="8">
        <v>1710</v>
      </c>
      <c r="F1494" s="39">
        <v>2.04</v>
      </c>
    </row>
    <row r="1497" spans="1:6" ht="15">
      <c r="A1497" s="225" t="s">
        <v>4101</v>
      </c>
      <c r="B1497" s="225" t="s">
        <v>4081</v>
      </c>
    </row>
    <row r="1498" spans="1:6" ht="15">
      <c r="A1498" s="22" t="s">
        <v>4102</v>
      </c>
      <c r="B1498" s="1066">
        <v>685.44</v>
      </c>
    </row>
    <row r="1499" spans="1:6" ht="15">
      <c r="A1499" s="22" t="s">
        <v>4103</v>
      </c>
      <c r="B1499" s="1066">
        <v>1079.8800000000001</v>
      </c>
    </row>
    <row r="1500" spans="1:6" ht="15">
      <c r="A1500" s="22" t="s">
        <v>4104</v>
      </c>
      <c r="B1500" s="1066">
        <v>7254.6</v>
      </c>
    </row>
    <row r="1501" spans="1:6" ht="15">
      <c r="A1501" s="22" t="s">
        <v>4105</v>
      </c>
      <c r="B1501" s="1066">
        <v>5956.8</v>
      </c>
    </row>
    <row r="1502" spans="1:6" ht="15.75">
      <c r="A1502" s="77" t="s">
        <v>4106</v>
      </c>
      <c r="B1502" s="1067">
        <f>SUM(B1498:B1501)</f>
        <v>14976.720000000001</v>
      </c>
    </row>
    <row r="1504" spans="1:6" ht="15.75">
      <c r="A1504" s="77" t="s">
        <v>4014</v>
      </c>
      <c r="B1504" s="84" t="s">
        <v>36</v>
      </c>
      <c r="C1504" s="84" t="s">
        <v>37</v>
      </c>
      <c r="D1504" s="85" t="s">
        <v>4082</v>
      </c>
      <c r="E1504" s="7"/>
    </row>
    <row r="1505" spans="1:6" ht="15">
      <c r="A1505" s="22" t="s">
        <v>2380</v>
      </c>
      <c r="B1505" s="37" t="s">
        <v>58</v>
      </c>
      <c r="C1505" s="131">
        <v>27.4</v>
      </c>
      <c r="D1505" s="14">
        <v>69</v>
      </c>
      <c r="E1505" s="7"/>
    </row>
    <row r="1506" spans="1:6" ht="15">
      <c r="A1506" s="22" t="s">
        <v>2381</v>
      </c>
      <c r="B1506" s="37" t="s">
        <v>2382</v>
      </c>
      <c r="C1506" s="108">
        <v>27.4</v>
      </c>
      <c r="D1506" s="14">
        <v>123</v>
      </c>
      <c r="E1506" s="7"/>
    </row>
    <row r="1511" spans="1:6" ht="15.75">
      <c r="A1511" s="77" t="s">
        <v>4014</v>
      </c>
      <c r="B1511" s="77" t="s">
        <v>35</v>
      </c>
      <c r="C1511" s="84" t="s">
        <v>36</v>
      </c>
      <c r="D1511" s="103" t="s">
        <v>2</v>
      </c>
      <c r="E1511" s="103" t="s">
        <v>117</v>
      </c>
      <c r="F1511" s="103" t="s">
        <v>116</v>
      </c>
    </row>
    <row r="1512" spans="1:6" ht="15">
      <c r="A1512" s="22">
        <v>5636</v>
      </c>
      <c r="B1512" s="37" t="s">
        <v>230</v>
      </c>
      <c r="C1512" s="37" t="s">
        <v>283</v>
      </c>
      <c r="D1512" s="108">
        <v>50</v>
      </c>
      <c r="E1512" s="109">
        <v>24</v>
      </c>
      <c r="F1512" s="8">
        <v>1200</v>
      </c>
    </row>
    <row r="1513" spans="1:6" ht="15">
      <c r="A1513" s="22">
        <v>5636</v>
      </c>
      <c r="B1513" s="37" t="s">
        <v>230</v>
      </c>
      <c r="C1513" s="37" t="s">
        <v>2352</v>
      </c>
      <c r="D1513" s="108">
        <v>50</v>
      </c>
      <c r="E1513" s="109">
        <v>35</v>
      </c>
      <c r="F1513" s="8">
        <v>1750</v>
      </c>
    </row>
    <row r="1514" spans="1:6" ht="15">
      <c r="A1514" s="22">
        <v>5636</v>
      </c>
      <c r="B1514" s="37" t="s">
        <v>230</v>
      </c>
      <c r="C1514" s="37" t="s">
        <v>2354</v>
      </c>
      <c r="D1514" s="108">
        <v>50</v>
      </c>
      <c r="E1514" s="109">
        <v>28</v>
      </c>
      <c r="F1514" s="8">
        <v>1400</v>
      </c>
    </row>
    <row r="1517" spans="1:6" ht="15.75">
      <c r="A1517" s="77" t="s">
        <v>4014</v>
      </c>
      <c r="B1517" s="84" t="s">
        <v>36</v>
      </c>
      <c r="C1517" s="84" t="s">
        <v>37</v>
      </c>
      <c r="D1517" s="84" t="s">
        <v>262</v>
      </c>
    </row>
    <row r="1518" spans="1:6" ht="15">
      <c r="A1518" s="22">
        <v>5600</v>
      </c>
      <c r="B1518" s="22" t="s">
        <v>2396</v>
      </c>
      <c r="C1518" s="108">
        <v>54</v>
      </c>
      <c r="D1518" s="1068" t="s">
        <v>4107</v>
      </c>
    </row>
    <row r="1519" spans="1:6" ht="15">
      <c r="A1519" s="22" t="s">
        <v>2397</v>
      </c>
      <c r="B1519" s="22" t="s">
        <v>2398</v>
      </c>
      <c r="C1519" s="108">
        <v>52</v>
      </c>
      <c r="D1519" s="1068" t="s">
        <v>4107</v>
      </c>
    </row>
    <row r="1520" spans="1:6" ht="15">
      <c r="A1520" s="22" t="s">
        <v>6</v>
      </c>
      <c r="B1520" s="22" t="s">
        <v>90</v>
      </c>
      <c r="C1520" s="108">
        <v>40</v>
      </c>
      <c r="D1520" s="1068" t="s">
        <v>4108</v>
      </c>
    </row>
    <row r="1521" spans="1:14" ht="15">
      <c r="A1521" s="22" t="s">
        <v>4109</v>
      </c>
      <c r="B1521" s="22" t="s">
        <v>2400</v>
      </c>
      <c r="C1521" s="108">
        <v>50</v>
      </c>
      <c r="D1521" s="1068" t="s">
        <v>4110</v>
      </c>
    </row>
    <row r="1523" spans="1:14" ht="15.75">
      <c r="A1523" s="77"/>
    </row>
    <row r="1524" spans="1:14" ht="15.75">
      <c r="A1524" s="77" t="s">
        <v>81</v>
      </c>
      <c r="B1524" s="77" t="s">
        <v>4014</v>
      </c>
      <c r="C1524" s="77" t="s">
        <v>35</v>
      </c>
      <c r="D1524" s="84" t="s">
        <v>36</v>
      </c>
      <c r="E1524" s="103" t="s">
        <v>37</v>
      </c>
      <c r="F1524" s="85" t="s">
        <v>3710</v>
      </c>
      <c r="G1524" s="1069" t="s">
        <v>4111</v>
      </c>
      <c r="H1524" s="11"/>
      <c r="I1524" s="144"/>
      <c r="J1524" s="14"/>
      <c r="K1524" s="39"/>
      <c r="L1524" s="14"/>
      <c r="M1524" s="308"/>
      <c r="N1524" s="7"/>
    </row>
    <row r="1525" spans="1:14" ht="15">
      <c r="A1525" s="28" t="s">
        <v>4112</v>
      </c>
      <c r="B1525" s="22">
        <v>1100</v>
      </c>
      <c r="C1525" s="37">
        <v>40</v>
      </c>
      <c r="D1525" s="37" t="s">
        <v>2440</v>
      </c>
      <c r="E1525" s="8">
        <v>210</v>
      </c>
      <c r="F1525" s="39">
        <v>2.15</v>
      </c>
      <c r="G1525" s="14">
        <v>116</v>
      </c>
      <c r="H1525" s="160">
        <v>44418</v>
      </c>
      <c r="I1525" s="139"/>
      <c r="J1525" s="39">
        <f>(M1525/0.7/90)</f>
        <v>1.8412698412698414</v>
      </c>
      <c r="K1525" s="39">
        <v>1.84</v>
      </c>
      <c r="L1525" s="39"/>
      <c r="M1525" s="7">
        <v>116</v>
      </c>
      <c r="N1525" s="92">
        <f>M1525*E1525</f>
        <v>24360</v>
      </c>
    </row>
    <row r="1526" spans="1:14" ht="15">
      <c r="A1526" s="28" t="s">
        <v>4112</v>
      </c>
      <c r="B1526" s="22"/>
      <c r="C1526" s="102"/>
      <c r="D1526" s="22" t="s">
        <v>204</v>
      </c>
      <c r="E1526" s="38">
        <v>1</v>
      </c>
      <c r="F1526" s="39">
        <v>310</v>
      </c>
      <c r="G1526" s="14">
        <v>22000</v>
      </c>
      <c r="H1526" s="160"/>
      <c r="I1526" s="139"/>
      <c r="J1526" s="39">
        <f>M1526/0.88/90</f>
        <v>277.77777777777777</v>
      </c>
      <c r="K1526" s="39">
        <v>277.77999999999997</v>
      </c>
      <c r="L1526" s="21"/>
      <c r="M1526" s="7">
        <v>22000</v>
      </c>
      <c r="N1526" s="92">
        <f>M1526*E1526</f>
        <v>22000</v>
      </c>
    </row>
    <row r="1527" spans="1:14" ht="15">
      <c r="A1527" s="338"/>
      <c r="B1527" s="217"/>
      <c r="C1527" s="182"/>
      <c r="D1527" s="182"/>
      <c r="E1527" s="183"/>
      <c r="F1527" s="192"/>
      <c r="G1527" s="186"/>
      <c r="H1527" s="187"/>
      <c r="I1527" s="188"/>
      <c r="J1527" s="179"/>
      <c r="K1527" s="335"/>
      <c r="L1527" s="335"/>
      <c r="M1527" s="197"/>
      <c r="N1527" s="198"/>
    </row>
    <row r="1528" spans="1:14" ht="15.75">
      <c r="A1528" s="77" t="s">
        <v>81</v>
      </c>
      <c r="B1528" s="77" t="s">
        <v>4014</v>
      </c>
      <c r="C1528" s="77" t="s">
        <v>240</v>
      </c>
      <c r="D1528" s="83" t="s">
        <v>258</v>
      </c>
      <c r="E1528" s="83" t="s">
        <v>37</v>
      </c>
      <c r="F1528" s="85" t="s">
        <v>4070</v>
      </c>
      <c r="G1528" s="1069" t="s">
        <v>4111</v>
      </c>
      <c r="H1528" s="33"/>
      <c r="I1528" s="139"/>
      <c r="J1528" s="6"/>
      <c r="K1528" s="733"/>
      <c r="L1528" s="21"/>
      <c r="M1528" s="7"/>
      <c r="N1528" s="7"/>
    </row>
    <row r="1529" spans="1:14" ht="15">
      <c r="A1529" s="28" t="s">
        <v>4113</v>
      </c>
      <c r="B1529" s="19" t="s">
        <v>2444</v>
      </c>
      <c r="C1529" s="112">
        <v>140</v>
      </c>
      <c r="D1529" s="165" t="s">
        <v>2445</v>
      </c>
      <c r="E1529" s="166">
        <v>345</v>
      </c>
      <c r="F1529" s="39"/>
      <c r="G1529" s="1070">
        <v>131.6</v>
      </c>
      <c r="H1529" s="33"/>
      <c r="I1529" s="139"/>
      <c r="J1529" s="39">
        <f>ROUNDUP(M1529/0.7/90,2)</f>
        <v>2.09</v>
      </c>
      <c r="K1529" s="39">
        <v>2.09</v>
      </c>
      <c r="L1529" s="137"/>
      <c r="M1529" s="7">
        <v>131.6</v>
      </c>
      <c r="N1529" s="7">
        <f t="shared" ref="N1529:N1535" si="4">M1529*E1529</f>
        <v>45402</v>
      </c>
    </row>
    <row r="1530" spans="1:14" ht="15">
      <c r="A1530" s="28" t="s">
        <v>4113</v>
      </c>
      <c r="B1530" s="19" t="s">
        <v>2444</v>
      </c>
      <c r="C1530" s="112">
        <v>140</v>
      </c>
      <c r="D1530" s="165" t="s">
        <v>2446</v>
      </c>
      <c r="E1530" s="166">
        <v>105</v>
      </c>
      <c r="F1530" s="39"/>
      <c r="G1530" s="1070">
        <v>129.80000000000001</v>
      </c>
      <c r="H1530" s="33"/>
      <c r="I1530" s="139"/>
      <c r="J1530" s="39">
        <f>ROUNDUP(M1530/0.7/90,2)</f>
        <v>2.0699999999999998</v>
      </c>
      <c r="K1530" s="39">
        <v>2.0699999999999998</v>
      </c>
      <c r="L1530" s="137"/>
      <c r="M1530" s="7">
        <v>129.80000000000001</v>
      </c>
      <c r="N1530" s="7">
        <f t="shared" si="4"/>
        <v>13629.000000000002</v>
      </c>
    </row>
    <row r="1531" spans="1:14" ht="15">
      <c r="A1531" s="28" t="s">
        <v>4113</v>
      </c>
      <c r="B1531" s="19" t="s">
        <v>2444</v>
      </c>
      <c r="C1531" s="112">
        <v>140</v>
      </c>
      <c r="D1531" s="165" t="s">
        <v>2447</v>
      </c>
      <c r="E1531" s="166">
        <v>610</v>
      </c>
      <c r="F1531" s="39"/>
      <c r="G1531" s="1070">
        <v>120.8</v>
      </c>
      <c r="H1531" s="33"/>
      <c r="I1531" s="139"/>
      <c r="J1531" s="39">
        <f>ROUNDUP(M1531/0.7/90,2)</f>
        <v>1.92</v>
      </c>
      <c r="K1531" s="39">
        <v>1.92</v>
      </c>
      <c r="L1531" s="137"/>
      <c r="M1531" s="7">
        <v>120.8</v>
      </c>
      <c r="N1531" s="7">
        <f t="shared" si="4"/>
        <v>73688</v>
      </c>
    </row>
    <row r="1532" spans="1:14" ht="15">
      <c r="A1532" s="28" t="s">
        <v>4113</v>
      </c>
      <c r="B1532" s="19" t="s">
        <v>2444</v>
      </c>
      <c r="C1532" s="112">
        <v>140</v>
      </c>
      <c r="D1532" s="165" t="s">
        <v>2448</v>
      </c>
      <c r="E1532" s="166">
        <v>170</v>
      </c>
      <c r="F1532" s="39"/>
      <c r="G1532" s="1070">
        <v>140.6</v>
      </c>
      <c r="H1532" s="33"/>
      <c r="I1532" s="139"/>
      <c r="J1532" s="39">
        <f>M1532/0.7/90</f>
        <v>2.2317460317460318</v>
      </c>
      <c r="K1532" s="39">
        <v>2.23</v>
      </c>
      <c r="L1532" s="137"/>
      <c r="M1532" s="7">
        <v>140.6</v>
      </c>
      <c r="N1532" s="7">
        <f t="shared" si="4"/>
        <v>23902</v>
      </c>
    </row>
    <row r="1533" spans="1:14" ht="15">
      <c r="A1533" s="28" t="s">
        <v>4113</v>
      </c>
      <c r="B1533" s="22"/>
      <c r="C1533" s="102"/>
      <c r="D1533" s="22" t="s">
        <v>2449</v>
      </c>
      <c r="E1533" s="38">
        <v>2</v>
      </c>
      <c r="F1533" s="39">
        <v>180</v>
      </c>
      <c r="G1533" s="81" t="s">
        <v>4114</v>
      </c>
      <c r="H1533" s="33"/>
      <c r="I1533" s="139"/>
      <c r="J1533" s="39">
        <f>M1533/0.88/90</f>
        <v>101.010101010101</v>
      </c>
      <c r="K1533" s="39">
        <v>101.01</v>
      </c>
      <c r="L1533" s="21"/>
      <c r="M1533" s="7">
        <v>8000</v>
      </c>
      <c r="N1533" s="7">
        <f t="shared" si="4"/>
        <v>16000</v>
      </c>
    </row>
    <row r="1534" spans="1:14" ht="15">
      <c r="A1534" s="28" t="s">
        <v>4113</v>
      </c>
      <c r="B1534" s="22"/>
      <c r="C1534" s="102"/>
      <c r="D1534" s="22" t="s">
        <v>2450</v>
      </c>
      <c r="E1534" s="38">
        <v>2</v>
      </c>
      <c r="F1534" s="39">
        <v>0</v>
      </c>
      <c r="G1534" s="81" t="s">
        <v>4115</v>
      </c>
      <c r="H1534" s="33"/>
      <c r="I1534" s="139"/>
      <c r="J1534" s="39">
        <f>ROUNDUP(M1534/0.88/90,2)</f>
        <v>50.51</v>
      </c>
      <c r="K1534" s="39">
        <v>50.51</v>
      </c>
      <c r="L1534" s="21"/>
      <c r="M1534" s="7">
        <v>4000</v>
      </c>
      <c r="N1534" s="7">
        <f t="shared" si="4"/>
        <v>8000</v>
      </c>
    </row>
    <row r="1535" spans="1:14" ht="15">
      <c r="A1535" s="28" t="s">
        <v>4113</v>
      </c>
      <c r="B1535" s="22"/>
      <c r="C1535" s="37"/>
      <c r="D1535" s="37" t="s">
        <v>14</v>
      </c>
      <c r="E1535" s="38">
        <v>1</v>
      </c>
      <c r="F1535" s="39">
        <v>12</v>
      </c>
      <c r="G1535" s="81">
        <v>1100</v>
      </c>
      <c r="H1535" s="33"/>
      <c r="I1535" s="139"/>
      <c r="J1535" s="6"/>
      <c r="K1535" s="39">
        <v>12</v>
      </c>
      <c r="L1535" s="21"/>
      <c r="M1535" s="7">
        <v>1100</v>
      </c>
      <c r="N1535" s="7">
        <f t="shared" si="4"/>
        <v>1100</v>
      </c>
    </row>
    <row r="1536" spans="1:14" ht="15">
      <c r="A1536" s="338"/>
      <c r="B1536" s="217"/>
      <c r="C1536" s="622"/>
      <c r="D1536" s="182"/>
      <c r="E1536" s="183"/>
      <c r="F1536" s="192"/>
      <c r="G1536" s="186"/>
      <c r="H1536" s="187"/>
      <c r="I1536" s="188"/>
      <c r="J1536" s="179"/>
      <c r="K1536" s="335"/>
      <c r="L1536" s="335"/>
      <c r="M1536" s="197"/>
      <c r="N1536" s="198"/>
    </row>
    <row r="1537" spans="1:14" ht="15.75">
      <c r="A1537" s="77" t="s">
        <v>81</v>
      </c>
      <c r="B1537" s="77" t="s">
        <v>4014</v>
      </c>
      <c r="C1537" s="77" t="s">
        <v>240</v>
      </c>
      <c r="D1537" s="83" t="s">
        <v>258</v>
      </c>
      <c r="E1537" s="83" t="s">
        <v>37</v>
      </c>
      <c r="F1537" s="85" t="s">
        <v>4070</v>
      </c>
      <c r="G1537" s="1069" t="s">
        <v>4111</v>
      </c>
      <c r="H1537" s="33"/>
      <c r="I1537" s="139"/>
      <c r="J1537" s="6"/>
      <c r="K1537" s="733"/>
      <c r="L1537" s="21"/>
      <c r="M1537" s="7"/>
      <c r="N1537" s="7"/>
    </row>
    <row r="1538" spans="1:14" ht="15">
      <c r="A1538" s="28" t="s">
        <v>4116</v>
      </c>
      <c r="B1538" s="19" t="s">
        <v>2444</v>
      </c>
      <c r="C1538" s="112">
        <v>170</v>
      </c>
      <c r="D1538" s="780" t="s">
        <v>2454</v>
      </c>
      <c r="E1538" s="166">
        <v>110</v>
      </c>
      <c r="F1538" s="39">
        <v>2.74</v>
      </c>
      <c r="G1538" s="14">
        <v>139.6</v>
      </c>
      <c r="H1538" s="33"/>
      <c r="I1538" s="139"/>
      <c r="J1538" s="39">
        <f t="shared" ref="J1538:J1543" si="5">M1538/0.7/90</f>
        <v>2.215873015873016</v>
      </c>
      <c r="K1538" s="39">
        <v>2.2200000000000002</v>
      </c>
      <c r="L1538" s="137"/>
      <c r="M1538" s="7">
        <v>139.6</v>
      </c>
      <c r="N1538" s="7">
        <f t="shared" ref="N1538:N1546" si="6">M1538*E1538</f>
        <v>15356</v>
      </c>
    </row>
    <row r="1539" spans="1:14" ht="15">
      <c r="A1539" s="28" t="s">
        <v>4116</v>
      </c>
      <c r="B1539" s="19" t="s">
        <v>2444</v>
      </c>
      <c r="C1539" s="112">
        <v>170</v>
      </c>
      <c r="D1539" s="165" t="s">
        <v>2447</v>
      </c>
      <c r="E1539" s="166">
        <v>120</v>
      </c>
      <c r="F1539" s="39">
        <v>2.48</v>
      </c>
      <c r="G1539" s="14">
        <v>126.5</v>
      </c>
      <c r="H1539" s="33"/>
      <c r="I1539" s="139"/>
      <c r="J1539" s="39">
        <f t="shared" si="5"/>
        <v>2.0079365079365079</v>
      </c>
      <c r="K1539" s="39">
        <v>2.0099999999999998</v>
      </c>
      <c r="L1539" s="137"/>
      <c r="M1539" s="7">
        <v>126.5</v>
      </c>
      <c r="N1539" s="7">
        <f t="shared" si="6"/>
        <v>15180</v>
      </c>
    </row>
    <row r="1540" spans="1:14" ht="15">
      <c r="A1540" s="28" t="s">
        <v>4116</v>
      </c>
      <c r="B1540" s="19" t="s">
        <v>2444</v>
      </c>
      <c r="C1540" s="112">
        <v>120</v>
      </c>
      <c r="D1540" s="780" t="s">
        <v>2454</v>
      </c>
      <c r="E1540" s="166">
        <v>140</v>
      </c>
      <c r="F1540" s="39">
        <v>2.48</v>
      </c>
      <c r="G1540" s="14">
        <v>126.2</v>
      </c>
      <c r="H1540" s="33"/>
      <c r="I1540" s="139"/>
      <c r="J1540" s="39">
        <f t="shared" si="5"/>
        <v>2.0031746031746036</v>
      </c>
      <c r="K1540" s="39">
        <v>2</v>
      </c>
      <c r="L1540" s="137"/>
      <c r="M1540" s="7">
        <v>126.2</v>
      </c>
      <c r="N1540" s="7">
        <f t="shared" si="6"/>
        <v>17668</v>
      </c>
    </row>
    <row r="1541" spans="1:14" ht="15">
      <c r="A1541" s="28" t="s">
        <v>4116</v>
      </c>
      <c r="B1541" s="19" t="s">
        <v>2444</v>
      </c>
      <c r="C1541" s="112">
        <v>120</v>
      </c>
      <c r="D1541" s="165" t="s">
        <v>2447</v>
      </c>
      <c r="E1541" s="166">
        <v>290</v>
      </c>
      <c r="F1541" s="39">
        <v>2.2999999999999998</v>
      </c>
      <c r="G1541" s="14">
        <v>117</v>
      </c>
      <c r="H1541" s="33"/>
      <c r="I1541" s="139"/>
      <c r="J1541" s="39">
        <f t="shared" si="5"/>
        <v>1.8571428571428574</v>
      </c>
      <c r="K1541" s="39">
        <v>1.86</v>
      </c>
      <c r="L1541" s="137"/>
      <c r="M1541" s="7">
        <v>117</v>
      </c>
      <c r="N1541" s="7">
        <f t="shared" si="6"/>
        <v>33930</v>
      </c>
    </row>
    <row r="1542" spans="1:14" ht="15">
      <c r="A1542" s="28" t="s">
        <v>4116</v>
      </c>
      <c r="B1542" s="19" t="s">
        <v>2444</v>
      </c>
      <c r="C1542" s="112">
        <v>200</v>
      </c>
      <c r="D1542" s="780" t="s">
        <v>2454</v>
      </c>
      <c r="E1542" s="166">
        <v>190</v>
      </c>
      <c r="F1542" s="39">
        <v>2.9</v>
      </c>
      <c r="G1542" s="14">
        <v>147.6</v>
      </c>
      <c r="H1542" s="33"/>
      <c r="I1542" s="139"/>
      <c r="J1542" s="39">
        <f t="shared" si="5"/>
        <v>2.342857142857143</v>
      </c>
      <c r="K1542" s="39">
        <v>2.34</v>
      </c>
      <c r="L1542" s="137"/>
      <c r="M1542" s="7">
        <v>147.6</v>
      </c>
      <c r="N1542" s="7">
        <f t="shared" si="6"/>
        <v>28044</v>
      </c>
    </row>
    <row r="1543" spans="1:14" ht="15">
      <c r="A1543" s="28" t="s">
        <v>4116</v>
      </c>
      <c r="B1543" s="19" t="s">
        <v>2444</v>
      </c>
      <c r="C1543" s="112">
        <v>200</v>
      </c>
      <c r="D1543" s="165" t="s">
        <v>2447</v>
      </c>
      <c r="E1543" s="166">
        <v>240</v>
      </c>
      <c r="F1543" s="39">
        <v>2.6</v>
      </c>
      <c r="G1543" s="14">
        <v>132.19999999999999</v>
      </c>
      <c r="H1543" s="33"/>
      <c r="I1543" s="139"/>
      <c r="J1543" s="39">
        <f t="shared" si="5"/>
        <v>2.0984126984126985</v>
      </c>
      <c r="K1543" s="39">
        <v>2.1</v>
      </c>
      <c r="L1543" s="137"/>
      <c r="M1543" s="7">
        <v>132.19999999999999</v>
      </c>
      <c r="N1543" s="7">
        <f t="shared" si="6"/>
        <v>31727.999999999996</v>
      </c>
    </row>
    <row r="1544" spans="1:14" ht="15">
      <c r="A1544" s="28" t="s">
        <v>4116</v>
      </c>
      <c r="B1544" s="22"/>
      <c r="C1544" s="102"/>
      <c r="D1544" s="22" t="s">
        <v>2455</v>
      </c>
      <c r="E1544" s="1071">
        <v>1</v>
      </c>
      <c r="F1544" s="954">
        <v>180</v>
      </c>
      <c r="G1544" s="1072" t="s">
        <v>4117</v>
      </c>
      <c r="H1544" s="33"/>
      <c r="I1544" s="139"/>
      <c r="J1544" s="39">
        <f>M1544/0.88/90</f>
        <v>101.010101010101</v>
      </c>
      <c r="K1544" s="39">
        <v>101.01</v>
      </c>
      <c r="L1544" s="21"/>
      <c r="M1544" s="7">
        <v>8000</v>
      </c>
      <c r="N1544" s="7">
        <f t="shared" si="6"/>
        <v>8000</v>
      </c>
    </row>
    <row r="1545" spans="1:14" ht="15">
      <c r="A1545" s="28" t="s">
        <v>4116</v>
      </c>
      <c r="B1545" s="22"/>
      <c r="C1545" s="102"/>
      <c r="D1545" s="22" t="s">
        <v>2456</v>
      </c>
      <c r="E1545" s="1071">
        <v>1</v>
      </c>
      <c r="F1545" s="954">
        <v>0</v>
      </c>
      <c r="G1545" s="1072" t="s">
        <v>4118</v>
      </c>
      <c r="H1545" s="33"/>
      <c r="I1545" s="139"/>
      <c r="J1545" s="39">
        <f>ROUNDUP(M1545/0.88/90,2)</f>
        <v>50.51</v>
      </c>
      <c r="K1545" s="39">
        <v>50.51</v>
      </c>
      <c r="L1545" s="21"/>
      <c r="M1545" s="7">
        <v>4000</v>
      </c>
      <c r="N1545" s="7">
        <f t="shared" si="6"/>
        <v>4000</v>
      </c>
    </row>
    <row r="1546" spans="1:14" ht="15">
      <c r="A1546" s="28" t="s">
        <v>4116</v>
      </c>
      <c r="B1546" s="49"/>
      <c r="C1546" s="37"/>
      <c r="D1546" s="37" t="s">
        <v>14</v>
      </c>
      <c r="E1546" s="38">
        <v>1</v>
      </c>
      <c r="F1546" s="39">
        <v>12</v>
      </c>
      <c r="G1546" s="14">
        <v>1100</v>
      </c>
      <c r="H1546" s="33"/>
      <c r="I1546" s="139"/>
      <c r="J1546" s="6"/>
      <c r="K1546" s="39">
        <v>12</v>
      </c>
      <c r="L1546" s="21"/>
      <c r="M1546" s="7">
        <v>1100</v>
      </c>
      <c r="N1546" s="7">
        <f t="shared" si="6"/>
        <v>1100</v>
      </c>
    </row>
    <row r="1551" spans="1:14" ht="15">
      <c r="A1551" s="113" t="s">
        <v>46</v>
      </c>
      <c r="B1551" s="113" t="s">
        <v>112</v>
      </c>
      <c r="C1551" s="113" t="s">
        <v>4119</v>
      </c>
      <c r="D1551" s="113" t="s">
        <v>50</v>
      </c>
      <c r="E1551" s="83" t="s">
        <v>37</v>
      </c>
    </row>
    <row r="1552" spans="1:14" ht="15">
      <c r="A1552" s="22">
        <v>3808</v>
      </c>
      <c r="B1552" s="37">
        <v>9</v>
      </c>
      <c r="C1552" s="37" t="s">
        <v>1954</v>
      </c>
      <c r="D1552" s="8">
        <v>150</v>
      </c>
    </row>
    <row r="1553" spans="1:9" ht="15">
      <c r="A1553" s="22">
        <v>3808</v>
      </c>
      <c r="B1553" s="37">
        <v>9</v>
      </c>
      <c r="C1553" s="37" t="s">
        <v>1952</v>
      </c>
      <c r="D1553" s="8">
        <v>50</v>
      </c>
    </row>
    <row r="1554" spans="1:9" ht="15">
      <c r="A1554" s="22">
        <v>3808</v>
      </c>
      <c r="B1554" s="37">
        <v>9</v>
      </c>
      <c r="C1554" s="37" t="s">
        <v>2414</v>
      </c>
      <c r="D1554" s="8">
        <v>100</v>
      </c>
    </row>
    <row r="1555" spans="1:9" ht="15">
      <c r="A1555" s="22">
        <v>3808</v>
      </c>
      <c r="B1555" s="37">
        <v>9</v>
      </c>
      <c r="C1555" s="37" t="s">
        <v>1953</v>
      </c>
      <c r="D1555" s="8">
        <v>50</v>
      </c>
    </row>
    <row r="1558" spans="1:9" ht="15.75">
      <c r="A1558" s="77" t="s">
        <v>81</v>
      </c>
      <c r="B1558" s="77" t="s">
        <v>4014</v>
      </c>
      <c r="C1558" s="77" t="s">
        <v>240</v>
      </c>
      <c r="D1558" s="83" t="s">
        <v>258</v>
      </c>
      <c r="E1558" s="83" t="s">
        <v>37</v>
      </c>
      <c r="F1558" s="85" t="s">
        <v>4070</v>
      </c>
      <c r="G1558" s="85" t="s">
        <v>4120</v>
      </c>
      <c r="H1558" s="1069" t="s">
        <v>4111</v>
      </c>
    </row>
    <row r="1559" spans="1:9" ht="15">
      <c r="A1559" s="28" t="s">
        <v>2441</v>
      </c>
      <c r="B1559" s="19" t="s">
        <v>2444</v>
      </c>
      <c r="C1559" s="112">
        <v>140</v>
      </c>
      <c r="D1559" s="165" t="s">
        <v>2445</v>
      </c>
      <c r="E1559" s="166">
        <v>345</v>
      </c>
      <c r="F1559" s="39">
        <v>2.58</v>
      </c>
      <c r="G1559" s="160" t="s">
        <v>4121</v>
      </c>
      <c r="H1559" s="14">
        <v>131.6</v>
      </c>
      <c r="I1559" s="7">
        <f t="shared" ref="I1559:I1565" si="7">H1559*E1559</f>
        <v>45402</v>
      </c>
    </row>
    <row r="1560" spans="1:9" ht="15">
      <c r="A1560" s="28" t="s">
        <v>2441</v>
      </c>
      <c r="B1560" s="19" t="s">
        <v>2444</v>
      </c>
      <c r="C1560" s="112">
        <v>140</v>
      </c>
      <c r="D1560" s="165" t="s">
        <v>2446</v>
      </c>
      <c r="E1560" s="166">
        <v>105</v>
      </c>
      <c r="F1560" s="39">
        <v>2.5499999999999998</v>
      </c>
      <c r="G1560" s="160" t="s">
        <v>4121</v>
      </c>
      <c r="H1560" s="14">
        <v>129.80000000000001</v>
      </c>
      <c r="I1560" s="7">
        <f t="shared" si="7"/>
        <v>13629.000000000002</v>
      </c>
    </row>
    <row r="1561" spans="1:9" ht="15">
      <c r="A1561" s="28" t="s">
        <v>2441</v>
      </c>
      <c r="B1561" s="19" t="s">
        <v>2444</v>
      </c>
      <c r="C1561" s="112">
        <v>140</v>
      </c>
      <c r="D1561" s="165" t="s">
        <v>2447</v>
      </c>
      <c r="E1561" s="166">
        <v>610</v>
      </c>
      <c r="F1561" s="39">
        <v>2.37</v>
      </c>
      <c r="G1561" s="160" t="s">
        <v>4121</v>
      </c>
      <c r="H1561" s="14">
        <v>120.8</v>
      </c>
      <c r="I1561" s="7">
        <f t="shared" si="7"/>
        <v>73688</v>
      </c>
    </row>
    <row r="1562" spans="1:9" ht="15">
      <c r="A1562" s="28" t="s">
        <v>2441</v>
      </c>
      <c r="B1562" s="19" t="s">
        <v>2444</v>
      </c>
      <c r="C1562" s="112">
        <v>140</v>
      </c>
      <c r="D1562" s="165" t="s">
        <v>2448</v>
      </c>
      <c r="E1562" s="166">
        <v>170</v>
      </c>
      <c r="F1562" s="39">
        <v>2.76</v>
      </c>
      <c r="G1562" s="160" t="s">
        <v>4121</v>
      </c>
      <c r="H1562" s="14">
        <v>140.6</v>
      </c>
      <c r="I1562" s="7">
        <f t="shared" si="7"/>
        <v>23902</v>
      </c>
    </row>
    <row r="1563" spans="1:9" ht="15">
      <c r="A1563" s="28" t="s">
        <v>2441</v>
      </c>
      <c r="B1563" s="22"/>
      <c r="C1563" s="102"/>
      <c r="D1563" s="22" t="s">
        <v>2449</v>
      </c>
      <c r="E1563" s="38">
        <v>2</v>
      </c>
      <c r="F1563" s="39">
        <v>180</v>
      </c>
      <c r="G1563" s="160" t="s">
        <v>4121</v>
      </c>
      <c r="H1563" s="14">
        <v>8000</v>
      </c>
      <c r="I1563" s="7">
        <f t="shared" si="7"/>
        <v>16000</v>
      </c>
    </row>
    <row r="1564" spans="1:9" ht="15.75">
      <c r="A1564" s="28" t="s">
        <v>2441</v>
      </c>
      <c r="B1564" s="22"/>
      <c r="C1564" s="102"/>
      <c r="D1564" s="22" t="s">
        <v>2450</v>
      </c>
      <c r="E1564" s="38">
        <v>2</v>
      </c>
      <c r="F1564" s="1073" t="s">
        <v>4122</v>
      </c>
      <c r="G1564" s="160" t="s">
        <v>4121</v>
      </c>
      <c r="H1564" s="14">
        <v>4000</v>
      </c>
      <c r="I1564" s="7">
        <f t="shared" si="7"/>
        <v>8000</v>
      </c>
    </row>
    <row r="1565" spans="1:9" ht="15">
      <c r="A1565" s="28" t="s">
        <v>2441</v>
      </c>
      <c r="B1565" s="22"/>
      <c r="C1565" s="37"/>
      <c r="D1565" s="37" t="s">
        <v>14</v>
      </c>
      <c r="E1565" s="38">
        <v>1</v>
      </c>
      <c r="F1565" s="39">
        <v>12</v>
      </c>
      <c r="G1565" s="160" t="s">
        <v>4121</v>
      </c>
      <c r="H1565" s="14">
        <v>1100</v>
      </c>
      <c r="I1565" s="7">
        <f t="shared" si="7"/>
        <v>1100</v>
      </c>
    </row>
    <row r="1566" spans="1:9" ht="15">
      <c r="A1566" s="338" t="s">
        <v>2441</v>
      </c>
      <c r="B1566" s="217"/>
      <c r="C1566" s="622"/>
      <c r="D1566" s="182" t="s">
        <v>250</v>
      </c>
      <c r="E1566" s="183"/>
      <c r="F1566" s="192">
        <v>0</v>
      </c>
      <c r="G1566" s="187"/>
      <c r="H1566" s="809">
        <v>0</v>
      </c>
      <c r="I1566" s="198">
        <v>0</v>
      </c>
    </row>
    <row r="1567" spans="1:9" ht="15.75">
      <c r="A1567" s="77" t="s">
        <v>81</v>
      </c>
      <c r="B1567" s="77" t="s">
        <v>4014</v>
      </c>
      <c r="C1567" s="77" t="s">
        <v>240</v>
      </c>
      <c r="D1567" s="83" t="s">
        <v>258</v>
      </c>
      <c r="E1567" s="83" t="s">
        <v>37</v>
      </c>
      <c r="F1567" s="85" t="s">
        <v>4070</v>
      </c>
      <c r="G1567" s="85" t="s">
        <v>4120</v>
      </c>
      <c r="H1567" s="1069" t="s">
        <v>4111</v>
      </c>
    </row>
    <row r="1568" spans="1:9" ht="15">
      <c r="A1568" s="28" t="s">
        <v>2452</v>
      </c>
      <c r="B1568" s="19" t="s">
        <v>2444</v>
      </c>
      <c r="C1568" s="112">
        <v>170</v>
      </c>
      <c r="D1568" s="780" t="s">
        <v>2454</v>
      </c>
      <c r="E1568" s="166">
        <v>110</v>
      </c>
      <c r="F1568" s="39">
        <v>2.74</v>
      </c>
      <c r="G1568" s="160" t="s">
        <v>4121</v>
      </c>
      <c r="H1568" s="14">
        <v>139.6</v>
      </c>
      <c r="I1568" s="7">
        <f t="shared" ref="I1568:I1577" si="8">H1568*E1568</f>
        <v>15356</v>
      </c>
    </row>
    <row r="1569" spans="1:9" ht="15">
      <c r="A1569" s="28" t="s">
        <v>2452</v>
      </c>
      <c r="B1569" s="19" t="s">
        <v>2444</v>
      </c>
      <c r="C1569" s="112">
        <v>170</v>
      </c>
      <c r="D1569" s="165" t="s">
        <v>2447</v>
      </c>
      <c r="E1569" s="166">
        <v>120</v>
      </c>
      <c r="F1569" s="39">
        <v>2.48</v>
      </c>
      <c r="G1569" s="160" t="s">
        <v>4121</v>
      </c>
      <c r="H1569" s="14">
        <v>126.5</v>
      </c>
      <c r="I1569" s="7">
        <f t="shared" si="8"/>
        <v>15180</v>
      </c>
    </row>
    <row r="1570" spans="1:9" ht="15">
      <c r="A1570" s="28" t="s">
        <v>2452</v>
      </c>
      <c r="B1570" s="19" t="s">
        <v>2444</v>
      </c>
      <c r="C1570" s="112">
        <v>120</v>
      </c>
      <c r="D1570" s="780" t="s">
        <v>2454</v>
      </c>
      <c r="E1570" s="166">
        <v>140</v>
      </c>
      <c r="F1570" s="39">
        <v>2.48</v>
      </c>
      <c r="G1570" s="160" t="s">
        <v>4121</v>
      </c>
      <c r="H1570" s="14">
        <v>126.2</v>
      </c>
      <c r="I1570" s="7">
        <f t="shared" si="8"/>
        <v>17668</v>
      </c>
    </row>
    <row r="1571" spans="1:9" ht="15">
      <c r="A1571" s="28" t="s">
        <v>2452</v>
      </c>
      <c r="B1571" s="19" t="s">
        <v>2444</v>
      </c>
      <c r="C1571" s="112">
        <v>120</v>
      </c>
      <c r="D1571" s="165" t="s">
        <v>2447</v>
      </c>
      <c r="E1571" s="166">
        <v>290</v>
      </c>
      <c r="F1571" s="39">
        <v>2.2999999999999998</v>
      </c>
      <c r="G1571" s="160" t="s">
        <v>4121</v>
      </c>
      <c r="H1571" s="14">
        <v>117</v>
      </c>
      <c r="I1571" s="7">
        <f t="shared" si="8"/>
        <v>33930</v>
      </c>
    </row>
    <row r="1572" spans="1:9" ht="15">
      <c r="A1572" s="28" t="s">
        <v>2452</v>
      </c>
      <c r="B1572" s="19" t="s">
        <v>2444</v>
      </c>
      <c r="C1572" s="112">
        <v>200</v>
      </c>
      <c r="D1572" s="780" t="s">
        <v>2454</v>
      </c>
      <c r="E1572" s="166">
        <v>190</v>
      </c>
      <c r="F1572" s="39">
        <v>2.9</v>
      </c>
      <c r="G1572" s="160" t="s">
        <v>4121</v>
      </c>
      <c r="H1572" s="14">
        <v>147.6</v>
      </c>
      <c r="I1572" s="7">
        <f t="shared" si="8"/>
        <v>28044</v>
      </c>
    </row>
    <row r="1573" spans="1:9" ht="15">
      <c r="A1573" s="28" t="s">
        <v>2452</v>
      </c>
      <c r="B1573" s="19" t="s">
        <v>2444</v>
      </c>
      <c r="C1573" s="112">
        <v>200</v>
      </c>
      <c r="D1573" s="165" t="s">
        <v>2447</v>
      </c>
      <c r="E1573" s="166">
        <v>240</v>
      </c>
      <c r="F1573" s="39">
        <v>2.6</v>
      </c>
      <c r="G1573" s="160" t="s">
        <v>4121</v>
      </c>
      <c r="H1573" s="14">
        <v>132.19999999999999</v>
      </c>
      <c r="I1573" s="7">
        <f t="shared" si="8"/>
        <v>31727.999999999996</v>
      </c>
    </row>
    <row r="1574" spans="1:9" ht="15">
      <c r="A1574" s="28" t="s">
        <v>2452</v>
      </c>
      <c r="B1574" s="22"/>
      <c r="C1574" s="102"/>
      <c r="D1574" s="22" t="s">
        <v>2455</v>
      </c>
      <c r="E1574" s="38">
        <v>1</v>
      </c>
      <c r="F1574" s="39">
        <v>180</v>
      </c>
      <c r="G1574" s="160" t="s">
        <v>4121</v>
      </c>
      <c r="H1574" s="14">
        <v>8000</v>
      </c>
      <c r="I1574" s="7">
        <f t="shared" si="8"/>
        <v>8000</v>
      </c>
    </row>
    <row r="1575" spans="1:9" ht="15.75">
      <c r="A1575" s="28" t="s">
        <v>2452</v>
      </c>
      <c r="B1575" s="22"/>
      <c r="C1575" s="102"/>
      <c r="D1575" s="22" t="s">
        <v>2456</v>
      </c>
      <c r="E1575" s="38">
        <v>1</v>
      </c>
      <c r="F1575" s="1073" t="s">
        <v>4123</v>
      </c>
      <c r="G1575" s="160" t="s">
        <v>4121</v>
      </c>
      <c r="H1575" s="14">
        <v>4000</v>
      </c>
      <c r="I1575" s="7">
        <f t="shared" si="8"/>
        <v>4000</v>
      </c>
    </row>
    <row r="1576" spans="1:9" ht="15">
      <c r="A1576" s="28" t="s">
        <v>2452</v>
      </c>
      <c r="B1576" s="22"/>
      <c r="C1576" s="102"/>
      <c r="D1576" s="22" t="s">
        <v>2456</v>
      </c>
      <c r="E1576" s="38">
        <v>2</v>
      </c>
      <c r="F1576" s="39">
        <v>80</v>
      </c>
      <c r="G1576" s="160" t="s">
        <v>4121</v>
      </c>
      <c r="H1576" s="14">
        <v>0</v>
      </c>
      <c r="I1576" s="7">
        <f>H1576*E1576</f>
        <v>0</v>
      </c>
    </row>
    <row r="1577" spans="1:9" ht="15">
      <c r="A1577" s="28" t="s">
        <v>2452</v>
      </c>
      <c r="B1577" s="22"/>
      <c r="C1577" s="37"/>
      <c r="D1577" s="37" t="s">
        <v>14</v>
      </c>
      <c r="E1577" s="38">
        <v>1</v>
      </c>
      <c r="F1577" s="39">
        <v>12</v>
      </c>
      <c r="G1577" s="160" t="s">
        <v>4121</v>
      </c>
      <c r="H1577" s="14">
        <v>1100</v>
      </c>
      <c r="I1577" s="7">
        <f t="shared" si="8"/>
        <v>1100</v>
      </c>
    </row>
    <row r="1580" spans="1:9" ht="15.75">
      <c r="A1580" s="77" t="s">
        <v>4014</v>
      </c>
      <c r="B1580" s="84" t="s">
        <v>36</v>
      </c>
      <c r="C1580" s="84" t="s">
        <v>37</v>
      </c>
      <c r="D1580" s="108"/>
      <c r="E1580" s="109"/>
    </row>
    <row r="1581" spans="1:9" ht="15">
      <c r="A1581" s="22" t="s">
        <v>207</v>
      </c>
      <c r="B1581" s="22" t="s">
        <v>2465</v>
      </c>
      <c r="C1581" s="8">
        <v>50</v>
      </c>
      <c r="D1581" s="108">
        <v>50</v>
      </c>
      <c r="E1581" s="109">
        <v>1</v>
      </c>
    </row>
    <row r="1582" spans="1:9" ht="15">
      <c r="A1582" s="22" t="s">
        <v>207</v>
      </c>
      <c r="B1582" s="22" t="s">
        <v>122</v>
      </c>
      <c r="C1582" s="8">
        <v>50</v>
      </c>
      <c r="D1582" s="108">
        <v>50</v>
      </c>
      <c r="E1582" s="109">
        <v>1</v>
      </c>
    </row>
    <row r="1586" spans="1:11" ht="15.75">
      <c r="A1586" s="77" t="s">
        <v>4014</v>
      </c>
      <c r="B1586" s="84" t="s">
        <v>36</v>
      </c>
      <c r="C1586" s="84" t="s">
        <v>37</v>
      </c>
      <c r="D1586" s="84" t="s">
        <v>4082</v>
      </c>
      <c r="E1586" s="32"/>
      <c r="F1586" s="33"/>
      <c r="G1586" s="139"/>
      <c r="H1586" s="14"/>
      <c r="I1586" s="39"/>
      <c r="J1586" s="14"/>
      <c r="K1586" s="7"/>
    </row>
    <row r="1587" spans="1:11" ht="15">
      <c r="A1587" s="22" t="s">
        <v>2467</v>
      </c>
      <c r="B1587" s="22" t="s">
        <v>100</v>
      </c>
      <c r="C1587" s="131">
        <v>27.4</v>
      </c>
      <c r="D1587" s="14">
        <v>98</v>
      </c>
      <c r="E1587" s="32"/>
      <c r="F1587" s="33"/>
      <c r="G1587" s="139"/>
      <c r="H1587" s="39">
        <f>ROUNDUP(K1587/0.7/90,2)</f>
        <v>1.56</v>
      </c>
      <c r="I1587" s="39">
        <v>1.56</v>
      </c>
      <c r="J1587" s="21"/>
      <c r="K1587" s="7">
        <v>98</v>
      </c>
    </row>
    <row r="1588" spans="1:11" ht="15">
      <c r="A1588" s="22" t="s">
        <v>2468</v>
      </c>
      <c r="B1588" s="22" t="s">
        <v>100</v>
      </c>
      <c r="C1588" s="131">
        <v>27.4</v>
      </c>
      <c r="D1588" s="14">
        <v>64</v>
      </c>
      <c r="E1588" s="32"/>
      <c r="F1588" s="33"/>
      <c r="G1588" s="139"/>
      <c r="H1588" s="39">
        <f>ROUNDUP(K1588/0.7/90,2)</f>
        <v>1.02</v>
      </c>
      <c r="I1588" s="39">
        <v>1.02</v>
      </c>
      <c r="J1588" s="21"/>
      <c r="K1588" s="7">
        <v>64</v>
      </c>
    </row>
    <row r="1591" spans="1:11" ht="15.75">
      <c r="A1591" s="113" t="s">
        <v>46</v>
      </c>
      <c r="B1591" s="113" t="s">
        <v>112</v>
      </c>
      <c r="C1591" s="103" t="s">
        <v>4124</v>
      </c>
      <c r="D1591" s="113" t="s">
        <v>113</v>
      </c>
      <c r="E1591" s="113" t="s">
        <v>347</v>
      </c>
      <c r="F1591" s="113" t="s">
        <v>348</v>
      </c>
    </row>
    <row r="1592" spans="1:11" ht="15">
      <c r="A1592" s="22" t="s">
        <v>4125</v>
      </c>
      <c r="B1592" s="37">
        <v>39</v>
      </c>
      <c r="C1592" s="781" t="s">
        <v>2300</v>
      </c>
      <c r="D1592" s="108">
        <v>50</v>
      </c>
      <c r="E1592" s="109">
        <v>44</v>
      </c>
      <c r="F1592" s="8">
        <f>D1592*E1592</f>
        <v>2200</v>
      </c>
    </row>
    <row r="1595" spans="1:11" ht="15">
      <c r="B1595" s="108">
        <v>50</v>
      </c>
      <c r="C1595" s="109">
        <v>44</v>
      </c>
      <c r="D1595" s="8">
        <f>B1595*C1595</f>
        <v>2200</v>
      </c>
    </row>
    <row r="1598" spans="1:11" ht="14.25">
      <c r="A1598" s="113" t="s">
        <v>46</v>
      </c>
      <c r="B1598" s="1074" t="s">
        <v>234</v>
      </c>
      <c r="C1598" s="1074" t="s">
        <v>50</v>
      </c>
    </row>
    <row r="1599" spans="1:11" ht="15">
      <c r="A1599" s="22" t="s">
        <v>239</v>
      </c>
      <c r="B1599" s="22" t="s">
        <v>2396</v>
      </c>
      <c r="C1599" s="108">
        <v>3</v>
      </c>
    </row>
    <row r="1602" spans="1:6" ht="14.25">
      <c r="A1602" s="113" t="s">
        <v>46</v>
      </c>
      <c r="B1602" s="1074" t="s">
        <v>234</v>
      </c>
      <c r="C1602" s="1074" t="s">
        <v>50</v>
      </c>
      <c r="D1602" s="1074" t="s">
        <v>201</v>
      </c>
    </row>
    <row r="1603" spans="1:6" ht="15">
      <c r="A1603" s="22" t="s">
        <v>2488</v>
      </c>
      <c r="B1603" s="37" t="s">
        <v>120</v>
      </c>
      <c r="C1603" s="108">
        <v>6</v>
      </c>
      <c r="D1603" s="811" t="s">
        <v>4126</v>
      </c>
    </row>
    <row r="1604" spans="1:6" ht="15">
      <c r="A1604" s="22" t="s">
        <v>2489</v>
      </c>
      <c r="B1604" s="37" t="s">
        <v>58</v>
      </c>
      <c r="C1604" s="108">
        <v>15</v>
      </c>
      <c r="D1604" s="811" t="s">
        <v>4127</v>
      </c>
    </row>
    <row r="1607" spans="1:6" ht="14.25">
      <c r="A1607" s="113" t="s">
        <v>46</v>
      </c>
      <c r="B1607" s="1074" t="s">
        <v>234</v>
      </c>
      <c r="C1607" s="1074" t="s">
        <v>50</v>
      </c>
      <c r="D1607" s="1074" t="s">
        <v>201</v>
      </c>
    </row>
    <row r="1608" spans="1:6" ht="15">
      <c r="A1608" s="22" t="s">
        <v>2359</v>
      </c>
      <c r="B1608" s="37" t="s">
        <v>120</v>
      </c>
      <c r="C1608" s="131">
        <v>27.4</v>
      </c>
      <c r="D1608" s="811" t="s">
        <v>4128</v>
      </c>
    </row>
    <row r="1612" spans="1:6" ht="15">
      <c r="A1612" s="113" t="s">
        <v>46</v>
      </c>
      <c r="B1612" s="113" t="s">
        <v>233</v>
      </c>
      <c r="C1612" s="113" t="s">
        <v>234</v>
      </c>
      <c r="D1612" s="1074" t="s">
        <v>50</v>
      </c>
      <c r="E1612" s="1074" t="s">
        <v>4129</v>
      </c>
      <c r="F1612" s="7"/>
    </row>
    <row r="1613" spans="1:6" ht="15">
      <c r="A1613" s="19" t="s">
        <v>2444</v>
      </c>
      <c r="B1613" s="112">
        <v>235</v>
      </c>
      <c r="C1613" s="780" t="s">
        <v>2454</v>
      </c>
      <c r="D1613" s="166">
        <v>40</v>
      </c>
      <c r="E1613" s="14">
        <v>167</v>
      </c>
      <c r="F1613" s="7">
        <f>E1613*D1613</f>
        <v>6680</v>
      </c>
    </row>
    <row r="1614" spans="1:6" ht="15">
      <c r="A1614" s="19" t="s">
        <v>2444</v>
      </c>
      <c r="B1614" s="112">
        <v>235</v>
      </c>
      <c r="C1614" s="165" t="s">
        <v>2447</v>
      </c>
      <c r="D1614" s="166">
        <v>70</v>
      </c>
      <c r="E1614" s="14">
        <v>148.9</v>
      </c>
      <c r="F1614" s="7">
        <f>E1614*D1614</f>
        <v>10423</v>
      </c>
    </row>
    <row r="1615" spans="1:6" ht="15">
      <c r="A1615" s="22"/>
      <c r="B1615" s="102"/>
      <c r="C1615" s="22" t="s">
        <v>4130</v>
      </c>
      <c r="D1615" s="38">
        <v>1</v>
      </c>
      <c r="E1615" s="14">
        <v>8000</v>
      </c>
      <c r="F1615" s="7">
        <f>E1615*D1615</f>
        <v>8000</v>
      </c>
    </row>
    <row r="1616" spans="1:6" ht="15">
      <c r="A1616" s="22"/>
      <c r="B1616" s="102"/>
      <c r="C1616" s="22" t="s">
        <v>4131</v>
      </c>
      <c r="D1616" s="38">
        <v>1</v>
      </c>
      <c r="E1616" s="14">
        <v>4000</v>
      </c>
      <c r="F1616" s="7">
        <f>E1616*D1616</f>
        <v>4000</v>
      </c>
    </row>
    <row r="1617" spans="1:9" ht="15">
      <c r="A1617" s="22"/>
      <c r="B1617" s="102"/>
      <c r="C1617" s="114" t="s">
        <v>4132</v>
      </c>
      <c r="D1617" s="38">
        <v>2</v>
      </c>
      <c r="E1617" s="14">
        <v>500</v>
      </c>
      <c r="F1617" s="7">
        <f>E1617*D1617</f>
        <v>1000</v>
      </c>
    </row>
    <row r="1620" spans="1:9" ht="15.75">
      <c r="A1620" s="1075" t="s">
        <v>4133</v>
      </c>
      <c r="B1620" s="84" t="s">
        <v>36</v>
      </c>
      <c r="C1620" s="103" t="s">
        <v>2</v>
      </c>
      <c r="D1620" s="103" t="s">
        <v>117</v>
      </c>
      <c r="E1620" s="103" t="s">
        <v>116</v>
      </c>
      <c r="F1620" s="77" t="s">
        <v>289</v>
      </c>
      <c r="G1620" s="77" t="s">
        <v>215</v>
      </c>
      <c r="H1620" s="113" t="s">
        <v>248</v>
      </c>
      <c r="I1620" s="113" t="s">
        <v>4134</v>
      </c>
    </row>
    <row r="1621" spans="1:9" ht="15">
      <c r="A1621" s="22" t="s">
        <v>2261</v>
      </c>
      <c r="B1621" s="37" t="s">
        <v>2616</v>
      </c>
      <c r="C1621" s="108">
        <v>13.7</v>
      </c>
      <c r="D1621" s="109">
        <v>6</v>
      </c>
      <c r="E1621" s="131">
        <f>C1621*D1621</f>
        <v>82.199999999999989</v>
      </c>
      <c r="F1621" s="39">
        <v>45.98</v>
      </c>
      <c r="G1621" s="39">
        <f>F1621*E1621</f>
        <v>3779.5559999999991</v>
      </c>
      <c r="H1621" s="14">
        <f>2800+510</f>
        <v>3310</v>
      </c>
      <c r="I1621" s="14">
        <f>H1621*E1621</f>
        <v>272081.99999999994</v>
      </c>
    </row>
    <row r="1622" spans="1:9" ht="15">
      <c r="A1622" s="181"/>
      <c r="B1622" s="182"/>
      <c r="C1622" s="184"/>
      <c r="D1622" s="185"/>
      <c r="E1622" s="183"/>
      <c r="F1622" s="192"/>
      <c r="G1622" s="188"/>
      <c r="H1622" s="1076"/>
      <c r="I1622" s="1076"/>
    </row>
    <row r="1623" spans="1:9" ht="15.75">
      <c r="A1623" s="1075" t="s">
        <v>4135</v>
      </c>
      <c r="B1623" s="84" t="s">
        <v>36</v>
      </c>
      <c r="C1623" s="103" t="s">
        <v>2</v>
      </c>
      <c r="D1623" s="103" t="s">
        <v>117</v>
      </c>
      <c r="E1623" s="103" t="s">
        <v>116</v>
      </c>
      <c r="F1623" s="77" t="s">
        <v>289</v>
      </c>
      <c r="G1623" s="77" t="s">
        <v>215</v>
      </c>
      <c r="H1623" s="113" t="s">
        <v>248</v>
      </c>
      <c r="I1623" s="113" t="s">
        <v>4134</v>
      </c>
    </row>
    <row r="1624" spans="1:9" ht="15">
      <c r="A1624" s="22" t="s">
        <v>2261</v>
      </c>
      <c r="B1624" s="37" t="s">
        <v>2616</v>
      </c>
      <c r="C1624" s="108">
        <v>13.7</v>
      </c>
      <c r="D1624" s="109">
        <v>1</v>
      </c>
      <c r="E1624" s="131">
        <f>C1624*D1624</f>
        <v>13.7</v>
      </c>
      <c r="F1624" s="39">
        <v>67.78</v>
      </c>
      <c r="G1624" s="39">
        <f>F1624*E1624</f>
        <v>928.58600000000001</v>
      </c>
      <c r="H1624" s="14">
        <f>4200+680</f>
        <v>4880</v>
      </c>
      <c r="I1624" s="14">
        <f>H1624*E1624</f>
        <v>66856</v>
      </c>
    </row>
    <row r="1625" spans="1:9" ht="15">
      <c r="A1625" s="22" t="s">
        <v>2261</v>
      </c>
      <c r="B1625" s="37" t="s">
        <v>2616</v>
      </c>
      <c r="C1625" s="108">
        <v>13.7</v>
      </c>
      <c r="D1625" s="109">
        <v>4</v>
      </c>
      <c r="E1625" s="131">
        <f>C1625*D1625</f>
        <v>54.8</v>
      </c>
      <c r="F1625" s="39">
        <v>48.34</v>
      </c>
      <c r="G1625" s="39">
        <f>F1625*E1625</f>
        <v>2649.0320000000002</v>
      </c>
      <c r="H1625" s="14">
        <f>2800+680</f>
        <v>3480</v>
      </c>
      <c r="I1625" s="14">
        <f>H1625*E1625</f>
        <v>190704</v>
      </c>
    </row>
    <row r="1629" spans="1:9" ht="15">
      <c r="A1629" s="22" t="s">
        <v>314</v>
      </c>
      <c r="B1629" s="22" t="s">
        <v>2619</v>
      </c>
      <c r="C1629" s="8">
        <v>3</v>
      </c>
    </row>
    <row r="1630" spans="1:9" ht="15">
      <c r="A1630" s="22" t="s">
        <v>314</v>
      </c>
      <c r="B1630" s="22" t="s">
        <v>2536</v>
      </c>
      <c r="C1630" s="8">
        <v>3</v>
      </c>
    </row>
    <row r="1631" spans="1:9" ht="15">
      <c r="A1631" s="22" t="s">
        <v>314</v>
      </c>
      <c r="B1631" s="22" t="s">
        <v>2620</v>
      </c>
      <c r="C1631" s="8">
        <v>3</v>
      </c>
    </row>
    <row r="1632" spans="1:9" ht="15">
      <c r="A1632" s="22" t="s">
        <v>314</v>
      </c>
      <c r="B1632" s="22" t="s">
        <v>2621</v>
      </c>
      <c r="C1632" s="8">
        <v>5</v>
      </c>
    </row>
    <row r="1633" spans="1:6" ht="15">
      <c r="A1633" s="22">
        <v>5600</v>
      </c>
      <c r="B1633" s="22" t="s">
        <v>2619</v>
      </c>
      <c r="C1633" s="8">
        <v>3</v>
      </c>
    </row>
    <row r="1634" spans="1:6" ht="15">
      <c r="A1634" s="22">
        <v>5600</v>
      </c>
      <c r="B1634" s="22" t="s">
        <v>2622</v>
      </c>
      <c r="C1634" s="8">
        <v>3</v>
      </c>
    </row>
    <row r="1635" spans="1:6" ht="15">
      <c r="A1635" s="22">
        <v>5600</v>
      </c>
      <c r="B1635" s="22" t="s">
        <v>2623</v>
      </c>
      <c r="C1635" s="8">
        <v>3</v>
      </c>
    </row>
    <row r="1636" spans="1:6" ht="15">
      <c r="A1636" s="22">
        <v>5600</v>
      </c>
      <c r="B1636" s="22" t="s">
        <v>2624</v>
      </c>
      <c r="C1636" s="8">
        <v>5</v>
      </c>
    </row>
    <row r="1638" spans="1:6" ht="15">
      <c r="A1638" s="82">
        <v>3808</v>
      </c>
      <c r="B1638" s="37">
        <v>9</v>
      </c>
      <c r="C1638" s="812" t="s">
        <v>2557</v>
      </c>
      <c r="D1638" s="108">
        <v>50</v>
      </c>
      <c r="E1638" s="814">
        <v>3</v>
      </c>
      <c r="F1638" s="60">
        <f>D1638*E1638</f>
        <v>150</v>
      </c>
    </row>
    <row r="1639" spans="1:6" ht="15">
      <c r="A1639" s="82">
        <v>3808</v>
      </c>
      <c r="B1639" s="37">
        <v>9</v>
      </c>
      <c r="C1639" s="812" t="s">
        <v>2556</v>
      </c>
      <c r="D1639" s="108">
        <v>50</v>
      </c>
      <c r="E1639" s="814">
        <v>4</v>
      </c>
      <c r="F1639" s="60">
        <f>D1639*E1639</f>
        <v>200</v>
      </c>
    </row>
    <row r="1640" spans="1:6" ht="15">
      <c r="A1640" s="82">
        <v>3808</v>
      </c>
      <c r="B1640" s="37">
        <v>9</v>
      </c>
      <c r="C1640" s="37" t="s">
        <v>2630</v>
      </c>
      <c r="D1640" s="108">
        <v>50</v>
      </c>
      <c r="E1640" s="814">
        <v>2</v>
      </c>
      <c r="F1640" s="60">
        <f>D1640*E1640</f>
        <v>100</v>
      </c>
    </row>
    <row r="1641" spans="1:6" ht="15">
      <c r="A1641" s="82">
        <v>3808</v>
      </c>
      <c r="B1641" s="37">
        <v>9</v>
      </c>
      <c r="C1641" s="812" t="s">
        <v>184</v>
      </c>
      <c r="D1641" s="108">
        <v>50</v>
      </c>
      <c r="E1641" s="814">
        <v>1</v>
      </c>
      <c r="F1641" s="60">
        <f>D1641*E1641</f>
        <v>50</v>
      </c>
    </row>
    <row r="1644" spans="1:6">
      <c r="A1644" s="219"/>
    </row>
    <row r="1645" spans="1:6" ht="15.75" thickBot="1">
      <c r="A1645" s="1077">
        <v>20211206</v>
      </c>
    </row>
    <row r="1646" spans="1:6" ht="16.5" thickBot="1">
      <c r="A1646" s="1078" t="s">
        <v>4014</v>
      </c>
      <c r="B1646" s="1079" t="s">
        <v>375</v>
      </c>
      <c r="C1646" s="1080" t="s">
        <v>4136</v>
      </c>
      <c r="D1646" s="1081" t="s">
        <v>4137</v>
      </c>
      <c r="E1646" s="1082" t="s">
        <v>4138</v>
      </c>
      <c r="F1646" s="1079" t="s">
        <v>4139</v>
      </c>
    </row>
    <row r="1647" spans="1:6" ht="15.75" thickBot="1">
      <c r="A1647" s="699" t="s">
        <v>2742</v>
      </c>
      <c r="B1647" s="177" t="s">
        <v>4140</v>
      </c>
      <c r="C1647" s="177" t="s">
        <v>58</v>
      </c>
      <c r="D1647" s="1083" t="s">
        <v>4141</v>
      </c>
      <c r="E1647" s="177" t="s">
        <v>4142</v>
      </c>
      <c r="F1647" s="1084">
        <v>1.34</v>
      </c>
    </row>
    <row r="1648" spans="1:6">
      <c r="A1648" s="330"/>
    </row>
    <row r="1651" spans="1:6" ht="14.25" thickBot="1"/>
    <row r="1652" spans="1:6" ht="15.75" thickBot="1">
      <c r="A1652" s="1078" t="s">
        <v>4014</v>
      </c>
      <c r="B1652" s="1078" t="s">
        <v>99</v>
      </c>
      <c r="C1652" s="1078" t="s">
        <v>37</v>
      </c>
      <c r="D1652" s="1079" t="s">
        <v>4139</v>
      </c>
    </row>
    <row r="1653" spans="1:6" ht="15">
      <c r="A1653" s="22" t="s">
        <v>2742</v>
      </c>
      <c r="B1653" s="37" t="s">
        <v>120</v>
      </c>
      <c r="C1653" s="8">
        <v>50</v>
      </c>
      <c r="D1653" s="39">
        <v>1.34</v>
      </c>
    </row>
    <row r="1654" spans="1:6" ht="15">
      <c r="A1654" s="22" t="s">
        <v>2742</v>
      </c>
      <c r="B1654" s="37" t="s">
        <v>2744</v>
      </c>
      <c r="C1654" s="8">
        <v>50</v>
      </c>
      <c r="D1654" s="39">
        <v>1.34</v>
      </c>
    </row>
    <row r="1655" spans="1:6" ht="15">
      <c r="A1655" s="22" t="s">
        <v>2742</v>
      </c>
      <c r="B1655" s="37" t="s">
        <v>2745</v>
      </c>
      <c r="C1655" s="8">
        <v>50</v>
      </c>
      <c r="D1655" s="39">
        <v>1.34</v>
      </c>
    </row>
    <row r="1656" spans="1:6" ht="15">
      <c r="A1656" s="22"/>
      <c r="B1656" s="22" t="s">
        <v>204</v>
      </c>
      <c r="C1656" s="38" t="s">
        <v>4143</v>
      </c>
      <c r="D1656" s="39">
        <v>375</v>
      </c>
    </row>
    <row r="1657" spans="1:6" ht="15">
      <c r="A1657" s="22"/>
      <c r="B1657" s="22" t="s">
        <v>363</v>
      </c>
      <c r="C1657" s="38">
        <v>1</v>
      </c>
      <c r="D1657" s="39">
        <v>12</v>
      </c>
    </row>
    <row r="1660" spans="1:6" ht="14.25" thickBot="1"/>
    <row r="1661" spans="1:6" ht="15.75" thickBot="1">
      <c r="A1661" s="1078" t="s">
        <v>81</v>
      </c>
      <c r="B1661" s="1078" t="s">
        <v>4014</v>
      </c>
      <c r="C1661" s="1078" t="s">
        <v>99</v>
      </c>
      <c r="D1661" s="1078" t="s">
        <v>37</v>
      </c>
      <c r="E1661" s="1078" t="s">
        <v>360</v>
      </c>
      <c r="F1661" s="1078" t="s">
        <v>4144</v>
      </c>
    </row>
    <row r="1662" spans="1:6" ht="15">
      <c r="A1662" s="6" t="s">
        <v>4145</v>
      </c>
      <c r="B1662" s="22" t="s">
        <v>314</v>
      </c>
      <c r="C1662" s="22" t="s">
        <v>353</v>
      </c>
      <c r="D1662" s="8">
        <v>20</v>
      </c>
      <c r="E1662" s="22" t="s">
        <v>4146</v>
      </c>
      <c r="F1662" s="1858" t="s">
        <v>4147</v>
      </c>
    </row>
    <row r="1663" spans="1:6" ht="15">
      <c r="A1663" s="6" t="s">
        <v>4148</v>
      </c>
      <c r="B1663" s="22" t="s">
        <v>314</v>
      </c>
      <c r="C1663" s="22" t="s">
        <v>208</v>
      </c>
      <c r="D1663" s="8">
        <v>25</v>
      </c>
      <c r="E1663" s="22" t="s">
        <v>4149</v>
      </c>
      <c r="F1663" s="1859"/>
    </row>
    <row r="1664" spans="1:6" ht="15">
      <c r="A1664" s="6" t="s">
        <v>4150</v>
      </c>
      <c r="B1664" s="22" t="s">
        <v>7</v>
      </c>
      <c r="C1664" s="22" t="s">
        <v>2859</v>
      </c>
      <c r="D1664" s="8">
        <v>30</v>
      </c>
      <c r="E1664" s="22" t="s">
        <v>4151</v>
      </c>
      <c r="F1664" s="1860"/>
    </row>
    <row r="1665" spans="1:120" ht="14.25" thickBot="1"/>
    <row r="1666" spans="1:120" ht="15.75" thickBot="1">
      <c r="A1666" s="1078" t="s">
        <v>4014</v>
      </c>
      <c r="B1666" s="1078" t="s">
        <v>99</v>
      </c>
      <c r="C1666" s="1078" t="s">
        <v>37</v>
      </c>
      <c r="D1666" s="1085" t="s">
        <v>362</v>
      </c>
    </row>
    <row r="1667" spans="1:120" ht="15">
      <c r="A1667" s="22" t="s">
        <v>314</v>
      </c>
      <c r="B1667" s="22" t="s">
        <v>2664</v>
      </c>
      <c r="C1667" s="8">
        <v>185</v>
      </c>
      <c r="D1667" s="94" t="s">
        <v>4152</v>
      </c>
    </row>
    <row r="1668" spans="1:120" ht="15">
      <c r="A1668" s="22" t="s">
        <v>314</v>
      </c>
      <c r="B1668" s="22" t="s">
        <v>2839</v>
      </c>
      <c r="C1668" s="8">
        <v>195</v>
      </c>
      <c r="D1668" s="94" t="s">
        <v>4153</v>
      </c>
    </row>
    <row r="1669" spans="1:120" ht="15">
      <c r="A1669" s="22" t="s">
        <v>7</v>
      </c>
      <c r="B1669" s="22" t="s">
        <v>2024</v>
      </c>
      <c r="C1669" s="8">
        <v>135</v>
      </c>
      <c r="D1669" s="94" t="s">
        <v>4154</v>
      </c>
    </row>
    <row r="1671" spans="1:120" s="318" customFormat="1" ht="31.5">
      <c r="A1671" s="307" t="s">
        <v>260</v>
      </c>
      <c r="B1671" s="301" t="s">
        <v>169</v>
      </c>
      <c r="C1671" s="302" t="s">
        <v>2</v>
      </c>
      <c r="D1671" s="303" t="s">
        <v>282</v>
      </c>
      <c r="E1671" s="304" t="s">
        <v>365</v>
      </c>
      <c r="F1671" s="304" t="s">
        <v>4155</v>
      </c>
      <c r="G1671" s="304" t="s">
        <v>4156</v>
      </c>
    </row>
    <row r="1672" spans="1:120" s="326" customFormat="1" ht="15" customHeight="1">
      <c r="A1672" s="105" t="s">
        <v>336</v>
      </c>
      <c r="B1672" s="24">
        <v>36</v>
      </c>
      <c r="C1672" s="106">
        <v>10</v>
      </c>
      <c r="D1672" s="29" t="s">
        <v>288</v>
      </c>
      <c r="E1672" s="228">
        <v>3.92</v>
      </c>
      <c r="F1672" s="305">
        <f>E1672*C1672</f>
        <v>39.200000000000003</v>
      </c>
      <c r="G1672" s="305">
        <f>F1672*2</f>
        <v>78.400000000000006</v>
      </c>
      <c r="H1672" s="17"/>
      <c r="I1672" s="17"/>
      <c r="J1672" s="17"/>
      <c r="K1672" s="17"/>
      <c r="L1672" s="17"/>
      <c r="M1672" s="17"/>
      <c r="N1672" s="17"/>
      <c r="O1672" s="17"/>
      <c r="P1672" s="17"/>
      <c r="Q1672" s="17"/>
      <c r="R1672" s="17"/>
      <c r="S1672" s="17"/>
      <c r="T1672" s="17"/>
      <c r="U1672" s="17"/>
      <c r="V1672" s="17"/>
      <c r="W1672" s="17"/>
      <c r="X1672" s="17"/>
      <c r="Y1672" s="17"/>
      <c r="Z1672" s="17"/>
      <c r="AA1672" s="17"/>
      <c r="AB1672" s="17"/>
      <c r="AC1672" s="17"/>
      <c r="AD1672" s="17"/>
      <c r="AE1672" s="17"/>
      <c r="AF1672" s="17"/>
      <c r="AG1672" s="17"/>
      <c r="AH1672" s="17"/>
      <c r="AI1672" s="17"/>
      <c r="AJ1672" s="17"/>
      <c r="AK1672" s="17"/>
      <c r="AL1672" s="17"/>
      <c r="AM1672" s="17"/>
      <c r="AN1672" s="17"/>
      <c r="AO1672" s="17"/>
      <c r="AP1672" s="17"/>
      <c r="AQ1672" s="17"/>
      <c r="AR1672" s="17"/>
      <c r="AS1672" s="17"/>
      <c r="AT1672" s="17"/>
      <c r="AU1672" s="17"/>
      <c r="AV1672" s="17"/>
      <c r="AW1672" s="17"/>
      <c r="AX1672" s="17"/>
      <c r="AY1672" s="17"/>
      <c r="AZ1672" s="17"/>
      <c r="BA1672" s="17"/>
      <c r="BB1672" s="17"/>
      <c r="BC1672" s="17"/>
      <c r="BD1672" s="17"/>
      <c r="BE1672" s="17"/>
      <c r="BF1672" s="17"/>
      <c r="BG1672" s="17"/>
      <c r="BH1672" s="17"/>
      <c r="BI1672" s="17"/>
      <c r="BJ1672" s="17"/>
      <c r="BK1672" s="17"/>
      <c r="BL1672" s="17"/>
      <c r="BM1672" s="17"/>
      <c r="BN1672" s="17"/>
      <c r="BO1672" s="17"/>
      <c r="BP1672" s="17"/>
      <c r="BQ1672" s="17"/>
      <c r="BR1672" s="17"/>
      <c r="BS1672" s="17"/>
      <c r="BT1672" s="17"/>
      <c r="BU1672" s="17"/>
      <c r="BV1672" s="17"/>
      <c r="BW1672" s="17"/>
      <c r="BX1672" s="17"/>
      <c r="BY1672" s="17"/>
      <c r="BZ1672" s="17"/>
      <c r="CA1672" s="17"/>
      <c r="CB1672" s="17"/>
      <c r="CC1672" s="17"/>
      <c r="CD1672" s="17"/>
      <c r="CE1672" s="17"/>
      <c r="CF1672" s="17"/>
      <c r="CG1672" s="17"/>
      <c r="CH1672" s="17"/>
      <c r="CI1672" s="17"/>
      <c r="CJ1672" s="17"/>
      <c r="CK1672" s="17"/>
      <c r="CL1672" s="17"/>
      <c r="CM1672" s="17"/>
      <c r="CN1672" s="17"/>
      <c r="CO1672" s="17"/>
      <c r="CP1672" s="17"/>
      <c r="CQ1672" s="17"/>
      <c r="CR1672" s="17"/>
      <c r="CS1672" s="17"/>
      <c r="CT1672" s="17"/>
      <c r="CU1672" s="17"/>
      <c r="CV1672" s="17"/>
      <c r="CW1672" s="17"/>
      <c r="CX1672" s="17"/>
      <c r="CY1672" s="17"/>
      <c r="CZ1672" s="17"/>
      <c r="DA1672" s="17"/>
      <c r="DB1672" s="17"/>
      <c r="DC1672" s="17"/>
      <c r="DD1672" s="17"/>
      <c r="DE1672" s="17"/>
      <c r="DF1672" s="17"/>
      <c r="DG1672" s="17"/>
      <c r="DH1672" s="17"/>
      <c r="DI1672" s="17"/>
      <c r="DJ1672" s="17"/>
      <c r="DK1672" s="17"/>
      <c r="DL1672" s="17"/>
      <c r="DM1672" s="17"/>
      <c r="DN1672" s="17"/>
    </row>
    <row r="1673" spans="1:120" s="326" customFormat="1" ht="15" customHeight="1">
      <c r="A1673" s="105" t="s">
        <v>333</v>
      </c>
      <c r="B1673" s="24">
        <v>9</v>
      </c>
      <c r="C1673" s="106">
        <v>10</v>
      </c>
      <c r="D1673" s="29" t="s">
        <v>288</v>
      </c>
      <c r="E1673" s="228">
        <v>0.79</v>
      </c>
      <c r="F1673" s="305">
        <f>E1673*C1673</f>
        <v>7.9</v>
      </c>
      <c r="G1673" s="305">
        <f>F1673*3</f>
        <v>23.700000000000003</v>
      </c>
      <c r="H1673" s="17"/>
      <c r="I1673" s="17"/>
      <c r="J1673" s="17"/>
      <c r="K1673" s="17"/>
      <c r="L1673" s="17"/>
      <c r="M1673" s="17"/>
      <c r="N1673" s="17"/>
      <c r="O1673" s="17"/>
      <c r="P1673" s="17"/>
      <c r="Q1673" s="17"/>
      <c r="R1673" s="17"/>
      <c r="S1673" s="17"/>
      <c r="T1673" s="17"/>
      <c r="U1673" s="17"/>
      <c r="V1673" s="17"/>
      <c r="W1673" s="17"/>
      <c r="X1673" s="17"/>
      <c r="Y1673" s="17"/>
      <c r="Z1673" s="17"/>
      <c r="AA1673" s="17"/>
      <c r="AB1673" s="17"/>
      <c r="AC1673" s="17"/>
      <c r="AD1673" s="17"/>
      <c r="AE1673" s="17"/>
      <c r="AF1673" s="17"/>
      <c r="AG1673" s="17"/>
      <c r="AH1673" s="17"/>
      <c r="AI1673" s="17"/>
      <c r="AJ1673" s="17"/>
      <c r="AK1673" s="17"/>
      <c r="AL1673" s="17"/>
      <c r="AM1673" s="17"/>
      <c r="AN1673" s="17"/>
      <c r="AO1673" s="17"/>
      <c r="AP1673" s="17"/>
      <c r="AQ1673" s="17"/>
      <c r="AR1673" s="17"/>
      <c r="AS1673" s="17"/>
      <c r="AT1673" s="17"/>
      <c r="AU1673" s="17"/>
      <c r="AV1673" s="17"/>
      <c r="AW1673" s="17"/>
      <c r="AX1673" s="17"/>
      <c r="AY1673" s="17"/>
      <c r="AZ1673" s="17"/>
      <c r="BA1673" s="17"/>
      <c r="BB1673" s="17"/>
      <c r="BC1673" s="17"/>
      <c r="BD1673" s="17"/>
      <c r="BE1673" s="17"/>
      <c r="BF1673" s="17"/>
      <c r="BG1673" s="17"/>
      <c r="BH1673" s="17"/>
      <c r="BI1673" s="17"/>
      <c r="BJ1673" s="17"/>
      <c r="BK1673" s="17"/>
      <c r="BL1673" s="17"/>
      <c r="BM1673" s="17"/>
      <c r="BN1673" s="17"/>
      <c r="BO1673" s="17"/>
      <c r="BP1673" s="17"/>
      <c r="BQ1673" s="17"/>
      <c r="BR1673" s="17"/>
      <c r="BS1673" s="17"/>
      <c r="BT1673" s="17"/>
      <c r="BU1673" s="17"/>
      <c r="BV1673" s="17"/>
      <c r="BW1673" s="17"/>
      <c r="BX1673" s="17"/>
      <c r="BY1673" s="17"/>
      <c r="BZ1673" s="17"/>
      <c r="CA1673" s="17"/>
      <c r="CB1673" s="17"/>
      <c r="CC1673" s="17"/>
      <c r="CD1673" s="17"/>
      <c r="CE1673" s="17"/>
      <c r="CF1673" s="17"/>
      <c r="CG1673" s="17"/>
      <c r="CH1673" s="17"/>
      <c r="CI1673" s="17"/>
      <c r="CJ1673" s="17"/>
      <c r="CK1673" s="17"/>
      <c r="CL1673" s="17"/>
      <c r="CM1673" s="17"/>
      <c r="CN1673" s="17"/>
      <c r="CO1673" s="17"/>
      <c r="CP1673" s="17"/>
      <c r="CQ1673" s="17"/>
      <c r="CR1673" s="17"/>
      <c r="CS1673" s="17"/>
      <c r="CT1673" s="17"/>
      <c r="CU1673" s="17"/>
      <c r="CV1673" s="17"/>
      <c r="CW1673" s="17"/>
      <c r="CX1673" s="17"/>
      <c r="CY1673" s="17"/>
      <c r="CZ1673" s="17"/>
      <c r="DA1673" s="17"/>
      <c r="DB1673" s="17"/>
      <c r="DC1673" s="17"/>
      <c r="DD1673" s="17"/>
      <c r="DE1673" s="17"/>
      <c r="DF1673" s="17"/>
      <c r="DG1673" s="17"/>
      <c r="DH1673" s="17"/>
      <c r="DI1673" s="17"/>
      <c r="DJ1673" s="17"/>
      <c r="DK1673" s="17"/>
      <c r="DL1673" s="17"/>
      <c r="DM1673" s="17"/>
      <c r="DN1673" s="17"/>
    </row>
    <row r="1674" spans="1:120" s="326" customFormat="1" ht="15" customHeight="1">
      <c r="A1674" s="105" t="s">
        <v>333</v>
      </c>
      <c r="B1674" s="24">
        <v>12</v>
      </c>
      <c r="C1674" s="106">
        <v>10</v>
      </c>
      <c r="D1674" s="29" t="s">
        <v>288</v>
      </c>
      <c r="E1674" s="228">
        <v>0.88</v>
      </c>
      <c r="F1674" s="305">
        <f>E1674*C1674</f>
        <v>8.8000000000000007</v>
      </c>
      <c r="G1674" s="305">
        <v>8.8000000000000007</v>
      </c>
      <c r="H1674" s="17"/>
      <c r="I1674" s="17"/>
      <c r="J1674" s="17"/>
      <c r="K1674" s="17"/>
      <c r="L1674" s="17"/>
      <c r="M1674" s="17"/>
      <c r="N1674" s="17"/>
      <c r="O1674" s="17"/>
      <c r="P1674" s="17"/>
      <c r="Q1674" s="17"/>
      <c r="R1674" s="17"/>
      <c r="S1674" s="17"/>
      <c r="T1674" s="17"/>
      <c r="U1674" s="17"/>
      <c r="V1674" s="17"/>
      <c r="W1674" s="17"/>
      <c r="X1674" s="17"/>
      <c r="Y1674" s="17"/>
      <c r="Z1674" s="17"/>
      <c r="AA1674" s="17"/>
      <c r="AB1674" s="17"/>
      <c r="AC1674" s="17"/>
      <c r="AD1674" s="17"/>
      <c r="AE1674" s="17"/>
      <c r="AF1674" s="17"/>
      <c r="AG1674" s="17"/>
      <c r="AH1674" s="17"/>
      <c r="AI1674" s="17"/>
      <c r="AJ1674" s="17"/>
      <c r="AK1674" s="17"/>
      <c r="AL1674" s="17"/>
      <c r="AM1674" s="17"/>
      <c r="AN1674" s="17"/>
      <c r="AO1674" s="17"/>
      <c r="AP1674" s="17"/>
      <c r="AQ1674" s="17"/>
      <c r="AR1674" s="17"/>
      <c r="AS1674" s="17"/>
      <c r="AT1674" s="17"/>
      <c r="AU1674" s="17"/>
      <c r="AV1674" s="17"/>
      <c r="AW1674" s="17"/>
      <c r="AX1674" s="17"/>
      <c r="AY1674" s="17"/>
      <c r="AZ1674" s="17"/>
      <c r="BA1674" s="17"/>
      <c r="BB1674" s="17"/>
      <c r="BC1674" s="17"/>
      <c r="BD1674" s="17"/>
      <c r="BE1674" s="17"/>
      <c r="BF1674" s="17"/>
      <c r="BG1674" s="17"/>
      <c r="BH1674" s="17"/>
      <c r="BI1674" s="17"/>
      <c r="BJ1674" s="17"/>
      <c r="BK1674" s="17"/>
      <c r="BL1674" s="17"/>
      <c r="BM1674" s="17"/>
      <c r="BN1674" s="17"/>
      <c r="BO1674" s="17"/>
      <c r="BP1674" s="17"/>
      <c r="BQ1674" s="17"/>
      <c r="BR1674" s="17"/>
      <c r="BS1674" s="17"/>
      <c r="BT1674" s="17"/>
      <c r="BU1674" s="17"/>
      <c r="BV1674" s="17"/>
      <c r="BW1674" s="17"/>
      <c r="BX1674" s="17"/>
      <c r="BY1674" s="17"/>
      <c r="BZ1674" s="17"/>
      <c r="CA1674" s="17"/>
      <c r="CB1674" s="17"/>
      <c r="CC1674" s="17"/>
      <c r="CD1674" s="17"/>
      <c r="CE1674" s="17"/>
      <c r="CF1674" s="17"/>
      <c r="CG1674" s="17"/>
      <c r="CH1674" s="17"/>
      <c r="CI1674" s="17"/>
      <c r="CJ1674" s="17"/>
      <c r="CK1674" s="17"/>
      <c r="CL1674" s="17"/>
      <c r="CM1674" s="17"/>
      <c r="CN1674" s="17"/>
      <c r="CO1674" s="17"/>
      <c r="CP1674" s="17"/>
      <c r="CQ1674" s="17"/>
      <c r="CR1674" s="17"/>
      <c r="CS1674" s="17"/>
      <c r="CT1674" s="17"/>
      <c r="CU1674" s="17"/>
      <c r="CV1674" s="17"/>
      <c r="CW1674" s="17"/>
      <c r="CX1674" s="17"/>
      <c r="CY1674" s="17"/>
      <c r="CZ1674" s="17"/>
      <c r="DA1674" s="17"/>
      <c r="DB1674" s="17"/>
      <c r="DC1674" s="17"/>
      <c r="DD1674" s="17"/>
      <c r="DE1674" s="17"/>
      <c r="DF1674" s="17"/>
      <c r="DG1674" s="17"/>
      <c r="DH1674" s="17"/>
      <c r="DI1674" s="17"/>
      <c r="DJ1674" s="17"/>
      <c r="DK1674" s="17"/>
      <c r="DL1674" s="17"/>
      <c r="DM1674" s="17"/>
      <c r="DN1674" s="17"/>
    </row>
    <row r="1675" spans="1:120" s="326" customFormat="1" ht="15" customHeight="1">
      <c r="A1675" s="105" t="s">
        <v>333</v>
      </c>
      <c r="B1675" s="24">
        <v>18</v>
      </c>
      <c r="C1675" s="106">
        <v>10</v>
      </c>
      <c r="D1675" s="29" t="s">
        <v>288</v>
      </c>
      <c r="E1675" s="228">
        <v>1.1399999999999999</v>
      </c>
      <c r="F1675" s="305">
        <f>E1675*C1675</f>
        <v>11.399999999999999</v>
      </c>
      <c r="G1675" s="305">
        <f>F1675*2</f>
        <v>22.799999999999997</v>
      </c>
      <c r="H1675" s="17"/>
      <c r="I1675" s="17"/>
      <c r="J1675" s="17"/>
      <c r="K1675" s="17"/>
      <c r="L1675" s="17"/>
      <c r="M1675" s="17"/>
      <c r="N1675" s="17"/>
      <c r="O1675" s="17"/>
      <c r="P1675" s="17"/>
      <c r="Q1675" s="17"/>
      <c r="R1675" s="17"/>
      <c r="S1675" s="17"/>
      <c r="T1675" s="17"/>
      <c r="U1675" s="17"/>
      <c r="V1675" s="17"/>
      <c r="W1675" s="17"/>
      <c r="X1675" s="17"/>
      <c r="Y1675" s="17"/>
      <c r="Z1675" s="17"/>
      <c r="AA1675" s="17"/>
      <c r="AB1675" s="17"/>
      <c r="AC1675" s="17"/>
      <c r="AD1675" s="17"/>
      <c r="AE1675" s="17"/>
      <c r="AF1675" s="17"/>
      <c r="AG1675" s="17"/>
      <c r="AH1675" s="17"/>
      <c r="AI1675" s="17"/>
      <c r="AJ1675" s="17"/>
      <c r="AK1675" s="17"/>
      <c r="AL1675" s="17"/>
      <c r="AM1675" s="17"/>
      <c r="AN1675" s="17"/>
      <c r="AO1675" s="17"/>
      <c r="AP1675" s="17"/>
      <c r="AQ1675" s="17"/>
      <c r="AR1675" s="17"/>
      <c r="AS1675" s="17"/>
      <c r="AT1675" s="17"/>
      <c r="AU1675" s="17"/>
      <c r="AV1675" s="17"/>
      <c r="AW1675" s="17"/>
      <c r="AX1675" s="17"/>
      <c r="AY1675" s="17"/>
      <c r="AZ1675" s="17"/>
      <c r="BA1675" s="17"/>
      <c r="BB1675" s="17"/>
      <c r="BC1675" s="17"/>
      <c r="BD1675" s="17"/>
      <c r="BE1675" s="17"/>
      <c r="BF1675" s="17"/>
      <c r="BG1675" s="17"/>
      <c r="BH1675" s="17"/>
      <c r="BI1675" s="17"/>
      <c r="BJ1675" s="17"/>
      <c r="BK1675" s="17"/>
      <c r="BL1675" s="17"/>
      <c r="BM1675" s="17"/>
      <c r="BN1675" s="17"/>
      <c r="BO1675" s="17"/>
      <c r="BP1675" s="17"/>
      <c r="BQ1675" s="17"/>
      <c r="BR1675" s="17"/>
      <c r="BS1675" s="17"/>
      <c r="BT1675" s="17"/>
      <c r="BU1675" s="17"/>
      <c r="BV1675" s="17"/>
      <c r="BW1675" s="17"/>
      <c r="BX1675" s="17"/>
      <c r="BY1675" s="17"/>
      <c r="BZ1675" s="17"/>
      <c r="CA1675" s="17"/>
      <c r="CB1675" s="17"/>
      <c r="CC1675" s="17"/>
      <c r="CD1675" s="17"/>
      <c r="CE1675" s="17"/>
      <c r="CF1675" s="17"/>
      <c r="CG1675" s="17"/>
      <c r="CH1675" s="17"/>
      <c r="CI1675" s="17"/>
      <c r="CJ1675" s="17"/>
      <c r="CK1675" s="17"/>
      <c r="CL1675" s="17"/>
      <c r="CM1675" s="17"/>
      <c r="CN1675" s="17"/>
      <c r="CO1675" s="17"/>
      <c r="CP1675" s="17"/>
      <c r="CQ1675" s="17"/>
      <c r="CR1675" s="17"/>
      <c r="CS1675" s="17"/>
      <c r="CT1675" s="17"/>
      <c r="CU1675" s="17"/>
      <c r="CV1675" s="17"/>
      <c r="CW1675" s="17"/>
      <c r="CX1675" s="17"/>
      <c r="CY1675" s="17"/>
      <c r="CZ1675" s="17"/>
      <c r="DA1675" s="17"/>
      <c r="DB1675" s="17"/>
      <c r="DC1675" s="17"/>
      <c r="DD1675" s="17"/>
      <c r="DE1675" s="17"/>
      <c r="DF1675" s="17"/>
      <c r="DG1675" s="17"/>
      <c r="DH1675" s="17"/>
      <c r="DI1675" s="17"/>
      <c r="DJ1675" s="17"/>
      <c r="DK1675" s="17"/>
      <c r="DL1675" s="17"/>
      <c r="DM1675" s="17"/>
      <c r="DN1675" s="17"/>
    </row>
    <row r="1676" spans="1:120" s="326" customFormat="1" ht="15" customHeight="1">
      <c r="A1676" s="105"/>
      <c r="B1676" s="24"/>
      <c r="C1676" s="106"/>
      <c r="D1676" s="29"/>
      <c r="E1676" s="228"/>
      <c r="F1676" s="1086" t="s">
        <v>168</v>
      </c>
      <c r="G1676" s="1087">
        <f>SUM(G1672:G1675)</f>
        <v>133.69999999999999</v>
      </c>
      <c r="H1676" s="17"/>
      <c r="I1676" s="17"/>
      <c r="J1676" s="17"/>
      <c r="K1676" s="17"/>
      <c r="L1676" s="17"/>
      <c r="M1676" s="17"/>
      <c r="N1676" s="17"/>
      <c r="O1676" s="17"/>
      <c r="P1676" s="17"/>
      <c r="Q1676" s="17"/>
      <c r="R1676" s="17"/>
      <c r="S1676" s="17"/>
      <c r="T1676" s="17"/>
      <c r="U1676" s="17"/>
      <c r="V1676" s="17"/>
      <c r="W1676" s="17"/>
      <c r="X1676" s="17"/>
      <c r="Y1676" s="17"/>
      <c r="Z1676" s="17"/>
      <c r="AA1676" s="17"/>
      <c r="AB1676" s="17"/>
      <c r="AC1676" s="17"/>
      <c r="AD1676" s="17"/>
      <c r="AE1676" s="17"/>
      <c r="AF1676" s="17"/>
      <c r="AG1676" s="17"/>
      <c r="AH1676" s="17"/>
      <c r="AI1676" s="17"/>
      <c r="AJ1676" s="17"/>
      <c r="AK1676" s="17"/>
      <c r="AL1676" s="17"/>
      <c r="AM1676" s="17"/>
      <c r="AN1676" s="17"/>
      <c r="AO1676" s="17"/>
      <c r="AP1676" s="17"/>
      <c r="AQ1676" s="17"/>
      <c r="AR1676" s="17"/>
      <c r="AS1676" s="17"/>
      <c r="AT1676" s="17"/>
      <c r="AU1676" s="17"/>
      <c r="AV1676" s="17"/>
      <c r="AW1676" s="17"/>
      <c r="AX1676" s="17"/>
      <c r="AY1676" s="17"/>
      <c r="AZ1676" s="17"/>
      <c r="BA1676" s="17"/>
      <c r="BB1676" s="17"/>
      <c r="BC1676" s="17"/>
      <c r="BD1676" s="17"/>
      <c r="BE1676" s="17"/>
      <c r="BF1676" s="17"/>
      <c r="BG1676" s="17"/>
      <c r="BH1676" s="17"/>
      <c r="BI1676" s="17"/>
      <c r="BJ1676" s="17"/>
      <c r="BK1676" s="17"/>
      <c r="BL1676" s="17"/>
      <c r="BM1676" s="17"/>
      <c r="BN1676" s="17"/>
      <c r="BO1676" s="17"/>
      <c r="BP1676" s="17"/>
      <c r="BQ1676" s="17"/>
      <c r="BR1676" s="17"/>
      <c r="BS1676" s="17"/>
      <c r="BT1676" s="17"/>
      <c r="BU1676" s="17"/>
      <c r="BV1676" s="17"/>
      <c r="BW1676" s="17"/>
      <c r="BX1676" s="17"/>
      <c r="BY1676" s="17"/>
      <c r="BZ1676" s="17"/>
      <c r="CA1676" s="17"/>
      <c r="CB1676" s="17"/>
      <c r="CC1676" s="17"/>
      <c r="CD1676" s="17"/>
      <c r="CE1676" s="17"/>
      <c r="CF1676" s="17"/>
      <c r="CG1676" s="17"/>
      <c r="CH1676" s="17"/>
      <c r="CI1676" s="17"/>
      <c r="CJ1676" s="17"/>
      <c r="CK1676" s="17"/>
      <c r="CL1676" s="17"/>
      <c r="CM1676" s="17"/>
      <c r="CN1676" s="17"/>
      <c r="CO1676" s="17"/>
      <c r="CP1676" s="17"/>
      <c r="CQ1676" s="17"/>
      <c r="CR1676" s="17"/>
      <c r="CS1676" s="17"/>
      <c r="CT1676" s="17"/>
      <c r="CU1676" s="17"/>
      <c r="CV1676" s="17"/>
      <c r="CW1676" s="17"/>
      <c r="CX1676" s="17"/>
      <c r="CY1676" s="17"/>
      <c r="CZ1676" s="17"/>
      <c r="DA1676" s="17"/>
      <c r="DB1676" s="17"/>
      <c r="DC1676" s="17"/>
      <c r="DD1676" s="17"/>
      <c r="DE1676" s="17"/>
      <c r="DF1676" s="17"/>
      <c r="DG1676" s="17"/>
      <c r="DH1676" s="17"/>
      <c r="DI1676" s="17"/>
      <c r="DJ1676" s="17"/>
      <c r="DK1676" s="17"/>
      <c r="DL1676" s="17"/>
      <c r="DM1676" s="17"/>
      <c r="DN1676" s="17"/>
    </row>
    <row r="1679" spans="1:120" s="318" customFormat="1" ht="31.5">
      <c r="A1679" s="307" t="s">
        <v>260</v>
      </c>
      <c r="B1679" s="301" t="s">
        <v>169</v>
      </c>
      <c r="C1679" s="302" t="s">
        <v>2</v>
      </c>
      <c r="D1679" s="303" t="s">
        <v>282</v>
      </c>
      <c r="E1679" s="317" t="s">
        <v>327</v>
      </c>
      <c r="F1679" s="317" t="s">
        <v>244</v>
      </c>
      <c r="G1679" s="304" t="s">
        <v>365</v>
      </c>
      <c r="H1679" s="304" t="s">
        <v>4157</v>
      </c>
    </row>
    <row r="1680" spans="1:120" s="326" customFormat="1" ht="15" customHeight="1">
      <c r="A1680" s="105" t="s">
        <v>336</v>
      </c>
      <c r="B1680" s="24">
        <v>3</v>
      </c>
      <c r="C1680" s="106">
        <v>40</v>
      </c>
      <c r="D1680" s="29" t="s">
        <v>288</v>
      </c>
      <c r="E1680" s="20" t="s">
        <v>149</v>
      </c>
      <c r="F1680" s="20" t="s">
        <v>337</v>
      </c>
      <c r="G1680" s="305">
        <v>1.17</v>
      </c>
      <c r="H1680" s="305">
        <f t="shared" ref="H1680:H1695" si="9">G1680*C1680</f>
        <v>46.8</v>
      </c>
      <c r="I1680" s="17"/>
      <c r="J1680" s="17"/>
      <c r="K1680" s="17"/>
      <c r="L1680" s="17"/>
      <c r="M1680" s="17"/>
      <c r="N1680" s="17"/>
      <c r="O1680" s="17"/>
      <c r="P1680" s="17"/>
      <c r="Q1680" s="17"/>
      <c r="R1680" s="17"/>
      <c r="S1680" s="17"/>
      <c r="T1680" s="17"/>
      <c r="U1680" s="17"/>
      <c r="V1680" s="17"/>
      <c r="W1680" s="17"/>
      <c r="X1680" s="17"/>
      <c r="Y1680" s="17"/>
      <c r="Z1680" s="17"/>
      <c r="AA1680" s="17"/>
      <c r="AB1680" s="17"/>
      <c r="AC1680" s="17"/>
      <c r="AD1680" s="17"/>
      <c r="AE1680" s="17"/>
      <c r="AF1680" s="17"/>
      <c r="AG1680" s="17"/>
      <c r="AH1680" s="17"/>
      <c r="AI1680" s="17"/>
      <c r="AJ1680" s="17"/>
      <c r="AK1680" s="17"/>
      <c r="AL1680" s="17"/>
      <c r="AM1680" s="17"/>
      <c r="AN1680" s="17"/>
      <c r="AO1680" s="17"/>
      <c r="AP1680" s="17"/>
      <c r="AQ1680" s="17"/>
      <c r="AR1680" s="17"/>
      <c r="AS1680" s="17"/>
      <c r="AT1680" s="17"/>
      <c r="AU1680" s="17"/>
      <c r="AV1680" s="17"/>
      <c r="AW1680" s="17"/>
      <c r="AX1680" s="17"/>
      <c r="AY1680" s="17"/>
      <c r="AZ1680" s="17"/>
      <c r="BA1680" s="17"/>
      <c r="BB1680" s="17"/>
      <c r="BC1680" s="17"/>
      <c r="BD1680" s="17"/>
      <c r="BE1680" s="17"/>
      <c r="BF1680" s="17"/>
      <c r="BG1680" s="17"/>
      <c r="BH1680" s="17"/>
      <c r="BI1680" s="17"/>
      <c r="BJ1680" s="17"/>
      <c r="BK1680" s="17"/>
      <c r="BL1680" s="17"/>
      <c r="BM1680" s="17"/>
      <c r="BN1680" s="17"/>
      <c r="BO1680" s="17"/>
      <c r="BP1680" s="17"/>
      <c r="BQ1680" s="17"/>
      <c r="BR1680" s="17"/>
      <c r="BS1680" s="17"/>
      <c r="BT1680" s="17"/>
      <c r="BU1680" s="17"/>
      <c r="BV1680" s="17"/>
      <c r="BW1680" s="17"/>
      <c r="BX1680" s="17"/>
      <c r="BY1680" s="17"/>
      <c r="BZ1680" s="17"/>
      <c r="CA1680" s="17"/>
      <c r="CB1680" s="17"/>
      <c r="CC1680" s="17"/>
      <c r="CD1680" s="17"/>
      <c r="CE1680" s="17"/>
      <c r="CF1680" s="17"/>
      <c r="CG1680" s="17"/>
      <c r="CH1680" s="17"/>
      <c r="CI1680" s="17"/>
      <c r="CJ1680" s="17"/>
      <c r="CK1680" s="17"/>
      <c r="CL1680" s="17"/>
      <c r="CM1680" s="17"/>
      <c r="CN1680" s="17"/>
      <c r="CO1680" s="17"/>
      <c r="CP1680" s="17"/>
      <c r="CQ1680" s="17"/>
      <c r="CR1680" s="17"/>
      <c r="CS1680" s="17"/>
      <c r="CT1680" s="17"/>
      <c r="CU1680" s="17"/>
      <c r="CV1680" s="17"/>
      <c r="CW1680" s="17"/>
      <c r="CX1680" s="17"/>
      <c r="CY1680" s="17"/>
      <c r="CZ1680" s="17"/>
      <c r="DA1680" s="17"/>
      <c r="DB1680" s="17"/>
      <c r="DC1680" s="17"/>
      <c r="DD1680" s="17"/>
      <c r="DE1680" s="17"/>
      <c r="DF1680" s="17"/>
      <c r="DG1680" s="17"/>
      <c r="DH1680" s="17"/>
      <c r="DI1680" s="17"/>
      <c r="DJ1680" s="17"/>
      <c r="DK1680" s="17"/>
      <c r="DL1680" s="17"/>
      <c r="DM1680" s="17"/>
      <c r="DN1680" s="17"/>
      <c r="DO1680" s="17"/>
      <c r="DP1680" s="17"/>
    </row>
    <row r="1681" spans="1:120" s="326" customFormat="1" ht="15" customHeight="1">
      <c r="A1681" s="105" t="s">
        <v>336</v>
      </c>
      <c r="B1681" s="24">
        <v>6</v>
      </c>
      <c r="C1681" s="106">
        <v>10</v>
      </c>
      <c r="D1681" s="29" t="s">
        <v>288</v>
      </c>
      <c r="E1681" s="20" t="s">
        <v>149</v>
      </c>
      <c r="F1681" s="20" t="s">
        <v>337</v>
      </c>
      <c r="G1681" s="305">
        <v>1.23</v>
      </c>
      <c r="H1681" s="305">
        <f t="shared" si="9"/>
        <v>12.3</v>
      </c>
      <c r="I1681" s="17"/>
      <c r="J1681" s="17"/>
      <c r="K1681" s="17"/>
      <c r="L1681" s="17"/>
      <c r="M1681" s="17"/>
      <c r="N1681" s="17"/>
      <c r="O1681" s="17"/>
      <c r="P1681" s="17"/>
      <c r="Q1681" s="17"/>
      <c r="R1681" s="17"/>
      <c r="S1681" s="17"/>
      <c r="T1681" s="17"/>
      <c r="U1681" s="17"/>
      <c r="V1681" s="17"/>
      <c r="W1681" s="17"/>
      <c r="X1681" s="17"/>
      <c r="Y1681" s="17"/>
      <c r="Z1681" s="17"/>
      <c r="AA1681" s="17"/>
      <c r="AB1681" s="17"/>
      <c r="AC1681" s="17"/>
      <c r="AD1681" s="17"/>
      <c r="AE1681" s="17"/>
      <c r="AF1681" s="17"/>
      <c r="AG1681" s="17"/>
      <c r="AH1681" s="17"/>
      <c r="AI1681" s="17"/>
      <c r="AJ1681" s="17"/>
      <c r="AK1681" s="17"/>
      <c r="AL1681" s="17"/>
      <c r="AM1681" s="17"/>
      <c r="AN1681" s="17"/>
      <c r="AO1681" s="17"/>
      <c r="AP1681" s="17"/>
      <c r="AQ1681" s="17"/>
      <c r="AR1681" s="17"/>
      <c r="AS1681" s="17"/>
      <c r="AT1681" s="17"/>
      <c r="AU1681" s="17"/>
      <c r="AV1681" s="17"/>
      <c r="AW1681" s="17"/>
      <c r="AX1681" s="17"/>
      <c r="AY1681" s="17"/>
      <c r="AZ1681" s="17"/>
      <c r="BA1681" s="17"/>
      <c r="BB1681" s="17"/>
      <c r="BC1681" s="17"/>
      <c r="BD1681" s="17"/>
      <c r="BE1681" s="17"/>
      <c r="BF1681" s="17"/>
      <c r="BG1681" s="17"/>
      <c r="BH1681" s="17"/>
      <c r="BI1681" s="17"/>
      <c r="BJ1681" s="17"/>
      <c r="BK1681" s="17"/>
      <c r="BL1681" s="17"/>
      <c r="BM1681" s="17"/>
      <c r="BN1681" s="17"/>
      <c r="BO1681" s="17"/>
      <c r="BP1681" s="17"/>
      <c r="BQ1681" s="17"/>
      <c r="BR1681" s="17"/>
      <c r="BS1681" s="17"/>
      <c r="BT1681" s="17"/>
      <c r="BU1681" s="17"/>
      <c r="BV1681" s="17"/>
      <c r="BW1681" s="17"/>
      <c r="BX1681" s="17"/>
      <c r="BY1681" s="17"/>
      <c r="BZ1681" s="17"/>
      <c r="CA1681" s="17"/>
      <c r="CB1681" s="17"/>
      <c r="CC1681" s="17"/>
      <c r="CD1681" s="17"/>
      <c r="CE1681" s="17"/>
      <c r="CF1681" s="17"/>
      <c r="CG1681" s="17"/>
      <c r="CH1681" s="17"/>
      <c r="CI1681" s="17"/>
      <c r="CJ1681" s="17"/>
      <c r="CK1681" s="17"/>
      <c r="CL1681" s="17"/>
      <c r="CM1681" s="17"/>
      <c r="CN1681" s="17"/>
      <c r="CO1681" s="17"/>
      <c r="CP1681" s="17"/>
      <c r="CQ1681" s="17"/>
      <c r="CR1681" s="17"/>
      <c r="CS1681" s="17"/>
      <c r="CT1681" s="17"/>
      <c r="CU1681" s="17"/>
      <c r="CV1681" s="17"/>
      <c r="CW1681" s="17"/>
      <c r="CX1681" s="17"/>
      <c r="CY1681" s="17"/>
      <c r="CZ1681" s="17"/>
      <c r="DA1681" s="17"/>
      <c r="DB1681" s="17"/>
      <c r="DC1681" s="17"/>
      <c r="DD1681" s="17"/>
      <c r="DE1681" s="17"/>
      <c r="DF1681" s="17"/>
      <c r="DG1681" s="17"/>
      <c r="DH1681" s="17"/>
      <c r="DI1681" s="17"/>
      <c r="DJ1681" s="17"/>
      <c r="DK1681" s="17"/>
      <c r="DL1681" s="17"/>
      <c r="DM1681" s="17"/>
      <c r="DN1681" s="17"/>
      <c r="DO1681" s="17"/>
      <c r="DP1681" s="17"/>
    </row>
    <row r="1682" spans="1:120" s="326" customFormat="1" ht="15" customHeight="1">
      <c r="A1682" s="105" t="s">
        <v>336</v>
      </c>
      <c r="B1682" s="24">
        <v>9</v>
      </c>
      <c r="C1682" s="106">
        <v>10</v>
      </c>
      <c r="D1682" s="29" t="s">
        <v>288</v>
      </c>
      <c r="E1682" s="20" t="s">
        <v>149</v>
      </c>
      <c r="F1682" s="20" t="s">
        <v>337</v>
      </c>
      <c r="G1682" s="305">
        <v>1.36</v>
      </c>
      <c r="H1682" s="305">
        <f t="shared" si="9"/>
        <v>13.600000000000001</v>
      </c>
      <c r="I1682" s="17"/>
      <c r="J1682" s="17"/>
      <c r="K1682" s="17"/>
      <c r="L1682" s="17"/>
      <c r="M1682" s="17"/>
      <c r="N1682" s="17"/>
      <c r="O1682" s="17"/>
      <c r="P1682" s="17"/>
      <c r="Q1682" s="17"/>
      <c r="R1682" s="17"/>
      <c r="S1682" s="17"/>
      <c r="T1682" s="17"/>
      <c r="U1682" s="17"/>
      <c r="V1682" s="17"/>
      <c r="W1682" s="17"/>
      <c r="X1682" s="17"/>
      <c r="Y1682" s="17"/>
      <c r="Z1682" s="17"/>
      <c r="AA1682" s="17"/>
      <c r="AB1682" s="17"/>
      <c r="AC1682" s="17"/>
      <c r="AD1682" s="17"/>
      <c r="AE1682" s="17"/>
      <c r="AF1682" s="17"/>
      <c r="AG1682" s="17"/>
      <c r="AH1682" s="17"/>
      <c r="AI1682" s="17"/>
      <c r="AJ1682" s="17"/>
      <c r="AK1682" s="17"/>
      <c r="AL1682" s="17"/>
      <c r="AM1682" s="17"/>
      <c r="AN1682" s="17"/>
      <c r="AO1682" s="17"/>
      <c r="AP1682" s="17"/>
      <c r="AQ1682" s="17"/>
      <c r="AR1682" s="17"/>
      <c r="AS1682" s="17"/>
      <c r="AT1682" s="17"/>
      <c r="AU1682" s="17"/>
      <c r="AV1682" s="17"/>
      <c r="AW1682" s="17"/>
      <c r="AX1682" s="17"/>
      <c r="AY1682" s="17"/>
      <c r="AZ1682" s="17"/>
      <c r="BA1682" s="17"/>
      <c r="BB1682" s="17"/>
      <c r="BC1682" s="17"/>
      <c r="BD1682" s="17"/>
      <c r="BE1682" s="17"/>
      <c r="BF1682" s="17"/>
      <c r="BG1682" s="17"/>
      <c r="BH1682" s="17"/>
      <c r="BI1682" s="17"/>
      <c r="BJ1682" s="17"/>
      <c r="BK1682" s="17"/>
      <c r="BL1682" s="17"/>
      <c r="BM1682" s="17"/>
      <c r="BN1682" s="17"/>
      <c r="BO1682" s="17"/>
      <c r="BP1682" s="17"/>
      <c r="BQ1682" s="17"/>
      <c r="BR1682" s="17"/>
      <c r="BS1682" s="17"/>
      <c r="BT1682" s="17"/>
      <c r="BU1682" s="17"/>
      <c r="BV1682" s="17"/>
      <c r="BW1682" s="17"/>
      <c r="BX1682" s="17"/>
      <c r="BY1682" s="17"/>
      <c r="BZ1682" s="17"/>
      <c r="CA1682" s="17"/>
      <c r="CB1682" s="17"/>
      <c r="CC1682" s="17"/>
      <c r="CD1682" s="17"/>
      <c r="CE1682" s="17"/>
      <c r="CF1682" s="17"/>
      <c r="CG1682" s="17"/>
      <c r="CH1682" s="17"/>
      <c r="CI1682" s="17"/>
      <c r="CJ1682" s="17"/>
      <c r="CK1682" s="17"/>
      <c r="CL1682" s="17"/>
      <c r="CM1682" s="17"/>
      <c r="CN1682" s="17"/>
      <c r="CO1682" s="17"/>
      <c r="CP1682" s="17"/>
      <c r="CQ1682" s="17"/>
      <c r="CR1682" s="17"/>
      <c r="CS1682" s="17"/>
      <c r="CT1682" s="17"/>
      <c r="CU1682" s="17"/>
      <c r="CV1682" s="17"/>
      <c r="CW1682" s="17"/>
      <c r="CX1682" s="17"/>
      <c r="CY1682" s="17"/>
      <c r="CZ1682" s="17"/>
      <c r="DA1682" s="17"/>
      <c r="DB1682" s="17"/>
      <c r="DC1682" s="17"/>
      <c r="DD1682" s="17"/>
      <c r="DE1682" s="17"/>
      <c r="DF1682" s="17"/>
      <c r="DG1682" s="17"/>
      <c r="DH1682" s="17"/>
      <c r="DI1682" s="17"/>
      <c r="DJ1682" s="17"/>
      <c r="DK1682" s="17"/>
      <c r="DL1682" s="17"/>
      <c r="DM1682" s="17"/>
      <c r="DN1682" s="17"/>
      <c r="DO1682" s="17"/>
      <c r="DP1682" s="17"/>
    </row>
    <row r="1683" spans="1:120" s="326" customFormat="1" ht="15" customHeight="1">
      <c r="A1683" s="105" t="s">
        <v>336</v>
      </c>
      <c r="B1683" s="24">
        <v>12</v>
      </c>
      <c r="C1683" s="106">
        <v>10</v>
      </c>
      <c r="D1683" s="29" t="s">
        <v>288</v>
      </c>
      <c r="E1683" s="20" t="s">
        <v>149</v>
      </c>
      <c r="F1683" s="20" t="s">
        <v>337</v>
      </c>
      <c r="G1683" s="305">
        <v>1.47</v>
      </c>
      <c r="H1683" s="305">
        <f t="shared" si="9"/>
        <v>14.7</v>
      </c>
      <c r="I1683" s="17"/>
      <c r="J1683" s="17"/>
      <c r="K1683" s="17"/>
      <c r="L1683" s="17"/>
      <c r="M1683" s="17"/>
      <c r="N1683" s="17"/>
      <c r="O1683" s="17"/>
      <c r="P1683" s="17"/>
      <c r="Q1683" s="17"/>
      <c r="R1683" s="17"/>
      <c r="S1683" s="17"/>
      <c r="T1683" s="17"/>
      <c r="U1683" s="17"/>
      <c r="V1683" s="17"/>
      <c r="W1683" s="17"/>
      <c r="X1683" s="17"/>
      <c r="Y1683" s="17"/>
      <c r="Z1683" s="17"/>
      <c r="AA1683" s="17"/>
      <c r="AB1683" s="17"/>
      <c r="AC1683" s="17"/>
      <c r="AD1683" s="17"/>
      <c r="AE1683" s="17"/>
      <c r="AF1683" s="17"/>
      <c r="AG1683" s="17"/>
      <c r="AH1683" s="17"/>
      <c r="AI1683" s="17"/>
      <c r="AJ1683" s="17"/>
      <c r="AK1683" s="17"/>
      <c r="AL1683" s="17"/>
      <c r="AM1683" s="17"/>
      <c r="AN1683" s="17"/>
      <c r="AO1683" s="17"/>
      <c r="AP1683" s="17"/>
      <c r="AQ1683" s="17"/>
      <c r="AR1683" s="17"/>
      <c r="AS1683" s="17"/>
      <c r="AT1683" s="17"/>
      <c r="AU1683" s="17"/>
      <c r="AV1683" s="17"/>
      <c r="AW1683" s="17"/>
      <c r="AX1683" s="17"/>
      <c r="AY1683" s="17"/>
      <c r="AZ1683" s="17"/>
      <c r="BA1683" s="17"/>
      <c r="BB1683" s="17"/>
      <c r="BC1683" s="17"/>
      <c r="BD1683" s="17"/>
      <c r="BE1683" s="17"/>
      <c r="BF1683" s="17"/>
      <c r="BG1683" s="17"/>
      <c r="BH1683" s="17"/>
      <c r="BI1683" s="17"/>
      <c r="BJ1683" s="17"/>
      <c r="BK1683" s="17"/>
      <c r="BL1683" s="17"/>
      <c r="BM1683" s="17"/>
      <c r="BN1683" s="17"/>
      <c r="BO1683" s="17"/>
      <c r="BP1683" s="17"/>
      <c r="BQ1683" s="17"/>
      <c r="BR1683" s="17"/>
      <c r="BS1683" s="17"/>
      <c r="BT1683" s="17"/>
      <c r="BU1683" s="17"/>
      <c r="BV1683" s="17"/>
      <c r="BW1683" s="17"/>
      <c r="BX1683" s="17"/>
      <c r="BY1683" s="17"/>
      <c r="BZ1683" s="17"/>
      <c r="CA1683" s="17"/>
      <c r="CB1683" s="17"/>
      <c r="CC1683" s="17"/>
      <c r="CD1683" s="17"/>
      <c r="CE1683" s="17"/>
      <c r="CF1683" s="17"/>
      <c r="CG1683" s="17"/>
      <c r="CH1683" s="17"/>
      <c r="CI1683" s="17"/>
      <c r="CJ1683" s="17"/>
      <c r="CK1683" s="17"/>
      <c r="CL1683" s="17"/>
      <c r="CM1683" s="17"/>
      <c r="CN1683" s="17"/>
      <c r="CO1683" s="17"/>
      <c r="CP1683" s="17"/>
      <c r="CQ1683" s="17"/>
      <c r="CR1683" s="17"/>
      <c r="CS1683" s="17"/>
      <c r="CT1683" s="17"/>
      <c r="CU1683" s="17"/>
      <c r="CV1683" s="17"/>
      <c r="CW1683" s="17"/>
      <c r="CX1683" s="17"/>
      <c r="CY1683" s="17"/>
      <c r="CZ1683" s="17"/>
      <c r="DA1683" s="17"/>
      <c r="DB1683" s="17"/>
      <c r="DC1683" s="17"/>
      <c r="DD1683" s="17"/>
      <c r="DE1683" s="17"/>
      <c r="DF1683" s="17"/>
      <c r="DG1683" s="17"/>
      <c r="DH1683" s="17"/>
      <c r="DI1683" s="17"/>
      <c r="DJ1683" s="17"/>
      <c r="DK1683" s="17"/>
      <c r="DL1683" s="17"/>
      <c r="DM1683" s="17"/>
      <c r="DN1683" s="17"/>
      <c r="DO1683" s="17"/>
      <c r="DP1683" s="17"/>
    </row>
    <row r="1684" spans="1:120" s="326" customFormat="1" ht="15" customHeight="1">
      <c r="A1684" s="105" t="s">
        <v>336</v>
      </c>
      <c r="B1684" s="24">
        <v>18</v>
      </c>
      <c r="C1684" s="106">
        <v>10</v>
      </c>
      <c r="D1684" s="29" t="s">
        <v>288</v>
      </c>
      <c r="E1684" s="20" t="s">
        <v>149</v>
      </c>
      <c r="F1684" s="20" t="s">
        <v>337</v>
      </c>
      <c r="G1684" s="305">
        <v>1.9</v>
      </c>
      <c r="H1684" s="305">
        <f t="shared" si="9"/>
        <v>19</v>
      </c>
      <c r="I1684" s="17"/>
      <c r="J1684" s="17"/>
      <c r="K1684" s="17"/>
      <c r="L1684" s="17"/>
      <c r="M1684" s="17"/>
      <c r="N1684" s="17"/>
      <c r="O1684" s="17"/>
      <c r="P1684" s="17"/>
      <c r="Q1684" s="17"/>
      <c r="R1684" s="17"/>
      <c r="S1684" s="17"/>
      <c r="T1684" s="17"/>
      <c r="U1684" s="17"/>
      <c r="V1684" s="17"/>
      <c r="W1684" s="17"/>
      <c r="X1684" s="17"/>
      <c r="Y1684" s="17"/>
      <c r="Z1684" s="17"/>
      <c r="AA1684" s="17"/>
      <c r="AB1684" s="17"/>
      <c r="AC1684" s="17"/>
      <c r="AD1684" s="17"/>
      <c r="AE1684" s="17"/>
      <c r="AF1684" s="17"/>
      <c r="AG1684" s="17"/>
      <c r="AH1684" s="17"/>
      <c r="AI1684" s="17"/>
      <c r="AJ1684" s="17"/>
      <c r="AK1684" s="17"/>
      <c r="AL1684" s="17"/>
      <c r="AM1684" s="17"/>
      <c r="AN1684" s="17"/>
      <c r="AO1684" s="17"/>
      <c r="AP1684" s="17"/>
      <c r="AQ1684" s="17"/>
      <c r="AR1684" s="17"/>
      <c r="AS1684" s="17"/>
      <c r="AT1684" s="17"/>
      <c r="AU1684" s="17"/>
      <c r="AV1684" s="17"/>
      <c r="AW1684" s="17"/>
      <c r="AX1684" s="17"/>
      <c r="AY1684" s="17"/>
      <c r="AZ1684" s="17"/>
      <c r="BA1684" s="17"/>
      <c r="BB1684" s="17"/>
      <c r="BC1684" s="17"/>
      <c r="BD1684" s="17"/>
      <c r="BE1684" s="17"/>
      <c r="BF1684" s="17"/>
      <c r="BG1684" s="17"/>
      <c r="BH1684" s="17"/>
      <c r="BI1684" s="17"/>
      <c r="BJ1684" s="17"/>
      <c r="BK1684" s="17"/>
      <c r="BL1684" s="17"/>
      <c r="BM1684" s="17"/>
      <c r="BN1684" s="17"/>
      <c r="BO1684" s="17"/>
      <c r="BP1684" s="17"/>
      <c r="BQ1684" s="17"/>
      <c r="BR1684" s="17"/>
      <c r="BS1684" s="17"/>
      <c r="BT1684" s="17"/>
      <c r="BU1684" s="17"/>
      <c r="BV1684" s="17"/>
      <c r="BW1684" s="17"/>
      <c r="BX1684" s="17"/>
      <c r="BY1684" s="17"/>
      <c r="BZ1684" s="17"/>
      <c r="CA1684" s="17"/>
      <c r="CB1684" s="17"/>
      <c r="CC1684" s="17"/>
      <c r="CD1684" s="17"/>
      <c r="CE1684" s="17"/>
      <c r="CF1684" s="17"/>
      <c r="CG1684" s="17"/>
      <c r="CH1684" s="17"/>
      <c r="CI1684" s="17"/>
      <c r="CJ1684" s="17"/>
      <c r="CK1684" s="17"/>
      <c r="CL1684" s="17"/>
      <c r="CM1684" s="17"/>
      <c r="CN1684" s="17"/>
      <c r="CO1684" s="17"/>
      <c r="CP1684" s="17"/>
      <c r="CQ1684" s="17"/>
      <c r="CR1684" s="17"/>
      <c r="CS1684" s="17"/>
      <c r="CT1684" s="17"/>
      <c r="CU1684" s="17"/>
      <c r="CV1684" s="17"/>
      <c r="CW1684" s="17"/>
      <c r="CX1684" s="17"/>
      <c r="CY1684" s="17"/>
      <c r="CZ1684" s="17"/>
      <c r="DA1684" s="17"/>
      <c r="DB1684" s="17"/>
      <c r="DC1684" s="17"/>
      <c r="DD1684" s="17"/>
      <c r="DE1684" s="17"/>
      <c r="DF1684" s="17"/>
      <c r="DG1684" s="17"/>
      <c r="DH1684" s="17"/>
      <c r="DI1684" s="17"/>
      <c r="DJ1684" s="17"/>
      <c r="DK1684" s="17"/>
      <c r="DL1684" s="17"/>
      <c r="DM1684" s="17"/>
      <c r="DN1684" s="17"/>
      <c r="DO1684" s="17"/>
      <c r="DP1684" s="17"/>
    </row>
    <row r="1685" spans="1:120" s="326" customFormat="1" ht="15" customHeight="1">
      <c r="A1685" s="105" t="s">
        <v>336</v>
      </c>
      <c r="B1685" s="24">
        <v>24</v>
      </c>
      <c r="C1685" s="106">
        <v>10</v>
      </c>
      <c r="D1685" s="29" t="s">
        <v>288</v>
      </c>
      <c r="E1685" s="20" t="s">
        <v>149</v>
      </c>
      <c r="F1685" s="20" t="s">
        <v>337</v>
      </c>
      <c r="G1685" s="305">
        <v>2.36</v>
      </c>
      <c r="H1685" s="305">
        <f t="shared" si="9"/>
        <v>23.599999999999998</v>
      </c>
      <c r="I1685" s="17"/>
      <c r="J1685" s="17"/>
      <c r="K1685" s="17"/>
      <c r="L1685" s="17"/>
      <c r="M1685" s="17"/>
      <c r="N1685" s="17"/>
      <c r="O1685" s="17"/>
      <c r="P1685" s="17"/>
      <c r="Q1685" s="17"/>
      <c r="R1685" s="17"/>
      <c r="S1685" s="17"/>
      <c r="T1685" s="17"/>
      <c r="U1685" s="17"/>
      <c r="V1685" s="17"/>
      <c r="W1685" s="17"/>
      <c r="X1685" s="17"/>
      <c r="Y1685" s="17"/>
      <c r="Z1685" s="17"/>
      <c r="AA1685" s="17"/>
      <c r="AB1685" s="17"/>
      <c r="AC1685" s="17"/>
      <c r="AD1685" s="17"/>
      <c r="AE1685" s="17"/>
      <c r="AF1685" s="17"/>
      <c r="AG1685" s="17"/>
      <c r="AH1685" s="17"/>
      <c r="AI1685" s="17"/>
      <c r="AJ1685" s="17"/>
      <c r="AK1685" s="17"/>
      <c r="AL1685" s="17"/>
      <c r="AM1685" s="17"/>
      <c r="AN1685" s="17"/>
      <c r="AO1685" s="17"/>
      <c r="AP1685" s="17"/>
      <c r="AQ1685" s="17"/>
      <c r="AR1685" s="17"/>
      <c r="AS1685" s="17"/>
      <c r="AT1685" s="17"/>
      <c r="AU1685" s="17"/>
      <c r="AV1685" s="17"/>
      <c r="AW1685" s="17"/>
      <c r="AX1685" s="17"/>
      <c r="AY1685" s="17"/>
      <c r="AZ1685" s="17"/>
      <c r="BA1685" s="17"/>
      <c r="BB1685" s="17"/>
      <c r="BC1685" s="17"/>
      <c r="BD1685" s="17"/>
      <c r="BE1685" s="17"/>
      <c r="BF1685" s="17"/>
      <c r="BG1685" s="17"/>
      <c r="BH1685" s="17"/>
      <c r="BI1685" s="17"/>
      <c r="BJ1685" s="17"/>
      <c r="BK1685" s="17"/>
      <c r="BL1685" s="17"/>
      <c r="BM1685" s="17"/>
      <c r="BN1685" s="17"/>
      <c r="BO1685" s="17"/>
      <c r="BP1685" s="17"/>
      <c r="BQ1685" s="17"/>
      <c r="BR1685" s="17"/>
      <c r="BS1685" s="17"/>
      <c r="BT1685" s="17"/>
      <c r="BU1685" s="17"/>
      <c r="BV1685" s="17"/>
      <c r="BW1685" s="17"/>
      <c r="BX1685" s="17"/>
      <c r="BY1685" s="17"/>
      <c r="BZ1685" s="17"/>
      <c r="CA1685" s="17"/>
      <c r="CB1685" s="17"/>
      <c r="CC1685" s="17"/>
      <c r="CD1685" s="17"/>
      <c r="CE1685" s="17"/>
      <c r="CF1685" s="17"/>
      <c r="CG1685" s="17"/>
      <c r="CH1685" s="17"/>
      <c r="CI1685" s="17"/>
      <c r="CJ1685" s="17"/>
      <c r="CK1685" s="17"/>
      <c r="CL1685" s="17"/>
      <c r="CM1685" s="17"/>
      <c r="CN1685" s="17"/>
      <c r="CO1685" s="17"/>
      <c r="CP1685" s="17"/>
      <c r="CQ1685" s="17"/>
      <c r="CR1685" s="17"/>
      <c r="CS1685" s="17"/>
      <c r="CT1685" s="17"/>
      <c r="CU1685" s="17"/>
      <c r="CV1685" s="17"/>
      <c r="CW1685" s="17"/>
      <c r="CX1685" s="17"/>
      <c r="CY1685" s="17"/>
      <c r="CZ1685" s="17"/>
      <c r="DA1685" s="17"/>
      <c r="DB1685" s="17"/>
      <c r="DC1685" s="17"/>
      <c r="DD1685" s="17"/>
      <c r="DE1685" s="17"/>
      <c r="DF1685" s="17"/>
      <c r="DG1685" s="17"/>
      <c r="DH1685" s="17"/>
      <c r="DI1685" s="17"/>
      <c r="DJ1685" s="17"/>
      <c r="DK1685" s="17"/>
      <c r="DL1685" s="17"/>
      <c r="DM1685" s="17"/>
      <c r="DN1685" s="17"/>
      <c r="DO1685" s="17"/>
      <c r="DP1685" s="17"/>
    </row>
    <row r="1686" spans="1:120" s="326" customFormat="1" ht="15" customHeight="1">
      <c r="A1686" s="105" t="s">
        <v>336</v>
      </c>
      <c r="B1686" s="24">
        <v>36</v>
      </c>
      <c r="C1686" s="106">
        <v>10</v>
      </c>
      <c r="D1686" s="29" t="s">
        <v>288</v>
      </c>
      <c r="E1686" s="20" t="s">
        <v>149</v>
      </c>
      <c r="F1686" s="20" t="s">
        <v>337</v>
      </c>
      <c r="G1686" s="305">
        <v>3.92</v>
      </c>
      <c r="H1686" s="305">
        <f t="shared" si="9"/>
        <v>39.200000000000003</v>
      </c>
      <c r="I1686" s="17"/>
      <c r="J1686" s="17"/>
      <c r="K1686" s="17"/>
      <c r="L1686" s="17"/>
      <c r="M1686" s="17"/>
      <c r="N1686" s="17"/>
      <c r="O1686" s="17"/>
      <c r="P1686" s="17"/>
      <c r="Q1686" s="17"/>
      <c r="R1686" s="17"/>
      <c r="S1686" s="17"/>
      <c r="T1686" s="17"/>
      <c r="U1686" s="17"/>
      <c r="V1686" s="17"/>
      <c r="W1686" s="17"/>
      <c r="X1686" s="17"/>
      <c r="Y1686" s="17"/>
      <c r="Z1686" s="17"/>
      <c r="AA1686" s="17"/>
      <c r="AB1686" s="17"/>
      <c r="AC1686" s="17"/>
      <c r="AD1686" s="17"/>
      <c r="AE1686" s="17"/>
      <c r="AF1686" s="17"/>
      <c r="AG1686" s="17"/>
      <c r="AH1686" s="17"/>
      <c r="AI1686" s="17"/>
      <c r="AJ1686" s="17"/>
      <c r="AK1686" s="17"/>
      <c r="AL1686" s="17"/>
      <c r="AM1686" s="17"/>
      <c r="AN1686" s="17"/>
      <c r="AO1686" s="17"/>
      <c r="AP1686" s="17"/>
      <c r="AQ1686" s="17"/>
      <c r="AR1686" s="17"/>
      <c r="AS1686" s="17"/>
      <c r="AT1686" s="17"/>
      <c r="AU1686" s="17"/>
      <c r="AV1686" s="17"/>
      <c r="AW1686" s="17"/>
      <c r="AX1686" s="17"/>
      <c r="AY1686" s="17"/>
      <c r="AZ1686" s="17"/>
      <c r="BA1686" s="17"/>
      <c r="BB1686" s="17"/>
      <c r="BC1686" s="17"/>
      <c r="BD1686" s="17"/>
      <c r="BE1686" s="17"/>
      <c r="BF1686" s="17"/>
      <c r="BG1686" s="17"/>
      <c r="BH1686" s="17"/>
      <c r="BI1686" s="17"/>
      <c r="BJ1686" s="17"/>
      <c r="BK1686" s="17"/>
      <c r="BL1686" s="17"/>
      <c r="BM1686" s="17"/>
      <c r="BN1686" s="17"/>
      <c r="BO1686" s="17"/>
      <c r="BP1686" s="17"/>
      <c r="BQ1686" s="17"/>
      <c r="BR1686" s="17"/>
      <c r="BS1686" s="17"/>
      <c r="BT1686" s="17"/>
      <c r="BU1686" s="17"/>
      <c r="BV1686" s="17"/>
      <c r="BW1686" s="17"/>
      <c r="BX1686" s="17"/>
      <c r="BY1686" s="17"/>
      <c r="BZ1686" s="17"/>
      <c r="CA1686" s="17"/>
      <c r="CB1686" s="17"/>
      <c r="CC1686" s="17"/>
      <c r="CD1686" s="17"/>
      <c r="CE1686" s="17"/>
      <c r="CF1686" s="17"/>
      <c r="CG1686" s="17"/>
      <c r="CH1686" s="17"/>
      <c r="CI1686" s="17"/>
      <c r="CJ1686" s="17"/>
      <c r="CK1686" s="17"/>
      <c r="CL1686" s="17"/>
      <c r="CM1686" s="17"/>
      <c r="CN1686" s="17"/>
      <c r="CO1686" s="17"/>
      <c r="CP1686" s="17"/>
      <c r="CQ1686" s="17"/>
      <c r="CR1686" s="17"/>
      <c r="CS1686" s="17"/>
      <c r="CT1686" s="17"/>
      <c r="CU1686" s="17"/>
      <c r="CV1686" s="17"/>
      <c r="CW1686" s="17"/>
      <c r="CX1686" s="17"/>
      <c r="CY1686" s="17"/>
      <c r="CZ1686" s="17"/>
      <c r="DA1686" s="17"/>
      <c r="DB1686" s="17"/>
      <c r="DC1686" s="17"/>
      <c r="DD1686" s="17"/>
      <c r="DE1686" s="17"/>
      <c r="DF1686" s="17"/>
      <c r="DG1686" s="17"/>
      <c r="DH1686" s="17"/>
      <c r="DI1686" s="17"/>
      <c r="DJ1686" s="17"/>
      <c r="DK1686" s="17"/>
      <c r="DL1686" s="17"/>
      <c r="DM1686" s="17"/>
      <c r="DN1686" s="17"/>
      <c r="DO1686" s="17"/>
      <c r="DP1686" s="17"/>
    </row>
    <row r="1687" spans="1:120" s="326" customFormat="1" ht="15" customHeight="1">
      <c r="A1687" s="105" t="s">
        <v>336</v>
      </c>
      <c r="B1687" s="24">
        <v>48</v>
      </c>
      <c r="C1687" s="106">
        <v>10</v>
      </c>
      <c r="D1687" s="29" t="s">
        <v>288</v>
      </c>
      <c r="E1687" s="20" t="s">
        <v>149</v>
      </c>
      <c r="F1687" s="20" t="s">
        <v>337</v>
      </c>
      <c r="G1687" s="305">
        <v>5.76</v>
      </c>
      <c r="H1687" s="305">
        <f t="shared" si="9"/>
        <v>57.599999999999994</v>
      </c>
      <c r="I1687" s="17"/>
      <c r="J1687" s="17"/>
      <c r="K1687" s="17"/>
      <c r="L1687" s="17"/>
      <c r="M1687" s="17"/>
      <c r="N1687" s="17"/>
      <c r="O1687" s="17"/>
      <c r="P1687" s="17"/>
      <c r="Q1687" s="17"/>
      <c r="R1687" s="17"/>
      <c r="S1687" s="17"/>
      <c r="T1687" s="17"/>
      <c r="U1687" s="17"/>
      <c r="V1687" s="17"/>
      <c r="W1687" s="17"/>
      <c r="X1687" s="17"/>
      <c r="Y1687" s="17"/>
      <c r="Z1687" s="17"/>
      <c r="AA1687" s="17"/>
      <c r="AB1687" s="17"/>
      <c r="AC1687" s="17"/>
      <c r="AD1687" s="17"/>
      <c r="AE1687" s="17"/>
      <c r="AF1687" s="17"/>
      <c r="AG1687" s="17"/>
      <c r="AH1687" s="17"/>
      <c r="AI1687" s="17"/>
      <c r="AJ1687" s="17"/>
      <c r="AK1687" s="17"/>
      <c r="AL1687" s="17"/>
      <c r="AM1687" s="17"/>
      <c r="AN1687" s="17"/>
      <c r="AO1687" s="17"/>
      <c r="AP1687" s="17"/>
      <c r="AQ1687" s="17"/>
      <c r="AR1687" s="17"/>
      <c r="AS1687" s="17"/>
      <c r="AT1687" s="17"/>
      <c r="AU1687" s="17"/>
      <c r="AV1687" s="17"/>
      <c r="AW1687" s="17"/>
      <c r="AX1687" s="17"/>
      <c r="AY1687" s="17"/>
      <c r="AZ1687" s="17"/>
      <c r="BA1687" s="17"/>
      <c r="BB1687" s="17"/>
      <c r="BC1687" s="17"/>
      <c r="BD1687" s="17"/>
      <c r="BE1687" s="17"/>
      <c r="BF1687" s="17"/>
      <c r="BG1687" s="17"/>
      <c r="BH1687" s="17"/>
      <c r="BI1687" s="17"/>
      <c r="BJ1687" s="17"/>
      <c r="BK1687" s="17"/>
      <c r="BL1687" s="17"/>
      <c r="BM1687" s="17"/>
      <c r="BN1687" s="17"/>
      <c r="BO1687" s="17"/>
      <c r="BP1687" s="17"/>
      <c r="BQ1687" s="17"/>
      <c r="BR1687" s="17"/>
      <c r="BS1687" s="17"/>
      <c r="BT1687" s="17"/>
      <c r="BU1687" s="17"/>
      <c r="BV1687" s="17"/>
      <c r="BW1687" s="17"/>
      <c r="BX1687" s="17"/>
      <c r="BY1687" s="17"/>
      <c r="BZ1687" s="17"/>
      <c r="CA1687" s="17"/>
      <c r="CB1687" s="17"/>
      <c r="CC1687" s="17"/>
      <c r="CD1687" s="17"/>
      <c r="CE1687" s="17"/>
      <c r="CF1687" s="17"/>
      <c r="CG1687" s="17"/>
      <c r="CH1687" s="17"/>
      <c r="CI1687" s="17"/>
      <c r="CJ1687" s="17"/>
      <c r="CK1687" s="17"/>
      <c r="CL1687" s="17"/>
      <c r="CM1687" s="17"/>
      <c r="CN1687" s="17"/>
      <c r="CO1687" s="17"/>
      <c r="CP1687" s="17"/>
      <c r="CQ1687" s="17"/>
      <c r="CR1687" s="17"/>
      <c r="CS1687" s="17"/>
      <c r="CT1687" s="17"/>
      <c r="CU1687" s="17"/>
      <c r="CV1687" s="17"/>
      <c r="CW1687" s="17"/>
      <c r="CX1687" s="17"/>
      <c r="CY1687" s="17"/>
      <c r="CZ1687" s="17"/>
      <c r="DA1687" s="17"/>
      <c r="DB1687" s="17"/>
      <c r="DC1687" s="17"/>
      <c r="DD1687" s="17"/>
      <c r="DE1687" s="17"/>
      <c r="DF1687" s="17"/>
      <c r="DG1687" s="17"/>
      <c r="DH1687" s="17"/>
      <c r="DI1687" s="17"/>
      <c r="DJ1687" s="17"/>
      <c r="DK1687" s="17"/>
      <c r="DL1687" s="17"/>
      <c r="DM1687" s="17"/>
      <c r="DN1687" s="17"/>
      <c r="DO1687" s="17"/>
      <c r="DP1687" s="17"/>
    </row>
    <row r="1688" spans="1:120" s="326" customFormat="1" ht="15" customHeight="1">
      <c r="A1688" s="105" t="s">
        <v>333</v>
      </c>
      <c r="B1688" s="24">
        <v>4</v>
      </c>
      <c r="C1688" s="231">
        <v>40</v>
      </c>
      <c r="D1688" s="29" t="s">
        <v>288</v>
      </c>
      <c r="E1688" s="20" t="s">
        <v>334</v>
      </c>
      <c r="F1688" s="20" t="s">
        <v>335</v>
      </c>
      <c r="G1688" s="305">
        <v>0.68</v>
      </c>
      <c r="H1688" s="305">
        <f t="shared" si="9"/>
        <v>27.200000000000003</v>
      </c>
      <c r="I1688" s="17"/>
      <c r="J1688" s="17"/>
      <c r="K1688" s="17"/>
      <c r="L1688" s="17"/>
      <c r="M1688" s="17"/>
      <c r="N1688" s="17"/>
      <c r="O1688" s="17"/>
      <c r="P1688" s="17"/>
      <c r="Q1688" s="17"/>
      <c r="R1688" s="17"/>
      <c r="S1688" s="17"/>
      <c r="T1688" s="17"/>
      <c r="U1688" s="17"/>
      <c r="V1688" s="17"/>
      <c r="W1688" s="17"/>
      <c r="X1688" s="17"/>
      <c r="Y1688" s="17"/>
      <c r="Z1688" s="17"/>
      <c r="AA1688" s="17"/>
      <c r="AB1688" s="17"/>
      <c r="AC1688" s="17"/>
      <c r="AD1688" s="17"/>
      <c r="AE1688" s="17"/>
      <c r="AF1688" s="17"/>
      <c r="AG1688" s="17"/>
      <c r="AH1688" s="17"/>
      <c r="AI1688" s="17"/>
      <c r="AJ1688" s="17"/>
      <c r="AK1688" s="17"/>
      <c r="AL1688" s="17"/>
      <c r="AM1688" s="17"/>
      <c r="AN1688" s="17"/>
      <c r="AO1688" s="17"/>
      <c r="AP1688" s="17"/>
      <c r="AQ1688" s="17"/>
      <c r="AR1688" s="17"/>
      <c r="AS1688" s="17"/>
      <c r="AT1688" s="17"/>
      <c r="AU1688" s="17"/>
      <c r="AV1688" s="17"/>
      <c r="AW1688" s="17"/>
      <c r="AX1688" s="17"/>
      <c r="AY1688" s="17"/>
      <c r="AZ1688" s="17"/>
      <c r="BA1688" s="17"/>
      <c r="BB1688" s="17"/>
      <c r="BC1688" s="17"/>
      <c r="BD1688" s="17"/>
      <c r="BE1688" s="17"/>
      <c r="BF1688" s="17"/>
      <c r="BG1688" s="17"/>
      <c r="BH1688" s="17"/>
      <c r="BI1688" s="17"/>
      <c r="BJ1688" s="17"/>
      <c r="BK1688" s="17"/>
      <c r="BL1688" s="17"/>
      <c r="BM1688" s="17"/>
      <c r="BN1688" s="17"/>
      <c r="BO1688" s="17"/>
      <c r="BP1688" s="17"/>
      <c r="BQ1688" s="17"/>
      <c r="BR1688" s="17"/>
      <c r="BS1688" s="17"/>
      <c r="BT1688" s="17"/>
      <c r="BU1688" s="17"/>
      <c r="BV1688" s="17"/>
      <c r="BW1688" s="17"/>
      <c r="BX1688" s="17"/>
      <c r="BY1688" s="17"/>
      <c r="BZ1688" s="17"/>
      <c r="CA1688" s="17"/>
      <c r="CB1688" s="17"/>
      <c r="CC1688" s="17"/>
      <c r="CD1688" s="17"/>
      <c r="CE1688" s="17"/>
      <c r="CF1688" s="17"/>
      <c r="CG1688" s="17"/>
      <c r="CH1688" s="17"/>
      <c r="CI1688" s="17"/>
      <c r="CJ1688" s="17"/>
      <c r="CK1688" s="17"/>
      <c r="CL1688" s="17"/>
      <c r="CM1688" s="17"/>
      <c r="CN1688" s="17"/>
      <c r="CO1688" s="17"/>
      <c r="CP1688" s="17"/>
      <c r="CQ1688" s="17"/>
      <c r="CR1688" s="17"/>
      <c r="CS1688" s="17"/>
      <c r="CT1688" s="17"/>
      <c r="CU1688" s="17"/>
      <c r="CV1688" s="17"/>
      <c r="CW1688" s="17"/>
      <c r="CX1688" s="17"/>
      <c r="CY1688" s="17"/>
      <c r="CZ1688" s="17"/>
      <c r="DA1688" s="17"/>
      <c r="DB1688" s="17"/>
      <c r="DC1688" s="17"/>
      <c r="DD1688" s="17"/>
      <c r="DE1688" s="17"/>
      <c r="DF1688" s="17"/>
      <c r="DG1688" s="17"/>
      <c r="DH1688" s="17"/>
      <c r="DI1688" s="17"/>
      <c r="DJ1688" s="17"/>
      <c r="DK1688" s="17"/>
      <c r="DL1688" s="17"/>
      <c r="DM1688" s="17"/>
      <c r="DN1688" s="17"/>
      <c r="DO1688" s="17"/>
      <c r="DP1688" s="17"/>
    </row>
    <row r="1689" spans="1:120" s="326" customFormat="1" ht="15" customHeight="1">
      <c r="A1689" s="105" t="s">
        <v>333</v>
      </c>
      <c r="B1689" s="24">
        <v>6</v>
      </c>
      <c r="C1689" s="106">
        <v>10</v>
      </c>
      <c r="D1689" s="29" t="s">
        <v>288</v>
      </c>
      <c r="E1689" s="20" t="s">
        <v>334</v>
      </c>
      <c r="F1689" s="20" t="s">
        <v>335</v>
      </c>
      <c r="G1689" s="305">
        <v>0.7</v>
      </c>
      <c r="H1689" s="305">
        <f t="shared" si="9"/>
        <v>7</v>
      </c>
      <c r="I1689" s="17"/>
      <c r="J1689" s="17"/>
      <c r="K1689" s="17"/>
      <c r="L1689" s="17"/>
      <c r="M1689" s="17"/>
      <c r="N1689" s="17"/>
      <c r="O1689" s="17"/>
      <c r="P1689" s="17"/>
      <c r="Q1689" s="17"/>
      <c r="R1689" s="17"/>
      <c r="S1689" s="17"/>
      <c r="T1689" s="17"/>
      <c r="U1689" s="17"/>
      <c r="V1689" s="17"/>
      <c r="W1689" s="17"/>
      <c r="X1689" s="17"/>
      <c r="Y1689" s="17"/>
      <c r="Z1689" s="17"/>
      <c r="AA1689" s="17"/>
      <c r="AB1689" s="17"/>
      <c r="AC1689" s="17"/>
      <c r="AD1689" s="17"/>
      <c r="AE1689" s="17"/>
      <c r="AF1689" s="17"/>
      <c r="AG1689" s="17"/>
      <c r="AH1689" s="17"/>
      <c r="AI1689" s="17"/>
      <c r="AJ1689" s="17"/>
      <c r="AK1689" s="17"/>
      <c r="AL1689" s="17"/>
      <c r="AM1689" s="17"/>
      <c r="AN1689" s="17"/>
      <c r="AO1689" s="17"/>
      <c r="AP1689" s="17"/>
      <c r="AQ1689" s="17"/>
      <c r="AR1689" s="17"/>
      <c r="AS1689" s="17"/>
      <c r="AT1689" s="17"/>
      <c r="AU1689" s="17"/>
      <c r="AV1689" s="17"/>
      <c r="AW1689" s="17"/>
      <c r="AX1689" s="17"/>
      <c r="AY1689" s="17"/>
      <c r="AZ1689" s="17"/>
      <c r="BA1689" s="17"/>
      <c r="BB1689" s="17"/>
      <c r="BC1689" s="17"/>
      <c r="BD1689" s="17"/>
      <c r="BE1689" s="17"/>
      <c r="BF1689" s="17"/>
      <c r="BG1689" s="17"/>
      <c r="BH1689" s="17"/>
      <c r="BI1689" s="17"/>
      <c r="BJ1689" s="17"/>
      <c r="BK1689" s="17"/>
      <c r="BL1689" s="17"/>
      <c r="BM1689" s="17"/>
      <c r="BN1689" s="17"/>
      <c r="BO1689" s="17"/>
      <c r="BP1689" s="17"/>
      <c r="BQ1689" s="17"/>
      <c r="BR1689" s="17"/>
      <c r="BS1689" s="17"/>
      <c r="BT1689" s="17"/>
      <c r="BU1689" s="17"/>
      <c r="BV1689" s="17"/>
      <c r="BW1689" s="17"/>
      <c r="BX1689" s="17"/>
      <c r="BY1689" s="17"/>
      <c r="BZ1689" s="17"/>
      <c r="CA1689" s="17"/>
      <c r="CB1689" s="17"/>
      <c r="CC1689" s="17"/>
      <c r="CD1689" s="17"/>
      <c r="CE1689" s="17"/>
      <c r="CF1689" s="17"/>
      <c r="CG1689" s="17"/>
      <c r="CH1689" s="17"/>
      <c r="CI1689" s="17"/>
      <c r="CJ1689" s="17"/>
      <c r="CK1689" s="17"/>
      <c r="CL1689" s="17"/>
      <c r="CM1689" s="17"/>
      <c r="CN1689" s="17"/>
      <c r="CO1689" s="17"/>
      <c r="CP1689" s="17"/>
      <c r="CQ1689" s="17"/>
      <c r="CR1689" s="17"/>
      <c r="CS1689" s="17"/>
      <c r="CT1689" s="17"/>
      <c r="CU1689" s="17"/>
      <c r="CV1689" s="17"/>
      <c r="CW1689" s="17"/>
      <c r="CX1689" s="17"/>
      <c r="CY1689" s="17"/>
      <c r="CZ1689" s="17"/>
      <c r="DA1689" s="17"/>
      <c r="DB1689" s="17"/>
      <c r="DC1689" s="17"/>
      <c r="DD1689" s="17"/>
      <c r="DE1689" s="17"/>
      <c r="DF1689" s="17"/>
      <c r="DG1689" s="17"/>
      <c r="DH1689" s="17"/>
      <c r="DI1689" s="17"/>
      <c r="DJ1689" s="17"/>
      <c r="DK1689" s="17"/>
      <c r="DL1689" s="17"/>
      <c r="DM1689" s="17"/>
      <c r="DN1689" s="17"/>
      <c r="DO1689" s="17"/>
      <c r="DP1689" s="17"/>
    </row>
    <row r="1690" spans="1:120" s="326" customFormat="1" ht="15" customHeight="1">
      <c r="A1690" s="105" t="s">
        <v>333</v>
      </c>
      <c r="B1690" s="24">
        <v>9</v>
      </c>
      <c r="C1690" s="106">
        <v>10</v>
      </c>
      <c r="D1690" s="29" t="s">
        <v>288</v>
      </c>
      <c r="E1690" s="20" t="s">
        <v>334</v>
      </c>
      <c r="F1690" s="20" t="s">
        <v>335</v>
      </c>
      <c r="G1690" s="305">
        <v>0.79</v>
      </c>
      <c r="H1690" s="305">
        <f t="shared" si="9"/>
        <v>7.9</v>
      </c>
      <c r="I1690" s="17"/>
      <c r="J1690" s="17"/>
      <c r="K1690" s="17"/>
      <c r="L1690" s="17"/>
      <c r="M1690" s="17"/>
      <c r="N1690" s="17"/>
      <c r="O1690" s="17"/>
      <c r="P1690" s="17"/>
      <c r="Q1690" s="17"/>
      <c r="R1690" s="17"/>
      <c r="S1690" s="17"/>
      <c r="T1690" s="17"/>
      <c r="U1690" s="17"/>
      <c r="V1690" s="17"/>
      <c r="W1690" s="17"/>
      <c r="X1690" s="17"/>
      <c r="Y1690" s="17"/>
      <c r="Z1690" s="17"/>
      <c r="AA1690" s="17"/>
      <c r="AB1690" s="17"/>
      <c r="AC1690" s="17"/>
      <c r="AD1690" s="17"/>
      <c r="AE1690" s="17"/>
      <c r="AF1690" s="17"/>
      <c r="AG1690" s="17"/>
      <c r="AH1690" s="17"/>
      <c r="AI1690" s="17"/>
      <c r="AJ1690" s="17"/>
      <c r="AK1690" s="17"/>
      <c r="AL1690" s="17"/>
      <c r="AM1690" s="17"/>
      <c r="AN1690" s="17"/>
      <c r="AO1690" s="17"/>
      <c r="AP1690" s="17"/>
      <c r="AQ1690" s="17"/>
      <c r="AR1690" s="17"/>
      <c r="AS1690" s="17"/>
      <c r="AT1690" s="17"/>
      <c r="AU1690" s="17"/>
      <c r="AV1690" s="17"/>
      <c r="AW1690" s="17"/>
      <c r="AX1690" s="17"/>
      <c r="AY1690" s="17"/>
      <c r="AZ1690" s="17"/>
      <c r="BA1690" s="17"/>
      <c r="BB1690" s="17"/>
      <c r="BC1690" s="17"/>
      <c r="BD1690" s="17"/>
      <c r="BE1690" s="17"/>
      <c r="BF1690" s="17"/>
      <c r="BG1690" s="17"/>
      <c r="BH1690" s="17"/>
      <c r="BI1690" s="17"/>
      <c r="BJ1690" s="17"/>
      <c r="BK1690" s="17"/>
      <c r="BL1690" s="17"/>
      <c r="BM1690" s="17"/>
      <c r="BN1690" s="17"/>
      <c r="BO1690" s="17"/>
      <c r="BP1690" s="17"/>
      <c r="BQ1690" s="17"/>
      <c r="BR1690" s="17"/>
      <c r="BS1690" s="17"/>
      <c r="BT1690" s="17"/>
      <c r="BU1690" s="17"/>
      <c r="BV1690" s="17"/>
      <c r="BW1690" s="17"/>
      <c r="BX1690" s="17"/>
      <c r="BY1690" s="17"/>
      <c r="BZ1690" s="17"/>
      <c r="CA1690" s="17"/>
      <c r="CB1690" s="17"/>
      <c r="CC1690" s="17"/>
      <c r="CD1690" s="17"/>
      <c r="CE1690" s="17"/>
      <c r="CF1690" s="17"/>
      <c r="CG1690" s="17"/>
      <c r="CH1690" s="17"/>
      <c r="CI1690" s="17"/>
      <c r="CJ1690" s="17"/>
      <c r="CK1690" s="17"/>
      <c r="CL1690" s="17"/>
      <c r="CM1690" s="17"/>
      <c r="CN1690" s="17"/>
      <c r="CO1690" s="17"/>
      <c r="CP1690" s="17"/>
      <c r="CQ1690" s="17"/>
      <c r="CR1690" s="17"/>
      <c r="CS1690" s="17"/>
      <c r="CT1690" s="17"/>
      <c r="CU1690" s="17"/>
      <c r="CV1690" s="17"/>
      <c r="CW1690" s="17"/>
      <c r="CX1690" s="17"/>
      <c r="CY1690" s="17"/>
      <c r="CZ1690" s="17"/>
      <c r="DA1690" s="17"/>
      <c r="DB1690" s="17"/>
      <c r="DC1690" s="17"/>
      <c r="DD1690" s="17"/>
      <c r="DE1690" s="17"/>
      <c r="DF1690" s="17"/>
      <c r="DG1690" s="17"/>
      <c r="DH1690" s="17"/>
      <c r="DI1690" s="17"/>
      <c r="DJ1690" s="17"/>
      <c r="DK1690" s="17"/>
      <c r="DL1690" s="17"/>
      <c r="DM1690" s="17"/>
      <c r="DN1690" s="17"/>
      <c r="DO1690" s="17"/>
      <c r="DP1690" s="17"/>
    </row>
    <row r="1691" spans="1:120" s="326" customFormat="1" ht="15" customHeight="1">
      <c r="A1691" s="105" t="s">
        <v>333</v>
      </c>
      <c r="B1691" s="24">
        <v>12</v>
      </c>
      <c r="C1691" s="106">
        <v>10</v>
      </c>
      <c r="D1691" s="29" t="s">
        <v>288</v>
      </c>
      <c r="E1691" s="20" t="s">
        <v>334</v>
      </c>
      <c r="F1691" s="20" t="s">
        <v>335</v>
      </c>
      <c r="G1691" s="305">
        <v>0.88</v>
      </c>
      <c r="H1691" s="305">
        <f t="shared" si="9"/>
        <v>8.8000000000000007</v>
      </c>
      <c r="I1691" s="17"/>
      <c r="J1691" s="17"/>
      <c r="K1691" s="17"/>
      <c r="L1691" s="17"/>
      <c r="M1691" s="17"/>
      <c r="N1691" s="17"/>
      <c r="O1691" s="17"/>
      <c r="P1691" s="17"/>
      <c r="Q1691" s="17"/>
      <c r="R1691" s="17"/>
      <c r="S1691" s="17"/>
      <c r="T1691" s="17"/>
      <c r="U1691" s="17"/>
      <c r="V1691" s="17"/>
      <c r="W1691" s="17"/>
      <c r="X1691" s="17"/>
      <c r="Y1691" s="17"/>
      <c r="Z1691" s="17"/>
      <c r="AA1691" s="17"/>
      <c r="AB1691" s="17"/>
      <c r="AC1691" s="17"/>
      <c r="AD1691" s="17"/>
      <c r="AE1691" s="17"/>
      <c r="AF1691" s="17"/>
      <c r="AG1691" s="17"/>
      <c r="AH1691" s="17"/>
      <c r="AI1691" s="17"/>
      <c r="AJ1691" s="17"/>
      <c r="AK1691" s="17"/>
      <c r="AL1691" s="17"/>
      <c r="AM1691" s="17"/>
      <c r="AN1691" s="17"/>
      <c r="AO1691" s="17"/>
      <c r="AP1691" s="17"/>
      <c r="AQ1691" s="17"/>
      <c r="AR1691" s="17"/>
      <c r="AS1691" s="17"/>
      <c r="AT1691" s="17"/>
      <c r="AU1691" s="17"/>
      <c r="AV1691" s="17"/>
      <c r="AW1691" s="17"/>
      <c r="AX1691" s="17"/>
      <c r="AY1691" s="17"/>
      <c r="AZ1691" s="17"/>
      <c r="BA1691" s="17"/>
      <c r="BB1691" s="17"/>
      <c r="BC1691" s="17"/>
      <c r="BD1691" s="17"/>
      <c r="BE1691" s="17"/>
      <c r="BF1691" s="17"/>
      <c r="BG1691" s="17"/>
      <c r="BH1691" s="17"/>
      <c r="BI1691" s="17"/>
      <c r="BJ1691" s="17"/>
      <c r="BK1691" s="17"/>
      <c r="BL1691" s="17"/>
      <c r="BM1691" s="17"/>
      <c r="BN1691" s="17"/>
      <c r="BO1691" s="17"/>
      <c r="BP1691" s="17"/>
      <c r="BQ1691" s="17"/>
      <c r="BR1691" s="17"/>
      <c r="BS1691" s="17"/>
      <c r="BT1691" s="17"/>
      <c r="BU1691" s="17"/>
      <c r="BV1691" s="17"/>
      <c r="BW1691" s="17"/>
      <c r="BX1691" s="17"/>
      <c r="BY1691" s="17"/>
      <c r="BZ1691" s="17"/>
      <c r="CA1691" s="17"/>
      <c r="CB1691" s="17"/>
      <c r="CC1691" s="17"/>
      <c r="CD1691" s="17"/>
      <c r="CE1691" s="17"/>
      <c r="CF1691" s="17"/>
      <c r="CG1691" s="17"/>
      <c r="CH1691" s="17"/>
      <c r="CI1691" s="17"/>
      <c r="CJ1691" s="17"/>
      <c r="CK1691" s="17"/>
      <c r="CL1691" s="17"/>
      <c r="CM1691" s="17"/>
      <c r="CN1691" s="17"/>
      <c r="CO1691" s="17"/>
      <c r="CP1691" s="17"/>
      <c r="CQ1691" s="17"/>
      <c r="CR1691" s="17"/>
      <c r="CS1691" s="17"/>
      <c r="CT1691" s="17"/>
      <c r="CU1691" s="17"/>
      <c r="CV1691" s="17"/>
      <c r="CW1691" s="17"/>
      <c r="CX1691" s="17"/>
      <c r="CY1691" s="17"/>
      <c r="CZ1691" s="17"/>
      <c r="DA1691" s="17"/>
      <c r="DB1691" s="17"/>
      <c r="DC1691" s="17"/>
      <c r="DD1691" s="17"/>
      <c r="DE1691" s="17"/>
      <c r="DF1691" s="17"/>
      <c r="DG1691" s="17"/>
      <c r="DH1691" s="17"/>
      <c r="DI1691" s="17"/>
      <c r="DJ1691" s="17"/>
      <c r="DK1691" s="17"/>
      <c r="DL1691" s="17"/>
      <c r="DM1691" s="17"/>
      <c r="DN1691" s="17"/>
      <c r="DO1691" s="17"/>
      <c r="DP1691" s="17"/>
    </row>
    <row r="1692" spans="1:120" s="326" customFormat="1" ht="15" customHeight="1">
      <c r="A1692" s="105" t="s">
        <v>333</v>
      </c>
      <c r="B1692" s="24">
        <v>18</v>
      </c>
      <c r="C1692" s="106">
        <v>10</v>
      </c>
      <c r="D1692" s="29" t="s">
        <v>288</v>
      </c>
      <c r="E1692" s="20" t="s">
        <v>334</v>
      </c>
      <c r="F1692" s="20" t="s">
        <v>335</v>
      </c>
      <c r="G1692" s="305">
        <v>1.1399999999999999</v>
      </c>
      <c r="H1692" s="305">
        <f t="shared" si="9"/>
        <v>11.399999999999999</v>
      </c>
      <c r="I1692" s="17"/>
      <c r="J1692" s="17"/>
      <c r="K1692" s="17"/>
      <c r="L1692" s="17"/>
      <c r="M1692" s="17"/>
      <c r="N1692" s="17"/>
      <c r="O1692" s="17"/>
      <c r="P1692" s="17"/>
      <c r="Q1692" s="17"/>
      <c r="R1692" s="17"/>
      <c r="S1692" s="17"/>
      <c r="T1692" s="17"/>
      <c r="U1692" s="17"/>
      <c r="V1692" s="17"/>
      <c r="W1692" s="17"/>
      <c r="X1692" s="17"/>
      <c r="Y1692" s="17"/>
      <c r="Z1692" s="17"/>
      <c r="AA1692" s="17"/>
      <c r="AB1692" s="17"/>
      <c r="AC1692" s="17"/>
      <c r="AD1692" s="17"/>
      <c r="AE1692" s="17"/>
      <c r="AF1692" s="17"/>
      <c r="AG1692" s="17"/>
      <c r="AH1692" s="17"/>
      <c r="AI1692" s="17"/>
      <c r="AJ1692" s="17"/>
      <c r="AK1692" s="17"/>
      <c r="AL1692" s="17"/>
      <c r="AM1692" s="17"/>
      <c r="AN1692" s="17"/>
      <c r="AO1692" s="17"/>
      <c r="AP1692" s="17"/>
      <c r="AQ1692" s="17"/>
      <c r="AR1692" s="17"/>
      <c r="AS1692" s="17"/>
      <c r="AT1692" s="17"/>
      <c r="AU1692" s="17"/>
      <c r="AV1692" s="17"/>
      <c r="AW1692" s="17"/>
      <c r="AX1692" s="17"/>
      <c r="AY1692" s="17"/>
      <c r="AZ1692" s="17"/>
      <c r="BA1692" s="17"/>
      <c r="BB1692" s="17"/>
      <c r="BC1692" s="17"/>
      <c r="BD1692" s="17"/>
      <c r="BE1692" s="17"/>
      <c r="BF1692" s="17"/>
      <c r="BG1692" s="17"/>
      <c r="BH1692" s="17"/>
      <c r="BI1692" s="17"/>
      <c r="BJ1692" s="17"/>
      <c r="BK1692" s="17"/>
      <c r="BL1692" s="17"/>
      <c r="BM1692" s="17"/>
      <c r="BN1692" s="17"/>
      <c r="BO1692" s="17"/>
      <c r="BP1692" s="17"/>
      <c r="BQ1692" s="17"/>
      <c r="BR1692" s="17"/>
      <c r="BS1692" s="17"/>
      <c r="BT1692" s="17"/>
      <c r="BU1692" s="17"/>
      <c r="BV1692" s="17"/>
      <c r="BW1692" s="17"/>
      <c r="BX1692" s="17"/>
      <c r="BY1692" s="17"/>
      <c r="BZ1692" s="17"/>
      <c r="CA1692" s="17"/>
      <c r="CB1692" s="17"/>
      <c r="CC1692" s="17"/>
      <c r="CD1692" s="17"/>
      <c r="CE1692" s="17"/>
      <c r="CF1692" s="17"/>
      <c r="CG1692" s="17"/>
      <c r="CH1692" s="17"/>
      <c r="CI1692" s="17"/>
      <c r="CJ1692" s="17"/>
      <c r="CK1692" s="17"/>
      <c r="CL1692" s="17"/>
      <c r="CM1692" s="17"/>
      <c r="CN1692" s="17"/>
      <c r="CO1692" s="17"/>
      <c r="CP1692" s="17"/>
      <c r="CQ1692" s="17"/>
      <c r="CR1692" s="17"/>
      <c r="CS1692" s="17"/>
      <c r="CT1692" s="17"/>
      <c r="CU1692" s="17"/>
      <c r="CV1692" s="17"/>
      <c r="CW1692" s="17"/>
      <c r="CX1692" s="17"/>
      <c r="CY1692" s="17"/>
      <c r="CZ1692" s="17"/>
      <c r="DA1692" s="17"/>
      <c r="DB1692" s="17"/>
      <c r="DC1692" s="17"/>
      <c r="DD1692" s="17"/>
      <c r="DE1692" s="17"/>
      <c r="DF1692" s="17"/>
      <c r="DG1692" s="17"/>
      <c r="DH1692" s="17"/>
      <c r="DI1692" s="17"/>
      <c r="DJ1692" s="17"/>
      <c r="DK1692" s="17"/>
      <c r="DL1692" s="17"/>
      <c r="DM1692" s="17"/>
      <c r="DN1692" s="17"/>
      <c r="DO1692" s="17"/>
      <c r="DP1692" s="17"/>
    </row>
    <row r="1693" spans="1:120" s="326" customFormat="1" ht="15" customHeight="1">
      <c r="A1693" s="105" t="s">
        <v>333</v>
      </c>
      <c r="B1693" s="24">
        <v>24</v>
      </c>
      <c r="C1693" s="106">
        <v>10</v>
      </c>
      <c r="D1693" s="29" t="s">
        <v>288</v>
      </c>
      <c r="E1693" s="20" t="s">
        <v>334</v>
      </c>
      <c r="F1693" s="20" t="s">
        <v>335</v>
      </c>
      <c r="G1693" s="305">
        <v>1.4</v>
      </c>
      <c r="H1693" s="305">
        <f t="shared" si="9"/>
        <v>14</v>
      </c>
      <c r="I1693" s="17"/>
      <c r="J1693" s="17"/>
      <c r="K1693" s="17"/>
      <c r="L1693" s="17"/>
      <c r="M1693" s="17"/>
      <c r="N1693" s="17"/>
      <c r="O1693" s="17"/>
      <c r="P1693" s="17"/>
      <c r="Q1693" s="17"/>
      <c r="R1693" s="17"/>
      <c r="S1693" s="17"/>
      <c r="T1693" s="17"/>
      <c r="U1693" s="17"/>
      <c r="V1693" s="17"/>
      <c r="W1693" s="17"/>
      <c r="X1693" s="17"/>
      <c r="Y1693" s="17"/>
      <c r="Z1693" s="17"/>
      <c r="AA1693" s="17"/>
      <c r="AB1693" s="17"/>
      <c r="AC1693" s="17"/>
      <c r="AD1693" s="17"/>
      <c r="AE1693" s="17"/>
      <c r="AF1693" s="17"/>
      <c r="AG1693" s="17"/>
      <c r="AH1693" s="17"/>
      <c r="AI1693" s="17"/>
      <c r="AJ1693" s="17"/>
      <c r="AK1693" s="17"/>
      <c r="AL1693" s="17"/>
      <c r="AM1693" s="17"/>
      <c r="AN1693" s="17"/>
      <c r="AO1693" s="17"/>
      <c r="AP1693" s="17"/>
      <c r="AQ1693" s="17"/>
      <c r="AR1693" s="17"/>
      <c r="AS1693" s="17"/>
      <c r="AT1693" s="17"/>
      <c r="AU1693" s="17"/>
      <c r="AV1693" s="17"/>
      <c r="AW1693" s="17"/>
      <c r="AX1693" s="17"/>
      <c r="AY1693" s="17"/>
      <c r="AZ1693" s="17"/>
      <c r="BA1693" s="17"/>
      <c r="BB1693" s="17"/>
      <c r="BC1693" s="17"/>
      <c r="BD1693" s="17"/>
      <c r="BE1693" s="17"/>
      <c r="BF1693" s="17"/>
      <c r="BG1693" s="17"/>
      <c r="BH1693" s="17"/>
      <c r="BI1693" s="17"/>
      <c r="BJ1693" s="17"/>
      <c r="BK1693" s="17"/>
      <c r="BL1693" s="17"/>
      <c r="BM1693" s="17"/>
      <c r="BN1693" s="17"/>
      <c r="BO1693" s="17"/>
      <c r="BP1693" s="17"/>
      <c r="BQ1693" s="17"/>
      <c r="BR1693" s="17"/>
      <c r="BS1693" s="17"/>
      <c r="BT1693" s="17"/>
      <c r="BU1693" s="17"/>
      <c r="BV1693" s="17"/>
      <c r="BW1693" s="17"/>
      <c r="BX1693" s="17"/>
      <c r="BY1693" s="17"/>
      <c r="BZ1693" s="17"/>
      <c r="CA1693" s="17"/>
      <c r="CB1693" s="17"/>
      <c r="CC1693" s="17"/>
      <c r="CD1693" s="17"/>
      <c r="CE1693" s="17"/>
      <c r="CF1693" s="17"/>
      <c r="CG1693" s="17"/>
      <c r="CH1693" s="17"/>
      <c r="CI1693" s="17"/>
      <c r="CJ1693" s="17"/>
      <c r="CK1693" s="17"/>
      <c r="CL1693" s="17"/>
      <c r="CM1693" s="17"/>
      <c r="CN1693" s="17"/>
      <c r="CO1693" s="17"/>
      <c r="CP1693" s="17"/>
      <c r="CQ1693" s="17"/>
      <c r="CR1693" s="17"/>
      <c r="CS1693" s="17"/>
      <c r="CT1693" s="17"/>
      <c r="CU1693" s="17"/>
      <c r="CV1693" s="17"/>
      <c r="CW1693" s="17"/>
      <c r="CX1693" s="17"/>
      <c r="CY1693" s="17"/>
      <c r="CZ1693" s="17"/>
      <c r="DA1693" s="17"/>
      <c r="DB1693" s="17"/>
      <c r="DC1693" s="17"/>
      <c r="DD1693" s="17"/>
      <c r="DE1693" s="17"/>
      <c r="DF1693" s="17"/>
      <c r="DG1693" s="17"/>
      <c r="DH1693" s="17"/>
      <c r="DI1693" s="17"/>
      <c r="DJ1693" s="17"/>
      <c r="DK1693" s="17"/>
      <c r="DL1693" s="17"/>
      <c r="DM1693" s="17"/>
      <c r="DN1693" s="17"/>
      <c r="DO1693" s="17"/>
      <c r="DP1693" s="17"/>
    </row>
    <row r="1694" spans="1:120" s="326" customFormat="1" ht="15" customHeight="1">
      <c r="A1694" s="105" t="s">
        <v>333</v>
      </c>
      <c r="B1694" s="24">
        <v>38</v>
      </c>
      <c r="C1694" s="106">
        <v>10</v>
      </c>
      <c r="D1694" s="29" t="s">
        <v>288</v>
      </c>
      <c r="E1694" s="20" t="s">
        <v>334</v>
      </c>
      <c r="F1694" s="20" t="s">
        <v>335</v>
      </c>
      <c r="G1694" s="305">
        <v>2.4</v>
      </c>
      <c r="H1694" s="305">
        <f t="shared" si="9"/>
        <v>24</v>
      </c>
      <c r="I1694" s="17"/>
      <c r="J1694" s="17"/>
      <c r="K1694" s="17"/>
      <c r="L1694" s="17"/>
      <c r="M1694" s="17"/>
      <c r="N1694" s="17"/>
      <c r="O1694" s="17"/>
      <c r="P1694" s="17"/>
      <c r="Q1694" s="17"/>
      <c r="R1694" s="17"/>
      <c r="S1694" s="17"/>
      <c r="T1694" s="17"/>
      <c r="U1694" s="17"/>
      <c r="V1694" s="17"/>
      <c r="W1694" s="17"/>
      <c r="X1694" s="17"/>
      <c r="Y1694" s="17"/>
      <c r="Z1694" s="17"/>
      <c r="AA1694" s="17"/>
      <c r="AB1694" s="17"/>
      <c r="AC1694" s="17"/>
      <c r="AD1694" s="17"/>
      <c r="AE1694" s="17"/>
      <c r="AF1694" s="17"/>
      <c r="AG1694" s="17"/>
      <c r="AH1694" s="17"/>
      <c r="AI1694" s="17"/>
      <c r="AJ1694" s="17"/>
      <c r="AK1694" s="17"/>
      <c r="AL1694" s="17"/>
      <c r="AM1694" s="17"/>
      <c r="AN1694" s="17"/>
      <c r="AO1694" s="17"/>
      <c r="AP1694" s="17"/>
      <c r="AQ1694" s="17"/>
      <c r="AR1694" s="17"/>
      <c r="AS1694" s="17"/>
      <c r="AT1694" s="17"/>
      <c r="AU1694" s="17"/>
      <c r="AV1694" s="17"/>
      <c r="AW1694" s="17"/>
      <c r="AX1694" s="17"/>
      <c r="AY1694" s="17"/>
      <c r="AZ1694" s="17"/>
      <c r="BA1694" s="17"/>
      <c r="BB1694" s="17"/>
      <c r="BC1694" s="17"/>
      <c r="BD1694" s="17"/>
      <c r="BE1694" s="17"/>
      <c r="BF1694" s="17"/>
      <c r="BG1694" s="17"/>
      <c r="BH1694" s="17"/>
      <c r="BI1694" s="17"/>
      <c r="BJ1694" s="17"/>
      <c r="BK1694" s="17"/>
      <c r="BL1694" s="17"/>
      <c r="BM1694" s="17"/>
      <c r="BN1694" s="17"/>
      <c r="BO1694" s="17"/>
      <c r="BP1694" s="17"/>
      <c r="BQ1694" s="17"/>
      <c r="BR1694" s="17"/>
      <c r="BS1694" s="17"/>
      <c r="BT1694" s="17"/>
      <c r="BU1694" s="17"/>
      <c r="BV1694" s="17"/>
      <c r="BW1694" s="17"/>
      <c r="BX1694" s="17"/>
      <c r="BY1694" s="17"/>
      <c r="BZ1694" s="17"/>
      <c r="CA1694" s="17"/>
      <c r="CB1694" s="17"/>
      <c r="CC1694" s="17"/>
      <c r="CD1694" s="17"/>
      <c r="CE1694" s="17"/>
      <c r="CF1694" s="17"/>
      <c r="CG1694" s="17"/>
      <c r="CH1694" s="17"/>
      <c r="CI1694" s="17"/>
      <c r="CJ1694" s="17"/>
      <c r="CK1694" s="17"/>
      <c r="CL1694" s="17"/>
      <c r="CM1694" s="17"/>
      <c r="CN1694" s="17"/>
      <c r="CO1694" s="17"/>
      <c r="CP1694" s="17"/>
      <c r="CQ1694" s="17"/>
      <c r="CR1694" s="17"/>
      <c r="CS1694" s="17"/>
      <c r="CT1694" s="17"/>
      <c r="CU1694" s="17"/>
      <c r="CV1694" s="17"/>
      <c r="CW1694" s="17"/>
      <c r="CX1694" s="17"/>
      <c r="CY1694" s="17"/>
      <c r="CZ1694" s="17"/>
      <c r="DA1694" s="17"/>
      <c r="DB1694" s="17"/>
      <c r="DC1694" s="17"/>
      <c r="DD1694" s="17"/>
      <c r="DE1694" s="17"/>
      <c r="DF1694" s="17"/>
      <c r="DG1694" s="17"/>
      <c r="DH1694" s="17"/>
      <c r="DI1694" s="17"/>
      <c r="DJ1694" s="17"/>
      <c r="DK1694" s="17"/>
      <c r="DL1694" s="17"/>
      <c r="DM1694" s="17"/>
      <c r="DN1694" s="17"/>
      <c r="DO1694" s="17"/>
      <c r="DP1694" s="17"/>
    </row>
    <row r="1695" spans="1:120" s="326" customFormat="1" ht="15" customHeight="1">
      <c r="A1695" s="105" t="s">
        <v>333</v>
      </c>
      <c r="B1695" s="24">
        <v>50</v>
      </c>
      <c r="C1695" s="106">
        <v>10</v>
      </c>
      <c r="D1695" s="29" t="s">
        <v>288</v>
      </c>
      <c r="E1695" s="20" t="s">
        <v>334</v>
      </c>
      <c r="F1695" s="20" t="s">
        <v>335</v>
      </c>
      <c r="G1695" s="305">
        <v>3.1599999999999997</v>
      </c>
      <c r="H1695" s="305">
        <f t="shared" si="9"/>
        <v>31.599999999999998</v>
      </c>
      <c r="I1695" s="17"/>
      <c r="J1695" s="17"/>
      <c r="K1695" s="17"/>
      <c r="L1695" s="17"/>
      <c r="M1695" s="17"/>
      <c r="N1695" s="17"/>
      <c r="O1695" s="17"/>
      <c r="P1695" s="17"/>
      <c r="Q1695" s="17"/>
      <c r="R1695" s="17"/>
      <c r="S1695" s="17"/>
      <c r="T1695" s="17"/>
      <c r="U1695" s="17"/>
      <c r="V1695" s="17"/>
      <c r="W1695" s="17"/>
      <c r="X1695" s="17"/>
      <c r="Y1695" s="17"/>
      <c r="Z1695" s="17"/>
      <c r="AA1695" s="17"/>
      <c r="AB1695" s="17"/>
      <c r="AC1695" s="17"/>
      <c r="AD1695" s="17"/>
      <c r="AE1695" s="17"/>
      <c r="AF1695" s="17"/>
      <c r="AG1695" s="17"/>
      <c r="AH1695" s="17"/>
      <c r="AI1695" s="17"/>
      <c r="AJ1695" s="17"/>
      <c r="AK1695" s="17"/>
      <c r="AL1695" s="17"/>
      <c r="AM1695" s="17"/>
      <c r="AN1695" s="17"/>
      <c r="AO1695" s="17"/>
      <c r="AP1695" s="17"/>
      <c r="AQ1695" s="17"/>
      <c r="AR1695" s="17"/>
      <c r="AS1695" s="17"/>
      <c r="AT1695" s="17"/>
      <c r="AU1695" s="17"/>
      <c r="AV1695" s="17"/>
      <c r="AW1695" s="17"/>
      <c r="AX1695" s="17"/>
      <c r="AY1695" s="17"/>
      <c r="AZ1695" s="17"/>
      <c r="BA1695" s="17"/>
      <c r="BB1695" s="17"/>
      <c r="BC1695" s="17"/>
      <c r="BD1695" s="17"/>
      <c r="BE1695" s="17"/>
      <c r="BF1695" s="17"/>
      <c r="BG1695" s="17"/>
      <c r="BH1695" s="17"/>
      <c r="BI1695" s="17"/>
      <c r="BJ1695" s="17"/>
      <c r="BK1695" s="17"/>
      <c r="BL1695" s="17"/>
      <c r="BM1695" s="17"/>
      <c r="BN1695" s="17"/>
      <c r="BO1695" s="17"/>
      <c r="BP1695" s="17"/>
      <c r="BQ1695" s="17"/>
      <c r="BR1695" s="17"/>
      <c r="BS1695" s="17"/>
      <c r="BT1695" s="17"/>
      <c r="BU1695" s="17"/>
      <c r="BV1695" s="17"/>
      <c r="BW1695" s="17"/>
      <c r="BX1695" s="17"/>
      <c r="BY1695" s="17"/>
      <c r="BZ1695" s="17"/>
      <c r="CA1695" s="17"/>
      <c r="CB1695" s="17"/>
      <c r="CC1695" s="17"/>
      <c r="CD1695" s="17"/>
      <c r="CE1695" s="17"/>
      <c r="CF1695" s="17"/>
      <c r="CG1695" s="17"/>
      <c r="CH1695" s="17"/>
      <c r="CI1695" s="17"/>
      <c r="CJ1695" s="17"/>
      <c r="CK1695" s="17"/>
      <c r="CL1695" s="17"/>
      <c r="CM1695" s="17"/>
      <c r="CN1695" s="17"/>
      <c r="CO1695" s="17"/>
      <c r="CP1695" s="17"/>
      <c r="CQ1695" s="17"/>
      <c r="CR1695" s="17"/>
      <c r="CS1695" s="17"/>
      <c r="CT1695" s="17"/>
      <c r="CU1695" s="17"/>
      <c r="CV1695" s="17"/>
      <c r="CW1695" s="17"/>
      <c r="CX1695" s="17"/>
      <c r="CY1695" s="17"/>
      <c r="CZ1695" s="17"/>
      <c r="DA1695" s="17"/>
      <c r="DB1695" s="17"/>
      <c r="DC1695" s="17"/>
      <c r="DD1695" s="17"/>
      <c r="DE1695" s="17"/>
      <c r="DF1695" s="17"/>
      <c r="DG1695" s="17"/>
      <c r="DH1695" s="17"/>
      <c r="DI1695" s="17"/>
      <c r="DJ1695" s="17"/>
      <c r="DK1695" s="17"/>
      <c r="DL1695" s="17"/>
      <c r="DM1695" s="17"/>
      <c r="DN1695" s="17"/>
      <c r="DO1695" s="17"/>
      <c r="DP1695" s="17"/>
    </row>
    <row r="1698" spans="1:7" ht="15.75">
      <c r="A1698" s="220" t="s">
        <v>82</v>
      </c>
      <c r="B1698" s="220" t="s">
        <v>35</v>
      </c>
      <c r="C1698" s="220" t="s">
        <v>279</v>
      </c>
      <c r="D1698" s="77" t="s">
        <v>245</v>
      </c>
      <c r="E1698" s="77" t="s">
        <v>270</v>
      </c>
      <c r="F1698" s="77" t="s">
        <v>271</v>
      </c>
      <c r="G1698" s="77" t="s">
        <v>4158</v>
      </c>
    </row>
    <row r="1699" spans="1:7" ht="15">
      <c r="A1699" s="82">
        <v>11700</v>
      </c>
      <c r="B1699" s="24">
        <v>24</v>
      </c>
      <c r="C1699" s="22" t="s">
        <v>2886</v>
      </c>
      <c r="D1699" s="108">
        <v>10</v>
      </c>
      <c r="E1699" s="109">
        <v>1</v>
      </c>
      <c r="F1699" s="8">
        <f t="shared" ref="F1699:F1706" si="10">D1699*E1699</f>
        <v>10</v>
      </c>
      <c r="G1699" s="39">
        <v>23.6</v>
      </c>
    </row>
    <row r="1700" spans="1:7" ht="15">
      <c r="A1700" s="82">
        <v>11700</v>
      </c>
      <c r="B1700" s="24">
        <v>36</v>
      </c>
      <c r="C1700" s="22" t="s">
        <v>2886</v>
      </c>
      <c r="D1700" s="108">
        <v>10</v>
      </c>
      <c r="E1700" s="109">
        <v>1</v>
      </c>
      <c r="F1700" s="8">
        <f t="shared" si="10"/>
        <v>10</v>
      </c>
      <c r="G1700" s="39">
        <v>39.200000000000003</v>
      </c>
    </row>
    <row r="1701" spans="1:7" ht="15">
      <c r="A1701" s="82">
        <v>12701</v>
      </c>
      <c r="B1701" s="24">
        <v>9</v>
      </c>
      <c r="C1701" s="22" t="s">
        <v>1979</v>
      </c>
      <c r="D1701" s="108">
        <v>10</v>
      </c>
      <c r="E1701" s="109">
        <v>1</v>
      </c>
      <c r="F1701" s="8">
        <f t="shared" si="10"/>
        <v>10</v>
      </c>
      <c r="G1701" s="39">
        <v>7.9</v>
      </c>
    </row>
    <row r="1702" spans="1:7" ht="15">
      <c r="A1702" s="82">
        <v>12701</v>
      </c>
      <c r="B1702" s="24">
        <v>9</v>
      </c>
      <c r="C1702" s="22" t="s">
        <v>1978</v>
      </c>
      <c r="D1702" s="108">
        <v>10</v>
      </c>
      <c r="E1702" s="109">
        <v>1</v>
      </c>
      <c r="F1702" s="8">
        <f t="shared" si="10"/>
        <v>10</v>
      </c>
      <c r="G1702" s="39">
        <v>7.9</v>
      </c>
    </row>
    <row r="1703" spans="1:7" ht="15">
      <c r="A1703" s="82">
        <v>12701</v>
      </c>
      <c r="B1703" s="24">
        <v>9</v>
      </c>
      <c r="C1703" s="22" t="s">
        <v>92</v>
      </c>
      <c r="D1703" s="108">
        <v>10</v>
      </c>
      <c r="E1703" s="109">
        <v>1</v>
      </c>
      <c r="F1703" s="8">
        <f t="shared" si="10"/>
        <v>10</v>
      </c>
      <c r="G1703" s="39">
        <v>7.9</v>
      </c>
    </row>
    <row r="1704" spans="1:7" ht="15">
      <c r="A1704" s="82">
        <v>12701</v>
      </c>
      <c r="B1704" s="24">
        <v>12</v>
      </c>
      <c r="C1704" s="22" t="s">
        <v>1978</v>
      </c>
      <c r="D1704" s="108">
        <v>10</v>
      </c>
      <c r="E1704" s="109">
        <v>1</v>
      </c>
      <c r="F1704" s="8">
        <f t="shared" si="10"/>
        <v>10</v>
      </c>
      <c r="G1704" s="39">
        <v>8.8000000000000007</v>
      </c>
    </row>
    <row r="1705" spans="1:7" ht="15">
      <c r="A1705" s="82">
        <v>12701</v>
      </c>
      <c r="B1705" s="24">
        <v>18</v>
      </c>
      <c r="C1705" s="22" t="s">
        <v>219</v>
      </c>
      <c r="D1705" s="108">
        <v>10</v>
      </c>
      <c r="E1705" s="109">
        <v>1</v>
      </c>
      <c r="F1705" s="8">
        <f t="shared" si="10"/>
        <v>10</v>
      </c>
      <c r="G1705" s="39">
        <v>11.4</v>
      </c>
    </row>
    <row r="1706" spans="1:7" ht="15">
      <c r="A1706" s="82">
        <v>12701</v>
      </c>
      <c r="B1706" s="24">
        <v>18</v>
      </c>
      <c r="C1706" s="22" t="s">
        <v>177</v>
      </c>
      <c r="D1706" s="108">
        <v>10</v>
      </c>
      <c r="E1706" s="109">
        <v>1</v>
      </c>
      <c r="F1706" s="8">
        <f t="shared" si="10"/>
        <v>10</v>
      </c>
      <c r="G1706" s="39">
        <v>11.4</v>
      </c>
    </row>
    <row r="1707" spans="1:7" ht="15">
      <c r="A1707" s="22"/>
      <c r="B1707" s="102"/>
      <c r="C1707" s="22" t="s">
        <v>316</v>
      </c>
      <c r="D1707" s="8"/>
      <c r="E1707" s="35"/>
      <c r="F1707" s="38">
        <v>1</v>
      </c>
      <c r="G1707" s="39">
        <v>12</v>
      </c>
    </row>
    <row r="1710" spans="1:7" ht="15">
      <c r="A1710" s="22" t="s">
        <v>239</v>
      </c>
      <c r="B1710" s="22" t="s">
        <v>2584</v>
      </c>
      <c r="C1710" s="8">
        <v>283</v>
      </c>
      <c r="D1710" s="39">
        <v>6.53</v>
      </c>
      <c r="E1710" s="39">
        <f t="shared" ref="E1710:E1719" si="11">D1710*C1710</f>
        <v>1847.99</v>
      </c>
    </row>
    <row r="1711" spans="1:7" ht="15">
      <c r="A1711" s="22" t="s">
        <v>239</v>
      </c>
      <c r="B1711" s="22" t="s">
        <v>2804</v>
      </c>
      <c r="C1711" s="131">
        <v>2</v>
      </c>
      <c r="D1711" s="39">
        <v>6.53</v>
      </c>
      <c r="E1711" s="39">
        <f t="shared" si="11"/>
        <v>13.06</v>
      </c>
    </row>
    <row r="1712" spans="1:7" ht="15">
      <c r="A1712" s="22"/>
      <c r="B1712" s="22" t="s">
        <v>2640</v>
      </c>
      <c r="C1712" s="38">
        <v>1</v>
      </c>
      <c r="D1712" s="39">
        <v>15</v>
      </c>
      <c r="E1712" s="39">
        <f t="shared" si="11"/>
        <v>15</v>
      </c>
    </row>
    <row r="1713" spans="1:5" ht="15">
      <c r="A1713" s="22"/>
      <c r="B1713" s="22" t="s">
        <v>2641</v>
      </c>
      <c r="C1713" s="38">
        <v>1</v>
      </c>
      <c r="D1713" s="39">
        <v>20</v>
      </c>
      <c r="E1713" s="39">
        <f t="shared" si="11"/>
        <v>20</v>
      </c>
    </row>
    <row r="1714" spans="1:5" ht="15">
      <c r="A1714" s="22"/>
      <c r="B1714" s="22" t="s">
        <v>2805</v>
      </c>
      <c r="C1714" s="38">
        <v>1</v>
      </c>
      <c r="D1714" s="39">
        <v>162.93</v>
      </c>
      <c r="E1714" s="39">
        <f t="shared" si="11"/>
        <v>162.93</v>
      </c>
    </row>
    <row r="1715" spans="1:5" ht="15">
      <c r="A1715" s="22" t="s">
        <v>239</v>
      </c>
      <c r="B1715" s="22" t="s">
        <v>2638</v>
      </c>
      <c r="C1715" s="8">
        <v>1369</v>
      </c>
      <c r="D1715" s="39">
        <v>5.42</v>
      </c>
      <c r="E1715" s="39">
        <f t="shared" si="11"/>
        <v>7419.98</v>
      </c>
    </row>
    <row r="1716" spans="1:5" ht="15">
      <c r="A1716" s="22"/>
      <c r="B1716" s="22" t="s">
        <v>316</v>
      </c>
      <c r="C1716" s="38">
        <v>1</v>
      </c>
      <c r="D1716" s="39">
        <v>20</v>
      </c>
      <c r="E1716" s="39">
        <f t="shared" si="11"/>
        <v>20</v>
      </c>
    </row>
    <row r="1717" spans="1:5" ht="15">
      <c r="A1717" s="119" t="s">
        <v>239</v>
      </c>
      <c r="B1717" s="119" t="s">
        <v>4159</v>
      </c>
      <c r="C1717" s="1088">
        <v>0.5</v>
      </c>
      <c r="D1717" s="202">
        <v>5.42</v>
      </c>
      <c r="E1717" s="202">
        <f t="shared" si="11"/>
        <v>2.71</v>
      </c>
    </row>
    <row r="1718" spans="1:5" ht="15">
      <c r="A1718" s="119"/>
      <c r="B1718" s="119" t="s">
        <v>4160</v>
      </c>
      <c r="C1718" s="215">
        <v>1</v>
      </c>
      <c r="D1718" s="202">
        <v>15</v>
      </c>
      <c r="E1718" s="202">
        <f t="shared" si="11"/>
        <v>15</v>
      </c>
    </row>
    <row r="1719" spans="1:5" ht="15">
      <c r="A1719" s="1089"/>
      <c r="B1719" s="119" t="s">
        <v>4161</v>
      </c>
      <c r="C1719" s="215">
        <v>1</v>
      </c>
      <c r="D1719" s="202">
        <v>20</v>
      </c>
      <c r="E1719" s="202">
        <f t="shared" si="11"/>
        <v>20</v>
      </c>
    </row>
    <row r="1722" spans="1:5">
      <c r="A1722" s="354" t="s">
        <v>82</v>
      </c>
      <c r="B1722" s="354" t="s">
        <v>279</v>
      </c>
      <c r="C1722" s="354" t="s">
        <v>37</v>
      </c>
      <c r="D1722" s="365" t="s">
        <v>129</v>
      </c>
    </row>
    <row r="1723" spans="1:5">
      <c r="A1723" s="40" t="s">
        <v>3256</v>
      </c>
      <c r="B1723" s="40" t="s">
        <v>58</v>
      </c>
      <c r="C1723" s="355">
        <v>13.7</v>
      </c>
      <c r="D1723" s="385" t="s">
        <v>4162</v>
      </c>
    </row>
    <row r="1726" spans="1:5" s="352" customFormat="1" ht="12.75">
      <c r="A1726" s="354" t="s">
        <v>82</v>
      </c>
      <c r="B1726" s="354" t="s">
        <v>279</v>
      </c>
      <c r="C1726" s="354" t="s">
        <v>37</v>
      </c>
      <c r="D1726" s="365" t="s">
        <v>129</v>
      </c>
    </row>
    <row r="1727" spans="1:5" s="352" customFormat="1" ht="12.75">
      <c r="A1727" s="40" t="s">
        <v>3291</v>
      </c>
      <c r="B1727" s="40" t="s">
        <v>3292</v>
      </c>
      <c r="C1727" s="357">
        <v>25</v>
      </c>
      <c r="D1727" s="360" t="s">
        <v>4163</v>
      </c>
    </row>
    <row r="1728" spans="1:5" s="352" customFormat="1" ht="12.75">
      <c r="A1728" s="40" t="s">
        <v>3291</v>
      </c>
      <c r="B1728" s="40" t="s">
        <v>3293</v>
      </c>
      <c r="C1728" s="357">
        <v>25</v>
      </c>
      <c r="D1728" s="360" t="s">
        <v>4163</v>
      </c>
    </row>
    <row r="1729" spans="1:9" s="352" customFormat="1" ht="12.75">
      <c r="A1729" s="40" t="s">
        <v>3291</v>
      </c>
      <c r="B1729" s="306" t="s">
        <v>4164</v>
      </c>
      <c r="C1729" s="357">
        <v>25</v>
      </c>
      <c r="D1729" s="360" t="s">
        <v>4163</v>
      </c>
    </row>
    <row r="1730" spans="1:9" s="352" customFormat="1" ht="12.75">
      <c r="A1730" s="40"/>
      <c r="B1730" s="40" t="s">
        <v>167</v>
      </c>
      <c r="C1730" s="353"/>
      <c r="D1730" s="360" t="s">
        <v>4165</v>
      </c>
    </row>
    <row r="1733" spans="1:9">
      <c r="A1733" s="330" t="s">
        <v>4166</v>
      </c>
    </row>
    <row r="1734" spans="1:9" s="337" customFormat="1" ht="25.5">
      <c r="A1734" s="351" t="s">
        <v>261</v>
      </c>
      <c r="B1734" s="362" t="s">
        <v>356</v>
      </c>
      <c r="C1734" s="361" t="s">
        <v>244</v>
      </c>
      <c r="D1734" s="1090" t="s">
        <v>342</v>
      </c>
      <c r="E1734" s="361" t="s">
        <v>284</v>
      </c>
    </row>
    <row r="1735" spans="1:9" s="400" customFormat="1" ht="12.75">
      <c r="A1735" s="363" t="s">
        <v>346</v>
      </c>
      <c r="B1735" s="363" t="s">
        <v>343</v>
      </c>
      <c r="C1735" s="363" t="s">
        <v>357</v>
      </c>
      <c r="D1735" s="364">
        <f>ROUNDUP(F1735/0.8/120,2)</f>
        <v>47.919999999999995</v>
      </c>
      <c r="E1735" s="392" t="s">
        <v>344</v>
      </c>
      <c r="F1735" s="363">
        <v>4600</v>
      </c>
      <c r="G1735" s="392" t="s">
        <v>344</v>
      </c>
      <c r="H1735" s="392"/>
      <c r="I1735" s="392"/>
    </row>
    <row r="1736" spans="1:9" s="393" customFormat="1" ht="12.75">
      <c r="A1736" s="363" t="s">
        <v>368</v>
      </c>
      <c r="B1736" s="363" t="s">
        <v>343</v>
      </c>
      <c r="C1736" s="363" t="s">
        <v>357</v>
      </c>
      <c r="D1736" s="364">
        <f>ROUNDUP(F1736/0.8/120,2)</f>
        <v>28.130000000000003</v>
      </c>
      <c r="E1736" s="392" t="s">
        <v>344</v>
      </c>
      <c r="F1736" s="363">
        <v>2700</v>
      </c>
      <c r="G1736" s="392" t="s">
        <v>344</v>
      </c>
    </row>
    <row r="1737" spans="1:9" s="337" customFormat="1" ht="14.25">
      <c r="A1737" s="363" t="s">
        <v>366</v>
      </c>
      <c r="B1737" s="363" t="s">
        <v>367</v>
      </c>
      <c r="C1737" s="363" t="s">
        <v>357</v>
      </c>
      <c r="D1737" s="364">
        <f>ROUNDUP(F1737/0.8/120,2)</f>
        <v>37.5</v>
      </c>
      <c r="E1737" s="392" t="s">
        <v>344</v>
      </c>
      <c r="F1737" s="1091">
        <v>3600</v>
      </c>
    </row>
    <row r="1742" spans="1:9">
      <c r="A1742" s="365" t="s">
        <v>46</v>
      </c>
      <c r="B1742" s="365" t="s">
        <v>51</v>
      </c>
      <c r="C1742" s="365" t="s">
        <v>51</v>
      </c>
      <c r="D1742" s="365" t="s">
        <v>113</v>
      </c>
      <c r="E1742" s="365" t="s">
        <v>4167</v>
      </c>
      <c r="F1742" s="365" t="s">
        <v>348</v>
      </c>
    </row>
    <row r="1743" spans="1:9">
      <c r="A1743" s="40" t="s">
        <v>2950</v>
      </c>
      <c r="B1743" s="40">
        <v>8400</v>
      </c>
      <c r="C1743" s="1092" t="s">
        <v>3383</v>
      </c>
      <c r="D1743" s="355">
        <v>30</v>
      </c>
      <c r="E1743" s="356">
        <v>34</v>
      </c>
      <c r="F1743" s="357">
        <f>D1743*E1743</f>
        <v>1020</v>
      </c>
    </row>
    <row r="1746" spans="1:19" s="352" customFormat="1" ht="12.75">
      <c r="A1746" s="1129" t="s">
        <v>4234</v>
      </c>
      <c r="B1746" s="365" t="s">
        <v>46</v>
      </c>
      <c r="C1746" s="365" t="s">
        <v>112</v>
      </c>
      <c r="D1746" s="365" t="s">
        <v>4224</v>
      </c>
      <c r="E1746" s="365" t="s">
        <v>4225</v>
      </c>
      <c r="F1746" s="365" t="s">
        <v>4226</v>
      </c>
      <c r="G1746" s="365" t="s">
        <v>4227</v>
      </c>
      <c r="H1746" s="365" t="s">
        <v>4228</v>
      </c>
      <c r="I1746" s="365" t="s">
        <v>4229</v>
      </c>
      <c r="J1746" s="1108"/>
      <c r="K1746" s="33"/>
      <c r="L1746" s="33"/>
      <c r="M1746" s="33"/>
      <c r="N1746" s="1109"/>
      <c r="O1746" s="4"/>
      <c r="P1746" s="1110"/>
      <c r="Q1746" s="330"/>
      <c r="R1746" s="330"/>
      <c r="S1746" s="330"/>
    </row>
    <row r="1747" spans="1:19">
      <c r="A1747" s="40">
        <v>2723</v>
      </c>
      <c r="B1747" s="40" t="s">
        <v>3262</v>
      </c>
      <c r="C1747" s="165" t="s">
        <v>359</v>
      </c>
      <c r="D1747" s="1111" t="s">
        <v>4208</v>
      </c>
      <c r="E1747" s="357">
        <v>50</v>
      </c>
      <c r="F1747" s="1107">
        <v>12</v>
      </c>
      <c r="G1747" s="355">
        <f t="shared" ref="G1747:G1754" si="12">E1747*F1747</f>
        <v>600</v>
      </c>
      <c r="H1747" s="386">
        <v>8.8000000000000007</v>
      </c>
      <c r="I1747" s="386">
        <v>5280</v>
      </c>
      <c r="J1747" s="1112">
        <v>0.23</v>
      </c>
      <c r="K1747" s="1113">
        <f t="shared" ref="K1747:K1752" si="13">J1747*G1747</f>
        <v>138</v>
      </c>
      <c r="L1747" s="395" t="s">
        <v>349</v>
      </c>
      <c r="M1747" s="33"/>
      <c r="N1747" s="1109"/>
      <c r="O1747" s="1114" t="e">
        <f>ROUNDUP(R1747/U1747/VLOOKUP(#REF!,$C$2:$F$6,3,FALSE),2)</f>
        <v>#DIV/0!</v>
      </c>
      <c r="P1747" s="1110">
        <v>0.11</v>
      </c>
      <c r="Q1747" s="1110">
        <f t="shared" ref="Q1747:Q1752" si="14">P1747*G1747</f>
        <v>66</v>
      </c>
      <c r="R1747" s="330">
        <v>8.8000000000000007</v>
      </c>
      <c r="S1747" s="330">
        <v>5280</v>
      </c>
    </row>
    <row r="1748" spans="1:19">
      <c r="A1748" s="40">
        <v>2723</v>
      </c>
      <c r="B1748" s="40" t="s">
        <v>3262</v>
      </c>
      <c r="C1748" s="165" t="s">
        <v>359</v>
      </c>
      <c r="D1748" s="1111" t="s">
        <v>4209</v>
      </c>
      <c r="E1748" s="357">
        <v>50</v>
      </c>
      <c r="F1748" s="1107">
        <v>3</v>
      </c>
      <c r="G1748" s="355">
        <f t="shared" si="12"/>
        <v>150</v>
      </c>
      <c r="H1748" s="386">
        <v>8.8000000000000007</v>
      </c>
      <c r="I1748" s="386">
        <v>1320</v>
      </c>
      <c r="J1748" s="1112">
        <v>0.23</v>
      </c>
      <c r="K1748" s="1113">
        <f t="shared" si="13"/>
        <v>34.5</v>
      </c>
      <c r="L1748" s="395" t="s">
        <v>349</v>
      </c>
      <c r="M1748" s="33"/>
      <c r="N1748" s="1109"/>
      <c r="O1748" s="1114" t="e">
        <f>ROUNDUP(R1748/U1748/VLOOKUP(#REF!,$C$2:$F$6,3,FALSE),2)</f>
        <v>#DIV/0!</v>
      </c>
      <c r="P1748" s="1110">
        <v>0.11</v>
      </c>
      <c r="Q1748" s="1110">
        <f t="shared" si="14"/>
        <v>16.5</v>
      </c>
      <c r="R1748" s="330">
        <v>8.8000000000000007</v>
      </c>
      <c r="S1748" s="330">
        <v>1320</v>
      </c>
    </row>
    <row r="1749" spans="1:19">
      <c r="A1749" s="40">
        <v>2723</v>
      </c>
      <c r="B1749" s="40" t="s">
        <v>3262</v>
      </c>
      <c r="C1749" s="165" t="s">
        <v>359</v>
      </c>
      <c r="D1749" s="1111" t="s">
        <v>4210</v>
      </c>
      <c r="E1749" s="357">
        <v>50</v>
      </c>
      <c r="F1749" s="1107">
        <v>4</v>
      </c>
      <c r="G1749" s="355">
        <f t="shared" si="12"/>
        <v>200</v>
      </c>
      <c r="H1749" s="386">
        <v>8.8000000000000007</v>
      </c>
      <c r="I1749" s="386">
        <v>1760.0000000000002</v>
      </c>
      <c r="J1749" s="1112">
        <v>0.23</v>
      </c>
      <c r="K1749" s="1113">
        <f t="shared" si="13"/>
        <v>46</v>
      </c>
      <c r="L1749" s="395" t="s">
        <v>349</v>
      </c>
      <c r="M1749" s="33"/>
      <c r="N1749" s="1109"/>
      <c r="O1749" s="1114" t="e">
        <f>ROUNDUP(R1749/U1749/VLOOKUP(#REF!,$C$2:$F$6,3,FALSE),2)</f>
        <v>#DIV/0!</v>
      </c>
      <c r="P1749" s="1110">
        <v>0.11</v>
      </c>
      <c r="Q1749" s="1110">
        <f t="shared" si="14"/>
        <v>22</v>
      </c>
      <c r="R1749" s="330">
        <v>8.8000000000000007</v>
      </c>
      <c r="S1749" s="330">
        <v>1760.0000000000002</v>
      </c>
    </row>
    <row r="1750" spans="1:19">
      <c r="A1750" s="40">
        <v>2723</v>
      </c>
      <c r="B1750" s="40" t="s">
        <v>3262</v>
      </c>
      <c r="C1750" s="165" t="s">
        <v>359</v>
      </c>
      <c r="D1750" s="1111" t="s">
        <v>4211</v>
      </c>
      <c r="E1750" s="357">
        <v>50</v>
      </c>
      <c r="F1750" s="1107">
        <v>2</v>
      </c>
      <c r="G1750" s="355">
        <f t="shared" si="12"/>
        <v>100</v>
      </c>
      <c r="H1750" s="386">
        <v>11.7</v>
      </c>
      <c r="I1750" s="386">
        <v>1170</v>
      </c>
      <c r="J1750" s="1112">
        <v>0.33</v>
      </c>
      <c r="K1750" s="1113">
        <f t="shared" si="13"/>
        <v>33</v>
      </c>
      <c r="L1750" s="395" t="s">
        <v>349</v>
      </c>
      <c r="M1750" s="33"/>
      <c r="N1750" s="1109"/>
      <c r="O1750" s="1114" t="e">
        <f>ROUNDUP(R1750/U1750/VLOOKUP(#REF!,$C$2:$F$6,3,FALSE),2)</f>
        <v>#DIV/0!</v>
      </c>
      <c r="P1750" s="1110">
        <v>0.14000000000000001</v>
      </c>
      <c r="Q1750" s="1110">
        <f t="shared" si="14"/>
        <v>14.000000000000002</v>
      </c>
      <c r="R1750" s="330">
        <v>11.7</v>
      </c>
      <c r="S1750" s="330">
        <v>1170</v>
      </c>
    </row>
    <row r="1751" spans="1:19">
      <c r="A1751" s="40">
        <v>2723</v>
      </c>
      <c r="B1751" s="40" t="s">
        <v>3262</v>
      </c>
      <c r="C1751" s="165" t="s">
        <v>359</v>
      </c>
      <c r="D1751" s="1111" t="s">
        <v>4212</v>
      </c>
      <c r="E1751" s="357">
        <v>50</v>
      </c>
      <c r="F1751" s="1107">
        <v>4</v>
      </c>
      <c r="G1751" s="355">
        <f t="shared" si="12"/>
        <v>200</v>
      </c>
      <c r="H1751" s="386">
        <v>11.7</v>
      </c>
      <c r="I1751" s="386">
        <v>2340</v>
      </c>
      <c r="J1751" s="1112">
        <v>0.33</v>
      </c>
      <c r="K1751" s="1113">
        <f t="shared" si="13"/>
        <v>66</v>
      </c>
      <c r="L1751" s="395" t="s">
        <v>349</v>
      </c>
      <c r="M1751" s="33"/>
      <c r="N1751" s="1109"/>
      <c r="O1751" s="1114" t="e">
        <f>ROUNDUP(R1751/U1751/VLOOKUP(#REF!,$C$2:$F$6,3,FALSE),2)</f>
        <v>#DIV/0!</v>
      </c>
      <c r="P1751" s="1110">
        <v>0.14000000000000001</v>
      </c>
      <c r="Q1751" s="1110">
        <f t="shared" si="14"/>
        <v>28.000000000000004</v>
      </c>
      <c r="R1751" s="330">
        <v>11.7</v>
      </c>
      <c r="S1751" s="330">
        <v>2340</v>
      </c>
    </row>
    <row r="1752" spans="1:19">
      <c r="A1752" s="40">
        <v>2723</v>
      </c>
      <c r="B1752" s="40"/>
      <c r="C1752" s="165"/>
      <c r="D1752" s="1115" t="s">
        <v>4213</v>
      </c>
      <c r="E1752" s="357"/>
      <c r="F1752" s="1107"/>
      <c r="G1752" s="353">
        <v>2</v>
      </c>
      <c r="H1752" s="1127" t="s">
        <v>4230</v>
      </c>
      <c r="I1752" s="386">
        <v>22000</v>
      </c>
      <c r="J1752" s="1112">
        <v>153</v>
      </c>
      <c r="K1752" s="1113">
        <f t="shared" si="13"/>
        <v>306</v>
      </c>
      <c r="L1752" s="395" t="s">
        <v>349</v>
      </c>
      <c r="M1752" s="33"/>
      <c r="N1752" s="1109"/>
      <c r="O1752" s="1114" t="e">
        <f>ROUNDUP(R1752/U1752/VLOOKUP(#REF!,$C$2:$F$6,3,FALSE),2)</f>
        <v>#DIV/0!</v>
      </c>
      <c r="P1752" s="1110">
        <v>104.17</v>
      </c>
      <c r="Q1752" s="1110">
        <f t="shared" si="14"/>
        <v>208.34</v>
      </c>
      <c r="R1752" s="330">
        <v>11000</v>
      </c>
      <c r="S1752" s="330">
        <v>22000</v>
      </c>
    </row>
    <row r="1753" spans="1:19">
      <c r="A1753" s="40">
        <v>2723</v>
      </c>
      <c r="B1753" s="1106"/>
      <c r="C1753" s="41"/>
      <c r="D1753" s="40"/>
      <c r="E1753" s="357"/>
      <c r="F1753" s="1107"/>
      <c r="G1753" s="357"/>
      <c r="H1753" s="386"/>
      <c r="I1753" s="386"/>
      <c r="J1753" s="1108"/>
      <c r="K1753" s="33"/>
      <c r="L1753" s="33"/>
      <c r="M1753" s="33"/>
      <c r="N1753" s="1109"/>
      <c r="O1753" s="4"/>
      <c r="P1753" s="1110"/>
      <c r="Q1753" s="330"/>
      <c r="R1753" s="330"/>
      <c r="S1753" s="330"/>
    </row>
    <row r="1754" spans="1:19">
      <c r="A1754" s="40">
        <v>2723</v>
      </c>
      <c r="B1754" s="40" t="s">
        <v>4215</v>
      </c>
      <c r="C1754" s="165" t="s">
        <v>359</v>
      </c>
      <c r="D1754" s="1111" t="s">
        <v>4212</v>
      </c>
      <c r="E1754" s="357">
        <v>50</v>
      </c>
      <c r="F1754" s="1107">
        <v>6</v>
      </c>
      <c r="G1754" s="355">
        <f t="shared" si="12"/>
        <v>300</v>
      </c>
      <c r="H1754" s="386">
        <v>20</v>
      </c>
      <c r="I1754" s="386">
        <v>6000</v>
      </c>
      <c r="J1754" s="1112"/>
      <c r="K1754" s="1113">
        <f>J1754*G1754</f>
        <v>0</v>
      </c>
      <c r="L1754" s="395" t="s">
        <v>349</v>
      </c>
      <c r="M1754" s="33"/>
      <c r="N1754" s="1109"/>
      <c r="O1754" s="1114" t="e">
        <f>ROUNDUP(R1754/U1754/VLOOKUP(#REF!,$C$2:$F$6,3,FALSE),2)</f>
        <v>#DIV/0!</v>
      </c>
      <c r="P1754" s="1110">
        <v>0.24</v>
      </c>
      <c r="Q1754" s="1110">
        <f>P1754*G1754</f>
        <v>72</v>
      </c>
      <c r="R1754" s="330">
        <v>20</v>
      </c>
      <c r="S1754" s="330">
        <v>6000</v>
      </c>
    </row>
    <row r="1755" spans="1:19">
      <c r="A1755" s="40">
        <v>2723</v>
      </c>
      <c r="B1755" s="40"/>
      <c r="C1755" s="165"/>
      <c r="D1755" s="1115" t="s">
        <v>4216</v>
      </c>
      <c r="E1755" s="357"/>
      <c r="F1755" s="1107"/>
      <c r="G1755" s="353">
        <v>1</v>
      </c>
      <c r="H1755" s="1127" t="s">
        <v>4231</v>
      </c>
      <c r="I1755" s="386">
        <v>6000</v>
      </c>
      <c r="J1755" s="1112"/>
      <c r="K1755" s="1113"/>
      <c r="L1755" s="395" t="s">
        <v>349</v>
      </c>
      <c r="M1755" s="33"/>
      <c r="N1755" s="1109"/>
      <c r="O1755" s="1114" t="e">
        <f>ROUNDUP(R1755/U1755/VLOOKUP(#REF!,$C$2:$F$6,3,FALSE),2)</f>
        <v>#DIV/0!</v>
      </c>
      <c r="P1755" s="1110">
        <v>56.82</v>
      </c>
      <c r="Q1755" s="1110">
        <f>P1755*G1755</f>
        <v>56.82</v>
      </c>
      <c r="R1755" s="330">
        <v>6000</v>
      </c>
      <c r="S1755" s="330">
        <v>6000</v>
      </c>
    </row>
    <row r="1756" spans="1:19">
      <c r="A1756" s="1116"/>
      <c r="B1756" s="1116"/>
      <c r="C1756" s="1117"/>
      <c r="D1756" s="1117"/>
      <c r="E1756" s="1118"/>
      <c r="F1756" s="1119"/>
      <c r="G1756" s="1120"/>
      <c r="H1756" s="1126"/>
      <c r="I1756" s="1126"/>
      <c r="J1756" s="1121"/>
      <c r="K1756" s="187"/>
      <c r="L1756" s="187"/>
      <c r="M1756" s="187"/>
      <c r="N1756" s="1122"/>
      <c r="O1756" s="327"/>
      <c r="P1756" s="1123"/>
      <c r="Q1756" s="1124"/>
      <c r="R1756" s="1125"/>
      <c r="S1756" s="1125"/>
    </row>
    <row r="1757" spans="1:19" s="352" customFormat="1" ht="12.75">
      <c r="A1757" s="1129" t="s">
        <v>4234</v>
      </c>
      <c r="B1757" s="365" t="s">
        <v>46</v>
      </c>
      <c r="C1757" s="365" t="s">
        <v>112</v>
      </c>
      <c r="D1757" s="365" t="s">
        <v>4224</v>
      </c>
      <c r="E1757" s="365" t="s">
        <v>4225</v>
      </c>
      <c r="F1757" s="365" t="s">
        <v>4226</v>
      </c>
      <c r="G1757" s="365" t="s">
        <v>4227</v>
      </c>
      <c r="H1757" s="365" t="s">
        <v>4228</v>
      </c>
      <c r="I1757" s="365" t="s">
        <v>4229</v>
      </c>
      <c r="J1757" s="1108"/>
      <c r="K1757" s="33"/>
      <c r="L1757" s="33"/>
      <c r="M1757" s="33"/>
      <c r="N1757" s="1109"/>
      <c r="O1757" s="4"/>
      <c r="P1757" s="1110"/>
      <c r="Q1757" s="330"/>
      <c r="R1757" s="330"/>
      <c r="S1757" s="330"/>
    </row>
    <row r="1758" spans="1:19">
      <c r="A1758" s="40">
        <v>2725</v>
      </c>
      <c r="B1758" s="40" t="s">
        <v>4215</v>
      </c>
      <c r="C1758" s="165" t="s">
        <v>359</v>
      </c>
      <c r="D1758" s="1111" t="s">
        <v>4208</v>
      </c>
      <c r="E1758" s="357">
        <v>50</v>
      </c>
      <c r="F1758" s="1107">
        <v>6</v>
      </c>
      <c r="G1758" s="355">
        <f>E1758*F1758</f>
        <v>300</v>
      </c>
      <c r="H1758" s="386">
        <v>15.6</v>
      </c>
      <c r="I1758" s="386">
        <v>4680</v>
      </c>
      <c r="J1758" s="1112"/>
      <c r="K1758" s="1113">
        <f t="shared" ref="K1758:K1763" si="15">J1758*G1758</f>
        <v>0</v>
      </c>
      <c r="L1758" s="395" t="s">
        <v>349</v>
      </c>
      <c r="M1758" s="33"/>
      <c r="N1758" s="1109"/>
      <c r="O1758" s="1114" t="e">
        <f>ROUNDUP(R1758/U1758/VLOOKUP(#REF!,$C$2:$F$6,3,FALSE),2)</f>
        <v>#DIV/0!</v>
      </c>
      <c r="P1758" s="1110">
        <v>0.19</v>
      </c>
      <c r="Q1758" s="1110">
        <f t="shared" ref="Q1758:Q1763" si="16">P1758*G1758</f>
        <v>57</v>
      </c>
      <c r="R1758" s="330">
        <v>15.6</v>
      </c>
      <c r="S1758" s="330">
        <v>4680</v>
      </c>
    </row>
    <row r="1759" spans="1:19">
      <c r="A1759" s="40">
        <v>2725</v>
      </c>
      <c r="B1759" s="40" t="s">
        <v>4215</v>
      </c>
      <c r="C1759" s="165" t="s">
        <v>359</v>
      </c>
      <c r="D1759" s="1111" t="s">
        <v>4218</v>
      </c>
      <c r="E1759" s="357">
        <v>50</v>
      </c>
      <c r="F1759" s="1107">
        <v>4</v>
      </c>
      <c r="G1759" s="355">
        <f>E1759*F1759</f>
        <v>200</v>
      </c>
      <c r="H1759" s="386">
        <v>20</v>
      </c>
      <c r="I1759" s="386">
        <v>4000</v>
      </c>
      <c r="J1759" s="1112"/>
      <c r="K1759" s="1113">
        <f t="shared" si="15"/>
        <v>0</v>
      </c>
      <c r="L1759" s="395" t="s">
        <v>349</v>
      </c>
      <c r="M1759" s="33"/>
      <c r="N1759" s="1109"/>
      <c r="O1759" s="1114" t="e">
        <f>ROUNDUP(R1759/U1759/VLOOKUP(#REF!,$C$2:$F$6,3,FALSE),2)</f>
        <v>#DIV/0!</v>
      </c>
      <c r="P1759" s="1110">
        <v>0.24</v>
      </c>
      <c r="Q1759" s="1110">
        <f t="shared" si="16"/>
        <v>48</v>
      </c>
      <c r="R1759" s="330">
        <v>20</v>
      </c>
      <c r="S1759" s="330">
        <v>4000</v>
      </c>
    </row>
    <row r="1760" spans="1:19">
      <c r="A1760" s="40">
        <v>2725</v>
      </c>
      <c r="B1760" s="40" t="s">
        <v>4215</v>
      </c>
      <c r="C1760" s="165" t="s">
        <v>359</v>
      </c>
      <c r="D1760" s="1111" t="s">
        <v>4212</v>
      </c>
      <c r="E1760" s="357">
        <v>50</v>
      </c>
      <c r="F1760" s="1107">
        <v>4</v>
      </c>
      <c r="G1760" s="355">
        <f>E1760*F1760</f>
        <v>200</v>
      </c>
      <c r="H1760" s="386">
        <v>20</v>
      </c>
      <c r="I1760" s="386">
        <v>4000</v>
      </c>
      <c r="J1760" s="1112"/>
      <c r="K1760" s="1113">
        <f t="shared" si="15"/>
        <v>0</v>
      </c>
      <c r="L1760" s="395" t="s">
        <v>349</v>
      </c>
      <c r="M1760" s="33"/>
      <c r="N1760" s="1109"/>
      <c r="O1760" s="1114" t="e">
        <f>ROUNDUP(R1760/U1760/VLOOKUP(#REF!,$C$2:$F$6,3,FALSE),2)</f>
        <v>#DIV/0!</v>
      </c>
      <c r="P1760" s="1110">
        <v>0.24</v>
      </c>
      <c r="Q1760" s="1110">
        <f t="shared" si="16"/>
        <v>48</v>
      </c>
      <c r="R1760" s="330">
        <v>20</v>
      </c>
      <c r="S1760" s="330">
        <v>4000</v>
      </c>
    </row>
    <row r="1761" spans="1:19">
      <c r="A1761" s="40">
        <v>2725</v>
      </c>
      <c r="B1761" s="40" t="s">
        <v>4215</v>
      </c>
      <c r="C1761" s="165" t="s">
        <v>359</v>
      </c>
      <c r="D1761" s="1111" t="s">
        <v>4219</v>
      </c>
      <c r="E1761" s="357">
        <v>50</v>
      </c>
      <c r="F1761" s="1107">
        <v>4</v>
      </c>
      <c r="G1761" s="355">
        <f>E1761*F1761</f>
        <v>200</v>
      </c>
      <c r="H1761" s="386">
        <v>20</v>
      </c>
      <c r="I1761" s="386">
        <v>4000</v>
      </c>
      <c r="J1761" s="1112"/>
      <c r="K1761" s="1113">
        <f t="shared" si="15"/>
        <v>0</v>
      </c>
      <c r="L1761" s="395" t="s">
        <v>349</v>
      </c>
      <c r="M1761" s="33"/>
      <c r="N1761" s="1109"/>
      <c r="O1761" s="1114" t="e">
        <f>ROUNDUP(R1761/U1761/VLOOKUP(#REF!,$C$2:$F$6,3,FALSE),2)</f>
        <v>#DIV/0!</v>
      </c>
      <c r="P1761" s="1110">
        <v>0.24</v>
      </c>
      <c r="Q1761" s="1110">
        <f t="shared" si="16"/>
        <v>48</v>
      </c>
      <c r="R1761" s="330">
        <v>20</v>
      </c>
      <c r="S1761" s="330">
        <v>4000</v>
      </c>
    </row>
    <row r="1762" spans="1:19">
      <c r="A1762" s="40">
        <v>2725</v>
      </c>
      <c r="B1762" s="40"/>
      <c r="C1762" s="165"/>
      <c r="D1762" s="1115" t="s">
        <v>4220</v>
      </c>
      <c r="E1762" s="357"/>
      <c r="F1762" s="1107"/>
      <c r="G1762" s="353">
        <v>2</v>
      </c>
      <c r="H1762" s="1127" t="s">
        <v>4232</v>
      </c>
      <c r="I1762" s="386">
        <v>28000</v>
      </c>
      <c r="J1762" s="1112">
        <v>153</v>
      </c>
      <c r="K1762" s="1113">
        <f t="shared" si="15"/>
        <v>306</v>
      </c>
      <c r="L1762" s="395" t="s">
        <v>349</v>
      </c>
      <c r="M1762" s="33"/>
      <c r="N1762" s="1109"/>
      <c r="O1762" s="1114" t="e">
        <f>ROUNDUP(R1762/U1762/VLOOKUP(#REF!,$C$2:$F$6,3,FALSE),2)</f>
        <v>#DIV/0!</v>
      </c>
      <c r="P1762" s="1110">
        <v>132.58000000000001</v>
      </c>
      <c r="Q1762" s="1110">
        <f t="shared" si="16"/>
        <v>265.16000000000003</v>
      </c>
      <c r="R1762" s="330">
        <v>14000</v>
      </c>
      <c r="S1762" s="330">
        <v>28000</v>
      </c>
    </row>
    <row r="1763" spans="1:19">
      <c r="A1763" s="40">
        <v>2725</v>
      </c>
      <c r="B1763" s="40"/>
      <c r="C1763" s="165"/>
      <c r="D1763" s="1115" t="s">
        <v>4216</v>
      </c>
      <c r="E1763" s="357"/>
      <c r="F1763" s="1107"/>
      <c r="G1763" s="353">
        <v>1</v>
      </c>
      <c r="H1763" s="1128" t="s">
        <v>4233</v>
      </c>
      <c r="I1763" s="1128" t="s">
        <v>4233</v>
      </c>
      <c r="J1763" s="1112">
        <v>0</v>
      </c>
      <c r="K1763" s="1113">
        <f t="shared" si="15"/>
        <v>0</v>
      </c>
      <c r="L1763" s="395" t="s">
        <v>349</v>
      </c>
      <c r="M1763" s="33"/>
      <c r="N1763" s="1109"/>
      <c r="O1763" s="1114" t="e">
        <f>ROUNDUP(R1763/U1763/VLOOKUP(#REF!,$C$2:$F$6,3,FALSE),2)</f>
        <v>#DIV/0!</v>
      </c>
      <c r="P1763" s="1110">
        <v>0</v>
      </c>
      <c r="Q1763" s="1110">
        <f t="shared" si="16"/>
        <v>0</v>
      </c>
      <c r="R1763" s="330">
        <v>0</v>
      </c>
      <c r="S1763" s="330">
        <v>0</v>
      </c>
    </row>
    <row r="1766" spans="1:19">
      <c r="A1766" s="354" t="s">
        <v>82</v>
      </c>
      <c r="B1766" s="354" t="s">
        <v>279</v>
      </c>
      <c r="C1766" s="1145" t="s">
        <v>245</v>
      </c>
      <c r="D1766" s="1145" t="s">
        <v>270</v>
      </c>
      <c r="E1766" s="1145" t="s">
        <v>271</v>
      </c>
      <c r="F1766" s="365" t="s">
        <v>4351</v>
      </c>
      <c r="G1766" s="365" t="s">
        <v>4352</v>
      </c>
    </row>
    <row r="1767" spans="1:19">
      <c r="A1767" s="40" t="s">
        <v>198</v>
      </c>
      <c r="B1767" s="165" t="s">
        <v>58</v>
      </c>
      <c r="C1767" s="355">
        <v>14</v>
      </c>
      <c r="D1767" s="356">
        <v>89</v>
      </c>
      <c r="E1767" s="357">
        <f>C1767*D1767</f>
        <v>1246</v>
      </c>
      <c r="F1767" s="158"/>
      <c r="G1767" s="158"/>
    </row>
    <row r="1768" spans="1:19">
      <c r="A1768" s="40" t="s">
        <v>3447</v>
      </c>
      <c r="B1768" s="165" t="s">
        <v>39</v>
      </c>
      <c r="C1768" s="355">
        <v>14</v>
      </c>
      <c r="D1768" s="356">
        <v>190</v>
      </c>
      <c r="E1768" s="357">
        <f>C1768*D1768</f>
        <v>2660</v>
      </c>
      <c r="F1768" s="158"/>
      <c r="G1768" s="158"/>
    </row>
    <row r="1771" spans="1:19" s="352" customFormat="1" ht="12.75">
      <c r="A1771" s="354" t="s">
        <v>82</v>
      </c>
      <c r="B1771" s="354" t="s">
        <v>279</v>
      </c>
      <c r="C1771" s="1145" t="s">
        <v>245</v>
      </c>
      <c r="D1771" s="1145" t="s">
        <v>270</v>
      </c>
      <c r="E1771" s="1145" t="s">
        <v>271</v>
      </c>
      <c r="F1771" s="365" t="s">
        <v>4351</v>
      </c>
      <c r="G1771" s="365" t="s">
        <v>4352</v>
      </c>
    </row>
    <row r="1772" spans="1:19" s="352" customFormat="1">
      <c r="A1772" s="40" t="s">
        <v>198</v>
      </c>
      <c r="B1772" s="165" t="s">
        <v>58</v>
      </c>
      <c r="C1772" s="355">
        <v>14</v>
      </c>
      <c r="D1772" s="356">
        <v>190</v>
      </c>
      <c r="E1772" s="357">
        <f>C1772*D1772</f>
        <v>2660</v>
      </c>
      <c r="F1772" s="158"/>
      <c r="G1772" s="158"/>
    </row>
    <row r="1773" spans="1:19" s="352" customFormat="1">
      <c r="A1773" s="40" t="s">
        <v>3447</v>
      </c>
      <c r="B1773" s="165" t="s">
        <v>39</v>
      </c>
      <c r="C1773" s="355">
        <v>14</v>
      </c>
      <c r="D1773" s="356">
        <v>89</v>
      </c>
      <c r="E1773" s="357">
        <f>C1773*D1773</f>
        <v>1246</v>
      </c>
      <c r="F1773" s="158"/>
      <c r="G1773" s="158"/>
    </row>
    <row r="1776" spans="1:19">
      <c r="A1776" s="354" t="s">
        <v>4359</v>
      </c>
      <c r="B1776" s="354" t="s">
        <v>4357</v>
      </c>
      <c r="C1776" s="354" t="s">
        <v>4360</v>
      </c>
    </row>
    <row r="1777" spans="1:120">
      <c r="A1777" s="1147" t="s">
        <v>4361</v>
      </c>
      <c r="B1777" s="1146" t="s">
        <v>4358</v>
      </c>
      <c r="C1777" s="1146"/>
    </row>
    <row r="1778" spans="1:120">
      <c r="A1778" s="1116" t="s">
        <v>4363</v>
      </c>
      <c r="B1778" s="1148"/>
      <c r="C1778" s="1148" t="s">
        <v>4362</v>
      </c>
    </row>
    <row r="1779" spans="1:120">
      <c r="A1779" s="1147" t="s">
        <v>4365</v>
      </c>
      <c r="B1779" s="1146" t="s">
        <v>4364</v>
      </c>
      <c r="C1779" s="1146"/>
    </row>
    <row r="1780" spans="1:120">
      <c r="A1780" s="1116" t="s">
        <v>4367</v>
      </c>
      <c r="B1780" s="1148"/>
      <c r="C1780" s="1148" t="s">
        <v>4366</v>
      </c>
    </row>
    <row r="1781" spans="1:120">
      <c r="A1781" s="1147" t="s">
        <v>4369</v>
      </c>
      <c r="B1781" s="1146" t="s">
        <v>4368</v>
      </c>
      <c r="C1781" s="1146"/>
    </row>
    <row r="1784" spans="1:120">
      <c r="A1784" t="s">
        <v>4378</v>
      </c>
      <c r="I1784" s="1151" t="s">
        <v>4375</v>
      </c>
      <c r="J1784" s="1151" t="s">
        <v>4376</v>
      </c>
    </row>
    <row r="1785" spans="1:120" s="1156" customFormat="1" ht="25.5">
      <c r="A1785" s="1152" t="s">
        <v>260</v>
      </c>
      <c r="B1785" s="1152" t="s">
        <v>35</v>
      </c>
      <c r="C1785" s="1152" t="s">
        <v>36</v>
      </c>
      <c r="D1785" s="1153" t="s">
        <v>4403</v>
      </c>
      <c r="E1785" s="1154" t="s">
        <v>4380</v>
      </c>
      <c r="F1785" s="1155" t="s">
        <v>4377</v>
      </c>
      <c r="G1785" s="1165" t="s">
        <v>4383</v>
      </c>
      <c r="H1785" s="1165" t="s">
        <v>4384</v>
      </c>
    </row>
    <row r="1786" spans="1:120" s="1164" customFormat="1" ht="15" customHeight="1">
      <c r="A1786" s="1157" t="s">
        <v>4379</v>
      </c>
      <c r="B1786" s="41">
        <v>15</v>
      </c>
      <c r="C1786" s="41" t="s">
        <v>4382</v>
      </c>
      <c r="D1786" s="1166">
        <v>30</v>
      </c>
      <c r="E1786" s="1159" t="s">
        <v>4404</v>
      </c>
      <c r="F1786" s="1160">
        <f>ROUNDUP(H1786/0.6/115,2)</f>
        <v>0.45</v>
      </c>
      <c r="G1786" s="1161">
        <v>930</v>
      </c>
      <c r="H1786" s="1161">
        <f>G1786/30</f>
        <v>31</v>
      </c>
      <c r="I1786" s="1162">
        <f>(((F1786*J1786)-H1786)/(F1786*J1786))</f>
        <v>0.40096618357487923</v>
      </c>
      <c r="J1786" s="1163">
        <v>115</v>
      </c>
      <c r="K1786" s="1163"/>
      <c r="L1786" s="1163"/>
      <c r="M1786" s="1163"/>
      <c r="N1786" s="1163"/>
      <c r="O1786" s="1163"/>
      <c r="P1786" s="1163"/>
      <c r="Q1786" s="1163"/>
      <c r="R1786" s="1163"/>
      <c r="S1786" s="1163"/>
      <c r="T1786" s="1163"/>
      <c r="U1786" s="1163"/>
      <c r="V1786" s="1163"/>
      <c r="W1786" s="1163"/>
      <c r="X1786" s="1163"/>
      <c r="Y1786" s="1163"/>
      <c r="Z1786" s="1163"/>
      <c r="AA1786" s="1163"/>
      <c r="AB1786" s="1163"/>
      <c r="AC1786" s="1163"/>
      <c r="AD1786" s="1163"/>
      <c r="AE1786" s="1163"/>
      <c r="AF1786" s="1163"/>
      <c r="AG1786" s="1163"/>
      <c r="AH1786" s="1163"/>
      <c r="AI1786" s="1163"/>
      <c r="AJ1786" s="1163"/>
      <c r="AK1786" s="1163"/>
      <c r="AL1786" s="1163"/>
      <c r="AM1786" s="1163"/>
      <c r="AN1786" s="1163"/>
      <c r="AO1786" s="1163"/>
      <c r="AP1786" s="1163"/>
      <c r="AQ1786" s="1163"/>
      <c r="AR1786" s="1163"/>
      <c r="AS1786" s="1163"/>
      <c r="AT1786" s="1163"/>
      <c r="AU1786" s="1163"/>
      <c r="AV1786" s="1163"/>
      <c r="AW1786" s="1163"/>
      <c r="AX1786" s="1163"/>
      <c r="AY1786" s="1163"/>
      <c r="AZ1786" s="1163"/>
      <c r="BA1786" s="1163"/>
      <c r="BB1786" s="1163"/>
      <c r="BC1786" s="1163"/>
      <c r="BD1786" s="1163"/>
      <c r="BE1786" s="1163"/>
      <c r="BF1786" s="1163"/>
      <c r="BG1786" s="1163"/>
      <c r="BH1786" s="1163"/>
      <c r="BI1786" s="1163"/>
      <c r="BJ1786" s="1163"/>
      <c r="BK1786" s="1163"/>
      <c r="BL1786" s="1163"/>
      <c r="BM1786" s="1163"/>
      <c r="BN1786" s="1163"/>
      <c r="BO1786" s="1163"/>
      <c r="BP1786" s="1163"/>
      <c r="BQ1786" s="1163"/>
      <c r="BR1786" s="1163"/>
      <c r="BS1786" s="1163"/>
      <c r="BT1786" s="1163"/>
      <c r="BU1786" s="1163"/>
      <c r="BV1786" s="1163"/>
      <c r="BW1786" s="1163"/>
      <c r="BX1786" s="1163"/>
      <c r="BY1786" s="1163"/>
      <c r="BZ1786" s="1163"/>
      <c r="CA1786" s="1163"/>
      <c r="CB1786" s="1163"/>
      <c r="CC1786" s="1163"/>
      <c r="CD1786" s="1163"/>
      <c r="CE1786" s="1163"/>
      <c r="CF1786" s="1163"/>
      <c r="CG1786" s="1163"/>
      <c r="CH1786" s="1163"/>
      <c r="CI1786" s="1163"/>
      <c r="CJ1786" s="1163"/>
      <c r="CK1786" s="1163"/>
      <c r="CL1786" s="1163"/>
      <c r="CM1786" s="1163"/>
      <c r="CN1786" s="1163"/>
      <c r="CO1786" s="1163"/>
      <c r="CP1786" s="1163"/>
      <c r="CQ1786" s="1163"/>
      <c r="CR1786" s="1163"/>
      <c r="CS1786" s="1163"/>
      <c r="CT1786" s="1163"/>
      <c r="CU1786" s="1163"/>
      <c r="CV1786" s="1163"/>
      <c r="CW1786" s="1163"/>
      <c r="CX1786" s="1163"/>
      <c r="CY1786" s="1163"/>
      <c r="CZ1786" s="1163"/>
      <c r="DA1786" s="1163"/>
      <c r="DB1786" s="1163"/>
      <c r="DC1786" s="1163"/>
      <c r="DD1786" s="1163"/>
      <c r="DE1786" s="1163"/>
      <c r="DF1786" s="1163"/>
      <c r="DG1786" s="1163"/>
      <c r="DH1786" s="1163"/>
      <c r="DI1786" s="1163"/>
      <c r="DJ1786" s="1163"/>
      <c r="DK1786" s="1163"/>
      <c r="DL1786" s="1163"/>
      <c r="DM1786" s="1163"/>
      <c r="DN1786" s="1163"/>
      <c r="DO1786" s="1163"/>
      <c r="DP1786" s="1163"/>
    </row>
    <row r="1787" spans="1:120" s="1164" customFormat="1" ht="15" customHeight="1">
      <c r="A1787" s="1157" t="s">
        <v>4385</v>
      </c>
      <c r="B1787" s="41">
        <v>18</v>
      </c>
      <c r="C1787" s="41" t="s">
        <v>4382</v>
      </c>
      <c r="D1787" s="1166">
        <v>30</v>
      </c>
      <c r="E1787" s="1159" t="s">
        <v>4404</v>
      </c>
      <c r="F1787" s="1160">
        <f>ROUNDUP(H1787/0.6/115,2)</f>
        <v>0.48</v>
      </c>
      <c r="G1787" s="1161">
        <v>990</v>
      </c>
      <c r="H1787" s="1161">
        <f>G1787/30</f>
        <v>33</v>
      </c>
      <c r="I1787" s="1162">
        <f>(((F1787*J1787)-H1787)/(F1787*J1787))</f>
        <v>0.40217391304347822</v>
      </c>
      <c r="J1787" s="1163">
        <v>115</v>
      </c>
      <c r="K1787" s="1163"/>
      <c r="L1787" s="1163"/>
      <c r="M1787" s="1163"/>
      <c r="N1787" s="1163"/>
      <c r="O1787" s="1163"/>
      <c r="P1787" s="1163"/>
      <c r="Q1787" s="1163"/>
      <c r="R1787" s="1163"/>
      <c r="S1787" s="1163"/>
      <c r="T1787" s="1163"/>
      <c r="U1787" s="1163"/>
      <c r="V1787" s="1163"/>
      <c r="W1787" s="1163"/>
      <c r="X1787" s="1163"/>
      <c r="Y1787" s="1163"/>
      <c r="Z1787" s="1163"/>
      <c r="AA1787" s="1163"/>
      <c r="AB1787" s="1163"/>
      <c r="AC1787" s="1163"/>
      <c r="AD1787" s="1163"/>
      <c r="AE1787" s="1163"/>
      <c r="AF1787" s="1163"/>
      <c r="AG1787" s="1163"/>
      <c r="AH1787" s="1163"/>
      <c r="AI1787" s="1163"/>
      <c r="AJ1787" s="1163"/>
      <c r="AK1787" s="1163"/>
      <c r="AL1787" s="1163"/>
      <c r="AM1787" s="1163"/>
      <c r="AN1787" s="1163"/>
      <c r="AO1787" s="1163"/>
      <c r="AP1787" s="1163"/>
      <c r="AQ1787" s="1163"/>
      <c r="AR1787" s="1163"/>
      <c r="AS1787" s="1163"/>
      <c r="AT1787" s="1163"/>
      <c r="AU1787" s="1163"/>
      <c r="AV1787" s="1163"/>
      <c r="AW1787" s="1163"/>
      <c r="AX1787" s="1163"/>
      <c r="AY1787" s="1163"/>
      <c r="AZ1787" s="1163"/>
      <c r="BA1787" s="1163"/>
      <c r="BB1787" s="1163"/>
      <c r="BC1787" s="1163"/>
      <c r="BD1787" s="1163"/>
      <c r="BE1787" s="1163"/>
      <c r="BF1787" s="1163"/>
      <c r="BG1787" s="1163"/>
      <c r="BH1787" s="1163"/>
      <c r="BI1787" s="1163"/>
      <c r="BJ1787" s="1163"/>
      <c r="BK1787" s="1163"/>
      <c r="BL1787" s="1163"/>
      <c r="BM1787" s="1163"/>
      <c r="BN1787" s="1163"/>
      <c r="BO1787" s="1163"/>
      <c r="BP1787" s="1163"/>
      <c r="BQ1787" s="1163"/>
      <c r="BR1787" s="1163"/>
      <c r="BS1787" s="1163"/>
      <c r="BT1787" s="1163"/>
      <c r="BU1787" s="1163"/>
      <c r="BV1787" s="1163"/>
      <c r="BW1787" s="1163"/>
      <c r="BX1787" s="1163"/>
      <c r="BY1787" s="1163"/>
      <c r="BZ1787" s="1163"/>
      <c r="CA1787" s="1163"/>
      <c r="CB1787" s="1163"/>
      <c r="CC1787" s="1163"/>
      <c r="CD1787" s="1163"/>
      <c r="CE1787" s="1163"/>
      <c r="CF1787" s="1163"/>
      <c r="CG1787" s="1163"/>
      <c r="CH1787" s="1163"/>
      <c r="CI1787" s="1163"/>
      <c r="CJ1787" s="1163"/>
      <c r="CK1787" s="1163"/>
      <c r="CL1787" s="1163"/>
      <c r="CM1787" s="1163"/>
      <c r="CN1787" s="1163"/>
      <c r="CO1787" s="1163"/>
      <c r="CP1787" s="1163"/>
      <c r="CQ1787" s="1163"/>
      <c r="CR1787" s="1163"/>
      <c r="CS1787" s="1163"/>
      <c r="CT1787" s="1163"/>
      <c r="CU1787" s="1163"/>
      <c r="CV1787" s="1163"/>
      <c r="CW1787" s="1163"/>
      <c r="CX1787" s="1163"/>
      <c r="CY1787" s="1163"/>
      <c r="CZ1787" s="1163"/>
      <c r="DA1787" s="1163"/>
      <c r="DB1787" s="1163"/>
      <c r="DC1787" s="1163"/>
      <c r="DD1787" s="1163"/>
      <c r="DE1787" s="1163"/>
      <c r="DF1787" s="1163"/>
      <c r="DG1787" s="1163"/>
      <c r="DH1787" s="1163"/>
      <c r="DI1787" s="1163"/>
      <c r="DJ1787" s="1163"/>
      <c r="DK1787" s="1163"/>
      <c r="DL1787" s="1163"/>
      <c r="DM1787" s="1163"/>
      <c r="DN1787" s="1163"/>
      <c r="DO1787" s="1163"/>
      <c r="DP1787" s="1163"/>
    </row>
    <row r="1788" spans="1:120" s="1164" customFormat="1" ht="15" customHeight="1">
      <c r="A1788" s="1157" t="s">
        <v>4386</v>
      </c>
      <c r="B1788" s="41">
        <v>20</v>
      </c>
      <c r="C1788" s="41" t="s">
        <v>4382</v>
      </c>
      <c r="D1788" s="1166">
        <v>30</v>
      </c>
      <c r="E1788" s="1159" t="s">
        <v>4404</v>
      </c>
      <c r="F1788" s="1160">
        <f>ROUNDUP(H1788/0.6/115,2)</f>
        <v>0.53</v>
      </c>
      <c r="G1788" s="1161">
        <v>1080</v>
      </c>
      <c r="H1788" s="1161">
        <f>G1788/30</f>
        <v>36</v>
      </c>
      <c r="I1788" s="1162">
        <f>(((F1788*J1788)-H1788)/(F1788*J1788))</f>
        <v>0.40935192780968011</v>
      </c>
      <c r="J1788" s="1163">
        <v>115</v>
      </c>
      <c r="K1788" s="1163"/>
      <c r="L1788" s="1163"/>
      <c r="M1788" s="1163"/>
      <c r="N1788" s="1163"/>
      <c r="O1788" s="1163"/>
      <c r="P1788" s="1163"/>
      <c r="Q1788" s="1163"/>
      <c r="R1788" s="1163"/>
      <c r="S1788" s="1163"/>
      <c r="T1788" s="1163"/>
      <c r="U1788" s="1163"/>
      <c r="V1788" s="1163"/>
      <c r="W1788" s="1163"/>
      <c r="X1788" s="1163"/>
      <c r="Y1788" s="1163"/>
      <c r="Z1788" s="1163"/>
      <c r="AA1788" s="1163"/>
      <c r="AB1788" s="1163"/>
      <c r="AC1788" s="1163"/>
      <c r="AD1788" s="1163"/>
      <c r="AE1788" s="1163"/>
      <c r="AF1788" s="1163"/>
      <c r="AG1788" s="1163"/>
      <c r="AH1788" s="1163"/>
      <c r="AI1788" s="1163"/>
      <c r="AJ1788" s="1163"/>
      <c r="AK1788" s="1163"/>
      <c r="AL1788" s="1163"/>
      <c r="AM1788" s="1163"/>
      <c r="AN1788" s="1163"/>
      <c r="AO1788" s="1163"/>
      <c r="AP1788" s="1163"/>
      <c r="AQ1788" s="1163"/>
      <c r="AR1788" s="1163"/>
      <c r="AS1788" s="1163"/>
      <c r="AT1788" s="1163"/>
      <c r="AU1788" s="1163"/>
      <c r="AV1788" s="1163"/>
      <c r="AW1788" s="1163"/>
      <c r="AX1788" s="1163"/>
      <c r="AY1788" s="1163"/>
      <c r="AZ1788" s="1163"/>
      <c r="BA1788" s="1163"/>
      <c r="BB1788" s="1163"/>
      <c r="BC1788" s="1163"/>
      <c r="BD1788" s="1163"/>
      <c r="BE1788" s="1163"/>
      <c r="BF1788" s="1163"/>
      <c r="BG1788" s="1163"/>
      <c r="BH1788" s="1163"/>
      <c r="BI1788" s="1163"/>
      <c r="BJ1788" s="1163"/>
      <c r="BK1788" s="1163"/>
      <c r="BL1788" s="1163"/>
      <c r="BM1788" s="1163"/>
      <c r="BN1788" s="1163"/>
      <c r="BO1788" s="1163"/>
      <c r="BP1788" s="1163"/>
      <c r="BQ1788" s="1163"/>
      <c r="BR1788" s="1163"/>
      <c r="BS1788" s="1163"/>
      <c r="BT1788" s="1163"/>
      <c r="BU1788" s="1163"/>
      <c r="BV1788" s="1163"/>
      <c r="BW1788" s="1163"/>
      <c r="BX1788" s="1163"/>
      <c r="BY1788" s="1163"/>
      <c r="BZ1788" s="1163"/>
      <c r="CA1788" s="1163"/>
      <c r="CB1788" s="1163"/>
      <c r="CC1788" s="1163"/>
      <c r="CD1788" s="1163"/>
      <c r="CE1788" s="1163"/>
      <c r="CF1788" s="1163"/>
      <c r="CG1788" s="1163"/>
      <c r="CH1788" s="1163"/>
      <c r="CI1788" s="1163"/>
      <c r="CJ1788" s="1163"/>
      <c r="CK1788" s="1163"/>
      <c r="CL1788" s="1163"/>
      <c r="CM1788" s="1163"/>
      <c r="CN1788" s="1163"/>
      <c r="CO1788" s="1163"/>
      <c r="CP1788" s="1163"/>
      <c r="CQ1788" s="1163"/>
      <c r="CR1788" s="1163"/>
      <c r="CS1788" s="1163"/>
      <c r="CT1788" s="1163"/>
      <c r="CU1788" s="1163"/>
      <c r="CV1788" s="1163"/>
      <c r="CW1788" s="1163"/>
      <c r="CX1788" s="1163"/>
      <c r="CY1788" s="1163"/>
      <c r="CZ1788" s="1163"/>
      <c r="DA1788" s="1163"/>
      <c r="DB1788" s="1163"/>
      <c r="DC1788" s="1163"/>
      <c r="DD1788" s="1163"/>
      <c r="DE1788" s="1163"/>
      <c r="DF1788" s="1163"/>
      <c r="DG1788" s="1163"/>
      <c r="DH1788" s="1163"/>
      <c r="DI1788" s="1163"/>
      <c r="DJ1788" s="1163"/>
      <c r="DK1788" s="1163"/>
      <c r="DL1788" s="1163"/>
      <c r="DM1788" s="1163"/>
      <c r="DN1788" s="1163"/>
      <c r="DO1788" s="1163"/>
      <c r="DP1788" s="1163"/>
    </row>
    <row r="1789" spans="1:120" s="1164" customFormat="1" ht="15" customHeight="1">
      <c r="A1789" s="1157" t="s">
        <v>4387</v>
      </c>
      <c r="B1789" s="41">
        <v>25</v>
      </c>
      <c r="C1789" s="41" t="s">
        <v>4382</v>
      </c>
      <c r="D1789" s="1166">
        <v>30</v>
      </c>
      <c r="E1789" s="1159" t="s">
        <v>4404</v>
      </c>
      <c r="F1789" s="1160">
        <f>ROUNDUP(H1789/0.6/115,2)</f>
        <v>0.6</v>
      </c>
      <c r="G1789" s="1161">
        <v>1230</v>
      </c>
      <c r="H1789" s="1161">
        <f>G1789/30</f>
        <v>41</v>
      </c>
      <c r="I1789" s="1162">
        <f>(((F1789*J1789)-H1789)/(F1789*J1789))</f>
        <v>0.40579710144927539</v>
      </c>
      <c r="J1789" s="1163">
        <v>115</v>
      </c>
      <c r="K1789" s="1163"/>
      <c r="L1789" s="1163"/>
      <c r="M1789" s="1163"/>
      <c r="N1789" s="1163"/>
      <c r="O1789" s="1163"/>
      <c r="P1789" s="1163"/>
      <c r="Q1789" s="1163"/>
      <c r="R1789" s="1163"/>
      <c r="S1789" s="1163"/>
      <c r="T1789" s="1163"/>
      <c r="U1789" s="1163"/>
      <c r="V1789" s="1163"/>
      <c r="W1789" s="1163"/>
      <c r="X1789" s="1163"/>
      <c r="Y1789" s="1163"/>
      <c r="Z1789" s="1163"/>
      <c r="AA1789" s="1163"/>
      <c r="AB1789" s="1163"/>
      <c r="AC1789" s="1163"/>
      <c r="AD1789" s="1163"/>
      <c r="AE1789" s="1163"/>
      <c r="AF1789" s="1163"/>
      <c r="AG1789" s="1163"/>
      <c r="AH1789" s="1163"/>
      <c r="AI1789" s="1163"/>
      <c r="AJ1789" s="1163"/>
      <c r="AK1789" s="1163"/>
      <c r="AL1789" s="1163"/>
      <c r="AM1789" s="1163"/>
      <c r="AN1789" s="1163"/>
      <c r="AO1789" s="1163"/>
      <c r="AP1789" s="1163"/>
      <c r="AQ1789" s="1163"/>
      <c r="AR1789" s="1163"/>
      <c r="AS1789" s="1163"/>
      <c r="AT1789" s="1163"/>
      <c r="AU1789" s="1163"/>
      <c r="AV1789" s="1163"/>
      <c r="AW1789" s="1163"/>
      <c r="AX1789" s="1163"/>
      <c r="AY1789" s="1163"/>
      <c r="AZ1789" s="1163"/>
      <c r="BA1789" s="1163"/>
      <c r="BB1789" s="1163"/>
      <c r="BC1789" s="1163"/>
      <c r="BD1789" s="1163"/>
      <c r="BE1789" s="1163"/>
      <c r="BF1789" s="1163"/>
      <c r="BG1789" s="1163"/>
      <c r="BH1789" s="1163"/>
      <c r="BI1789" s="1163"/>
      <c r="BJ1789" s="1163"/>
      <c r="BK1789" s="1163"/>
      <c r="BL1789" s="1163"/>
      <c r="BM1789" s="1163"/>
      <c r="BN1789" s="1163"/>
      <c r="BO1789" s="1163"/>
      <c r="BP1789" s="1163"/>
      <c r="BQ1789" s="1163"/>
      <c r="BR1789" s="1163"/>
      <c r="BS1789" s="1163"/>
      <c r="BT1789" s="1163"/>
      <c r="BU1789" s="1163"/>
      <c r="BV1789" s="1163"/>
      <c r="BW1789" s="1163"/>
      <c r="BX1789" s="1163"/>
      <c r="BY1789" s="1163"/>
      <c r="BZ1789" s="1163"/>
      <c r="CA1789" s="1163"/>
      <c r="CB1789" s="1163"/>
      <c r="CC1789" s="1163"/>
      <c r="CD1789" s="1163"/>
      <c r="CE1789" s="1163"/>
      <c r="CF1789" s="1163"/>
      <c r="CG1789" s="1163"/>
      <c r="CH1789" s="1163"/>
      <c r="CI1789" s="1163"/>
      <c r="CJ1789" s="1163"/>
      <c r="CK1789" s="1163"/>
      <c r="CL1789" s="1163"/>
      <c r="CM1789" s="1163"/>
      <c r="CN1789" s="1163"/>
      <c r="CO1789" s="1163"/>
      <c r="CP1789" s="1163"/>
      <c r="CQ1789" s="1163"/>
      <c r="CR1789" s="1163"/>
      <c r="CS1789" s="1163"/>
      <c r="CT1789" s="1163"/>
      <c r="CU1789" s="1163"/>
      <c r="CV1789" s="1163"/>
      <c r="CW1789" s="1163"/>
      <c r="CX1789" s="1163"/>
      <c r="CY1789" s="1163"/>
      <c r="CZ1789" s="1163"/>
      <c r="DA1789" s="1163"/>
      <c r="DB1789" s="1163"/>
      <c r="DC1789" s="1163"/>
      <c r="DD1789" s="1163"/>
      <c r="DE1789" s="1163"/>
      <c r="DF1789" s="1163"/>
      <c r="DG1789" s="1163"/>
      <c r="DH1789" s="1163"/>
      <c r="DI1789" s="1163"/>
      <c r="DJ1789" s="1163"/>
      <c r="DK1789" s="1163"/>
      <c r="DL1789" s="1163"/>
      <c r="DM1789" s="1163"/>
      <c r="DN1789" s="1163"/>
      <c r="DO1789" s="1163"/>
      <c r="DP1789" s="1163"/>
    </row>
    <row r="1790" spans="1:120" s="1164" customFormat="1" ht="15" customHeight="1">
      <c r="A1790" s="1157"/>
      <c r="B1790" s="41"/>
      <c r="C1790" s="41"/>
      <c r="D1790" s="1158"/>
      <c r="E1790" s="1159"/>
      <c r="F1790" s="1160"/>
      <c r="G1790" s="1161"/>
      <c r="H1790" s="1161"/>
      <c r="I1790" s="1162"/>
      <c r="J1790" s="1163"/>
      <c r="K1790" s="1163"/>
      <c r="L1790" s="1163"/>
      <c r="M1790" s="1163"/>
      <c r="N1790" s="1163"/>
      <c r="O1790" s="1163"/>
      <c r="P1790" s="1163"/>
      <c r="Q1790" s="1163"/>
      <c r="R1790" s="1163"/>
      <c r="S1790" s="1163"/>
      <c r="T1790" s="1163"/>
      <c r="U1790" s="1163"/>
      <c r="V1790" s="1163"/>
      <c r="W1790" s="1163"/>
      <c r="X1790" s="1163"/>
      <c r="Y1790" s="1163"/>
      <c r="Z1790" s="1163"/>
      <c r="AA1790" s="1163"/>
      <c r="AB1790" s="1163"/>
      <c r="AC1790" s="1163"/>
      <c r="AD1790" s="1163"/>
      <c r="AE1790" s="1163"/>
      <c r="AF1790" s="1163"/>
      <c r="AG1790" s="1163"/>
      <c r="AH1790" s="1163"/>
      <c r="AI1790" s="1163"/>
      <c r="AJ1790" s="1163"/>
      <c r="AK1790" s="1163"/>
      <c r="AL1790" s="1163"/>
      <c r="AM1790" s="1163"/>
      <c r="AN1790" s="1163"/>
      <c r="AO1790" s="1163"/>
      <c r="AP1790" s="1163"/>
      <c r="AQ1790" s="1163"/>
      <c r="AR1790" s="1163"/>
      <c r="AS1790" s="1163"/>
      <c r="AT1790" s="1163"/>
      <c r="AU1790" s="1163"/>
      <c r="AV1790" s="1163"/>
      <c r="AW1790" s="1163"/>
      <c r="AX1790" s="1163"/>
      <c r="AY1790" s="1163"/>
      <c r="AZ1790" s="1163"/>
      <c r="BA1790" s="1163"/>
      <c r="BB1790" s="1163"/>
      <c r="BC1790" s="1163"/>
      <c r="BD1790" s="1163"/>
      <c r="BE1790" s="1163"/>
      <c r="BF1790" s="1163"/>
      <c r="BG1790" s="1163"/>
      <c r="BH1790" s="1163"/>
      <c r="BI1790" s="1163"/>
      <c r="BJ1790" s="1163"/>
      <c r="BK1790" s="1163"/>
      <c r="BL1790" s="1163"/>
      <c r="BM1790" s="1163"/>
      <c r="BN1790" s="1163"/>
      <c r="BO1790" s="1163"/>
      <c r="BP1790" s="1163"/>
      <c r="BQ1790" s="1163"/>
      <c r="BR1790" s="1163"/>
      <c r="BS1790" s="1163"/>
      <c r="BT1790" s="1163"/>
      <c r="BU1790" s="1163"/>
      <c r="BV1790" s="1163"/>
      <c r="BW1790" s="1163"/>
      <c r="BX1790" s="1163"/>
      <c r="BY1790" s="1163"/>
      <c r="BZ1790" s="1163"/>
      <c r="CA1790" s="1163"/>
      <c r="CB1790" s="1163"/>
      <c r="CC1790" s="1163"/>
      <c r="CD1790" s="1163"/>
      <c r="CE1790" s="1163"/>
      <c r="CF1790" s="1163"/>
      <c r="CG1790" s="1163"/>
      <c r="CH1790" s="1163"/>
      <c r="CI1790" s="1163"/>
      <c r="CJ1790" s="1163"/>
      <c r="CK1790" s="1163"/>
      <c r="CL1790" s="1163"/>
      <c r="CM1790" s="1163"/>
      <c r="CN1790" s="1163"/>
      <c r="CO1790" s="1163"/>
      <c r="CP1790" s="1163"/>
      <c r="CQ1790" s="1163"/>
      <c r="CR1790" s="1163"/>
      <c r="CS1790" s="1163"/>
      <c r="CT1790" s="1163"/>
      <c r="CU1790" s="1163"/>
      <c r="CV1790" s="1163"/>
      <c r="CW1790" s="1163"/>
      <c r="CX1790" s="1163"/>
      <c r="CY1790" s="1163"/>
      <c r="CZ1790" s="1163"/>
      <c r="DA1790" s="1163"/>
      <c r="DB1790" s="1163"/>
      <c r="DC1790" s="1163"/>
      <c r="DD1790" s="1163"/>
      <c r="DE1790" s="1163"/>
      <c r="DF1790" s="1163"/>
      <c r="DG1790" s="1163"/>
      <c r="DH1790" s="1163"/>
      <c r="DI1790" s="1163"/>
      <c r="DJ1790" s="1163"/>
      <c r="DK1790" s="1163"/>
      <c r="DL1790" s="1163"/>
      <c r="DM1790" s="1163"/>
      <c r="DN1790" s="1163"/>
      <c r="DO1790" s="1163"/>
      <c r="DP1790" s="1163"/>
    </row>
    <row r="1791" spans="1:120" s="1164" customFormat="1" ht="15" customHeight="1">
      <c r="A1791" s="1157" t="s">
        <v>4381</v>
      </c>
      <c r="B1791" s="41">
        <v>15</v>
      </c>
      <c r="C1791" s="41" t="s">
        <v>39</v>
      </c>
      <c r="D1791" s="1166">
        <v>30</v>
      </c>
      <c r="E1791" s="1159" t="s">
        <v>4404</v>
      </c>
      <c r="F1791" s="1160">
        <f>ROUNDUP(H1791/0.6/115,2)</f>
        <v>0.5</v>
      </c>
      <c r="G1791" s="1161">
        <v>1020</v>
      </c>
      <c r="H1791" s="1161">
        <f>G1791/30</f>
        <v>34</v>
      </c>
      <c r="I1791" s="1162">
        <f>(((F1791*J1791)-H1791)/(F1791*J1791))</f>
        <v>0.40869565217391307</v>
      </c>
      <c r="J1791" s="1163">
        <v>115</v>
      </c>
      <c r="K1791" s="1163"/>
      <c r="L1791" s="1163"/>
      <c r="M1791" s="1163"/>
      <c r="N1791" s="1163"/>
      <c r="O1791" s="1163"/>
      <c r="P1791" s="1163"/>
      <c r="Q1791" s="1163"/>
      <c r="R1791" s="1163"/>
      <c r="S1791" s="1163"/>
      <c r="T1791" s="1163"/>
      <c r="U1791" s="1163"/>
      <c r="V1791" s="1163"/>
      <c r="W1791" s="1163"/>
      <c r="X1791" s="1163"/>
      <c r="Y1791" s="1163"/>
      <c r="Z1791" s="1163"/>
      <c r="AA1791" s="1163"/>
      <c r="AB1791" s="1163"/>
      <c r="AC1791" s="1163"/>
      <c r="AD1791" s="1163"/>
      <c r="AE1791" s="1163"/>
      <c r="AF1791" s="1163"/>
      <c r="AG1791" s="1163"/>
      <c r="AH1791" s="1163"/>
      <c r="AI1791" s="1163"/>
      <c r="AJ1791" s="1163"/>
      <c r="AK1791" s="1163"/>
      <c r="AL1791" s="1163"/>
      <c r="AM1791" s="1163"/>
      <c r="AN1791" s="1163"/>
      <c r="AO1791" s="1163"/>
      <c r="AP1791" s="1163"/>
      <c r="AQ1791" s="1163"/>
      <c r="AR1791" s="1163"/>
      <c r="AS1791" s="1163"/>
      <c r="AT1791" s="1163"/>
      <c r="AU1791" s="1163"/>
      <c r="AV1791" s="1163"/>
      <c r="AW1791" s="1163"/>
      <c r="AX1791" s="1163"/>
      <c r="AY1791" s="1163"/>
      <c r="AZ1791" s="1163"/>
      <c r="BA1791" s="1163"/>
      <c r="BB1791" s="1163"/>
      <c r="BC1791" s="1163"/>
      <c r="BD1791" s="1163"/>
      <c r="BE1791" s="1163"/>
      <c r="BF1791" s="1163"/>
      <c r="BG1791" s="1163"/>
      <c r="BH1791" s="1163"/>
      <c r="BI1791" s="1163"/>
      <c r="BJ1791" s="1163"/>
      <c r="BK1791" s="1163"/>
      <c r="BL1791" s="1163"/>
      <c r="BM1791" s="1163"/>
      <c r="BN1791" s="1163"/>
      <c r="BO1791" s="1163"/>
      <c r="BP1791" s="1163"/>
      <c r="BQ1791" s="1163"/>
      <c r="BR1791" s="1163"/>
      <c r="BS1791" s="1163"/>
      <c r="BT1791" s="1163"/>
      <c r="BU1791" s="1163"/>
      <c r="BV1791" s="1163"/>
      <c r="BW1791" s="1163"/>
      <c r="BX1791" s="1163"/>
      <c r="BY1791" s="1163"/>
      <c r="BZ1791" s="1163"/>
      <c r="CA1791" s="1163"/>
      <c r="CB1791" s="1163"/>
      <c r="CC1791" s="1163"/>
      <c r="CD1791" s="1163"/>
      <c r="CE1791" s="1163"/>
      <c r="CF1791" s="1163"/>
      <c r="CG1791" s="1163"/>
      <c r="CH1791" s="1163"/>
      <c r="CI1791" s="1163"/>
      <c r="CJ1791" s="1163"/>
      <c r="CK1791" s="1163"/>
      <c r="CL1791" s="1163"/>
      <c r="CM1791" s="1163"/>
      <c r="CN1791" s="1163"/>
      <c r="CO1791" s="1163"/>
      <c r="CP1791" s="1163"/>
      <c r="CQ1791" s="1163"/>
      <c r="CR1791" s="1163"/>
      <c r="CS1791" s="1163"/>
      <c r="CT1791" s="1163"/>
      <c r="CU1791" s="1163"/>
      <c r="CV1791" s="1163"/>
      <c r="CW1791" s="1163"/>
      <c r="CX1791" s="1163"/>
      <c r="CY1791" s="1163"/>
      <c r="CZ1791" s="1163"/>
      <c r="DA1791" s="1163"/>
      <c r="DB1791" s="1163"/>
      <c r="DC1791" s="1163"/>
      <c r="DD1791" s="1163"/>
      <c r="DE1791" s="1163"/>
      <c r="DF1791" s="1163"/>
      <c r="DG1791" s="1163"/>
      <c r="DH1791" s="1163"/>
      <c r="DI1791" s="1163"/>
      <c r="DJ1791" s="1163"/>
      <c r="DK1791" s="1163"/>
      <c r="DL1791" s="1163"/>
      <c r="DM1791" s="1163"/>
      <c r="DN1791" s="1163"/>
      <c r="DO1791" s="1163"/>
      <c r="DP1791" s="1163"/>
    </row>
    <row r="1792" spans="1:120" s="1164" customFormat="1" ht="15" customHeight="1">
      <c r="A1792" s="1157" t="s">
        <v>4388</v>
      </c>
      <c r="B1792" s="41">
        <v>18</v>
      </c>
      <c r="C1792" s="41" t="s">
        <v>39</v>
      </c>
      <c r="D1792" s="1166">
        <v>30</v>
      </c>
      <c r="E1792" s="1159" t="s">
        <v>4404</v>
      </c>
      <c r="F1792" s="1160">
        <f>ROUNDUP(H1792/0.6/115,2)</f>
        <v>0.53</v>
      </c>
      <c r="G1792" s="1161">
        <v>1080</v>
      </c>
      <c r="H1792" s="1161">
        <f>G1792/30</f>
        <v>36</v>
      </c>
      <c r="I1792" s="1162">
        <f>(((F1792*J1792)-H1792)/(F1792*J1792))</f>
        <v>0.40935192780968011</v>
      </c>
      <c r="J1792" s="1163">
        <v>115</v>
      </c>
      <c r="K1792" s="1163"/>
      <c r="L1792" s="1163"/>
      <c r="M1792" s="1163"/>
      <c r="N1792" s="1163"/>
      <c r="O1792" s="1163"/>
      <c r="P1792" s="1163"/>
      <c r="Q1792" s="1163"/>
      <c r="R1792" s="1163"/>
      <c r="S1792" s="1163"/>
      <c r="T1792" s="1163"/>
      <c r="U1792" s="1163"/>
      <c r="V1792" s="1163"/>
      <c r="W1792" s="1163"/>
      <c r="X1792" s="1163"/>
      <c r="Y1792" s="1163"/>
      <c r="Z1792" s="1163"/>
      <c r="AA1792" s="1163"/>
      <c r="AB1792" s="1163"/>
      <c r="AC1792" s="1163"/>
      <c r="AD1792" s="1163"/>
      <c r="AE1792" s="1163"/>
      <c r="AF1792" s="1163"/>
      <c r="AG1792" s="1163"/>
      <c r="AH1792" s="1163"/>
      <c r="AI1792" s="1163"/>
      <c r="AJ1792" s="1163"/>
      <c r="AK1792" s="1163"/>
      <c r="AL1792" s="1163"/>
      <c r="AM1792" s="1163"/>
      <c r="AN1792" s="1163"/>
      <c r="AO1792" s="1163"/>
      <c r="AP1792" s="1163"/>
      <c r="AQ1792" s="1163"/>
      <c r="AR1792" s="1163"/>
      <c r="AS1792" s="1163"/>
      <c r="AT1792" s="1163"/>
      <c r="AU1792" s="1163"/>
      <c r="AV1792" s="1163"/>
      <c r="AW1792" s="1163"/>
      <c r="AX1792" s="1163"/>
      <c r="AY1792" s="1163"/>
      <c r="AZ1792" s="1163"/>
      <c r="BA1792" s="1163"/>
      <c r="BB1792" s="1163"/>
      <c r="BC1792" s="1163"/>
      <c r="BD1792" s="1163"/>
      <c r="BE1792" s="1163"/>
      <c r="BF1792" s="1163"/>
      <c r="BG1792" s="1163"/>
      <c r="BH1792" s="1163"/>
      <c r="BI1792" s="1163"/>
      <c r="BJ1792" s="1163"/>
      <c r="BK1792" s="1163"/>
      <c r="BL1792" s="1163"/>
      <c r="BM1792" s="1163"/>
      <c r="BN1792" s="1163"/>
      <c r="BO1792" s="1163"/>
      <c r="BP1792" s="1163"/>
      <c r="BQ1792" s="1163"/>
      <c r="BR1792" s="1163"/>
      <c r="BS1792" s="1163"/>
      <c r="BT1792" s="1163"/>
      <c r="BU1792" s="1163"/>
      <c r="BV1792" s="1163"/>
      <c r="BW1792" s="1163"/>
      <c r="BX1792" s="1163"/>
      <c r="BY1792" s="1163"/>
      <c r="BZ1792" s="1163"/>
      <c r="CA1792" s="1163"/>
      <c r="CB1792" s="1163"/>
      <c r="CC1792" s="1163"/>
      <c r="CD1792" s="1163"/>
      <c r="CE1792" s="1163"/>
      <c r="CF1792" s="1163"/>
      <c r="CG1792" s="1163"/>
      <c r="CH1792" s="1163"/>
      <c r="CI1792" s="1163"/>
      <c r="CJ1792" s="1163"/>
      <c r="CK1792" s="1163"/>
      <c r="CL1792" s="1163"/>
      <c r="CM1792" s="1163"/>
      <c r="CN1792" s="1163"/>
      <c r="CO1792" s="1163"/>
      <c r="CP1792" s="1163"/>
      <c r="CQ1792" s="1163"/>
      <c r="CR1792" s="1163"/>
      <c r="CS1792" s="1163"/>
      <c r="CT1792" s="1163"/>
      <c r="CU1792" s="1163"/>
      <c r="CV1792" s="1163"/>
      <c r="CW1792" s="1163"/>
      <c r="CX1792" s="1163"/>
      <c r="CY1792" s="1163"/>
      <c r="CZ1792" s="1163"/>
      <c r="DA1792" s="1163"/>
      <c r="DB1792" s="1163"/>
      <c r="DC1792" s="1163"/>
      <c r="DD1792" s="1163"/>
      <c r="DE1792" s="1163"/>
      <c r="DF1792" s="1163"/>
      <c r="DG1792" s="1163"/>
      <c r="DH1792" s="1163"/>
      <c r="DI1792" s="1163"/>
      <c r="DJ1792" s="1163"/>
      <c r="DK1792" s="1163"/>
      <c r="DL1792" s="1163"/>
      <c r="DM1792" s="1163"/>
      <c r="DN1792" s="1163"/>
      <c r="DO1792" s="1163"/>
      <c r="DP1792" s="1163"/>
    </row>
    <row r="1793" spans="1:120" s="1164" customFormat="1" ht="15" customHeight="1">
      <c r="A1793" s="1157" t="s">
        <v>4389</v>
      </c>
      <c r="B1793" s="41">
        <v>20</v>
      </c>
      <c r="C1793" s="41" t="s">
        <v>39</v>
      </c>
      <c r="D1793" s="1166">
        <v>30</v>
      </c>
      <c r="E1793" s="1159" t="s">
        <v>4404</v>
      </c>
      <c r="F1793" s="1160">
        <f>ROUNDUP(H1793/0.6/115,2)</f>
        <v>0.57000000000000006</v>
      </c>
      <c r="G1793" s="1161">
        <v>1170</v>
      </c>
      <c r="H1793" s="1161">
        <f>G1793/30</f>
        <v>39</v>
      </c>
      <c r="I1793" s="1162">
        <f>(((F1793*J1793)-H1793)/(F1793*J1793))</f>
        <v>0.40503432494279185</v>
      </c>
      <c r="J1793" s="1163">
        <v>115</v>
      </c>
      <c r="K1793" s="1163"/>
      <c r="L1793" s="1163"/>
      <c r="M1793" s="1163"/>
      <c r="N1793" s="1163"/>
      <c r="O1793" s="1163"/>
      <c r="P1793" s="1163"/>
      <c r="Q1793" s="1163"/>
      <c r="R1793" s="1163"/>
      <c r="S1793" s="1163"/>
      <c r="T1793" s="1163"/>
      <c r="U1793" s="1163"/>
      <c r="V1793" s="1163"/>
      <c r="W1793" s="1163"/>
      <c r="X1793" s="1163"/>
      <c r="Y1793" s="1163"/>
      <c r="Z1793" s="1163"/>
      <c r="AA1793" s="1163"/>
      <c r="AB1793" s="1163"/>
      <c r="AC1793" s="1163"/>
      <c r="AD1793" s="1163"/>
      <c r="AE1793" s="1163"/>
      <c r="AF1793" s="1163"/>
      <c r="AG1793" s="1163"/>
      <c r="AH1793" s="1163"/>
      <c r="AI1793" s="1163"/>
      <c r="AJ1793" s="1163"/>
      <c r="AK1793" s="1163"/>
      <c r="AL1793" s="1163"/>
      <c r="AM1793" s="1163"/>
      <c r="AN1793" s="1163"/>
      <c r="AO1793" s="1163"/>
      <c r="AP1793" s="1163"/>
      <c r="AQ1793" s="1163"/>
      <c r="AR1793" s="1163"/>
      <c r="AS1793" s="1163"/>
      <c r="AT1793" s="1163"/>
      <c r="AU1793" s="1163"/>
      <c r="AV1793" s="1163"/>
      <c r="AW1793" s="1163"/>
      <c r="AX1793" s="1163"/>
      <c r="AY1793" s="1163"/>
      <c r="AZ1793" s="1163"/>
      <c r="BA1793" s="1163"/>
      <c r="BB1793" s="1163"/>
      <c r="BC1793" s="1163"/>
      <c r="BD1793" s="1163"/>
      <c r="BE1793" s="1163"/>
      <c r="BF1793" s="1163"/>
      <c r="BG1793" s="1163"/>
      <c r="BH1793" s="1163"/>
      <c r="BI1793" s="1163"/>
      <c r="BJ1793" s="1163"/>
      <c r="BK1793" s="1163"/>
      <c r="BL1793" s="1163"/>
      <c r="BM1793" s="1163"/>
      <c r="BN1793" s="1163"/>
      <c r="BO1793" s="1163"/>
      <c r="BP1793" s="1163"/>
      <c r="BQ1793" s="1163"/>
      <c r="BR1793" s="1163"/>
      <c r="BS1793" s="1163"/>
      <c r="BT1793" s="1163"/>
      <c r="BU1793" s="1163"/>
      <c r="BV1793" s="1163"/>
      <c r="BW1793" s="1163"/>
      <c r="BX1793" s="1163"/>
      <c r="BY1793" s="1163"/>
      <c r="BZ1793" s="1163"/>
      <c r="CA1793" s="1163"/>
      <c r="CB1793" s="1163"/>
      <c r="CC1793" s="1163"/>
      <c r="CD1793" s="1163"/>
      <c r="CE1793" s="1163"/>
      <c r="CF1793" s="1163"/>
      <c r="CG1793" s="1163"/>
      <c r="CH1793" s="1163"/>
      <c r="CI1793" s="1163"/>
      <c r="CJ1793" s="1163"/>
      <c r="CK1793" s="1163"/>
      <c r="CL1793" s="1163"/>
      <c r="CM1793" s="1163"/>
      <c r="CN1793" s="1163"/>
      <c r="CO1793" s="1163"/>
      <c r="CP1793" s="1163"/>
      <c r="CQ1793" s="1163"/>
      <c r="CR1793" s="1163"/>
      <c r="CS1793" s="1163"/>
      <c r="CT1793" s="1163"/>
      <c r="CU1793" s="1163"/>
      <c r="CV1793" s="1163"/>
      <c r="CW1793" s="1163"/>
      <c r="CX1793" s="1163"/>
      <c r="CY1793" s="1163"/>
      <c r="CZ1793" s="1163"/>
      <c r="DA1793" s="1163"/>
      <c r="DB1793" s="1163"/>
      <c r="DC1793" s="1163"/>
      <c r="DD1793" s="1163"/>
      <c r="DE1793" s="1163"/>
      <c r="DF1793" s="1163"/>
      <c r="DG1793" s="1163"/>
      <c r="DH1793" s="1163"/>
      <c r="DI1793" s="1163"/>
      <c r="DJ1793" s="1163"/>
      <c r="DK1793" s="1163"/>
      <c r="DL1793" s="1163"/>
      <c r="DM1793" s="1163"/>
      <c r="DN1793" s="1163"/>
      <c r="DO1793" s="1163"/>
      <c r="DP1793" s="1163"/>
    </row>
    <row r="1794" spans="1:120" s="1164" customFormat="1" ht="15" customHeight="1">
      <c r="A1794" s="1157" t="s">
        <v>4390</v>
      </c>
      <c r="B1794" s="41">
        <v>25</v>
      </c>
      <c r="C1794" s="41" t="s">
        <v>39</v>
      </c>
      <c r="D1794" s="1166">
        <v>30</v>
      </c>
      <c r="E1794" s="1159" t="s">
        <v>4404</v>
      </c>
      <c r="F1794" s="1160">
        <f>ROUNDUP(H1794/0.6/115,2)</f>
        <v>0.64</v>
      </c>
      <c r="G1794" s="1161">
        <v>1320</v>
      </c>
      <c r="H1794" s="1161">
        <f>G1794/30</f>
        <v>44</v>
      </c>
      <c r="I1794" s="1162">
        <f>(((F1794*J1794)-H1794)/(F1794*J1794))</f>
        <v>0.40217391304347833</v>
      </c>
      <c r="J1794" s="1163">
        <v>115</v>
      </c>
      <c r="K1794" s="1163"/>
      <c r="L1794" s="1163"/>
      <c r="M1794" s="1163"/>
      <c r="N1794" s="1163"/>
      <c r="O1794" s="1163"/>
      <c r="P1794" s="1163"/>
      <c r="Q1794" s="1163"/>
      <c r="R1794" s="1163"/>
      <c r="S1794" s="1163"/>
      <c r="T1794" s="1163"/>
      <c r="U1794" s="1163"/>
      <c r="V1794" s="1163"/>
      <c r="W1794" s="1163"/>
      <c r="X1794" s="1163"/>
      <c r="Y1794" s="1163"/>
      <c r="Z1794" s="1163"/>
      <c r="AA1794" s="1163"/>
      <c r="AB1794" s="1163"/>
      <c r="AC1794" s="1163"/>
      <c r="AD1794" s="1163"/>
      <c r="AE1794" s="1163"/>
      <c r="AF1794" s="1163"/>
      <c r="AG1794" s="1163"/>
      <c r="AH1794" s="1163"/>
      <c r="AI1794" s="1163"/>
      <c r="AJ1794" s="1163"/>
      <c r="AK1794" s="1163"/>
      <c r="AL1794" s="1163"/>
      <c r="AM1794" s="1163"/>
      <c r="AN1794" s="1163"/>
      <c r="AO1794" s="1163"/>
      <c r="AP1794" s="1163"/>
      <c r="AQ1794" s="1163"/>
      <c r="AR1794" s="1163"/>
      <c r="AS1794" s="1163"/>
      <c r="AT1794" s="1163"/>
      <c r="AU1794" s="1163"/>
      <c r="AV1794" s="1163"/>
      <c r="AW1794" s="1163"/>
      <c r="AX1794" s="1163"/>
      <c r="AY1794" s="1163"/>
      <c r="AZ1794" s="1163"/>
      <c r="BA1794" s="1163"/>
      <c r="BB1794" s="1163"/>
      <c r="BC1794" s="1163"/>
      <c r="BD1794" s="1163"/>
      <c r="BE1794" s="1163"/>
      <c r="BF1794" s="1163"/>
      <c r="BG1794" s="1163"/>
      <c r="BH1794" s="1163"/>
      <c r="BI1794" s="1163"/>
      <c r="BJ1794" s="1163"/>
      <c r="BK1794" s="1163"/>
      <c r="BL1794" s="1163"/>
      <c r="BM1794" s="1163"/>
      <c r="BN1794" s="1163"/>
      <c r="BO1794" s="1163"/>
      <c r="BP1794" s="1163"/>
      <c r="BQ1794" s="1163"/>
      <c r="BR1794" s="1163"/>
      <c r="BS1794" s="1163"/>
      <c r="BT1794" s="1163"/>
      <c r="BU1794" s="1163"/>
      <c r="BV1794" s="1163"/>
      <c r="BW1794" s="1163"/>
      <c r="BX1794" s="1163"/>
      <c r="BY1794" s="1163"/>
      <c r="BZ1794" s="1163"/>
      <c r="CA1794" s="1163"/>
      <c r="CB1794" s="1163"/>
      <c r="CC1794" s="1163"/>
      <c r="CD1794" s="1163"/>
      <c r="CE1794" s="1163"/>
      <c r="CF1794" s="1163"/>
      <c r="CG1794" s="1163"/>
      <c r="CH1794" s="1163"/>
      <c r="CI1794" s="1163"/>
      <c r="CJ1794" s="1163"/>
      <c r="CK1794" s="1163"/>
      <c r="CL1794" s="1163"/>
      <c r="CM1794" s="1163"/>
      <c r="CN1794" s="1163"/>
      <c r="CO1794" s="1163"/>
      <c r="CP1794" s="1163"/>
      <c r="CQ1794" s="1163"/>
      <c r="CR1794" s="1163"/>
      <c r="CS1794" s="1163"/>
      <c r="CT1794" s="1163"/>
      <c r="CU1794" s="1163"/>
      <c r="CV1794" s="1163"/>
      <c r="CW1794" s="1163"/>
      <c r="CX1794" s="1163"/>
      <c r="CY1794" s="1163"/>
      <c r="CZ1794" s="1163"/>
      <c r="DA1794" s="1163"/>
      <c r="DB1794" s="1163"/>
      <c r="DC1794" s="1163"/>
      <c r="DD1794" s="1163"/>
      <c r="DE1794" s="1163"/>
      <c r="DF1794" s="1163"/>
      <c r="DG1794" s="1163"/>
      <c r="DH1794" s="1163"/>
      <c r="DI1794" s="1163"/>
      <c r="DJ1794" s="1163"/>
      <c r="DK1794" s="1163"/>
      <c r="DL1794" s="1163"/>
      <c r="DM1794" s="1163"/>
      <c r="DN1794" s="1163"/>
      <c r="DO1794" s="1163"/>
      <c r="DP1794" s="1163"/>
    </row>
    <row r="1795" spans="1:120" s="1164" customFormat="1" ht="15" customHeight="1">
      <c r="A1795" s="1157"/>
      <c r="B1795" s="41"/>
      <c r="C1795" s="41"/>
      <c r="D1795" s="1158"/>
      <c r="E1795" s="1159"/>
      <c r="F1795" s="1160"/>
      <c r="G1795" s="1161"/>
      <c r="H1795" s="1161"/>
      <c r="I1795" s="1162"/>
      <c r="J1795" s="1163"/>
      <c r="K1795" s="1163"/>
      <c r="L1795" s="1163"/>
      <c r="M1795" s="1163"/>
      <c r="N1795" s="1163"/>
      <c r="O1795" s="1163"/>
      <c r="P1795" s="1163"/>
      <c r="Q1795" s="1163"/>
      <c r="R1795" s="1163"/>
      <c r="S1795" s="1163"/>
      <c r="T1795" s="1163"/>
      <c r="U1795" s="1163"/>
      <c r="V1795" s="1163"/>
      <c r="W1795" s="1163"/>
      <c r="X1795" s="1163"/>
      <c r="Y1795" s="1163"/>
      <c r="Z1795" s="1163"/>
      <c r="AA1795" s="1163"/>
      <c r="AB1795" s="1163"/>
      <c r="AC1795" s="1163"/>
      <c r="AD1795" s="1163"/>
      <c r="AE1795" s="1163"/>
      <c r="AF1795" s="1163"/>
      <c r="AG1795" s="1163"/>
      <c r="AH1795" s="1163"/>
      <c r="AI1795" s="1163"/>
      <c r="AJ1795" s="1163"/>
      <c r="AK1795" s="1163"/>
      <c r="AL1795" s="1163"/>
      <c r="AM1795" s="1163"/>
      <c r="AN1795" s="1163"/>
      <c r="AO1795" s="1163"/>
      <c r="AP1795" s="1163"/>
      <c r="AQ1795" s="1163"/>
      <c r="AR1795" s="1163"/>
      <c r="AS1795" s="1163"/>
      <c r="AT1795" s="1163"/>
      <c r="AU1795" s="1163"/>
      <c r="AV1795" s="1163"/>
      <c r="AW1795" s="1163"/>
      <c r="AX1795" s="1163"/>
      <c r="AY1795" s="1163"/>
      <c r="AZ1795" s="1163"/>
      <c r="BA1795" s="1163"/>
      <c r="BB1795" s="1163"/>
      <c r="BC1795" s="1163"/>
      <c r="BD1795" s="1163"/>
      <c r="BE1795" s="1163"/>
      <c r="BF1795" s="1163"/>
      <c r="BG1795" s="1163"/>
      <c r="BH1795" s="1163"/>
      <c r="BI1795" s="1163"/>
      <c r="BJ1795" s="1163"/>
      <c r="BK1795" s="1163"/>
      <c r="BL1795" s="1163"/>
      <c r="BM1795" s="1163"/>
      <c r="BN1795" s="1163"/>
      <c r="BO1795" s="1163"/>
      <c r="BP1795" s="1163"/>
      <c r="BQ1795" s="1163"/>
      <c r="BR1795" s="1163"/>
      <c r="BS1795" s="1163"/>
      <c r="BT1795" s="1163"/>
      <c r="BU1795" s="1163"/>
      <c r="BV1795" s="1163"/>
      <c r="BW1795" s="1163"/>
      <c r="BX1795" s="1163"/>
      <c r="BY1795" s="1163"/>
      <c r="BZ1795" s="1163"/>
      <c r="CA1795" s="1163"/>
      <c r="CB1795" s="1163"/>
      <c r="CC1795" s="1163"/>
      <c r="CD1795" s="1163"/>
      <c r="CE1795" s="1163"/>
      <c r="CF1795" s="1163"/>
      <c r="CG1795" s="1163"/>
      <c r="CH1795" s="1163"/>
      <c r="CI1795" s="1163"/>
      <c r="CJ1795" s="1163"/>
      <c r="CK1795" s="1163"/>
      <c r="CL1795" s="1163"/>
      <c r="CM1795" s="1163"/>
      <c r="CN1795" s="1163"/>
      <c r="CO1795" s="1163"/>
      <c r="CP1795" s="1163"/>
      <c r="CQ1795" s="1163"/>
      <c r="CR1795" s="1163"/>
      <c r="CS1795" s="1163"/>
      <c r="CT1795" s="1163"/>
      <c r="CU1795" s="1163"/>
      <c r="CV1795" s="1163"/>
      <c r="CW1795" s="1163"/>
      <c r="CX1795" s="1163"/>
      <c r="CY1795" s="1163"/>
      <c r="CZ1795" s="1163"/>
      <c r="DA1795" s="1163"/>
      <c r="DB1795" s="1163"/>
      <c r="DC1795" s="1163"/>
      <c r="DD1795" s="1163"/>
      <c r="DE1795" s="1163"/>
      <c r="DF1795" s="1163"/>
      <c r="DG1795" s="1163"/>
      <c r="DH1795" s="1163"/>
      <c r="DI1795" s="1163"/>
      <c r="DJ1795" s="1163"/>
      <c r="DK1795" s="1163"/>
      <c r="DL1795" s="1163"/>
      <c r="DM1795" s="1163"/>
      <c r="DN1795" s="1163"/>
      <c r="DO1795" s="1163"/>
      <c r="DP1795" s="1163"/>
    </row>
    <row r="1796" spans="1:120" s="1164" customFormat="1" ht="15" customHeight="1">
      <c r="A1796" s="1157" t="s">
        <v>4391</v>
      </c>
      <c r="B1796" s="41">
        <v>15</v>
      </c>
      <c r="C1796" s="41" t="s">
        <v>4395</v>
      </c>
      <c r="D1796" s="1166">
        <v>30</v>
      </c>
      <c r="E1796" s="1159" t="s">
        <v>4396</v>
      </c>
      <c r="F1796" s="1160">
        <f>ROUNDUP(H1796/0.6/115,2)</f>
        <v>1.08</v>
      </c>
      <c r="G1796" s="1161">
        <v>2220</v>
      </c>
      <c r="H1796" s="1161">
        <f>G1796/30</f>
        <v>74</v>
      </c>
      <c r="I1796" s="1162">
        <f>(((F1796*J1796)-H1796)/(F1796*J1796))</f>
        <v>0.40418679549114334</v>
      </c>
      <c r="J1796" s="1163">
        <v>115</v>
      </c>
      <c r="K1796" s="1163"/>
      <c r="L1796" s="1163"/>
      <c r="M1796" s="1163"/>
      <c r="N1796" s="1163"/>
      <c r="O1796" s="1163"/>
      <c r="P1796" s="1163"/>
      <c r="Q1796" s="1163"/>
      <c r="R1796" s="1163"/>
      <c r="S1796" s="1163"/>
      <c r="T1796" s="1163"/>
      <c r="U1796" s="1163"/>
      <c r="V1796" s="1163"/>
      <c r="W1796" s="1163"/>
      <c r="X1796" s="1163"/>
      <c r="Y1796" s="1163"/>
      <c r="Z1796" s="1163"/>
      <c r="AA1796" s="1163"/>
      <c r="AB1796" s="1163"/>
      <c r="AC1796" s="1163"/>
      <c r="AD1796" s="1163"/>
      <c r="AE1796" s="1163"/>
      <c r="AF1796" s="1163"/>
      <c r="AG1796" s="1163"/>
      <c r="AH1796" s="1163"/>
      <c r="AI1796" s="1163"/>
      <c r="AJ1796" s="1163"/>
      <c r="AK1796" s="1163"/>
      <c r="AL1796" s="1163"/>
      <c r="AM1796" s="1163"/>
      <c r="AN1796" s="1163"/>
      <c r="AO1796" s="1163"/>
      <c r="AP1796" s="1163"/>
      <c r="AQ1796" s="1163"/>
      <c r="AR1796" s="1163"/>
      <c r="AS1796" s="1163"/>
      <c r="AT1796" s="1163"/>
      <c r="AU1796" s="1163"/>
      <c r="AV1796" s="1163"/>
      <c r="AW1796" s="1163"/>
      <c r="AX1796" s="1163"/>
      <c r="AY1796" s="1163"/>
      <c r="AZ1796" s="1163"/>
      <c r="BA1796" s="1163"/>
      <c r="BB1796" s="1163"/>
      <c r="BC1796" s="1163"/>
      <c r="BD1796" s="1163"/>
      <c r="BE1796" s="1163"/>
      <c r="BF1796" s="1163"/>
      <c r="BG1796" s="1163"/>
      <c r="BH1796" s="1163"/>
      <c r="BI1796" s="1163"/>
      <c r="BJ1796" s="1163"/>
      <c r="BK1796" s="1163"/>
      <c r="BL1796" s="1163"/>
      <c r="BM1796" s="1163"/>
      <c r="BN1796" s="1163"/>
      <c r="BO1796" s="1163"/>
      <c r="BP1796" s="1163"/>
      <c r="BQ1796" s="1163"/>
      <c r="BR1796" s="1163"/>
      <c r="BS1796" s="1163"/>
      <c r="BT1796" s="1163"/>
      <c r="BU1796" s="1163"/>
      <c r="BV1796" s="1163"/>
      <c r="BW1796" s="1163"/>
      <c r="BX1796" s="1163"/>
      <c r="BY1796" s="1163"/>
      <c r="BZ1796" s="1163"/>
      <c r="CA1796" s="1163"/>
      <c r="CB1796" s="1163"/>
      <c r="CC1796" s="1163"/>
      <c r="CD1796" s="1163"/>
      <c r="CE1796" s="1163"/>
      <c r="CF1796" s="1163"/>
      <c r="CG1796" s="1163"/>
      <c r="CH1796" s="1163"/>
      <c r="CI1796" s="1163"/>
      <c r="CJ1796" s="1163"/>
      <c r="CK1796" s="1163"/>
      <c r="CL1796" s="1163"/>
      <c r="CM1796" s="1163"/>
      <c r="CN1796" s="1163"/>
      <c r="CO1796" s="1163"/>
      <c r="CP1796" s="1163"/>
      <c r="CQ1796" s="1163"/>
      <c r="CR1796" s="1163"/>
      <c r="CS1796" s="1163"/>
      <c r="CT1796" s="1163"/>
      <c r="CU1796" s="1163"/>
      <c r="CV1796" s="1163"/>
      <c r="CW1796" s="1163"/>
      <c r="CX1796" s="1163"/>
      <c r="CY1796" s="1163"/>
      <c r="CZ1796" s="1163"/>
      <c r="DA1796" s="1163"/>
      <c r="DB1796" s="1163"/>
      <c r="DC1796" s="1163"/>
      <c r="DD1796" s="1163"/>
      <c r="DE1796" s="1163"/>
      <c r="DF1796" s="1163"/>
      <c r="DG1796" s="1163"/>
      <c r="DH1796" s="1163"/>
      <c r="DI1796" s="1163"/>
      <c r="DJ1796" s="1163"/>
      <c r="DK1796" s="1163"/>
      <c r="DL1796" s="1163"/>
      <c r="DM1796" s="1163"/>
      <c r="DN1796" s="1163"/>
      <c r="DO1796" s="1163"/>
      <c r="DP1796" s="1163"/>
    </row>
    <row r="1797" spans="1:120" s="1164" customFormat="1" ht="15" customHeight="1">
      <c r="A1797" s="1157" t="s">
        <v>4392</v>
      </c>
      <c r="B1797" s="41">
        <v>18</v>
      </c>
      <c r="C1797" s="41" t="s">
        <v>4395</v>
      </c>
      <c r="D1797" s="1166">
        <v>30</v>
      </c>
      <c r="E1797" s="1159" t="s">
        <v>4397</v>
      </c>
      <c r="F1797" s="1160">
        <f>ROUNDUP(H1797/0.6/115,2)</f>
        <v>1.44</v>
      </c>
      <c r="G1797" s="1161">
        <v>2970</v>
      </c>
      <c r="H1797" s="1161">
        <f>G1797/30</f>
        <v>99</v>
      </c>
      <c r="I1797" s="1162">
        <f>(((F1797*J1797)-H1797)/(F1797*J1797))</f>
        <v>0.40217391304347822</v>
      </c>
      <c r="J1797" s="1163">
        <v>115</v>
      </c>
      <c r="K1797" s="1163"/>
      <c r="L1797" s="1163"/>
      <c r="M1797" s="1163"/>
      <c r="N1797" s="1163"/>
      <c r="O1797" s="1163"/>
      <c r="P1797" s="1163"/>
      <c r="Q1797" s="1163"/>
      <c r="R1797" s="1163"/>
      <c r="S1797" s="1163"/>
      <c r="T1797" s="1163"/>
      <c r="U1797" s="1163"/>
      <c r="V1797" s="1163"/>
      <c r="W1797" s="1163"/>
      <c r="X1797" s="1163"/>
      <c r="Y1797" s="1163"/>
      <c r="Z1797" s="1163"/>
      <c r="AA1797" s="1163"/>
      <c r="AB1797" s="1163"/>
      <c r="AC1797" s="1163"/>
      <c r="AD1797" s="1163"/>
      <c r="AE1797" s="1163"/>
      <c r="AF1797" s="1163"/>
      <c r="AG1797" s="1163"/>
      <c r="AH1797" s="1163"/>
      <c r="AI1797" s="1163"/>
      <c r="AJ1797" s="1163"/>
      <c r="AK1797" s="1163"/>
      <c r="AL1797" s="1163"/>
      <c r="AM1797" s="1163"/>
      <c r="AN1797" s="1163"/>
      <c r="AO1797" s="1163"/>
      <c r="AP1797" s="1163"/>
      <c r="AQ1797" s="1163"/>
      <c r="AR1797" s="1163"/>
      <c r="AS1797" s="1163"/>
      <c r="AT1797" s="1163"/>
      <c r="AU1797" s="1163"/>
      <c r="AV1797" s="1163"/>
      <c r="AW1797" s="1163"/>
      <c r="AX1797" s="1163"/>
      <c r="AY1797" s="1163"/>
      <c r="AZ1797" s="1163"/>
      <c r="BA1797" s="1163"/>
      <c r="BB1797" s="1163"/>
      <c r="BC1797" s="1163"/>
      <c r="BD1797" s="1163"/>
      <c r="BE1797" s="1163"/>
      <c r="BF1797" s="1163"/>
      <c r="BG1797" s="1163"/>
      <c r="BH1797" s="1163"/>
      <c r="BI1797" s="1163"/>
      <c r="BJ1797" s="1163"/>
      <c r="BK1797" s="1163"/>
      <c r="BL1797" s="1163"/>
      <c r="BM1797" s="1163"/>
      <c r="BN1797" s="1163"/>
      <c r="BO1797" s="1163"/>
      <c r="BP1797" s="1163"/>
      <c r="BQ1797" s="1163"/>
      <c r="BR1797" s="1163"/>
      <c r="BS1797" s="1163"/>
      <c r="BT1797" s="1163"/>
      <c r="BU1797" s="1163"/>
      <c r="BV1797" s="1163"/>
      <c r="BW1797" s="1163"/>
      <c r="BX1797" s="1163"/>
      <c r="BY1797" s="1163"/>
      <c r="BZ1797" s="1163"/>
      <c r="CA1797" s="1163"/>
      <c r="CB1797" s="1163"/>
      <c r="CC1797" s="1163"/>
      <c r="CD1797" s="1163"/>
      <c r="CE1797" s="1163"/>
      <c r="CF1797" s="1163"/>
      <c r="CG1797" s="1163"/>
      <c r="CH1797" s="1163"/>
      <c r="CI1797" s="1163"/>
      <c r="CJ1797" s="1163"/>
      <c r="CK1797" s="1163"/>
      <c r="CL1797" s="1163"/>
      <c r="CM1797" s="1163"/>
      <c r="CN1797" s="1163"/>
      <c r="CO1797" s="1163"/>
      <c r="CP1797" s="1163"/>
      <c r="CQ1797" s="1163"/>
      <c r="CR1797" s="1163"/>
      <c r="CS1797" s="1163"/>
      <c r="CT1797" s="1163"/>
      <c r="CU1797" s="1163"/>
      <c r="CV1797" s="1163"/>
      <c r="CW1797" s="1163"/>
      <c r="CX1797" s="1163"/>
      <c r="CY1797" s="1163"/>
      <c r="CZ1797" s="1163"/>
      <c r="DA1797" s="1163"/>
      <c r="DB1797" s="1163"/>
      <c r="DC1797" s="1163"/>
      <c r="DD1797" s="1163"/>
      <c r="DE1797" s="1163"/>
      <c r="DF1797" s="1163"/>
      <c r="DG1797" s="1163"/>
      <c r="DH1797" s="1163"/>
      <c r="DI1797" s="1163"/>
      <c r="DJ1797" s="1163"/>
      <c r="DK1797" s="1163"/>
      <c r="DL1797" s="1163"/>
      <c r="DM1797" s="1163"/>
      <c r="DN1797" s="1163"/>
      <c r="DO1797" s="1163"/>
      <c r="DP1797" s="1163"/>
    </row>
    <row r="1798" spans="1:120" s="1164" customFormat="1" ht="15" customHeight="1">
      <c r="A1798" s="1157" t="s">
        <v>4393</v>
      </c>
      <c r="B1798" s="41">
        <v>20</v>
      </c>
      <c r="C1798" s="41" t="s">
        <v>4395</v>
      </c>
      <c r="D1798" s="1166">
        <v>30</v>
      </c>
      <c r="E1798" s="1159" t="s">
        <v>4397</v>
      </c>
      <c r="F1798" s="1160">
        <f>ROUNDUP(H1798/0.6/115,2)</f>
        <v>1.56</v>
      </c>
      <c r="G1798" s="1161">
        <v>3210</v>
      </c>
      <c r="H1798" s="1161">
        <f>G1798/30</f>
        <v>107</v>
      </c>
      <c r="I1798" s="1162">
        <f>(((F1798*J1798)-H1798)/(F1798*J1798))</f>
        <v>0.40356744704570796</v>
      </c>
      <c r="J1798" s="1163">
        <v>115</v>
      </c>
      <c r="K1798" s="1163"/>
      <c r="L1798" s="1163"/>
      <c r="M1798" s="1163"/>
      <c r="N1798" s="1163"/>
      <c r="O1798" s="1163"/>
      <c r="P1798" s="1163"/>
      <c r="Q1798" s="1163"/>
      <c r="R1798" s="1163"/>
      <c r="S1798" s="1163"/>
      <c r="T1798" s="1163"/>
      <c r="U1798" s="1163"/>
      <c r="V1798" s="1163"/>
      <c r="W1798" s="1163"/>
      <c r="X1798" s="1163"/>
      <c r="Y1798" s="1163"/>
      <c r="Z1798" s="1163"/>
      <c r="AA1798" s="1163"/>
      <c r="AB1798" s="1163"/>
      <c r="AC1798" s="1163"/>
      <c r="AD1798" s="1163"/>
      <c r="AE1798" s="1163"/>
      <c r="AF1798" s="1163"/>
      <c r="AG1798" s="1163"/>
      <c r="AH1798" s="1163"/>
      <c r="AI1798" s="1163"/>
      <c r="AJ1798" s="1163"/>
      <c r="AK1798" s="1163"/>
      <c r="AL1798" s="1163"/>
      <c r="AM1798" s="1163"/>
      <c r="AN1798" s="1163"/>
      <c r="AO1798" s="1163"/>
      <c r="AP1798" s="1163"/>
      <c r="AQ1798" s="1163"/>
      <c r="AR1798" s="1163"/>
      <c r="AS1798" s="1163"/>
      <c r="AT1798" s="1163"/>
      <c r="AU1798" s="1163"/>
      <c r="AV1798" s="1163"/>
      <c r="AW1798" s="1163"/>
      <c r="AX1798" s="1163"/>
      <c r="AY1798" s="1163"/>
      <c r="AZ1798" s="1163"/>
      <c r="BA1798" s="1163"/>
      <c r="BB1798" s="1163"/>
      <c r="BC1798" s="1163"/>
      <c r="BD1798" s="1163"/>
      <c r="BE1798" s="1163"/>
      <c r="BF1798" s="1163"/>
      <c r="BG1798" s="1163"/>
      <c r="BH1798" s="1163"/>
      <c r="BI1798" s="1163"/>
      <c r="BJ1798" s="1163"/>
      <c r="BK1798" s="1163"/>
      <c r="BL1798" s="1163"/>
      <c r="BM1798" s="1163"/>
      <c r="BN1798" s="1163"/>
      <c r="BO1798" s="1163"/>
      <c r="BP1798" s="1163"/>
      <c r="BQ1798" s="1163"/>
      <c r="BR1798" s="1163"/>
      <c r="BS1798" s="1163"/>
      <c r="BT1798" s="1163"/>
      <c r="BU1798" s="1163"/>
      <c r="BV1798" s="1163"/>
      <c r="BW1798" s="1163"/>
      <c r="BX1798" s="1163"/>
      <c r="BY1798" s="1163"/>
      <c r="BZ1798" s="1163"/>
      <c r="CA1798" s="1163"/>
      <c r="CB1798" s="1163"/>
      <c r="CC1798" s="1163"/>
      <c r="CD1798" s="1163"/>
      <c r="CE1798" s="1163"/>
      <c r="CF1798" s="1163"/>
      <c r="CG1798" s="1163"/>
      <c r="CH1798" s="1163"/>
      <c r="CI1798" s="1163"/>
      <c r="CJ1798" s="1163"/>
      <c r="CK1798" s="1163"/>
      <c r="CL1798" s="1163"/>
      <c r="CM1798" s="1163"/>
      <c r="CN1798" s="1163"/>
      <c r="CO1798" s="1163"/>
      <c r="CP1798" s="1163"/>
      <c r="CQ1798" s="1163"/>
      <c r="CR1798" s="1163"/>
      <c r="CS1798" s="1163"/>
      <c r="CT1798" s="1163"/>
      <c r="CU1798" s="1163"/>
      <c r="CV1798" s="1163"/>
      <c r="CW1798" s="1163"/>
      <c r="CX1798" s="1163"/>
      <c r="CY1798" s="1163"/>
      <c r="CZ1798" s="1163"/>
      <c r="DA1798" s="1163"/>
      <c r="DB1798" s="1163"/>
      <c r="DC1798" s="1163"/>
      <c r="DD1798" s="1163"/>
      <c r="DE1798" s="1163"/>
      <c r="DF1798" s="1163"/>
      <c r="DG1798" s="1163"/>
      <c r="DH1798" s="1163"/>
      <c r="DI1798" s="1163"/>
      <c r="DJ1798" s="1163"/>
      <c r="DK1798" s="1163"/>
      <c r="DL1798" s="1163"/>
      <c r="DM1798" s="1163"/>
      <c r="DN1798" s="1163"/>
      <c r="DO1798" s="1163"/>
      <c r="DP1798" s="1163"/>
    </row>
    <row r="1799" spans="1:120" s="1164" customFormat="1" ht="15" customHeight="1">
      <c r="A1799" s="1157" t="s">
        <v>4394</v>
      </c>
      <c r="B1799" s="41">
        <v>25</v>
      </c>
      <c r="C1799" s="41" t="s">
        <v>4395</v>
      </c>
      <c r="D1799" s="1166">
        <v>30</v>
      </c>
      <c r="E1799" s="1159" t="s">
        <v>4397</v>
      </c>
      <c r="F1799" s="1160">
        <f>ROUNDUP(H1799/0.6/115,2)</f>
        <v>1.76</v>
      </c>
      <c r="G1799" s="1161">
        <v>3630</v>
      </c>
      <c r="H1799" s="1161">
        <f>G1799/30</f>
        <v>121</v>
      </c>
      <c r="I1799" s="1162">
        <f>(((F1799*J1799)-H1799)/(F1799*J1799))</f>
        <v>0.40217391304347827</v>
      </c>
      <c r="J1799" s="1163">
        <v>115</v>
      </c>
      <c r="K1799" s="1163"/>
      <c r="L1799" s="1163"/>
      <c r="M1799" s="1163"/>
      <c r="N1799" s="1163"/>
      <c r="O1799" s="1163"/>
      <c r="P1799" s="1163"/>
      <c r="Q1799" s="1163"/>
      <c r="R1799" s="1163"/>
      <c r="S1799" s="1163"/>
      <c r="T1799" s="1163"/>
      <c r="U1799" s="1163"/>
      <c r="V1799" s="1163"/>
      <c r="W1799" s="1163"/>
      <c r="X1799" s="1163"/>
      <c r="Y1799" s="1163"/>
      <c r="Z1799" s="1163"/>
      <c r="AA1799" s="1163"/>
      <c r="AB1799" s="1163"/>
      <c r="AC1799" s="1163"/>
      <c r="AD1799" s="1163"/>
      <c r="AE1799" s="1163"/>
      <c r="AF1799" s="1163"/>
      <c r="AG1799" s="1163"/>
      <c r="AH1799" s="1163"/>
      <c r="AI1799" s="1163"/>
      <c r="AJ1799" s="1163"/>
      <c r="AK1799" s="1163"/>
      <c r="AL1799" s="1163"/>
      <c r="AM1799" s="1163"/>
      <c r="AN1799" s="1163"/>
      <c r="AO1799" s="1163"/>
      <c r="AP1799" s="1163"/>
      <c r="AQ1799" s="1163"/>
      <c r="AR1799" s="1163"/>
      <c r="AS1799" s="1163"/>
      <c r="AT1799" s="1163"/>
      <c r="AU1799" s="1163"/>
      <c r="AV1799" s="1163"/>
      <c r="AW1799" s="1163"/>
      <c r="AX1799" s="1163"/>
      <c r="AY1799" s="1163"/>
      <c r="AZ1799" s="1163"/>
      <c r="BA1799" s="1163"/>
      <c r="BB1799" s="1163"/>
      <c r="BC1799" s="1163"/>
      <c r="BD1799" s="1163"/>
      <c r="BE1799" s="1163"/>
      <c r="BF1799" s="1163"/>
      <c r="BG1799" s="1163"/>
      <c r="BH1799" s="1163"/>
      <c r="BI1799" s="1163"/>
      <c r="BJ1799" s="1163"/>
      <c r="BK1799" s="1163"/>
      <c r="BL1799" s="1163"/>
      <c r="BM1799" s="1163"/>
      <c r="BN1799" s="1163"/>
      <c r="BO1799" s="1163"/>
      <c r="BP1799" s="1163"/>
      <c r="BQ1799" s="1163"/>
      <c r="BR1799" s="1163"/>
      <c r="BS1799" s="1163"/>
      <c r="BT1799" s="1163"/>
      <c r="BU1799" s="1163"/>
      <c r="BV1799" s="1163"/>
      <c r="BW1799" s="1163"/>
      <c r="BX1799" s="1163"/>
      <c r="BY1799" s="1163"/>
      <c r="BZ1799" s="1163"/>
      <c r="CA1799" s="1163"/>
      <c r="CB1799" s="1163"/>
      <c r="CC1799" s="1163"/>
      <c r="CD1799" s="1163"/>
      <c r="CE1799" s="1163"/>
      <c r="CF1799" s="1163"/>
      <c r="CG1799" s="1163"/>
      <c r="CH1799" s="1163"/>
      <c r="CI1799" s="1163"/>
      <c r="CJ1799" s="1163"/>
      <c r="CK1799" s="1163"/>
      <c r="CL1799" s="1163"/>
      <c r="CM1799" s="1163"/>
      <c r="CN1799" s="1163"/>
      <c r="CO1799" s="1163"/>
      <c r="CP1799" s="1163"/>
      <c r="CQ1799" s="1163"/>
      <c r="CR1799" s="1163"/>
      <c r="CS1799" s="1163"/>
      <c r="CT1799" s="1163"/>
      <c r="CU1799" s="1163"/>
      <c r="CV1799" s="1163"/>
      <c r="CW1799" s="1163"/>
      <c r="CX1799" s="1163"/>
      <c r="CY1799" s="1163"/>
      <c r="CZ1799" s="1163"/>
      <c r="DA1799" s="1163"/>
      <c r="DB1799" s="1163"/>
      <c r="DC1799" s="1163"/>
      <c r="DD1799" s="1163"/>
      <c r="DE1799" s="1163"/>
      <c r="DF1799" s="1163"/>
      <c r="DG1799" s="1163"/>
      <c r="DH1799" s="1163"/>
      <c r="DI1799" s="1163"/>
      <c r="DJ1799" s="1163"/>
      <c r="DK1799" s="1163"/>
      <c r="DL1799" s="1163"/>
      <c r="DM1799" s="1163"/>
      <c r="DN1799" s="1163"/>
      <c r="DO1799" s="1163"/>
      <c r="DP1799" s="1163"/>
    </row>
    <row r="1800" spans="1:120" s="1164" customFormat="1" ht="15" customHeight="1">
      <c r="A1800" s="1157"/>
      <c r="B1800" s="41"/>
      <c r="C1800" s="41"/>
      <c r="D1800" s="1158"/>
      <c r="E1800" s="1159"/>
      <c r="F1800" s="1160"/>
      <c r="G1800" s="1161"/>
      <c r="H1800" s="1161"/>
      <c r="I1800" s="1162"/>
      <c r="J1800" s="1163"/>
      <c r="K1800" s="1163"/>
      <c r="L1800" s="1163"/>
      <c r="M1800" s="1163"/>
      <c r="N1800" s="1163"/>
      <c r="O1800" s="1163"/>
      <c r="P1800" s="1163"/>
      <c r="Q1800" s="1163"/>
      <c r="R1800" s="1163"/>
      <c r="S1800" s="1163"/>
      <c r="T1800" s="1163"/>
      <c r="U1800" s="1163"/>
      <c r="V1800" s="1163"/>
      <c r="W1800" s="1163"/>
      <c r="X1800" s="1163"/>
      <c r="Y1800" s="1163"/>
      <c r="Z1800" s="1163"/>
      <c r="AA1800" s="1163"/>
      <c r="AB1800" s="1163"/>
      <c r="AC1800" s="1163"/>
      <c r="AD1800" s="1163"/>
      <c r="AE1800" s="1163"/>
      <c r="AF1800" s="1163"/>
      <c r="AG1800" s="1163"/>
      <c r="AH1800" s="1163"/>
      <c r="AI1800" s="1163"/>
      <c r="AJ1800" s="1163"/>
      <c r="AK1800" s="1163"/>
      <c r="AL1800" s="1163"/>
      <c r="AM1800" s="1163"/>
      <c r="AN1800" s="1163"/>
      <c r="AO1800" s="1163"/>
      <c r="AP1800" s="1163"/>
      <c r="AQ1800" s="1163"/>
      <c r="AR1800" s="1163"/>
      <c r="AS1800" s="1163"/>
      <c r="AT1800" s="1163"/>
      <c r="AU1800" s="1163"/>
      <c r="AV1800" s="1163"/>
      <c r="AW1800" s="1163"/>
      <c r="AX1800" s="1163"/>
      <c r="AY1800" s="1163"/>
      <c r="AZ1800" s="1163"/>
      <c r="BA1800" s="1163"/>
      <c r="BB1800" s="1163"/>
      <c r="BC1800" s="1163"/>
      <c r="BD1800" s="1163"/>
      <c r="BE1800" s="1163"/>
      <c r="BF1800" s="1163"/>
      <c r="BG1800" s="1163"/>
      <c r="BH1800" s="1163"/>
      <c r="BI1800" s="1163"/>
      <c r="BJ1800" s="1163"/>
      <c r="BK1800" s="1163"/>
      <c r="BL1800" s="1163"/>
      <c r="BM1800" s="1163"/>
      <c r="BN1800" s="1163"/>
      <c r="BO1800" s="1163"/>
      <c r="BP1800" s="1163"/>
      <c r="BQ1800" s="1163"/>
      <c r="BR1800" s="1163"/>
      <c r="BS1800" s="1163"/>
      <c r="BT1800" s="1163"/>
      <c r="BU1800" s="1163"/>
      <c r="BV1800" s="1163"/>
      <c r="BW1800" s="1163"/>
      <c r="BX1800" s="1163"/>
      <c r="BY1800" s="1163"/>
      <c r="BZ1800" s="1163"/>
      <c r="CA1800" s="1163"/>
      <c r="CB1800" s="1163"/>
      <c r="CC1800" s="1163"/>
      <c r="CD1800" s="1163"/>
      <c r="CE1800" s="1163"/>
      <c r="CF1800" s="1163"/>
      <c r="CG1800" s="1163"/>
      <c r="CH1800" s="1163"/>
      <c r="CI1800" s="1163"/>
      <c r="CJ1800" s="1163"/>
      <c r="CK1800" s="1163"/>
      <c r="CL1800" s="1163"/>
      <c r="CM1800" s="1163"/>
      <c r="CN1800" s="1163"/>
      <c r="CO1800" s="1163"/>
      <c r="CP1800" s="1163"/>
      <c r="CQ1800" s="1163"/>
      <c r="CR1800" s="1163"/>
      <c r="CS1800" s="1163"/>
      <c r="CT1800" s="1163"/>
      <c r="CU1800" s="1163"/>
      <c r="CV1800" s="1163"/>
      <c r="CW1800" s="1163"/>
      <c r="CX1800" s="1163"/>
      <c r="CY1800" s="1163"/>
      <c r="CZ1800" s="1163"/>
      <c r="DA1800" s="1163"/>
      <c r="DB1800" s="1163"/>
      <c r="DC1800" s="1163"/>
      <c r="DD1800" s="1163"/>
      <c r="DE1800" s="1163"/>
      <c r="DF1800" s="1163"/>
      <c r="DG1800" s="1163"/>
      <c r="DH1800" s="1163"/>
      <c r="DI1800" s="1163"/>
      <c r="DJ1800" s="1163"/>
      <c r="DK1800" s="1163"/>
      <c r="DL1800" s="1163"/>
      <c r="DM1800" s="1163"/>
      <c r="DN1800" s="1163"/>
      <c r="DO1800" s="1163"/>
      <c r="DP1800" s="1163"/>
    </row>
    <row r="1801" spans="1:120" s="1164" customFormat="1" ht="15" customHeight="1">
      <c r="A1801" s="1157" t="s">
        <v>4398</v>
      </c>
      <c r="B1801" s="41">
        <v>15</v>
      </c>
      <c r="C1801" s="41" t="s">
        <v>4402</v>
      </c>
      <c r="D1801" s="1166">
        <v>30</v>
      </c>
      <c r="E1801" s="1159" t="s">
        <v>4396</v>
      </c>
      <c r="F1801" s="1160" t="s">
        <v>4405</v>
      </c>
      <c r="G1801" s="1160" t="s">
        <v>4405</v>
      </c>
      <c r="H1801" s="1161" t="e">
        <f>G1801/30</f>
        <v>#VALUE!</v>
      </c>
      <c r="I1801" s="1162" t="e">
        <f>(((F1801*J1801)-H1801)/(F1801*J1801))</f>
        <v>#VALUE!</v>
      </c>
      <c r="J1801" s="1163">
        <v>115</v>
      </c>
      <c r="K1801" s="1163"/>
      <c r="L1801" s="1163"/>
      <c r="M1801" s="1163"/>
      <c r="N1801" s="1163"/>
      <c r="O1801" s="1163"/>
      <c r="P1801" s="1163"/>
      <c r="Q1801" s="1163"/>
      <c r="R1801" s="1163"/>
      <c r="S1801" s="1163"/>
      <c r="T1801" s="1163"/>
      <c r="U1801" s="1163"/>
      <c r="V1801" s="1163"/>
      <c r="W1801" s="1163"/>
      <c r="X1801" s="1163"/>
      <c r="Y1801" s="1163"/>
      <c r="Z1801" s="1163"/>
      <c r="AA1801" s="1163"/>
      <c r="AB1801" s="1163"/>
      <c r="AC1801" s="1163"/>
      <c r="AD1801" s="1163"/>
      <c r="AE1801" s="1163"/>
      <c r="AF1801" s="1163"/>
      <c r="AG1801" s="1163"/>
      <c r="AH1801" s="1163"/>
      <c r="AI1801" s="1163"/>
      <c r="AJ1801" s="1163"/>
      <c r="AK1801" s="1163"/>
      <c r="AL1801" s="1163"/>
      <c r="AM1801" s="1163"/>
      <c r="AN1801" s="1163"/>
      <c r="AO1801" s="1163"/>
      <c r="AP1801" s="1163"/>
      <c r="AQ1801" s="1163"/>
      <c r="AR1801" s="1163"/>
      <c r="AS1801" s="1163"/>
      <c r="AT1801" s="1163"/>
      <c r="AU1801" s="1163"/>
      <c r="AV1801" s="1163"/>
      <c r="AW1801" s="1163"/>
      <c r="AX1801" s="1163"/>
      <c r="AY1801" s="1163"/>
      <c r="AZ1801" s="1163"/>
      <c r="BA1801" s="1163"/>
      <c r="BB1801" s="1163"/>
      <c r="BC1801" s="1163"/>
      <c r="BD1801" s="1163"/>
      <c r="BE1801" s="1163"/>
      <c r="BF1801" s="1163"/>
      <c r="BG1801" s="1163"/>
      <c r="BH1801" s="1163"/>
      <c r="BI1801" s="1163"/>
      <c r="BJ1801" s="1163"/>
      <c r="BK1801" s="1163"/>
      <c r="BL1801" s="1163"/>
      <c r="BM1801" s="1163"/>
      <c r="BN1801" s="1163"/>
      <c r="BO1801" s="1163"/>
      <c r="BP1801" s="1163"/>
      <c r="BQ1801" s="1163"/>
      <c r="BR1801" s="1163"/>
      <c r="BS1801" s="1163"/>
      <c r="BT1801" s="1163"/>
      <c r="BU1801" s="1163"/>
      <c r="BV1801" s="1163"/>
      <c r="BW1801" s="1163"/>
      <c r="BX1801" s="1163"/>
      <c r="BY1801" s="1163"/>
      <c r="BZ1801" s="1163"/>
      <c r="CA1801" s="1163"/>
      <c r="CB1801" s="1163"/>
      <c r="CC1801" s="1163"/>
      <c r="CD1801" s="1163"/>
      <c r="CE1801" s="1163"/>
      <c r="CF1801" s="1163"/>
      <c r="CG1801" s="1163"/>
      <c r="CH1801" s="1163"/>
      <c r="CI1801" s="1163"/>
      <c r="CJ1801" s="1163"/>
      <c r="CK1801" s="1163"/>
      <c r="CL1801" s="1163"/>
      <c r="CM1801" s="1163"/>
      <c r="CN1801" s="1163"/>
      <c r="CO1801" s="1163"/>
      <c r="CP1801" s="1163"/>
      <c r="CQ1801" s="1163"/>
      <c r="CR1801" s="1163"/>
      <c r="CS1801" s="1163"/>
      <c r="CT1801" s="1163"/>
      <c r="CU1801" s="1163"/>
      <c r="CV1801" s="1163"/>
      <c r="CW1801" s="1163"/>
      <c r="CX1801" s="1163"/>
      <c r="CY1801" s="1163"/>
      <c r="CZ1801" s="1163"/>
      <c r="DA1801" s="1163"/>
      <c r="DB1801" s="1163"/>
      <c r="DC1801" s="1163"/>
      <c r="DD1801" s="1163"/>
      <c r="DE1801" s="1163"/>
      <c r="DF1801" s="1163"/>
      <c r="DG1801" s="1163"/>
      <c r="DH1801" s="1163"/>
      <c r="DI1801" s="1163"/>
      <c r="DJ1801" s="1163"/>
      <c r="DK1801" s="1163"/>
      <c r="DL1801" s="1163"/>
      <c r="DM1801" s="1163"/>
      <c r="DN1801" s="1163"/>
      <c r="DO1801" s="1163"/>
      <c r="DP1801" s="1163"/>
    </row>
    <row r="1802" spans="1:120" s="1164" customFormat="1" ht="15" customHeight="1">
      <c r="A1802" s="1157" t="s">
        <v>4399</v>
      </c>
      <c r="B1802" s="41">
        <v>18</v>
      </c>
      <c r="C1802" s="41" t="s">
        <v>4402</v>
      </c>
      <c r="D1802" s="1166">
        <v>30</v>
      </c>
      <c r="E1802" s="1159" t="s">
        <v>4396</v>
      </c>
      <c r="F1802" s="1160" t="s">
        <v>4405</v>
      </c>
      <c r="G1802" s="1160" t="s">
        <v>4405</v>
      </c>
      <c r="H1802" s="1161" t="e">
        <f>G1802/30</f>
        <v>#VALUE!</v>
      </c>
      <c r="I1802" s="1162" t="e">
        <f>(((F1802*J1802)-H1802)/(F1802*J1802))</f>
        <v>#VALUE!</v>
      </c>
      <c r="J1802" s="1163">
        <v>115</v>
      </c>
      <c r="K1802" s="1163"/>
      <c r="L1802" s="1163"/>
      <c r="M1802" s="1163"/>
      <c r="N1802" s="1163"/>
      <c r="O1802" s="1163"/>
      <c r="P1802" s="1163"/>
      <c r="Q1802" s="1163"/>
      <c r="R1802" s="1163"/>
      <c r="S1802" s="1163"/>
      <c r="T1802" s="1163"/>
      <c r="U1802" s="1163"/>
      <c r="V1802" s="1163"/>
      <c r="W1802" s="1163"/>
      <c r="X1802" s="1163"/>
      <c r="Y1802" s="1163"/>
      <c r="Z1802" s="1163"/>
      <c r="AA1802" s="1163"/>
      <c r="AB1802" s="1163"/>
      <c r="AC1802" s="1163"/>
      <c r="AD1802" s="1163"/>
      <c r="AE1802" s="1163"/>
      <c r="AF1802" s="1163"/>
      <c r="AG1802" s="1163"/>
      <c r="AH1802" s="1163"/>
      <c r="AI1802" s="1163"/>
      <c r="AJ1802" s="1163"/>
      <c r="AK1802" s="1163"/>
      <c r="AL1802" s="1163"/>
      <c r="AM1802" s="1163"/>
      <c r="AN1802" s="1163"/>
      <c r="AO1802" s="1163"/>
      <c r="AP1802" s="1163"/>
      <c r="AQ1802" s="1163"/>
      <c r="AR1802" s="1163"/>
      <c r="AS1802" s="1163"/>
      <c r="AT1802" s="1163"/>
      <c r="AU1802" s="1163"/>
      <c r="AV1802" s="1163"/>
      <c r="AW1802" s="1163"/>
      <c r="AX1802" s="1163"/>
      <c r="AY1802" s="1163"/>
      <c r="AZ1802" s="1163"/>
      <c r="BA1802" s="1163"/>
      <c r="BB1802" s="1163"/>
      <c r="BC1802" s="1163"/>
      <c r="BD1802" s="1163"/>
      <c r="BE1802" s="1163"/>
      <c r="BF1802" s="1163"/>
      <c r="BG1802" s="1163"/>
      <c r="BH1802" s="1163"/>
      <c r="BI1802" s="1163"/>
      <c r="BJ1802" s="1163"/>
      <c r="BK1802" s="1163"/>
      <c r="BL1802" s="1163"/>
      <c r="BM1802" s="1163"/>
      <c r="BN1802" s="1163"/>
      <c r="BO1802" s="1163"/>
      <c r="BP1802" s="1163"/>
      <c r="BQ1802" s="1163"/>
      <c r="BR1802" s="1163"/>
      <c r="BS1802" s="1163"/>
      <c r="BT1802" s="1163"/>
      <c r="BU1802" s="1163"/>
      <c r="BV1802" s="1163"/>
      <c r="BW1802" s="1163"/>
      <c r="BX1802" s="1163"/>
      <c r="BY1802" s="1163"/>
      <c r="BZ1802" s="1163"/>
      <c r="CA1802" s="1163"/>
      <c r="CB1802" s="1163"/>
      <c r="CC1802" s="1163"/>
      <c r="CD1802" s="1163"/>
      <c r="CE1802" s="1163"/>
      <c r="CF1802" s="1163"/>
      <c r="CG1802" s="1163"/>
      <c r="CH1802" s="1163"/>
      <c r="CI1802" s="1163"/>
      <c r="CJ1802" s="1163"/>
      <c r="CK1802" s="1163"/>
      <c r="CL1802" s="1163"/>
      <c r="CM1802" s="1163"/>
      <c r="CN1802" s="1163"/>
      <c r="CO1802" s="1163"/>
      <c r="CP1802" s="1163"/>
      <c r="CQ1802" s="1163"/>
      <c r="CR1802" s="1163"/>
      <c r="CS1802" s="1163"/>
      <c r="CT1802" s="1163"/>
      <c r="CU1802" s="1163"/>
      <c r="CV1802" s="1163"/>
      <c r="CW1802" s="1163"/>
      <c r="CX1802" s="1163"/>
      <c r="CY1802" s="1163"/>
      <c r="CZ1802" s="1163"/>
      <c r="DA1802" s="1163"/>
      <c r="DB1802" s="1163"/>
      <c r="DC1802" s="1163"/>
      <c r="DD1802" s="1163"/>
      <c r="DE1802" s="1163"/>
      <c r="DF1802" s="1163"/>
      <c r="DG1802" s="1163"/>
      <c r="DH1802" s="1163"/>
      <c r="DI1802" s="1163"/>
      <c r="DJ1802" s="1163"/>
      <c r="DK1802" s="1163"/>
      <c r="DL1802" s="1163"/>
      <c r="DM1802" s="1163"/>
      <c r="DN1802" s="1163"/>
      <c r="DO1802" s="1163"/>
      <c r="DP1802" s="1163"/>
    </row>
    <row r="1803" spans="1:120" s="1164" customFormat="1" ht="15" customHeight="1">
      <c r="A1803" s="1157" t="s">
        <v>4400</v>
      </c>
      <c r="B1803" s="41">
        <v>20</v>
      </c>
      <c r="C1803" s="41" t="s">
        <v>4402</v>
      </c>
      <c r="D1803" s="1166">
        <v>30</v>
      </c>
      <c r="E1803" s="1159" t="s">
        <v>4396</v>
      </c>
      <c r="F1803" s="1160" t="s">
        <v>4405</v>
      </c>
      <c r="G1803" s="1160" t="s">
        <v>4405</v>
      </c>
      <c r="H1803" s="1161" t="e">
        <f>G1803/30</f>
        <v>#VALUE!</v>
      </c>
      <c r="I1803" s="1162" t="e">
        <f>(((F1803*J1803)-H1803)/(F1803*J1803))</f>
        <v>#VALUE!</v>
      </c>
      <c r="J1803" s="1163">
        <v>115</v>
      </c>
      <c r="K1803" s="1163"/>
      <c r="L1803" s="1163"/>
      <c r="M1803" s="1163"/>
      <c r="N1803" s="1163"/>
      <c r="O1803" s="1163"/>
      <c r="P1803" s="1163"/>
      <c r="Q1803" s="1163"/>
      <c r="R1803" s="1163"/>
      <c r="S1803" s="1163"/>
      <c r="T1803" s="1163"/>
      <c r="U1803" s="1163"/>
      <c r="V1803" s="1163"/>
      <c r="W1803" s="1163"/>
      <c r="X1803" s="1163"/>
      <c r="Y1803" s="1163"/>
      <c r="Z1803" s="1163"/>
      <c r="AA1803" s="1163"/>
      <c r="AB1803" s="1163"/>
      <c r="AC1803" s="1163"/>
      <c r="AD1803" s="1163"/>
      <c r="AE1803" s="1163"/>
      <c r="AF1803" s="1163"/>
      <c r="AG1803" s="1163"/>
      <c r="AH1803" s="1163"/>
      <c r="AI1803" s="1163"/>
      <c r="AJ1803" s="1163"/>
      <c r="AK1803" s="1163"/>
      <c r="AL1803" s="1163"/>
      <c r="AM1803" s="1163"/>
      <c r="AN1803" s="1163"/>
      <c r="AO1803" s="1163"/>
      <c r="AP1803" s="1163"/>
      <c r="AQ1803" s="1163"/>
      <c r="AR1803" s="1163"/>
      <c r="AS1803" s="1163"/>
      <c r="AT1803" s="1163"/>
      <c r="AU1803" s="1163"/>
      <c r="AV1803" s="1163"/>
      <c r="AW1803" s="1163"/>
      <c r="AX1803" s="1163"/>
      <c r="AY1803" s="1163"/>
      <c r="AZ1803" s="1163"/>
      <c r="BA1803" s="1163"/>
      <c r="BB1803" s="1163"/>
      <c r="BC1803" s="1163"/>
      <c r="BD1803" s="1163"/>
      <c r="BE1803" s="1163"/>
      <c r="BF1803" s="1163"/>
      <c r="BG1803" s="1163"/>
      <c r="BH1803" s="1163"/>
      <c r="BI1803" s="1163"/>
      <c r="BJ1803" s="1163"/>
      <c r="BK1803" s="1163"/>
      <c r="BL1803" s="1163"/>
      <c r="BM1803" s="1163"/>
      <c r="BN1803" s="1163"/>
      <c r="BO1803" s="1163"/>
      <c r="BP1803" s="1163"/>
      <c r="BQ1803" s="1163"/>
      <c r="BR1803" s="1163"/>
      <c r="BS1803" s="1163"/>
      <c r="BT1803" s="1163"/>
      <c r="BU1803" s="1163"/>
      <c r="BV1803" s="1163"/>
      <c r="BW1803" s="1163"/>
      <c r="BX1803" s="1163"/>
      <c r="BY1803" s="1163"/>
      <c r="BZ1803" s="1163"/>
      <c r="CA1803" s="1163"/>
      <c r="CB1803" s="1163"/>
      <c r="CC1803" s="1163"/>
      <c r="CD1803" s="1163"/>
      <c r="CE1803" s="1163"/>
      <c r="CF1803" s="1163"/>
      <c r="CG1803" s="1163"/>
      <c r="CH1803" s="1163"/>
      <c r="CI1803" s="1163"/>
      <c r="CJ1803" s="1163"/>
      <c r="CK1803" s="1163"/>
      <c r="CL1803" s="1163"/>
      <c r="CM1803" s="1163"/>
      <c r="CN1803" s="1163"/>
      <c r="CO1803" s="1163"/>
      <c r="CP1803" s="1163"/>
      <c r="CQ1803" s="1163"/>
      <c r="CR1803" s="1163"/>
      <c r="CS1803" s="1163"/>
      <c r="CT1803" s="1163"/>
      <c r="CU1803" s="1163"/>
      <c r="CV1803" s="1163"/>
      <c r="CW1803" s="1163"/>
      <c r="CX1803" s="1163"/>
      <c r="CY1803" s="1163"/>
      <c r="CZ1803" s="1163"/>
      <c r="DA1803" s="1163"/>
      <c r="DB1803" s="1163"/>
      <c r="DC1803" s="1163"/>
      <c r="DD1803" s="1163"/>
      <c r="DE1803" s="1163"/>
      <c r="DF1803" s="1163"/>
      <c r="DG1803" s="1163"/>
      <c r="DH1803" s="1163"/>
      <c r="DI1803" s="1163"/>
      <c r="DJ1803" s="1163"/>
      <c r="DK1803" s="1163"/>
      <c r="DL1803" s="1163"/>
      <c r="DM1803" s="1163"/>
      <c r="DN1803" s="1163"/>
      <c r="DO1803" s="1163"/>
      <c r="DP1803" s="1163"/>
    </row>
    <row r="1804" spans="1:120" s="1164" customFormat="1" ht="15" customHeight="1">
      <c r="A1804" s="1157" t="s">
        <v>4401</v>
      </c>
      <c r="B1804" s="41">
        <v>25</v>
      </c>
      <c r="C1804" s="41" t="s">
        <v>4402</v>
      </c>
      <c r="D1804" s="1166">
        <v>30</v>
      </c>
      <c r="E1804" s="1159" t="s">
        <v>4396</v>
      </c>
      <c r="F1804" s="1160" t="s">
        <v>4405</v>
      </c>
      <c r="G1804" s="1160" t="s">
        <v>4405</v>
      </c>
      <c r="H1804" s="1161" t="e">
        <f>G1804/30</f>
        <v>#VALUE!</v>
      </c>
      <c r="I1804" s="1162" t="e">
        <f>(((F1804*J1804)-H1804)/(F1804*J1804))</f>
        <v>#VALUE!</v>
      </c>
      <c r="J1804" s="1163">
        <v>115</v>
      </c>
      <c r="K1804" s="1163"/>
      <c r="L1804" s="1163"/>
      <c r="M1804" s="1163"/>
      <c r="N1804" s="1163"/>
      <c r="O1804" s="1163"/>
      <c r="P1804" s="1163"/>
      <c r="Q1804" s="1163"/>
      <c r="R1804" s="1163"/>
      <c r="S1804" s="1163"/>
      <c r="T1804" s="1163"/>
      <c r="U1804" s="1163"/>
      <c r="V1804" s="1163"/>
      <c r="W1804" s="1163"/>
      <c r="X1804" s="1163"/>
      <c r="Y1804" s="1163"/>
      <c r="Z1804" s="1163"/>
      <c r="AA1804" s="1163"/>
      <c r="AB1804" s="1163"/>
      <c r="AC1804" s="1163"/>
      <c r="AD1804" s="1163"/>
      <c r="AE1804" s="1163"/>
      <c r="AF1804" s="1163"/>
      <c r="AG1804" s="1163"/>
      <c r="AH1804" s="1163"/>
      <c r="AI1804" s="1163"/>
      <c r="AJ1804" s="1163"/>
      <c r="AK1804" s="1163"/>
      <c r="AL1804" s="1163"/>
      <c r="AM1804" s="1163"/>
      <c r="AN1804" s="1163"/>
      <c r="AO1804" s="1163"/>
      <c r="AP1804" s="1163"/>
      <c r="AQ1804" s="1163"/>
      <c r="AR1804" s="1163"/>
      <c r="AS1804" s="1163"/>
      <c r="AT1804" s="1163"/>
      <c r="AU1804" s="1163"/>
      <c r="AV1804" s="1163"/>
      <c r="AW1804" s="1163"/>
      <c r="AX1804" s="1163"/>
      <c r="AY1804" s="1163"/>
      <c r="AZ1804" s="1163"/>
      <c r="BA1804" s="1163"/>
      <c r="BB1804" s="1163"/>
      <c r="BC1804" s="1163"/>
      <c r="BD1804" s="1163"/>
      <c r="BE1804" s="1163"/>
      <c r="BF1804" s="1163"/>
      <c r="BG1804" s="1163"/>
      <c r="BH1804" s="1163"/>
      <c r="BI1804" s="1163"/>
      <c r="BJ1804" s="1163"/>
      <c r="BK1804" s="1163"/>
      <c r="BL1804" s="1163"/>
      <c r="BM1804" s="1163"/>
      <c r="BN1804" s="1163"/>
      <c r="BO1804" s="1163"/>
      <c r="BP1804" s="1163"/>
      <c r="BQ1804" s="1163"/>
      <c r="BR1804" s="1163"/>
      <c r="BS1804" s="1163"/>
      <c r="BT1804" s="1163"/>
      <c r="BU1804" s="1163"/>
      <c r="BV1804" s="1163"/>
      <c r="BW1804" s="1163"/>
      <c r="BX1804" s="1163"/>
      <c r="BY1804" s="1163"/>
      <c r="BZ1804" s="1163"/>
      <c r="CA1804" s="1163"/>
      <c r="CB1804" s="1163"/>
      <c r="CC1804" s="1163"/>
      <c r="CD1804" s="1163"/>
      <c r="CE1804" s="1163"/>
      <c r="CF1804" s="1163"/>
      <c r="CG1804" s="1163"/>
      <c r="CH1804" s="1163"/>
      <c r="CI1804" s="1163"/>
      <c r="CJ1804" s="1163"/>
      <c r="CK1804" s="1163"/>
      <c r="CL1804" s="1163"/>
      <c r="CM1804" s="1163"/>
      <c r="CN1804" s="1163"/>
      <c r="CO1804" s="1163"/>
      <c r="CP1804" s="1163"/>
      <c r="CQ1804" s="1163"/>
      <c r="CR1804" s="1163"/>
      <c r="CS1804" s="1163"/>
      <c r="CT1804" s="1163"/>
      <c r="CU1804" s="1163"/>
      <c r="CV1804" s="1163"/>
      <c r="CW1804" s="1163"/>
      <c r="CX1804" s="1163"/>
      <c r="CY1804" s="1163"/>
      <c r="CZ1804" s="1163"/>
      <c r="DA1804" s="1163"/>
      <c r="DB1804" s="1163"/>
      <c r="DC1804" s="1163"/>
      <c r="DD1804" s="1163"/>
      <c r="DE1804" s="1163"/>
      <c r="DF1804" s="1163"/>
      <c r="DG1804" s="1163"/>
      <c r="DH1804" s="1163"/>
      <c r="DI1804" s="1163"/>
      <c r="DJ1804" s="1163"/>
      <c r="DK1804" s="1163"/>
      <c r="DL1804" s="1163"/>
      <c r="DM1804" s="1163"/>
      <c r="DN1804" s="1163"/>
      <c r="DO1804" s="1163"/>
      <c r="DP1804" s="1163"/>
    </row>
    <row r="1807" spans="1:120">
      <c r="A1807" t="s">
        <v>4534</v>
      </c>
    </row>
    <row r="1808" spans="1:120" s="1187" customFormat="1">
      <c r="A1808" s="1183" t="s">
        <v>82</v>
      </c>
      <c r="B1808" s="1184" t="s">
        <v>35</v>
      </c>
      <c r="C1808" s="1184" t="s">
        <v>245</v>
      </c>
      <c r="D1808" s="1184" t="s">
        <v>282</v>
      </c>
      <c r="E1808" s="1185" t="s">
        <v>4535</v>
      </c>
      <c r="F1808" s="1186" t="s">
        <v>4536</v>
      </c>
      <c r="G1808" s="1151" t="s">
        <v>4375</v>
      </c>
      <c r="H1808" s="1151" t="s">
        <v>4376</v>
      </c>
    </row>
    <row r="1809" spans="1:8" s="352" customFormat="1" ht="12.75">
      <c r="A1809" s="40" t="s">
        <v>4537</v>
      </c>
      <c r="B1809" s="41" t="s">
        <v>4538</v>
      </c>
      <c r="C1809" s="357" t="s">
        <v>4539</v>
      </c>
      <c r="D1809" s="357" t="s">
        <v>4539</v>
      </c>
      <c r="E1809" s="44">
        <f>ROUNDUP(F1809/0.55/115,2)</f>
        <v>1.79</v>
      </c>
      <c r="F1809" s="1188">
        <v>113</v>
      </c>
      <c r="G1809" s="1189">
        <f>(E1809-(F1809/H1809))/E1809</f>
        <v>0.45105659460772407</v>
      </c>
      <c r="H1809" s="1190">
        <v>115</v>
      </c>
    </row>
    <row r="1810" spans="1:8" s="352" customFormat="1" ht="12.75">
      <c r="A1810" s="40" t="s">
        <v>4540</v>
      </c>
      <c r="B1810" s="41" t="s">
        <v>4538</v>
      </c>
      <c r="C1810" s="357" t="s">
        <v>4541</v>
      </c>
      <c r="D1810" s="357" t="s">
        <v>4541</v>
      </c>
      <c r="E1810" s="44">
        <f>ROUNDUP(F1810/0.55/115,2)</f>
        <v>3.3899999999999997</v>
      </c>
      <c r="F1810" s="1188">
        <v>214</v>
      </c>
      <c r="G1810" s="1189">
        <f>(E1810-(F1810/H1810))/E1810</f>
        <v>0.45107092471463378</v>
      </c>
      <c r="H1810" s="1190">
        <v>115</v>
      </c>
    </row>
    <row r="1811" spans="1:8" s="352" customFormat="1" ht="12.75">
      <c r="A1811" s="40" t="s">
        <v>4542</v>
      </c>
      <c r="B1811" s="41" t="s">
        <v>4538</v>
      </c>
      <c r="C1811" s="357" t="s">
        <v>4539</v>
      </c>
      <c r="D1811" s="357" t="s">
        <v>4539</v>
      </c>
      <c r="E1811" s="44">
        <f>ROUNDUP(F1811/0.55/115,2)</f>
        <v>3.1199999999999997</v>
      </c>
      <c r="F1811" s="1188">
        <v>197</v>
      </c>
      <c r="G1811" s="1189">
        <f>(E1811-(F1811/H1811))/E1811</f>
        <v>0.45094760312151605</v>
      </c>
      <c r="H1811" s="1190">
        <v>115</v>
      </c>
    </row>
    <row r="1812" spans="1:8">
      <c r="A1812" s="1191" t="s">
        <v>4543</v>
      </c>
    </row>
    <row r="1813" spans="1:8">
      <c r="A1813" s="1191"/>
    </row>
    <row r="1814" spans="1:8">
      <c r="A1814" t="s">
        <v>4564</v>
      </c>
    </row>
    <row r="1815" spans="1:8" s="1187" customFormat="1">
      <c r="A1815" s="1183" t="s">
        <v>82</v>
      </c>
      <c r="B1815" s="1184" t="s">
        <v>35</v>
      </c>
      <c r="C1815" s="1184" t="s">
        <v>245</v>
      </c>
      <c r="D1815" s="1184" t="s">
        <v>282</v>
      </c>
      <c r="E1815" s="1185" t="s">
        <v>4565</v>
      </c>
      <c r="F1815" s="1186" t="s">
        <v>248</v>
      </c>
      <c r="G1815" s="1151" t="s">
        <v>4375</v>
      </c>
      <c r="H1815" s="1151" t="s">
        <v>4376</v>
      </c>
    </row>
    <row r="1816" spans="1:8" s="352" customFormat="1" ht="12.75">
      <c r="A1816" s="40" t="s">
        <v>4540</v>
      </c>
      <c r="B1816" s="41" t="s">
        <v>4538</v>
      </c>
      <c r="C1816" s="357" t="s">
        <v>4541</v>
      </c>
      <c r="D1816" s="357" t="s">
        <v>4541</v>
      </c>
      <c r="E1816" s="44">
        <f>ROUNDUP(F1816/0.6/115,2)</f>
        <v>3.11</v>
      </c>
      <c r="F1816" s="1188">
        <v>214</v>
      </c>
      <c r="G1816" s="1189">
        <f>(E1816-(F1816/H1816))/E1816</f>
        <v>0.40164965748636938</v>
      </c>
      <c r="H1816" s="1190">
        <v>115</v>
      </c>
    </row>
    <row r="1817" spans="1:8" s="352" customFormat="1" ht="12.75">
      <c r="A1817" s="40" t="s">
        <v>4542</v>
      </c>
      <c r="B1817" s="41" t="s">
        <v>4538</v>
      </c>
      <c r="C1817" s="357" t="s">
        <v>4539</v>
      </c>
      <c r="D1817" s="357" t="s">
        <v>4539</v>
      </c>
      <c r="E1817" s="44">
        <f>ROUNDUP(F1817/0.6/115,2)</f>
        <v>2.86</v>
      </c>
      <c r="F1817" s="1188">
        <v>197</v>
      </c>
      <c r="G1817" s="1189">
        <f>(E1817-(F1817/H1817))/E1817</f>
        <v>0.40103374885983578</v>
      </c>
      <c r="H1817" s="1190">
        <v>115</v>
      </c>
    </row>
    <row r="1818" spans="1:8">
      <c r="A1818" s="1191" t="s">
        <v>4543</v>
      </c>
    </row>
    <row r="1819" spans="1:8">
      <c r="A1819" s="1191"/>
    </row>
    <row r="1820" spans="1:8">
      <c r="A1820" s="1191"/>
    </row>
    <row r="1821" spans="1:8">
      <c r="A1821" s="1191"/>
    </row>
    <row r="1823" spans="1:8">
      <c r="A1823" t="s">
        <v>4544</v>
      </c>
    </row>
    <row r="1824" spans="1:8" s="1187" customFormat="1">
      <c r="A1824" s="1183" t="s">
        <v>82</v>
      </c>
      <c r="B1824" s="1184" t="s">
        <v>99</v>
      </c>
      <c r="C1824" s="1184" t="s">
        <v>282</v>
      </c>
      <c r="D1824" s="1185" t="s">
        <v>4551</v>
      </c>
      <c r="E1824" s="1186" t="s">
        <v>248</v>
      </c>
      <c r="F1824" s="1151" t="s">
        <v>4375</v>
      </c>
      <c r="G1824" s="1151" t="s">
        <v>4376</v>
      </c>
    </row>
    <row r="1825" spans="1:10" s="352" customFormat="1" ht="12.75">
      <c r="A1825" s="40" t="s">
        <v>4545</v>
      </c>
      <c r="B1825" s="41" t="s">
        <v>4546</v>
      </c>
      <c r="C1825" s="357" t="s">
        <v>4547</v>
      </c>
      <c r="D1825" s="44">
        <v>0.26</v>
      </c>
      <c r="E1825" s="1188">
        <v>15</v>
      </c>
      <c r="F1825" s="1189">
        <f>(D1825-(E1825/G1825))/D1825</f>
        <v>0.49832775919732447</v>
      </c>
      <c r="G1825" s="1190">
        <v>115</v>
      </c>
    </row>
    <row r="1826" spans="1:10" s="352" customFormat="1" ht="12.75">
      <c r="A1826" s="40" t="s">
        <v>4548</v>
      </c>
      <c r="B1826" s="41" t="s">
        <v>4546</v>
      </c>
      <c r="C1826" s="357" t="s">
        <v>4547</v>
      </c>
      <c r="D1826" s="44">
        <v>0.26</v>
      </c>
      <c r="E1826" s="1188">
        <v>15</v>
      </c>
      <c r="F1826" s="1189">
        <f>(D1826-(E1826/G1826))/D1826</f>
        <v>0.49832775919732447</v>
      </c>
      <c r="G1826" s="1190">
        <v>115</v>
      </c>
    </row>
    <row r="1827" spans="1:10" s="352" customFormat="1" ht="12.75">
      <c r="A1827" s="40" t="s">
        <v>4549</v>
      </c>
      <c r="B1827" s="41" t="s">
        <v>4546</v>
      </c>
      <c r="C1827" s="357" t="s">
        <v>4547</v>
      </c>
      <c r="D1827" s="44">
        <v>0.26</v>
      </c>
      <c r="E1827" s="1188">
        <v>15</v>
      </c>
      <c r="F1827" s="1189">
        <f>(D1827-(E1827/G1827))/D1827</f>
        <v>0.49832775919732447</v>
      </c>
      <c r="G1827" s="1190">
        <v>115</v>
      </c>
    </row>
    <row r="1828" spans="1:10" s="352" customFormat="1" ht="12.75">
      <c r="A1828" s="40" t="s">
        <v>4550</v>
      </c>
      <c r="B1828" s="41" t="s">
        <v>4546</v>
      </c>
      <c r="C1828" s="357" t="s">
        <v>4547</v>
      </c>
      <c r="D1828" s="44">
        <v>0.26</v>
      </c>
      <c r="E1828" s="1188">
        <v>15</v>
      </c>
      <c r="F1828" s="1189">
        <f>(D1828-(E1828/G1828))/D1828</f>
        <v>0.49832775919732447</v>
      </c>
      <c r="G1828" s="1190">
        <v>115</v>
      </c>
    </row>
    <row r="1829" spans="1:10">
      <c r="A1829" s="1192" t="s">
        <v>4552</v>
      </c>
    </row>
    <row r="1833" spans="1:10">
      <c r="A1833" s="1183" t="s">
        <v>82</v>
      </c>
      <c r="B1833" s="1184" t="s">
        <v>35</v>
      </c>
      <c r="C1833" s="1184" t="s">
        <v>99</v>
      </c>
      <c r="D1833" s="1145" t="s">
        <v>245</v>
      </c>
      <c r="E1833" s="1145" t="s">
        <v>270</v>
      </c>
      <c r="F1833" s="1145" t="s">
        <v>271</v>
      </c>
      <c r="G1833" s="1185" t="s">
        <v>4535</v>
      </c>
    </row>
    <row r="1834" spans="1:10" s="352" customFormat="1" ht="12.75">
      <c r="A1834" s="40" t="s">
        <v>4540</v>
      </c>
      <c r="B1834" s="41" t="s">
        <v>4538</v>
      </c>
      <c r="C1834" s="40" t="s">
        <v>4554</v>
      </c>
      <c r="D1834" s="355">
        <v>20</v>
      </c>
      <c r="E1834" s="1193">
        <v>1</v>
      </c>
      <c r="F1834" s="357">
        <f>E1834*D1834</f>
        <v>20</v>
      </c>
      <c r="G1834" s="1113">
        <v>3.39</v>
      </c>
    </row>
    <row r="1835" spans="1:10" s="352" customFormat="1" ht="12.75">
      <c r="A1835" s="40" t="s">
        <v>4542</v>
      </c>
      <c r="B1835" s="41" t="s">
        <v>4538</v>
      </c>
      <c r="C1835" s="40" t="s">
        <v>4556</v>
      </c>
      <c r="D1835" s="355">
        <v>25</v>
      </c>
      <c r="E1835" s="1193">
        <v>1</v>
      </c>
      <c r="F1835" s="357">
        <f>E1835*D1835</f>
        <v>25</v>
      </c>
      <c r="G1835" s="1113">
        <v>3.12</v>
      </c>
    </row>
    <row r="1836" spans="1:10" s="352" customFormat="1" ht="12.75">
      <c r="A1836" s="1194"/>
      <c r="B1836" s="1195"/>
      <c r="C1836" s="40" t="s">
        <v>316</v>
      </c>
      <c r="D1836" s="357"/>
      <c r="E1836" s="1107"/>
      <c r="F1836" s="353">
        <v>1</v>
      </c>
      <c r="G1836" s="1113">
        <v>12</v>
      </c>
    </row>
    <row r="1838" spans="1:10">
      <c r="A1838" t="s">
        <v>4732</v>
      </c>
    </row>
    <row r="1840" spans="1:10" s="352" customFormat="1" ht="38.25">
      <c r="A1840" s="1202" t="s">
        <v>4706</v>
      </c>
      <c r="B1840" s="1203" t="s">
        <v>4714</v>
      </c>
      <c r="C1840" s="1203" t="s">
        <v>4707</v>
      </c>
      <c r="D1840" s="1203" t="s">
        <v>4768</v>
      </c>
      <c r="E1840" s="1203" t="s">
        <v>4708</v>
      </c>
      <c r="F1840" s="1203" t="s">
        <v>4709</v>
      </c>
      <c r="G1840" s="1203" t="s">
        <v>4710</v>
      </c>
      <c r="H1840" s="1219" t="s">
        <v>4730</v>
      </c>
      <c r="I1840" s="1220" t="s">
        <v>4711</v>
      </c>
      <c r="J1840" s="1220" t="s">
        <v>4712</v>
      </c>
    </row>
    <row r="1841" spans="1:10" ht="25.5">
      <c r="A1841" s="1204" t="s">
        <v>4713</v>
      </c>
      <c r="B1841" s="1205" t="s">
        <v>4733</v>
      </c>
      <c r="C1841" s="1209">
        <f>ROUNDUP(H1841/0.8/135,2)</f>
        <v>15.28</v>
      </c>
      <c r="D1841" s="1209">
        <f>ROUNDUP((H1841+100)/0.8/135,2)</f>
        <v>16.21</v>
      </c>
      <c r="E1841" s="1209">
        <f>C1841*1.5</f>
        <v>22.919999999999998</v>
      </c>
      <c r="F1841" s="1209">
        <f>C1841*2</f>
        <v>30.56</v>
      </c>
      <c r="G1841" s="1209">
        <f>C1841*2</f>
        <v>30.56</v>
      </c>
      <c r="H1841" s="1206">
        <v>1650</v>
      </c>
      <c r="I1841" s="1207">
        <f>(((C1841*J1841)-H1841)/(C1841*J1841))</f>
        <v>0.20011634671320525</v>
      </c>
      <c r="J1841" s="1208">
        <v>135</v>
      </c>
    </row>
    <row r="1842" spans="1:10" s="352" customFormat="1" ht="25.5">
      <c r="A1842" s="1204" t="s">
        <v>4728</v>
      </c>
      <c r="B1842" s="1205" t="s">
        <v>4733</v>
      </c>
      <c r="C1842" s="1209">
        <f>ROUNDUP(H1842/0.8/135,2)</f>
        <v>20.470000000000002</v>
      </c>
      <c r="D1842" s="1209">
        <f>ROUNDUP((H1842+100)/0.8/135,2)</f>
        <v>21.39</v>
      </c>
      <c r="E1842" s="1209">
        <f>C1842*1.5</f>
        <v>30.705000000000005</v>
      </c>
      <c r="F1842" s="1209">
        <f>C1842*2</f>
        <v>40.940000000000005</v>
      </c>
      <c r="G1842" s="1209">
        <f>C1842*2</f>
        <v>40.940000000000005</v>
      </c>
      <c r="H1842" s="1221">
        <v>2210</v>
      </c>
      <c r="I1842" s="1222">
        <f>(((C1842*J1842)-H1842)/(C1842*J1842))</f>
        <v>0.20027501854565857</v>
      </c>
      <c r="J1842" s="1208">
        <v>135</v>
      </c>
    </row>
    <row r="1843" spans="1:10" s="352" customFormat="1" ht="25.5">
      <c r="A1843" s="1204" t="s">
        <v>4729</v>
      </c>
      <c r="B1843" s="1205" t="s">
        <v>4733</v>
      </c>
      <c r="C1843" s="1209">
        <f>ROUNDUP(H1843/0.8/135,2)</f>
        <v>20.470000000000002</v>
      </c>
      <c r="D1843" s="1209">
        <f>ROUNDUP((H1843+100)/0.8/135,2)</f>
        <v>21.39</v>
      </c>
      <c r="E1843" s="1209">
        <f>C1843*1.5</f>
        <v>30.705000000000005</v>
      </c>
      <c r="F1843" s="1209">
        <f>C1843*2</f>
        <v>40.940000000000005</v>
      </c>
      <c r="G1843" s="1209">
        <f>C1843*2</f>
        <v>40.940000000000005</v>
      </c>
      <c r="H1843" s="1221">
        <v>2210</v>
      </c>
      <c r="I1843" s="1222">
        <f>(((C1843*J1843)-H1843)/(C1843*J1843))</f>
        <v>0.20027501854565857</v>
      </c>
      <c r="J1843" s="1208">
        <v>135</v>
      </c>
    </row>
    <row r="1844" spans="1:10" ht="25.5">
      <c r="A1844" s="1204" t="s">
        <v>4731</v>
      </c>
      <c r="B1844" s="1205" t="s">
        <v>4733</v>
      </c>
      <c r="C1844" s="1209">
        <f>ROUNDUP(H1844/0.8/135,2)</f>
        <v>33.89</v>
      </c>
      <c r="D1844" s="1209">
        <f>ROUNDUP((H1844+100)/0.8/135,2)</f>
        <v>34.82</v>
      </c>
      <c r="E1844" s="1209">
        <f>C1844*1.5</f>
        <v>50.835000000000001</v>
      </c>
      <c r="F1844" s="1209">
        <f>C1844*2</f>
        <v>67.78</v>
      </c>
      <c r="G1844" s="1209">
        <f>C1844*2</f>
        <v>67.78</v>
      </c>
      <c r="H1844" s="1221">
        <f>3560+100</f>
        <v>3660</v>
      </c>
      <c r="I1844" s="1222">
        <f>(((C1844*J1844)-H1844)/(C1844*J1844))</f>
        <v>0.20002622864824099</v>
      </c>
      <c r="J1844" s="1208">
        <v>135</v>
      </c>
    </row>
    <row r="1845" spans="1:10">
      <c r="A1845" s="1204"/>
      <c r="B1845" s="1205"/>
      <c r="C1845" s="1209"/>
      <c r="D1845" s="1209"/>
      <c r="E1845" s="1209"/>
      <c r="F1845" s="1209"/>
      <c r="G1845" s="1232"/>
      <c r="H1845" s="1233"/>
      <c r="I1845" s="1234"/>
    </row>
    <row r="1846" spans="1:10">
      <c r="A1846" s="1204" t="s">
        <v>4744</v>
      </c>
      <c r="B1846" s="1205"/>
      <c r="C1846" s="1209"/>
      <c r="D1846" s="1209"/>
      <c r="E1846" s="1209"/>
      <c r="F1846" s="1209"/>
      <c r="G1846" s="1232"/>
      <c r="H1846" s="1233"/>
      <c r="I1846" s="1234"/>
    </row>
    <row r="1847" spans="1:10" ht="15">
      <c r="A1847" s="1210" t="s">
        <v>4715</v>
      </c>
      <c r="B1847" s="1210" t="s">
        <v>4769</v>
      </c>
      <c r="C1847" s="1211" t="s">
        <v>4771</v>
      </c>
      <c r="D1847" s="1217">
        <v>9.73</v>
      </c>
      <c r="E1847" s="1207">
        <f>(((D1847*F1847)-1050)/(D1847*F1847))</f>
        <v>0.20063948840927257</v>
      </c>
      <c r="F1847" s="1208">
        <v>135</v>
      </c>
    </row>
    <row r="1848" spans="1:10" ht="15">
      <c r="A1848" s="1210" t="s">
        <v>4715</v>
      </c>
      <c r="B1848" s="1210" t="s">
        <v>4770</v>
      </c>
      <c r="C1848" s="1211" t="s">
        <v>4772</v>
      </c>
      <c r="D1848" s="1217">
        <v>6.67</v>
      </c>
      <c r="E1848" s="1207">
        <f>(((D1848*F1848)-720)/(D1848*F1848))</f>
        <v>0.20039980009995007</v>
      </c>
      <c r="F1848" s="1208">
        <v>135</v>
      </c>
    </row>
    <row r="1849" spans="1:10" ht="15">
      <c r="A1849" s="1210" t="s">
        <v>4715</v>
      </c>
      <c r="B1849" s="1210" t="s">
        <v>4716</v>
      </c>
      <c r="C1849" s="1211" t="s">
        <v>4717</v>
      </c>
      <c r="D1849" s="1217">
        <v>5.19</v>
      </c>
      <c r="E1849" s="1207">
        <f>(((D1849*F1849)-560)/(D1849*F1849))</f>
        <v>0.20074216798686945</v>
      </c>
      <c r="F1849" s="1208">
        <v>135</v>
      </c>
    </row>
    <row r="1850" spans="1:10" ht="15">
      <c r="A1850" s="1210"/>
      <c r="B1850" s="1210" t="s">
        <v>4718</v>
      </c>
      <c r="C1850" s="1211" t="s">
        <v>4719</v>
      </c>
      <c r="D1850" s="1217">
        <v>3.43</v>
      </c>
      <c r="E1850" s="1207">
        <f>(((D1850*F1850)-370)/(D1850*F1850))</f>
        <v>0.20095022135838464</v>
      </c>
      <c r="F1850" s="1208">
        <v>135</v>
      </c>
    </row>
    <row r="1851" spans="1:10" ht="15">
      <c r="A1851" s="1210"/>
      <c r="B1851" s="1210" t="s">
        <v>4720</v>
      </c>
      <c r="C1851" s="1211" t="s">
        <v>4721</v>
      </c>
      <c r="D1851" s="1217">
        <v>2.13</v>
      </c>
      <c r="E1851" s="1207">
        <f>(((D1851*F1851)-230)/(D1851*F1851))</f>
        <v>0.20013910624239267</v>
      </c>
      <c r="F1851" s="1208">
        <v>135</v>
      </c>
    </row>
    <row r="1852" spans="1:10" ht="15">
      <c r="A1852" s="1212"/>
      <c r="B1852" s="1212"/>
      <c r="C1852" s="1213"/>
      <c r="D1852" s="1214"/>
      <c r="E1852" s="1215"/>
      <c r="F1852" s="1216"/>
    </row>
    <row r="1853" spans="1:10">
      <c r="A1853" s="1202" t="s">
        <v>4744</v>
      </c>
      <c r="B1853" s="1129" t="s">
        <v>4722</v>
      </c>
      <c r="C1853" s="354" t="s">
        <v>4723</v>
      </c>
    </row>
    <row r="1854" spans="1:10" ht="15">
      <c r="A1854" s="1115" t="s">
        <v>4715</v>
      </c>
      <c r="B1854" s="1242" t="s">
        <v>4769</v>
      </c>
      <c r="C1854" s="1218">
        <v>9.73</v>
      </c>
    </row>
    <row r="1855" spans="1:10" ht="15">
      <c r="A1855" s="1115" t="s">
        <v>4725</v>
      </c>
      <c r="B1855" s="1242" t="s">
        <v>4770</v>
      </c>
      <c r="C1855" s="1218">
        <v>6.67</v>
      </c>
    </row>
    <row r="1856" spans="1:10" ht="15">
      <c r="A1856" s="1115"/>
      <c r="B1856" s="1115" t="s">
        <v>4724</v>
      </c>
      <c r="C1856" s="1218">
        <v>5.19</v>
      </c>
    </row>
    <row r="1857" spans="1:7" ht="15">
      <c r="A1857" s="1115"/>
      <c r="B1857" s="1115" t="s">
        <v>4726</v>
      </c>
      <c r="C1857" s="1218">
        <v>3.43</v>
      </c>
    </row>
    <row r="1858" spans="1:7" ht="15">
      <c r="A1858" s="1115"/>
      <c r="B1858" s="1115" t="s">
        <v>4727</v>
      </c>
      <c r="C1858" s="1218">
        <v>2.13</v>
      </c>
    </row>
    <row r="1859" spans="1:7" ht="15">
      <c r="A1859" s="1243"/>
      <c r="B1859" s="1243"/>
      <c r="C1859" s="1244"/>
    </row>
    <row r="1860" spans="1:7">
      <c r="A1860" s="1202" t="s">
        <v>4773</v>
      </c>
      <c r="B1860" s="1129" t="s">
        <v>4774</v>
      </c>
      <c r="C1860" s="365" t="s">
        <v>4777</v>
      </c>
    </row>
    <row r="1861" spans="1:7" ht="15">
      <c r="A1861" s="1202"/>
      <c r="B1861" s="1218">
        <v>200</v>
      </c>
      <c r="C1861" s="1245" t="s">
        <v>4776</v>
      </c>
    </row>
    <row r="1862" spans="1:7" ht="15">
      <c r="A1862" s="1202" t="s">
        <v>4775</v>
      </c>
      <c r="B1862" s="1218">
        <v>25</v>
      </c>
      <c r="C1862" s="1246">
        <v>2400</v>
      </c>
      <c r="D1862" s="1207">
        <f>((B1862*E1862)-C1862)/(B1862*E1862)</f>
        <v>0.28888888888888886</v>
      </c>
      <c r="E1862" s="1208">
        <v>135</v>
      </c>
    </row>
    <row r="1864" spans="1:7" s="1226" customFormat="1">
      <c r="A1864" s="354" t="s">
        <v>82</v>
      </c>
      <c r="B1864" s="1223" t="s">
        <v>35</v>
      </c>
      <c r="C1864" s="1223" t="s">
        <v>4737</v>
      </c>
      <c r="D1864" s="1224" t="s">
        <v>4535</v>
      </c>
      <c r="E1864" s="1225" t="s">
        <v>4738</v>
      </c>
      <c r="F1864" s="1151" t="s">
        <v>4375</v>
      </c>
      <c r="G1864" s="1151" t="s">
        <v>4376</v>
      </c>
    </row>
    <row r="1865" spans="1:7" s="1226" customFormat="1">
      <c r="A1865" s="40" t="s">
        <v>4734</v>
      </c>
      <c r="B1865" s="1227" t="s">
        <v>4739</v>
      </c>
      <c r="C1865" s="1227" t="s">
        <v>4740</v>
      </c>
      <c r="D1865" s="1231">
        <f>ROUNDUP(E1865/0.8/135,2)</f>
        <v>15.56</v>
      </c>
      <c r="E1865" s="1228">
        <v>1680</v>
      </c>
      <c r="F1865" s="1229">
        <f>((D1865*G1865)-E1865)/(D1865*G1865)</f>
        <v>0.20022850614110252</v>
      </c>
      <c r="G1865" s="162">
        <v>135</v>
      </c>
    </row>
    <row r="1866" spans="1:7" s="1226" customFormat="1">
      <c r="A1866" s="40" t="s">
        <v>4735</v>
      </c>
      <c r="B1866" s="1227" t="s">
        <v>4739</v>
      </c>
      <c r="C1866" s="1227" t="s">
        <v>4741</v>
      </c>
      <c r="D1866" s="1231">
        <f>ROUNDUP(E1866/0.8/135,2)</f>
        <v>18.34</v>
      </c>
      <c r="E1866" s="1228">
        <f>1680+300</f>
        <v>1980</v>
      </c>
      <c r="F1866" s="1229">
        <f>((D1866*G1866)-E1866)/(D1866*G1866)</f>
        <v>0.20029080334423849</v>
      </c>
      <c r="G1866" s="162">
        <v>135</v>
      </c>
    </row>
    <row r="1867" spans="1:7" s="1226" customFormat="1">
      <c r="A1867" s="40" t="s">
        <v>4736</v>
      </c>
      <c r="B1867" s="1227" t="s">
        <v>4739</v>
      </c>
      <c r="C1867" s="1230" t="s">
        <v>4742</v>
      </c>
      <c r="D1867" s="1231">
        <f>ROUNDUP(E1867/0.8/135,2)</f>
        <v>15.56</v>
      </c>
      <c r="E1867" s="1228">
        <v>1680</v>
      </c>
      <c r="F1867" s="1229">
        <f>((D1867*G1867)-E1867)/(D1867*G1867)</f>
        <v>0.20022850614110252</v>
      </c>
      <c r="G1867" s="162">
        <v>135</v>
      </c>
    </row>
    <row r="1868" spans="1:7" s="1226" customFormat="1">
      <c r="A1868" s="40" t="s">
        <v>4736</v>
      </c>
      <c r="B1868" s="1227" t="s">
        <v>4739</v>
      </c>
      <c r="C1868" s="1230" t="s">
        <v>4743</v>
      </c>
      <c r="D1868" s="1231">
        <f>ROUNDUP(E1868/0.8/135,2)</f>
        <v>18.34</v>
      </c>
      <c r="E1868" s="1228">
        <f>1680+300</f>
        <v>1980</v>
      </c>
      <c r="F1868" s="1229">
        <f>((D1868*G1868)-E1868)/(D1868*G1868)</f>
        <v>0.20029080334423849</v>
      </c>
      <c r="G1868" s="162">
        <v>135</v>
      </c>
    </row>
    <row r="1872" spans="1:7">
      <c r="A1872" s="1236" t="s">
        <v>4756</v>
      </c>
    </row>
    <row r="1873" spans="1:6">
      <c r="A1873" s="1129" t="s">
        <v>4749</v>
      </c>
      <c r="B1873" s="354" t="s">
        <v>4750</v>
      </c>
      <c r="C1873" s="354" t="s">
        <v>4751</v>
      </c>
      <c r="D1873" s="1237">
        <v>82.2</v>
      </c>
      <c r="E1873" s="1237">
        <v>200</v>
      </c>
      <c r="F1873" s="1237">
        <v>300</v>
      </c>
    </row>
    <row r="1874" spans="1:6">
      <c r="A1874" s="1115" t="s">
        <v>4752</v>
      </c>
      <c r="B1874" s="1115" t="s">
        <v>4754</v>
      </c>
      <c r="C1874" s="1240">
        <v>15.28</v>
      </c>
      <c r="D1874" s="1238">
        <f>C1874*D1873</f>
        <v>1256.0160000000001</v>
      </c>
      <c r="E1874" s="1238">
        <f>C1874*E1873</f>
        <v>3056</v>
      </c>
      <c r="F1874" s="1238">
        <f>C1874*F1873</f>
        <v>4584</v>
      </c>
    </row>
    <row r="1875" spans="1:6">
      <c r="A1875" s="1115" t="s">
        <v>4758</v>
      </c>
      <c r="B1875" s="1115" t="s">
        <v>4754</v>
      </c>
      <c r="C1875" s="1240">
        <v>15.28</v>
      </c>
      <c r="D1875" s="1238">
        <f>(C1875+5.19)*D1873</f>
        <v>1682.634</v>
      </c>
      <c r="E1875" s="1238">
        <f>(C1875+3.43)*E1873</f>
        <v>3742</v>
      </c>
      <c r="F1875" s="1238">
        <f>(C1875+3.43)*F1873</f>
        <v>5613</v>
      </c>
    </row>
    <row r="1876" spans="1:6">
      <c r="A1876" s="1115" t="s">
        <v>4728</v>
      </c>
      <c r="B1876" s="1115" t="s">
        <v>4753</v>
      </c>
      <c r="C1876" s="1240">
        <v>20.470000000000002</v>
      </c>
      <c r="D1876" s="1238">
        <f>C1876*D1873</f>
        <v>1682.6340000000002</v>
      </c>
      <c r="E1876" s="1238">
        <f>C1876*E1873</f>
        <v>4094.0000000000005</v>
      </c>
      <c r="F1876" s="1238">
        <f>C1876*F1873</f>
        <v>6141.0000000000009</v>
      </c>
    </row>
    <row r="1877" spans="1:6">
      <c r="A1877" s="1115" t="s">
        <v>4729</v>
      </c>
      <c r="B1877" s="1115" t="s">
        <v>4753</v>
      </c>
      <c r="C1877" s="1240">
        <v>20.470000000000002</v>
      </c>
      <c r="D1877" s="1238">
        <f>C1877*D1873</f>
        <v>1682.6340000000002</v>
      </c>
      <c r="E1877" s="1238">
        <f>C1877*E1873</f>
        <v>4094.0000000000005</v>
      </c>
      <c r="F1877" s="1238">
        <f>C1877*F1873</f>
        <v>6141.0000000000009</v>
      </c>
    </row>
    <row r="1878" spans="1:6">
      <c r="A1878" s="1115" t="s">
        <v>4757</v>
      </c>
      <c r="B1878" s="1115" t="s">
        <v>4753</v>
      </c>
      <c r="C1878" s="1240">
        <v>33.89</v>
      </c>
      <c r="D1878" s="1238">
        <f>C1878*D1873</f>
        <v>2785.7580000000003</v>
      </c>
      <c r="E1878" s="1238">
        <f>C1878*E1873</f>
        <v>6778</v>
      </c>
      <c r="F1878" s="1238">
        <f>C1878*F1873</f>
        <v>10167</v>
      </c>
    </row>
    <row r="1879" spans="1:6" s="1226" customFormat="1" ht="12.75">
      <c r="A1879" s="1115" t="s">
        <v>4734</v>
      </c>
      <c r="B1879" s="1227" t="s">
        <v>4740</v>
      </c>
      <c r="C1879" s="1231">
        <v>15.56</v>
      </c>
      <c r="D1879" s="1239">
        <f>C1879*D1873</f>
        <v>1279.0320000000002</v>
      </c>
      <c r="E1879" s="1238">
        <f>C1879*E1873</f>
        <v>3112</v>
      </c>
      <c r="F1879" s="1238">
        <f>C1879*F1873</f>
        <v>4668</v>
      </c>
    </row>
    <row r="1880" spans="1:6" s="1226" customFormat="1" ht="12.75">
      <c r="A1880" s="1115" t="s">
        <v>4736</v>
      </c>
      <c r="B1880" s="1230" t="s">
        <v>4742</v>
      </c>
      <c r="C1880" s="1231">
        <v>15.56</v>
      </c>
      <c r="D1880" s="1235" t="s">
        <v>4755</v>
      </c>
      <c r="E1880" s="1235" t="s">
        <v>4755</v>
      </c>
      <c r="F1880" s="1238">
        <f>C1880*F1873</f>
        <v>4668</v>
      </c>
    </row>
    <row r="1881" spans="1:6" s="1226" customFormat="1" ht="12.75">
      <c r="A1881" s="1115" t="s">
        <v>4736</v>
      </c>
      <c r="B1881" s="1230" t="s">
        <v>4743</v>
      </c>
      <c r="C1881" s="1231">
        <v>18.34</v>
      </c>
      <c r="D1881" s="1239">
        <f>C1881*D1873</f>
        <v>1507.548</v>
      </c>
      <c r="E1881" s="1238">
        <f>C1881*E1873</f>
        <v>3668</v>
      </c>
      <c r="F1881" s="1235" t="s">
        <v>4755</v>
      </c>
    </row>
    <row r="1887" spans="1:6" ht="15">
      <c r="A1887" s="22" t="s">
        <v>4829</v>
      </c>
      <c r="B1887" s="22" t="s">
        <v>77</v>
      </c>
      <c r="C1887" s="108">
        <v>20</v>
      </c>
    </row>
    <row r="1888" spans="1:6" ht="15">
      <c r="A1888" s="22" t="s">
        <v>4829</v>
      </c>
      <c r="B1888" s="22" t="s">
        <v>77</v>
      </c>
      <c r="C1888" s="108">
        <v>15</v>
      </c>
    </row>
    <row r="1889" spans="1:7" ht="15">
      <c r="A1889" s="22" t="s">
        <v>4829</v>
      </c>
      <c r="B1889" s="22" t="s">
        <v>76</v>
      </c>
      <c r="C1889" s="108">
        <v>20</v>
      </c>
    </row>
    <row r="1890" spans="1:7" ht="15">
      <c r="A1890" s="22" t="s">
        <v>4829</v>
      </c>
      <c r="B1890" s="22" t="s">
        <v>76</v>
      </c>
      <c r="C1890" s="108">
        <v>15</v>
      </c>
    </row>
    <row r="1891" spans="1:7" ht="15">
      <c r="A1891" s="19"/>
      <c r="B1891" s="22"/>
      <c r="C1891" s="108"/>
    </row>
    <row r="1892" spans="1:7" ht="15">
      <c r="A1892" s="22" t="s">
        <v>4874</v>
      </c>
      <c r="B1892" s="22" t="s">
        <v>353</v>
      </c>
      <c r="C1892" s="108">
        <v>20</v>
      </c>
    </row>
    <row r="1893" spans="1:7" ht="15">
      <c r="A1893" s="22" t="s">
        <v>4874</v>
      </c>
      <c r="B1893" s="22" t="s">
        <v>353</v>
      </c>
      <c r="C1893" s="108">
        <v>20</v>
      </c>
    </row>
    <row r="1894" spans="1:7" ht="15">
      <c r="A1894" s="22" t="s">
        <v>4874</v>
      </c>
      <c r="B1894" s="22" t="s">
        <v>4875</v>
      </c>
      <c r="C1894" s="108">
        <v>20</v>
      </c>
    </row>
    <row r="1895" spans="1:7" ht="15">
      <c r="A1895" s="22" t="s">
        <v>4874</v>
      </c>
      <c r="B1895" s="22" t="s">
        <v>4875</v>
      </c>
      <c r="C1895" s="108">
        <v>20</v>
      </c>
    </row>
    <row r="1897" spans="1:7">
      <c r="A1897" s="1183" t="s">
        <v>82</v>
      </c>
      <c r="B1897" s="1184" t="s">
        <v>99</v>
      </c>
      <c r="C1897" s="1145" t="s">
        <v>245</v>
      </c>
      <c r="D1897" s="1145" t="s">
        <v>270</v>
      </c>
      <c r="E1897" s="1145" t="s">
        <v>271</v>
      </c>
      <c r="F1897" s="1185" t="s">
        <v>4535</v>
      </c>
      <c r="G1897" s="1185" t="s">
        <v>4876</v>
      </c>
    </row>
    <row r="1898" spans="1:7">
      <c r="A1898" s="1270" t="s">
        <v>4763</v>
      </c>
      <c r="B1898" s="1115"/>
      <c r="C1898" s="1271"/>
      <c r="D1898" s="1272"/>
      <c r="E1898" s="1271"/>
      <c r="F1898" s="1273" t="s">
        <v>5</v>
      </c>
      <c r="G1898" s="1269"/>
    </row>
    <row r="1899" spans="1:7">
      <c r="A1899" s="1115" t="s">
        <v>4829</v>
      </c>
      <c r="B1899" s="1115" t="s">
        <v>77</v>
      </c>
      <c r="C1899" s="1271">
        <v>20</v>
      </c>
      <c r="D1899" s="1272">
        <v>1</v>
      </c>
      <c r="E1899" s="1274">
        <f>C1899*D1899</f>
        <v>20</v>
      </c>
      <c r="F1899" s="1275">
        <v>51.05</v>
      </c>
      <c r="G1899" s="1275">
        <f>F1899*E1899</f>
        <v>1021</v>
      </c>
    </row>
    <row r="1900" spans="1:7">
      <c r="A1900" s="1115" t="s">
        <v>4829</v>
      </c>
      <c r="B1900" s="1115" t="s">
        <v>77</v>
      </c>
      <c r="C1900" s="1271">
        <v>15</v>
      </c>
      <c r="D1900" s="1272">
        <v>1</v>
      </c>
      <c r="E1900" s="1274">
        <f>C1900*D1900</f>
        <v>15</v>
      </c>
      <c r="F1900" s="1275">
        <v>51.05</v>
      </c>
      <c r="G1900" s="1275">
        <f>F1900*E1900</f>
        <v>765.75</v>
      </c>
    </row>
    <row r="1901" spans="1:7">
      <c r="A1901" s="1115" t="s">
        <v>4829</v>
      </c>
      <c r="B1901" s="1115" t="s">
        <v>76</v>
      </c>
      <c r="C1901" s="1271">
        <v>20</v>
      </c>
      <c r="D1901" s="1272">
        <v>1</v>
      </c>
      <c r="E1901" s="1274">
        <f>C1901*D1901</f>
        <v>20</v>
      </c>
      <c r="F1901" s="1275">
        <v>51.05</v>
      </c>
      <c r="G1901" s="1275">
        <f>F1901*E1901</f>
        <v>1021</v>
      </c>
    </row>
    <row r="1902" spans="1:7">
      <c r="A1902" s="1115" t="s">
        <v>4829</v>
      </c>
      <c r="B1902" s="1115" t="s">
        <v>76</v>
      </c>
      <c r="C1902" s="1271">
        <v>15</v>
      </c>
      <c r="D1902" s="1272">
        <v>1</v>
      </c>
      <c r="E1902" s="1274">
        <f>C1902*D1902</f>
        <v>15</v>
      </c>
      <c r="F1902" s="1275">
        <v>51.05</v>
      </c>
      <c r="G1902" s="1275">
        <f>F1902*E1902</f>
        <v>765.75</v>
      </c>
    </row>
    <row r="1903" spans="1:7">
      <c r="A1903" s="1115"/>
      <c r="B1903" s="1115" t="s">
        <v>4329</v>
      </c>
      <c r="C1903" s="1274"/>
      <c r="D1903" s="1276"/>
      <c r="E1903" s="1277">
        <v>4</v>
      </c>
      <c r="F1903" s="1275">
        <v>15</v>
      </c>
      <c r="G1903" s="1275">
        <f>F1903*E1903</f>
        <v>60</v>
      </c>
    </row>
    <row r="1904" spans="1:7">
      <c r="A1904" s="1270" t="s">
        <v>4873</v>
      </c>
      <c r="B1904" s="1115"/>
      <c r="C1904" s="1271"/>
      <c r="D1904" s="1272"/>
      <c r="E1904" s="1271"/>
      <c r="F1904" s="1273" t="s">
        <v>5</v>
      </c>
      <c r="G1904" s="1269"/>
    </row>
    <row r="1905" spans="1:118">
      <c r="A1905" s="1115" t="s">
        <v>4874</v>
      </c>
      <c r="B1905" s="1115" t="s">
        <v>353</v>
      </c>
      <c r="C1905" s="1271">
        <v>20</v>
      </c>
      <c r="D1905" s="1272">
        <v>1</v>
      </c>
      <c r="E1905" s="1274">
        <f>C1905*D1905</f>
        <v>20</v>
      </c>
      <c r="F1905" s="1275">
        <v>21.88</v>
      </c>
      <c r="G1905" s="1275">
        <f t="shared" ref="G1905:G1910" si="17">F1905*E1905</f>
        <v>437.59999999999997</v>
      </c>
    </row>
    <row r="1906" spans="1:118">
      <c r="A1906" s="1115" t="s">
        <v>4874</v>
      </c>
      <c r="B1906" s="1115" t="s">
        <v>353</v>
      </c>
      <c r="C1906" s="1271">
        <v>20</v>
      </c>
      <c r="D1906" s="1272">
        <v>1</v>
      </c>
      <c r="E1906" s="1274">
        <f>C1906*D1906</f>
        <v>20</v>
      </c>
      <c r="F1906" s="1275">
        <v>21.88</v>
      </c>
      <c r="G1906" s="1275">
        <f t="shared" si="17"/>
        <v>437.59999999999997</v>
      </c>
    </row>
    <row r="1907" spans="1:118">
      <c r="A1907" s="1115" t="s">
        <v>4874</v>
      </c>
      <c r="B1907" s="1115" t="s">
        <v>4875</v>
      </c>
      <c r="C1907" s="1271">
        <v>20</v>
      </c>
      <c r="D1907" s="1272">
        <v>1</v>
      </c>
      <c r="E1907" s="1274">
        <f>C1907*D1907</f>
        <v>20</v>
      </c>
      <c r="F1907" s="1275">
        <v>21.88</v>
      </c>
      <c r="G1907" s="1275">
        <f t="shared" si="17"/>
        <v>437.59999999999997</v>
      </c>
    </row>
    <row r="1908" spans="1:118">
      <c r="A1908" s="1115" t="s">
        <v>4874</v>
      </c>
      <c r="B1908" s="1115" t="s">
        <v>4875</v>
      </c>
      <c r="C1908" s="1271">
        <v>20</v>
      </c>
      <c r="D1908" s="1272">
        <v>1</v>
      </c>
      <c r="E1908" s="1274">
        <f>C1908*D1908</f>
        <v>20</v>
      </c>
      <c r="F1908" s="1275">
        <v>21.88</v>
      </c>
      <c r="G1908" s="1275">
        <f t="shared" si="17"/>
        <v>437.59999999999997</v>
      </c>
    </row>
    <row r="1909" spans="1:118">
      <c r="A1909" s="1115"/>
      <c r="B1909" s="1115" t="s">
        <v>4329</v>
      </c>
      <c r="C1909" s="1274"/>
      <c r="D1909" s="1276"/>
      <c r="E1909" s="1277">
        <v>4</v>
      </c>
      <c r="F1909" s="1275">
        <v>15</v>
      </c>
      <c r="G1909" s="1275">
        <f t="shared" si="17"/>
        <v>60</v>
      </c>
    </row>
    <row r="1910" spans="1:118">
      <c r="A1910" s="1115"/>
      <c r="B1910" s="1115" t="s">
        <v>316</v>
      </c>
      <c r="C1910" s="1274"/>
      <c r="D1910" s="1276"/>
      <c r="E1910" s="1277">
        <v>1</v>
      </c>
      <c r="F1910" s="1275">
        <v>20</v>
      </c>
      <c r="G1910" s="1275">
        <f t="shared" si="17"/>
        <v>20</v>
      </c>
    </row>
    <row r="1911" spans="1:118">
      <c r="A1911" s="1115"/>
      <c r="B1911" s="1115"/>
      <c r="C1911" s="1274"/>
      <c r="D1911" s="1276"/>
      <c r="E1911" s="1277"/>
      <c r="F1911" s="1278" t="s">
        <v>4877</v>
      </c>
      <c r="G1911" s="1279">
        <f>SUM(G1899:G1910)</f>
        <v>5463.9000000000005</v>
      </c>
    </row>
    <row r="1913" spans="1:118">
      <c r="A1913" t="s">
        <v>4895</v>
      </c>
    </row>
    <row r="1914" spans="1:118" s="1156" customFormat="1" ht="31.5">
      <c r="A1914" s="1283" t="s">
        <v>260</v>
      </c>
      <c r="B1914" s="1284" t="s">
        <v>169</v>
      </c>
      <c r="C1914" s="1285" t="s">
        <v>3442</v>
      </c>
      <c r="D1914" s="1286" t="s">
        <v>282</v>
      </c>
      <c r="E1914" s="1287" t="s">
        <v>4377</v>
      </c>
      <c r="F1914" s="1225" t="s">
        <v>4898</v>
      </c>
      <c r="G1914" s="1151" t="s">
        <v>4375</v>
      </c>
      <c r="H1914" s="1151" t="s">
        <v>4376</v>
      </c>
    </row>
    <row r="1915" spans="1:118" s="52" customFormat="1" ht="15" customHeight="1">
      <c r="A1915" s="1288" t="s">
        <v>4897</v>
      </c>
      <c r="B1915" s="1289">
        <v>19</v>
      </c>
      <c r="C1915" s="1290">
        <v>30</v>
      </c>
      <c r="D1915" s="897" t="s">
        <v>4900</v>
      </c>
      <c r="E1915" s="1291">
        <v>0.7</v>
      </c>
      <c r="F1915" s="1282">
        <v>54.4</v>
      </c>
      <c r="G1915" s="1229">
        <f t="shared" ref="G1915:G1921" si="18">((E1915*H1915)-F1915)/(E1915*H1915)</f>
        <v>0.40219780219780221</v>
      </c>
      <c r="H1915" s="162">
        <v>130</v>
      </c>
      <c r="I1915" s="1281"/>
      <c r="J1915" s="1281"/>
      <c r="K1915" s="1281"/>
      <c r="L1915" s="1281"/>
      <c r="M1915" s="1281"/>
      <c r="N1915" s="1281"/>
      <c r="O1915" s="1281"/>
      <c r="P1915" s="1281"/>
      <c r="Q1915" s="1281"/>
      <c r="R1915" s="1281"/>
      <c r="S1915" s="1281"/>
      <c r="T1915" s="1281"/>
      <c r="U1915" s="1281"/>
      <c r="V1915" s="1281"/>
      <c r="W1915" s="1281"/>
      <c r="X1915" s="1281"/>
      <c r="Y1915" s="1281"/>
      <c r="Z1915" s="1281"/>
      <c r="AA1915" s="1281"/>
      <c r="AB1915" s="1281"/>
      <c r="AC1915" s="1281"/>
      <c r="AD1915" s="1281"/>
      <c r="AE1915" s="1281"/>
      <c r="AF1915" s="1281"/>
      <c r="AG1915" s="1281"/>
      <c r="AH1915" s="1281"/>
      <c r="AI1915" s="1281"/>
      <c r="AJ1915" s="1281"/>
      <c r="AK1915" s="1281"/>
      <c r="AL1915" s="1281"/>
      <c r="AM1915" s="1281"/>
      <c r="AN1915" s="1281"/>
      <c r="AO1915" s="1281"/>
      <c r="AP1915" s="1281"/>
      <c r="AQ1915" s="1281"/>
      <c r="AR1915" s="1281"/>
      <c r="AS1915" s="1281"/>
      <c r="AT1915" s="1281"/>
      <c r="AU1915" s="1281"/>
      <c r="AV1915" s="1281"/>
      <c r="AW1915" s="1281"/>
      <c r="AX1915" s="1281"/>
      <c r="AY1915" s="1281"/>
      <c r="AZ1915" s="1281"/>
      <c r="BA1915" s="1281"/>
      <c r="BB1915" s="1281"/>
      <c r="BC1915" s="1281"/>
      <c r="BD1915" s="1281"/>
      <c r="BE1915" s="1281"/>
      <c r="BF1915" s="1281"/>
      <c r="BG1915" s="1281"/>
      <c r="BH1915" s="1281"/>
      <c r="BI1915" s="1281"/>
      <c r="BJ1915" s="1281"/>
      <c r="BK1915" s="1281"/>
      <c r="BL1915" s="1281"/>
      <c r="BM1915" s="1281"/>
      <c r="BN1915" s="1281"/>
      <c r="BO1915" s="1281"/>
      <c r="BP1915" s="1281"/>
      <c r="BQ1915" s="1281"/>
      <c r="BR1915" s="1281"/>
      <c r="BS1915" s="1281"/>
      <c r="BT1915" s="1281"/>
      <c r="BU1915" s="1281"/>
      <c r="BV1915" s="1281"/>
      <c r="BW1915" s="1281"/>
      <c r="BX1915" s="1281"/>
      <c r="BY1915" s="1281"/>
      <c r="BZ1915" s="1281"/>
      <c r="CA1915" s="1281"/>
      <c r="CB1915" s="1281"/>
      <c r="CC1915" s="1281"/>
      <c r="CD1915" s="1281"/>
      <c r="CE1915" s="1281"/>
      <c r="CF1915" s="1281"/>
      <c r="CG1915" s="1281"/>
      <c r="CH1915" s="1281"/>
      <c r="CI1915" s="1281"/>
      <c r="CJ1915" s="1281"/>
      <c r="CK1915" s="1281"/>
      <c r="CL1915" s="1281"/>
      <c r="CM1915" s="1281"/>
      <c r="CN1915" s="1281"/>
      <c r="CO1915" s="1281"/>
      <c r="CP1915" s="1281"/>
      <c r="CQ1915" s="1281"/>
      <c r="CR1915" s="1281"/>
      <c r="CS1915" s="1281"/>
      <c r="CT1915" s="1281"/>
      <c r="CU1915" s="1281"/>
      <c r="CV1915" s="1281"/>
      <c r="CW1915" s="1281"/>
      <c r="CX1915" s="1281"/>
      <c r="CY1915" s="1281"/>
      <c r="CZ1915" s="1281"/>
      <c r="DA1915" s="1281"/>
      <c r="DB1915" s="1281"/>
      <c r="DC1915" s="1281"/>
      <c r="DD1915" s="1281"/>
      <c r="DE1915" s="1281"/>
      <c r="DF1915" s="1281"/>
      <c r="DG1915" s="1281"/>
      <c r="DH1915" s="1281"/>
      <c r="DI1915" s="1281"/>
      <c r="DJ1915" s="1281"/>
      <c r="DK1915" s="1281"/>
      <c r="DL1915" s="1281"/>
      <c r="DM1915" s="1281"/>
      <c r="DN1915" s="1281"/>
    </row>
    <row r="1916" spans="1:118" s="52" customFormat="1" ht="15" customHeight="1">
      <c r="A1916" s="1288" t="s">
        <v>4897</v>
      </c>
      <c r="B1916" s="1289">
        <v>25</v>
      </c>
      <c r="C1916" s="1290">
        <v>30</v>
      </c>
      <c r="D1916" s="897" t="s">
        <v>4900</v>
      </c>
      <c r="E1916" s="1291">
        <v>0.91</v>
      </c>
      <c r="F1916" s="1282">
        <v>70.739999999999995</v>
      </c>
      <c r="G1916" s="1229">
        <f t="shared" si="18"/>
        <v>0.40202874049027898</v>
      </c>
      <c r="H1916" s="162">
        <v>130</v>
      </c>
      <c r="I1916" s="1281"/>
      <c r="J1916" s="1281"/>
      <c r="K1916" s="1281"/>
      <c r="L1916" s="1281"/>
      <c r="M1916" s="1281"/>
      <c r="N1916" s="1281"/>
      <c r="O1916" s="1281"/>
      <c r="P1916" s="1281"/>
      <c r="Q1916" s="1281"/>
      <c r="R1916" s="1281"/>
      <c r="S1916" s="1281"/>
      <c r="T1916" s="1281"/>
      <c r="U1916" s="1281"/>
      <c r="V1916" s="1281"/>
      <c r="W1916" s="1281"/>
      <c r="X1916" s="1281"/>
      <c r="Y1916" s="1281"/>
      <c r="Z1916" s="1281"/>
      <c r="AA1916" s="1281"/>
      <c r="AB1916" s="1281"/>
      <c r="AC1916" s="1281"/>
      <c r="AD1916" s="1281"/>
      <c r="AE1916" s="1281"/>
      <c r="AF1916" s="1281"/>
      <c r="AG1916" s="1281"/>
      <c r="AH1916" s="1281"/>
      <c r="AI1916" s="1281"/>
      <c r="AJ1916" s="1281"/>
      <c r="AK1916" s="1281"/>
      <c r="AL1916" s="1281"/>
      <c r="AM1916" s="1281"/>
      <c r="AN1916" s="1281"/>
      <c r="AO1916" s="1281"/>
      <c r="AP1916" s="1281"/>
      <c r="AQ1916" s="1281"/>
      <c r="AR1916" s="1281"/>
      <c r="AS1916" s="1281"/>
      <c r="AT1916" s="1281"/>
      <c r="AU1916" s="1281"/>
      <c r="AV1916" s="1281"/>
      <c r="AW1916" s="1281"/>
      <c r="AX1916" s="1281"/>
      <c r="AY1916" s="1281"/>
      <c r="AZ1916" s="1281"/>
      <c r="BA1916" s="1281"/>
      <c r="BB1916" s="1281"/>
      <c r="BC1916" s="1281"/>
      <c r="BD1916" s="1281"/>
      <c r="BE1916" s="1281"/>
      <c r="BF1916" s="1281"/>
      <c r="BG1916" s="1281"/>
      <c r="BH1916" s="1281"/>
      <c r="BI1916" s="1281"/>
      <c r="BJ1916" s="1281"/>
      <c r="BK1916" s="1281"/>
      <c r="BL1916" s="1281"/>
      <c r="BM1916" s="1281"/>
      <c r="BN1916" s="1281"/>
      <c r="BO1916" s="1281"/>
      <c r="BP1916" s="1281"/>
      <c r="BQ1916" s="1281"/>
      <c r="BR1916" s="1281"/>
      <c r="BS1916" s="1281"/>
      <c r="BT1916" s="1281"/>
      <c r="BU1916" s="1281"/>
      <c r="BV1916" s="1281"/>
      <c r="BW1916" s="1281"/>
      <c r="BX1916" s="1281"/>
      <c r="BY1916" s="1281"/>
      <c r="BZ1916" s="1281"/>
      <c r="CA1916" s="1281"/>
      <c r="CB1916" s="1281"/>
      <c r="CC1916" s="1281"/>
      <c r="CD1916" s="1281"/>
      <c r="CE1916" s="1281"/>
      <c r="CF1916" s="1281"/>
      <c r="CG1916" s="1281"/>
      <c r="CH1916" s="1281"/>
      <c r="CI1916" s="1281"/>
      <c r="CJ1916" s="1281"/>
      <c r="CK1916" s="1281"/>
      <c r="CL1916" s="1281"/>
      <c r="CM1916" s="1281"/>
      <c r="CN1916" s="1281"/>
      <c r="CO1916" s="1281"/>
      <c r="CP1916" s="1281"/>
      <c r="CQ1916" s="1281"/>
      <c r="CR1916" s="1281"/>
      <c r="CS1916" s="1281"/>
      <c r="CT1916" s="1281"/>
      <c r="CU1916" s="1281"/>
      <c r="CV1916" s="1281"/>
      <c r="CW1916" s="1281"/>
      <c r="CX1916" s="1281"/>
      <c r="CY1916" s="1281"/>
      <c r="CZ1916" s="1281"/>
      <c r="DA1916" s="1281"/>
      <c r="DB1916" s="1281"/>
      <c r="DC1916" s="1281"/>
      <c r="DD1916" s="1281"/>
      <c r="DE1916" s="1281"/>
      <c r="DF1916" s="1281"/>
      <c r="DG1916" s="1281"/>
      <c r="DH1916" s="1281"/>
      <c r="DI1916" s="1281"/>
      <c r="DJ1916" s="1281"/>
      <c r="DK1916" s="1281"/>
      <c r="DL1916" s="1281"/>
      <c r="DM1916" s="1281"/>
      <c r="DN1916" s="1281"/>
    </row>
    <row r="1917" spans="1:118" s="52" customFormat="1" ht="15" customHeight="1">
      <c r="A1917" s="1288" t="s">
        <v>4899</v>
      </c>
      <c r="B1917" s="1292">
        <v>20</v>
      </c>
      <c r="C1917" s="1290">
        <v>30</v>
      </c>
      <c r="D1917" s="897" t="s">
        <v>4900</v>
      </c>
      <c r="E1917" s="611">
        <v>0.88</v>
      </c>
      <c r="F1917" s="1282">
        <v>68</v>
      </c>
      <c r="G1917" s="1229">
        <f t="shared" si="18"/>
        <v>0.40559440559440563</v>
      </c>
      <c r="H1917" s="162">
        <v>130</v>
      </c>
      <c r="I1917" s="1281"/>
      <c r="J1917" s="1281"/>
      <c r="K1917" s="1281"/>
      <c r="L1917" s="1281"/>
      <c r="M1917" s="1281"/>
      <c r="N1917" s="1281"/>
      <c r="O1917" s="1281"/>
      <c r="P1917" s="1281"/>
      <c r="Q1917" s="1281"/>
      <c r="R1917" s="1281"/>
      <c r="S1917" s="1281"/>
      <c r="T1917" s="1281"/>
      <c r="U1917" s="1281"/>
      <c r="V1917" s="1281"/>
      <c r="W1917" s="1281"/>
      <c r="X1917" s="1281"/>
      <c r="Y1917" s="1281"/>
      <c r="Z1917" s="1281"/>
      <c r="AA1917" s="1281"/>
      <c r="AB1917" s="1281"/>
      <c r="AC1917" s="1281"/>
      <c r="AD1917" s="1281"/>
      <c r="AE1917" s="1281"/>
      <c r="AF1917" s="1281"/>
      <c r="AG1917" s="1281"/>
      <c r="AH1917" s="1281"/>
      <c r="AI1917" s="1281"/>
      <c r="AJ1917" s="1281"/>
      <c r="AK1917" s="1281"/>
      <c r="AL1917" s="1281"/>
      <c r="AM1917" s="1281"/>
      <c r="AN1917" s="1281"/>
      <c r="AO1917" s="1281"/>
      <c r="AP1917" s="1281"/>
      <c r="AQ1917" s="1281"/>
      <c r="AR1917" s="1281"/>
      <c r="AS1917" s="1281"/>
      <c r="AT1917" s="1281"/>
      <c r="AU1917" s="1281"/>
      <c r="AV1917" s="1281"/>
      <c r="AW1917" s="1281"/>
      <c r="AX1917" s="1281"/>
      <c r="AY1917" s="1281"/>
      <c r="AZ1917" s="1281"/>
      <c r="BA1917" s="1281"/>
      <c r="BB1917" s="1281"/>
      <c r="BC1917" s="1281"/>
      <c r="BD1917" s="1281"/>
      <c r="BE1917" s="1281"/>
      <c r="BF1917" s="1281"/>
      <c r="BG1917" s="1281"/>
      <c r="BH1917" s="1281"/>
      <c r="BI1917" s="1281"/>
      <c r="BJ1917" s="1281"/>
      <c r="BK1917" s="1281"/>
      <c r="BL1917" s="1281"/>
      <c r="BM1917" s="1281"/>
      <c r="BN1917" s="1281"/>
      <c r="BO1917" s="1281"/>
      <c r="BP1917" s="1281"/>
      <c r="BQ1917" s="1281"/>
      <c r="BR1917" s="1281"/>
      <c r="BS1917" s="1281"/>
      <c r="BT1917" s="1281"/>
      <c r="BU1917" s="1281"/>
      <c r="BV1917" s="1281"/>
      <c r="BW1917" s="1281"/>
      <c r="BX1917" s="1281"/>
      <c r="BY1917" s="1281"/>
      <c r="BZ1917" s="1281"/>
      <c r="CA1917" s="1281"/>
      <c r="CB1917" s="1281"/>
      <c r="CC1917" s="1281"/>
      <c r="CD1917" s="1281"/>
      <c r="CE1917" s="1281"/>
      <c r="CF1917" s="1281"/>
      <c r="CG1917" s="1281"/>
      <c r="CH1917" s="1281"/>
      <c r="CI1917" s="1281"/>
      <c r="CJ1917" s="1281"/>
      <c r="CK1917" s="1281"/>
      <c r="CL1917" s="1281"/>
      <c r="CM1917" s="1281"/>
      <c r="CN1917" s="1281"/>
      <c r="CO1917" s="1281"/>
      <c r="CP1917" s="1281"/>
      <c r="CQ1917" s="1281"/>
      <c r="CR1917" s="1281"/>
      <c r="CS1917" s="1281"/>
      <c r="CT1917" s="1281"/>
      <c r="CU1917" s="1281"/>
      <c r="CV1917" s="1281"/>
      <c r="CW1917" s="1281"/>
      <c r="CX1917" s="1281"/>
      <c r="CY1917" s="1281"/>
      <c r="CZ1917" s="1281"/>
      <c r="DA1917" s="1281"/>
      <c r="DB1917" s="1281"/>
      <c r="DC1917" s="1281"/>
      <c r="DD1917" s="1281"/>
      <c r="DE1917" s="1281"/>
      <c r="DF1917" s="1281"/>
      <c r="DG1917" s="1281"/>
      <c r="DH1917" s="1281"/>
      <c r="DI1917" s="1281"/>
      <c r="DJ1917" s="1281"/>
      <c r="DK1917" s="1281"/>
      <c r="DL1917" s="1281"/>
      <c r="DM1917" s="1281"/>
      <c r="DN1917" s="1281"/>
    </row>
    <row r="1918" spans="1:118" s="52" customFormat="1" ht="15" customHeight="1">
      <c r="A1918" s="1288" t="s">
        <v>4899</v>
      </c>
      <c r="B1918" s="1292">
        <v>25</v>
      </c>
      <c r="C1918" s="1290">
        <v>30</v>
      </c>
      <c r="D1918" s="897" t="s">
        <v>4900</v>
      </c>
      <c r="E1918" s="611">
        <v>1.03</v>
      </c>
      <c r="F1918" s="1282">
        <v>80</v>
      </c>
      <c r="G1918" s="1229">
        <f t="shared" si="18"/>
        <v>0.40253920836445112</v>
      </c>
      <c r="H1918" s="162">
        <v>130</v>
      </c>
      <c r="I1918" s="1281"/>
      <c r="J1918" s="1281"/>
      <c r="K1918" s="1281"/>
      <c r="L1918" s="1281"/>
      <c r="M1918" s="1281"/>
      <c r="N1918" s="1281"/>
      <c r="O1918" s="1281"/>
      <c r="P1918" s="1281"/>
      <c r="Q1918" s="1281"/>
      <c r="R1918" s="1281"/>
      <c r="S1918" s="1281"/>
      <c r="T1918" s="1281"/>
      <c r="U1918" s="1281"/>
      <c r="V1918" s="1281"/>
      <c r="W1918" s="1281"/>
      <c r="X1918" s="1281"/>
      <c r="Y1918" s="1281"/>
      <c r="Z1918" s="1281"/>
      <c r="AA1918" s="1281"/>
      <c r="AB1918" s="1281"/>
      <c r="AC1918" s="1281"/>
      <c r="AD1918" s="1281"/>
      <c r="AE1918" s="1281"/>
      <c r="AF1918" s="1281"/>
      <c r="AG1918" s="1281"/>
      <c r="AH1918" s="1281"/>
      <c r="AI1918" s="1281"/>
      <c r="AJ1918" s="1281"/>
      <c r="AK1918" s="1281"/>
      <c r="AL1918" s="1281"/>
      <c r="AM1918" s="1281"/>
      <c r="AN1918" s="1281"/>
      <c r="AO1918" s="1281"/>
      <c r="AP1918" s="1281"/>
      <c r="AQ1918" s="1281"/>
      <c r="AR1918" s="1281"/>
      <c r="AS1918" s="1281"/>
      <c r="AT1918" s="1281"/>
      <c r="AU1918" s="1281"/>
      <c r="AV1918" s="1281"/>
      <c r="AW1918" s="1281"/>
      <c r="AX1918" s="1281"/>
      <c r="AY1918" s="1281"/>
      <c r="AZ1918" s="1281"/>
      <c r="BA1918" s="1281"/>
      <c r="BB1918" s="1281"/>
      <c r="BC1918" s="1281"/>
      <c r="BD1918" s="1281"/>
      <c r="BE1918" s="1281"/>
      <c r="BF1918" s="1281"/>
      <c r="BG1918" s="1281"/>
      <c r="BH1918" s="1281"/>
      <c r="BI1918" s="1281"/>
      <c r="BJ1918" s="1281"/>
      <c r="BK1918" s="1281"/>
      <c r="BL1918" s="1281"/>
      <c r="BM1918" s="1281"/>
      <c r="BN1918" s="1281"/>
      <c r="BO1918" s="1281"/>
      <c r="BP1918" s="1281"/>
      <c r="BQ1918" s="1281"/>
      <c r="BR1918" s="1281"/>
      <c r="BS1918" s="1281"/>
      <c r="BT1918" s="1281"/>
      <c r="BU1918" s="1281"/>
      <c r="BV1918" s="1281"/>
      <c r="BW1918" s="1281"/>
      <c r="BX1918" s="1281"/>
      <c r="BY1918" s="1281"/>
      <c r="BZ1918" s="1281"/>
      <c r="CA1918" s="1281"/>
      <c r="CB1918" s="1281"/>
      <c r="CC1918" s="1281"/>
      <c r="CD1918" s="1281"/>
      <c r="CE1918" s="1281"/>
      <c r="CF1918" s="1281"/>
      <c r="CG1918" s="1281"/>
      <c r="CH1918" s="1281"/>
      <c r="CI1918" s="1281"/>
      <c r="CJ1918" s="1281"/>
      <c r="CK1918" s="1281"/>
      <c r="CL1918" s="1281"/>
      <c r="CM1918" s="1281"/>
      <c r="CN1918" s="1281"/>
      <c r="CO1918" s="1281"/>
      <c r="CP1918" s="1281"/>
      <c r="CQ1918" s="1281"/>
      <c r="CR1918" s="1281"/>
      <c r="CS1918" s="1281"/>
      <c r="CT1918" s="1281"/>
      <c r="CU1918" s="1281"/>
      <c r="CV1918" s="1281"/>
      <c r="CW1918" s="1281"/>
      <c r="CX1918" s="1281"/>
      <c r="CY1918" s="1281"/>
      <c r="CZ1918" s="1281"/>
      <c r="DA1918" s="1281"/>
      <c r="DB1918" s="1281"/>
      <c r="DC1918" s="1281"/>
      <c r="DD1918" s="1281"/>
      <c r="DE1918" s="1281"/>
      <c r="DF1918" s="1281"/>
      <c r="DG1918" s="1281"/>
      <c r="DH1918" s="1281"/>
      <c r="DI1918" s="1281"/>
      <c r="DJ1918" s="1281"/>
      <c r="DK1918" s="1281"/>
      <c r="DL1918" s="1281"/>
      <c r="DM1918" s="1281"/>
      <c r="DN1918" s="1281"/>
    </row>
    <row r="1919" spans="1:118" s="52" customFormat="1" ht="15" customHeight="1">
      <c r="A1919" s="1288" t="s">
        <v>4902</v>
      </c>
      <c r="B1919" s="1292">
        <v>20</v>
      </c>
      <c r="C1919" s="1290">
        <v>30</v>
      </c>
      <c r="D1919" s="897" t="s">
        <v>4900</v>
      </c>
      <c r="E1919" s="611">
        <v>0.86</v>
      </c>
      <c r="F1919" s="1282">
        <v>66.5</v>
      </c>
      <c r="G1919" s="1229">
        <f t="shared" si="18"/>
        <v>0.40518783542039355</v>
      </c>
      <c r="H1919" s="162">
        <v>130</v>
      </c>
      <c r="I1919" s="1281"/>
      <c r="J1919" s="1281"/>
      <c r="K1919" s="1281"/>
      <c r="L1919" s="1281"/>
      <c r="M1919" s="1281"/>
      <c r="N1919" s="1281"/>
      <c r="O1919" s="1281"/>
      <c r="P1919" s="1281"/>
      <c r="Q1919" s="1281"/>
      <c r="R1919" s="1281"/>
      <c r="S1919" s="1281"/>
      <c r="T1919" s="1281"/>
      <c r="U1919" s="1281"/>
      <c r="V1919" s="1281"/>
      <c r="W1919" s="1281"/>
      <c r="X1919" s="1281"/>
      <c r="Y1919" s="1281"/>
      <c r="Z1919" s="1281"/>
      <c r="AA1919" s="1281"/>
      <c r="AB1919" s="1281"/>
      <c r="AC1919" s="1281"/>
      <c r="AD1919" s="1281"/>
      <c r="AE1919" s="1281"/>
      <c r="AF1919" s="1281"/>
      <c r="AG1919" s="1281"/>
      <c r="AH1919" s="1281"/>
      <c r="AI1919" s="1281"/>
      <c r="AJ1919" s="1281"/>
      <c r="AK1919" s="1281"/>
      <c r="AL1919" s="1281"/>
      <c r="AM1919" s="1281"/>
      <c r="AN1919" s="1281"/>
      <c r="AO1919" s="1281"/>
      <c r="AP1919" s="1281"/>
      <c r="AQ1919" s="1281"/>
      <c r="AR1919" s="1281"/>
      <c r="AS1919" s="1281"/>
      <c r="AT1919" s="1281"/>
      <c r="AU1919" s="1281"/>
      <c r="AV1919" s="1281"/>
      <c r="AW1919" s="1281"/>
      <c r="AX1919" s="1281"/>
      <c r="AY1919" s="1281"/>
      <c r="AZ1919" s="1281"/>
      <c r="BA1919" s="1281"/>
      <c r="BB1919" s="1281"/>
      <c r="BC1919" s="1281"/>
      <c r="BD1919" s="1281"/>
      <c r="BE1919" s="1281"/>
      <c r="BF1919" s="1281"/>
      <c r="BG1919" s="1281"/>
      <c r="BH1919" s="1281"/>
      <c r="BI1919" s="1281"/>
      <c r="BJ1919" s="1281"/>
      <c r="BK1919" s="1281"/>
      <c r="BL1919" s="1281"/>
      <c r="BM1919" s="1281"/>
      <c r="BN1919" s="1281"/>
      <c r="BO1919" s="1281"/>
      <c r="BP1919" s="1281"/>
      <c r="BQ1919" s="1281"/>
      <c r="BR1919" s="1281"/>
      <c r="BS1919" s="1281"/>
      <c r="BT1919" s="1281"/>
      <c r="BU1919" s="1281"/>
      <c r="BV1919" s="1281"/>
      <c r="BW1919" s="1281"/>
      <c r="BX1919" s="1281"/>
      <c r="BY1919" s="1281"/>
      <c r="BZ1919" s="1281"/>
      <c r="CA1919" s="1281"/>
      <c r="CB1919" s="1281"/>
      <c r="CC1919" s="1281"/>
      <c r="CD1919" s="1281"/>
      <c r="CE1919" s="1281"/>
      <c r="CF1919" s="1281"/>
      <c r="CG1919" s="1281"/>
      <c r="CH1919" s="1281"/>
      <c r="CI1919" s="1281"/>
      <c r="CJ1919" s="1281"/>
      <c r="CK1919" s="1281"/>
      <c r="CL1919" s="1281"/>
      <c r="CM1919" s="1281"/>
      <c r="CN1919" s="1281"/>
      <c r="CO1919" s="1281"/>
      <c r="CP1919" s="1281"/>
      <c r="CQ1919" s="1281"/>
      <c r="CR1919" s="1281"/>
      <c r="CS1919" s="1281"/>
      <c r="CT1919" s="1281"/>
      <c r="CU1919" s="1281"/>
      <c r="CV1919" s="1281"/>
      <c r="CW1919" s="1281"/>
      <c r="CX1919" s="1281"/>
      <c r="CY1919" s="1281"/>
      <c r="CZ1919" s="1281"/>
      <c r="DA1919" s="1281"/>
      <c r="DB1919" s="1281"/>
      <c r="DC1919" s="1281"/>
      <c r="DD1919" s="1281"/>
      <c r="DE1919" s="1281"/>
      <c r="DF1919" s="1281"/>
      <c r="DG1919" s="1281"/>
      <c r="DH1919" s="1281"/>
      <c r="DI1919" s="1281"/>
      <c r="DJ1919" s="1281"/>
      <c r="DK1919" s="1281"/>
      <c r="DL1919" s="1281"/>
      <c r="DM1919" s="1281"/>
      <c r="DN1919" s="1281"/>
    </row>
    <row r="1920" spans="1:118" s="52" customFormat="1" ht="15" customHeight="1">
      <c r="A1920" s="1288" t="s">
        <v>4896</v>
      </c>
      <c r="B1920" s="1292">
        <v>18</v>
      </c>
      <c r="C1920" s="1290">
        <v>20</v>
      </c>
      <c r="D1920" s="897" t="s">
        <v>4901</v>
      </c>
      <c r="E1920" s="611">
        <v>1.62</v>
      </c>
      <c r="F1920" s="1228">
        <v>126</v>
      </c>
      <c r="G1920" s="1229">
        <f t="shared" si="18"/>
        <v>0.40170940170940178</v>
      </c>
      <c r="H1920" s="162">
        <v>130</v>
      </c>
      <c r="I1920" s="1281"/>
      <c r="J1920" s="1281"/>
      <c r="K1920" s="1281"/>
      <c r="L1920" s="1281"/>
      <c r="M1920" s="1281"/>
      <c r="N1920" s="1281"/>
      <c r="O1920" s="1281"/>
      <c r="P1920" s="1281"/>
      <c r="Q1920" s="1281"/>
      <c r="R1920" s="1281"/>
      <c r="S1920" s="1281"/>
      <c r="T1920" s="1281"/>
      <c r="U1920" s="1281"/>
      <c r="V1920" s="1281"/>
      <c r="W1920" s="1281"/>
      <c r="X1920" s="1281"/>
      <c r="Y1920" s="1281"/>
      <c r="Z1920" s="1281"/>
      <c r="AA1920" s="1281"/>
      <c r="AB1920" s="1281"/>
      <c r="AC1920" s="1281"/>
      <c r="AD1920" s="1281"/>
      <c r="AE1920" s="1281"/>
      <c r="AF1920" s="1281"/>
      <c r="AG1920" s="1281"/>
      <c r="AH1920" s="1281"/>
      <c r="AI1920" s="1281"/>
      <c r="AJ1920" s="1281"/>
      <c r="AK1920" s="1281"/>
      <c r="AL1920" s="1281"/>
      <c r="AM1920" s="1281"/>
      <c r="AN1920" s="1281"/>
      <c r="AO1920" s="1281"/>
      <c r="AP1920" s="1281"/>
      <c r="AQ1920" s="1281"/>
      <c r="AR1920" s="1281"/>
      <c r="AS1920" s="1281"/>
      <c r="AT1920" s="1281"/>
      <c r="AU1920" s="1281"/>
      <c r="AV1920" s="1281"/>
      <c r="AW1920" s="1281"/>
      <c r="AX1920" s="1281"/>
      <c r="AY1920" s="1281"/>
      <c r="AZ1920" s="1281"/>
      <c r="BA1920" s="1281"/>
      <c r="BB1920" s="1281"/>
      <c r="BC1920" s="1281"/>
      <c r="BD1920" s="1281"/>
      <c r="BE1920" s="1281"/>
      <c r="BF1920" s="1281"/>
      <c r="BG1920" s="1281"/>
      <c r="BH1920" s="1281"/>
      <c r="BI1920" s="1281"/>
      <c r="BJ1920" s="1281"/>
      <c r="BK1920" s="1281"/>
      <c r="BL1920" s="1281"/>
      <c r="BM1920" s="1281"/>
      <c r="BN1920" s="1281"/>
      <c r="BO1920" s="1281"/>
      <c r="BP1920" s="1281"/>
      <c r="BQ1920" s="1281"/>
      <c r="BR1920" s="1281"/>
      <c r="BS1920" s="1281"/>
      <c r="BT1920" s="1281"/>
      <c r="BU1920" s="1281"/>
      <c r="BV1920" s="1281"/>
      <c r="BW1920" s="1281"/>
      <c r="BX1920" s="1281"/>
      <c r="BY1920" s="1281"/>
      <c r="BZ1920" s="1281"/>
      <c r="CA1920" s="1281"/>
      <c r="CB1920" s="1281"/>
      <c r="CC1920" s="1281"/>
      <c r="CD1920" s="1281"/>
      <c r="CE1920" s="1281"/>
      <c r="CF1920" s="1281"/>
      <c r="CG1920" s="1281"/>
      <c r="CH1920" s="1281"/>
      <c r="CI1920" s="1281"/>
      <c r="CJ1920" s="1281"/>
      <c r="CK1920" s="1281"/>
      <c r="CL1920" s="1281"/>
      <c r="CM1920" s="1281"/>
      <c r="CN1920" s="1281"/>
      <c r="CO1920" s="1281"/>
      <c r="CP1920" s="1281"/>
      <c r="CQ1920" s="1281"/>
      <c r="CR1920" s="1281"/>
      <c r="CS1920" s="1281"/>
      <c r="CT1920" s="1281"/>
      <c r="CU1920" s="1281"/>
      <c r="CV1920" s="1281"/>
      <c r="CW1920" s="1281"/>
      <c r="CX1920" s="1281"/>
      <c r="CY1920" s="1281"/>
      <c r="CZ1920" s="1281"/>
      <c r="DA1920" s="1281"/>
      <c r="DB1920" s="1281"/>
      <c r="DC1920" s="1281"/>
      <c r="DD1920" s="1281"/>
      <c r="DE1920" s="1281"/>
      <c r="DF1920" s="1281"/>
      <c r="DG1920" s="1281"/>
      <c r="DH1920" s="1281"/>
      <c r="DI1920" s="1281"/>
      <c r="DJ1920" s="1281"/>
      <c r="DK1920" s="1281"/>
      <c r="DL1920" s="1281"/>
      <c r="DM1920" s="1281"/>
      <c r="DN1920" s="1281"/>
    </row>
    <row r="1921" spans="1:118" s="52" customFormat="1" ht="15" customHeight="1">
      <c r="A1921" s="1288" t="s">
        <v>4896</v>
      </c>
      <c r="B1921" s="1292">
        <v>24</v>
      </c>
      <c r="C1921" s="1290">
        <v>20</v>
      </c>
      <c r="D1921" s="897" t="s">
        <v>4901</v>
      </c>
      <c r="E1921" s="611">
        <v>1.9</v>
      </c>
      <c r="F1921" s="1228">
        <v>148</v>
      </c>
      <c r="G1921" s="1229">
        <f t="shared" si="18"/>
        <v>0.40080971659919029</v>
      </c>
      <c r="H1921" s="162">
        <v>130</v>
      </c>
      <c r="I1921" s="1281"/>
      <c r="J1921" s="1281"/>
      <c r="K1921" s="1281"/>
      <c r="L1921" s="1281"/>
      <c r="M1921" s="1281"/>
      <c r="N1921" s="1281"/>
      <c r="O1921" s="1281"/>
      <c r="P1921" s="1281"/>
      <c r="Q1921" s="1281"/>
      <c r="R1921" s="1281"/>
      <c r="S1921" s="1281"/>
      <c r="T1921" s="1281"/>
      <c r="U1921" s="1281"/>
      <c r="V1921" s="1281"/>
      <c r="W1921" s="1281"/>
      <c r="X1921" s="1281"/>
      <c r="Y1921" s="1281"/>
      <c r="Z1921" s="1281"/>
      <c r="AA1921" s="1281"/>
      <c r="AB1921" s="1281"/>
      <c r="AC1921" s="1281"/>
      <c r="AD1921" s="1281"/>
      <c r="AE1921" s="1281"/>
      <c r="AF1921" s="1281"/>
      <c r="AG1921" s="1281"/>
      <c r="AH1921" s="1281"/>
      <c r="AI1921" s="1281"/>
      <c r="AJ1921" s="1281"/>
      <c r="AK1921" s="1281"/>
      <c r="AL1921" s="1281"/>
      <c r="AM1921" s="1281"/>
      <c r="AN1921" s="1281"/>
      <c r="AO1921" s="1281"/>
      <c r="AP1921" s="1281"/>
      <c r="AQ1921" s="1281"/>
      <c r="AR1921" s="1281"/>
      <c r="AS1921" s="1281"/>
      <c r="AT1921" s="1281"/>
      <c r="AU1921" s="1281"/>
      <c r="AV1921" s="1281"/>
      <c r="AW1921" s="1281"/>
      <c r="AX1921" s="1281"/>
      <c r="AY1921" s="1281"/>
      <c r="AZ1921" s="1281"/>
      <c r="BA1921" s="1281"/>
      <c r="BB1921" s="1281"/>
      <c r="BC1921" s="1281"/>
      <c r="BD1921" s="1281"/>
      <c r="BE1921" s="1281"/>
      <c r="BF1921" s="1281"/>
      <c r="BG1921" s="1281"/>
      <c r="BH1921" s="1281"/>
      <c r="BI1921" s="1281"/>
      <c r="BJ1921" s="1281"/>
      <c r="BK1921" s="1281"/>
      <c r="BL1921" s="1281"/>
      <c r="BM1921" s="1281"/>
      <c r="BN1921" s="1281"/>
      <c r="BO1921" s="1281"/>
      <c r="BP1921" s="1281"/>
      <c r="BQ1921" s="1281"/>
      <c r="BR1921" s="1281"/>
      <c r="BS1921" s="1281"/>
      <c r="BT1921" s="1281"/>
      <c r="BU1921" s="1281"/>
      <c r="BV1921" s="1281"/>
      <c r="BW1921" s="1281"/>
      <c r="BX1921" s="1281"/>
      <c r="BY1921" s="1281"/>
      <c r="BZ1921" s="1281"/>
      <c r="CA1921" s="1281"/>
      <c r="CB1921" s="1281"/>
      <c r="CC1921" s="1281"/>
      <c r="CD1921" s="1281"/>
      <c r="CE1921" s="1281"/>
      <c r="CF1921" s="1281"/>
      <c r="CG1921" s="1281"/>
      <c r="CH1921" s="1281"/>
      <c r="CI1921" s="1281"/>
      <c r="CJ1921" s="1281"/>
      <c r="CK1921" s="1281"/>
      <c r="CL1921" s="1281"/>
      <c r="CM1921" s="1281"/>
      <c r="CN1921" s="1281"/>
      <c r="CO1921" s="1281"/>
      <c r="CP1921" s="1281"/>
      <c r="CQ1921" s="1281"/>
      <c r="CR1921" s="1281"/>
      <c r="CS1921" s="1281"/>
      <c r="CT1921" s="1281"/>
      <c r="CU1921" s="1281"/>
      <c r="CV1921" s="1281"/>
      <c r="CW1921" s="1281"/>
      <c r="CX1921" s="1281"/>
      <c r="CY1921" s="1281"/>
      <c r="CZ1921" s="1281"/>
      <c r="DA1921" s="1281"/>
      <c r="DB1921" s="1281"/>
      <c r="DC1921" s="1281"/>
      <c r="DD1921" s="1281"/>
      <c r="DE1921" s="1281"/>
      <c r="DF1921" s="1281"/>
      <c r="DG1921" s="1281"/>
      <c r="DH1921" s="1281"/>
      <c r="DI1921" s="1281"/>
      <c r="DJ1921" s="1281"/>
      <c r="DK1921" s="1281"/>
      <c r="DL1921" s="1281"/>
      <c r="DM1921" s="1281"/>
      <c r="DN1921" s="1281"/>
    </row>
    <row r="1924" spans="1:118">
      <c r="A1924" s="1338" t="s">
        <v>5138</v>
      </c>
      <c r="C1924" s="194" t="s">
        <v>5137</v>
      </c>
      <c r="D1924" s="1151" t="s">
        <v>4375</v>
      </c>
      <c r="E1924" s="1151" t="s">
        <v>4376</v>
      </c>
    </row>
    <row r="1925" spans="1:118" ht="25.5">
      <c r="A1925" s="1145" t="s">
        <v>5134</v>
      </c>
      <c r="B1925" s="1185" t="s">
        <v>5143</v>
      </c>
      <c r="C1925" s="365" t="s">
        <v>5135</v>
      </c>
      <c r="D1925" s="1339"/>
      <c r="E1925" s="1339"/>
    </row>
    <row r="1926" spans="1:118" ht="25.5">
      <c r="A1926" s="1344" t="s">
        <v>5136</v>
      </c>
      <c r="B1926" s="1113">
        <v>17.739999999999998</v>
      </c>
      <c r="C1926" s="158">
        <f>1420+300</f>
        <v>1720</v>
      </c>
      <c r="D1926" s="1343">
        <f t="shared" ref="D1926:D1931" si="19">(((B1926*E1926)-C1926)/(B1926*E1926))</f>
        <v>0.19203307027433286</v>
      </c>
      <c r="E1926" s="162">
        <v>120</v>
      </c>
    </row>
    <row r="1927" spans="1:118" ht="25.5">
      <c r="A1927" s="1340" t="s">
        <v>5139</v>
      </c>
      <c r="B1927" s="1113">
        <f>ROUNDUP(C1927/0.8/120,2)</f>
        <v>15.11</v>
      </c>
      <c r="C1927" s="158">
        <f>1420+30</f>
        <v>1450</v>
      </c>
      <c r="D1927" s="1341">
        <f t="shared" si="19"/>
        <v>0.20030884623869394</v>
      </c>
      <c r="E1927" s="1342">
        <v>120</v>
      </c>
    </row>
    <row r="1928" spans="1:118" ht="25.5">
      <c r="A1928" s="1340" t="s">
        <v>5140</v>
      </c>
      <c r="B1928" s="1113">
        <f>ROUNDUP(C1928/0.8/120,2)</f>
        <v>14.28</v>
      </c>
      <c r="C1928" s="158">
        <f>1340+30</f>
        <v>1370</v>
      </c>
      <c r="D1928" s="1341">
        <f t="shared" si="19"/>
        <v>0.20051353874883282</v>
      </c>
      <c r="E1928" s="1342">
        <v>120</v>
      </c>
    </row>
    <row r="1929" spans="1:118" ht="25.5">
      <c r="A1929" s="1340" t="s">
        <v>5141</v>
      </c>
      <c r="B1929" s="1113">
        <f>ROUNDUP(C1929/0.8/120,2)</f>
        <v>13.75</v>
      </c>
      <c r="C1929" s="158">
        <f>1290+30</f>
        <v>1320</v>
      </c>
      <c r="D1929" s="1341">
        <f t="shared" si="19"/>
        <v>0.2</v>
      </c>
      <c r="E1929" s="1342">
        <v>120</v>
      </c>
    </row>
    <row r="1930" spans="1:118" ht="25.5">
      <c r="A1930" s="1340" t="s">
        <v>5142</v>
      </c>
      <c r="B1930" s="1113">
        <f>ROUNDUP(C1930/0.8/120,2)</f>
        <v>12.92</v>
      </c>
      <c r="C1930" s="158">
        <f>1210+30</f>
        <v>1240</v>
      </c>
      <c r="D1930" s="1341">
        <f t="shared" si="19"/>
        <v>0.20020639834881326</v>
      </c>
      <c r="E1930" s="1342">
        <v>120</v>
      </c>
    </row>
    <row r="1931" spans="1:118" ht="25.5">
      <c r="A1931" s="1340" t="s">
        <v>5400</v>
      </c>
      <c r="B1931" s="1113">
        <v>12.12</v>
      </c>
      <c r="C1931" s="158">
        <f>1230+30</f>
        <v>1260</v>
      </c>
      <c r="D1931" s="1341">
        <f t="shared" si="19"/>
        <v>0.20030464584920027</v>
      </c>
      <c r="E1931" s="1342">
        <v>130</v>
      </c>
      <c r="F1931" t="s">
        <v>5399</v>
      </c>
    </row>
    <row r="1934" spans="1:118">
      <c r="A1934" s="1366" t="s">
        <v>5184</v>
      </c>
    </row>
    <row r="1935" spans="1:118" s="1362" customFormat="1" ht="25.5">
      <c r="A1935" s="1371" t="s">
        <v>260</v>
      </c>
      <c r="B1935" s="1358" t="s">
        <v>169</v>
      </c>
      <c r="C1935" s="1359" t="s">
        <v>282</v>
      </c>
      <c r="D1935" s="1360" t="s">
        <v>327</v>
      </c>
      <c r="E1935" s="1360" t="s">
        <v>244</v>
      </c>
      <c r="F1935" s="1361" t="s">
        <v>4377</v>
      </c>
      <c r="G1935" s="1225" t="s">
        <v>4898</v>
      </c>
      <c r="H1935" s="1151" t="s">
        <v>4375</v>
      </c>
      <c r="I1935" s="1151" t="s">
        <v>4376</v>
      </c>
    </row>
    <row r="1936" spans="1:118">
      <c r="A1936" s="1372" t="s">
        <v>5185</v>
      </c>
      <c r="B1936" s="1373">
        <v>4</v>
      </c>
      <c r="C1936" s="1159" t="s">
        <v>5187</v>
      </c>
      <c r="D1936" s="1159" t="s">
        <v>5188</v>
      </c>
      <c r="E1936" s="1159" t="s">
        <v>5189</v>
      </c>
      <c r="F1936" s="1374">
        <f t="shared" ref="F1936:F1951" si="20">ROUNDUP(G1936/0.6/120,2)</f>
        <v>1.06</v>
      </c>
      <c r="G1936" s="1369">
        <v>76</v>
      </c>
      <c r="H1936" s="1229">
        <f t="shared" ref="H1936:H1941" si="21">((F1936*I1936)-G1936)/(F1936*I1936)</f>
        <v>0.40251572327044027</v>
      </c>
      <c r="I1936" s="162">
        <v>120</v>
      </c>
    </row>
    <row r="1937" spans="1:152">
      <c r="A1937" s="1372" t="s">
        <v>5185</v>
      </c>
      <c r="B1937" s="1373">
        <v>6</v>
      </c>
      <c r="C1937" s="1159" t="s">
        <v>5187</v>
      </c>
      <c r="D1937" s="1159" t="s">
        <v>5188</v>
      </c>
      <c r="E1937" s="1159" t="s">
        <v>5189</v>
      </c>
      <c r="F1937" s="1374">
        <f t="shared" si="20"/>
        <v>1.21</v>
      </c>
      <c r="G1937" s="1369">
        <v>87</v>
      </c>
      <c r="H1937" s="1229">
        <f t="shared" si="21"/>
        <v>0.40082644628099168</v>
      </c>
      <c r="I1937" s="162">
        <v>120</v>
      </c>
    </row>
    <row r="1938" spans="1:152">
      <c r="A1938" s="1372" t="s">
        <v>5185</v>
      </c>
      <c r="B1938" s="1373">
        <v>9</v>
      </c>
      <c r="C1938" s="1159" t="s">
        <v>5187</v>
      </c>
      <c r="D1938" s="1159" t="s">
        <v>5188</v>
      </c>
      <c r="E1938" s="1159" t="s">
        <v>5189</v>
      </c>
      <c r="F1938" s="1374">
        <f t="shared" si="20"/>
        <v>1.45</v>
      </c>
      <c r="G1938" s="1369">
        <v>104</v>
      </c>
      <c r="H1938" s="1229">
        <f t="shared" si="21"/>
        <v>0.40229885057471265</v>
      </c>
      <c r="I1938" s="162">
        <v>120</v>
      </c>
    </row>
    <row r="1939" spans="1:152">
      <c r="A1939" s="1372" t="s">
        <v>5185</v>
      </c>
      <c r="B1939" s="1373">
        <v>15</v>
      </c>
      <c r="C1939" s="1159" t="s">
        <v>5187</v>
      </c>
      <c r="D1939" s="1159" t="s">
        <v>5188</v>
      </c>
      <c r="E1939" s="1159" t="s">
        <v>5189</v>
      </c>
      <c r="F1939" s="1374">
        <f t="shared" si="20"/>
        <v>1.7</v>
      </c>
      <c r="G1939" s="1369">
        <v>122</v>
      </c>
      <c r="H1939" s="1229">
        <f t="shared" si="21"/>
        <v>0.40196078431372551</v>
      </c>
      <c r="I1939" s="162">
        <v>120</v>
      </c>
    </row>
    <row r="1940" spans="1:152">
      <c r="A1940" s="1372" t="s">
        <v>5185</v>
      </c>
      <c r="B1940" s="1373">
        <v>20</v>
      </c>
      <c r="C1940" s="1159" t="s">
        <v>5187</v>
      </c>
      <c r="D1940" s="1159" t="s">
        <v>5188</v>
      </c>
      <c r="E1940" s="1159" t="s">
        <v>5189</v>
      </c>
      <c r="F1940" s="1374">
        <f t="shared" si="20"/>
        <v>1.8</v>
      </c>
      <c r="G1940" s="1369">
        <v>129</v>
      </c>
      <c r="H1940" s="1229">
        <f t="shared" si="21"/>
        <v>0.40277777777777779</v>
      </c>
      <c r="I1940" s="162">
        <v>120</v>
      </c>
    </row>
    <row r="1941" spans="1:152">
      <c r="A1941" s="1372" t="s">
        <v>5185</v>
      </c>
      <c r="B1941" s="1373">
        <v>30</v>
      </c>
      <c r="C1941" s="1159" t="s">
        <v>5187</v>
      </c>
      <c r="D1941" s="1159" t="s">
        <v>5188</v>
      </c>
      <c r="E1941" s="1159" t="s">
        <v>5189</v>
      </c>
      <c r="F1941" s="1374">
        <f t="shared" si="20"/>
        <v>2.5</v>
      </c>
      <c r="G1941" s="1369">
        <v>180</v>
      </c>
      <c r="H1941" s="1229">
        <f t="shared" si="21"/>
        <v>0.4</v>
      </c>
      <c r="I1941" s="162">
        <v>120</v>
      </c>
    </row>
    <row r="1942" spans="1:152">
      <c r="A1942" s="1115">
        <v>4156</v>
      </c>
      <c r="B1942" s="1373" t="s">
        <v>5194</v>
      </c>
      <c r="C1942" s="1159" t="s">
        <v>5190</v>
      </c>
      <c r="D1942" s="1159" t="s">
        <v>5191</v>
      </c>
      <c r="E1942" s="1159" t="s">
        <v>5193</v>
      </c>
      <c r="F1942" s="1374">
        <f t="shared" si="20"/>
        <v>1.19</v>
      </c>
      <c r="G1942" s="1370">
        <v>85</v>
      </c>
      <c r="H1942" s="1229">
        <f>((F1942*I1942)-G1942)/(F1942*I1942)</f>
        <v>0.40476190476190471</v>
      </c>
      <c r="I1942" s="162">
        <v>120</v>
      </c>
    </row>
    <row r="1943" spans="1:152">
      <c r="A1943" s="1115">
        <v>4156</v>
      </c>
      <c r="B1943" s="1373" t="s">
        <v>5195</v>
      </c>
      <c r="C1943" s="1159" t="s">
        <v>5190</v>
      </c>
      <c r="D1943" s="1159" t="s">
        <v>5191</v>
      </c>
      <c r="E1943" s="1159" t="s">
        <v>5193</v>
      </c>
      <c r="F1943" s="1374">
        <f t="shared" si="20"/>
        <v>1.35</v>
      </c>
      <c r="G1943" s="1370">
        <v>97</v>
      </c>
      <c r="H1943" s="1229">
        <f>((F1943*I1943)-G1943)/(F1943*I1943)</f>
        <v>0.40123456790123457</v>
      </c>
      <c r="I1943" s="162">
        <v>120</v>
      </c>
    </row>
    <row r="1944" spans="1:152">
      <c r="A1944" s="1115">
        <v>4156</v>
      </c>
      <c r="B1944" s="1373" t="s">
        <v>5196</v>
      </c>
      <c r="C1944" s="1159" t="s">
        <v>5190</v>
      </c>
      <c r="D1944" s="1159" t="s">
        <v>5191</v>
      </c>
      <c r="E1944" s="1159" t="s">
        <v>5193</v>
      </c>
      <c r="F1944" s="1374">
        <f t="shared" si="20"/>
        <v>1.73</v>
      </c>
      <c r="G1944" s="1370">
        <v>124</v>
      </c>
      <c r="H1944" s="1229">
        <f>((F1944*I1944)-G1944)/(F1944*I1944)</f>
        <v>0.40269749518304432</v>
      </c>
      <c r="I1944" s="162">
        <v>120</v>
      </c>
    </row>
    <row r="1945" spans="1:152" s="1364" customFormat="1" ht="15" customHeight="1">
      <c r="A1945" s="1157" t="s">
        <v>5181</v>
      </c>
      <c r="B1945" s="1363">
        <v>4</v>
      </c>
      <c r="C1945" s="1159" t="s">
        <v>5186</v>
      </c>
      <c r="D1945" s="1159" t="s">
        <v>5182</v>
      </c>
      <c r="E1945" s="1159" t="s">
        <v>5183</v>
      </c>
      <c r="F1945" s="1374">
        <f t="shared" si="20"/>
        <v>0.25</v>
      </c>
      <c r="G1945" s="1367">
        <v>18</v>
      </c>
      <c r="H1945" s="1229">
        <f>((F1945*I1945)-G1945)/(F1945*I1945)</f>
        <v>0.4</v>
      </c>
      <c r="I1945" s="162">
        <v>120</v>
      </c>
      <c r="J1945" s="1163"/>
      <c r="K1945" s="1163"/>
      <c r="L1945" s="1163"/>
      <c r="M1945" s="1163"/>
      <c r="N1945" s="1163"/>
      <c r="O1945" s="1163"/>
      <c r="P1945" s="1163"/>
      <c r="Q1945" s="1163"/>
      <c r="R1945" s="1163"/>
      <c r="S1945" s="1163"/>
      <c r="T1945" s="1163"/>
      <c r="U1945" s="1163"/>
      <c r="V1945" s="1163"/>
      <c r="W1945" s="1163"/>
      <c r="X1945" s="1163"/>
      <c r="Y1945" s="1163"/>
      <c r="Z1945" s="1163"/>
      <c r="AA1945" s="1163"/>
      <c r="AB1945" s="1163"/>
      <c r="AC1945" s="1163"/>
      <c r="AD1945" s="1163"/>
      <c r="AE1945" s="1163"/>
      <c r="AF1945" s="1163"/>
      <c r="AG1945" s="1163"/>
      <c r="AH1945" s="1163"/>
      <c r="AI1945" s="1163"/>
      <c r="AJ1945" s="1163"/>
      <c r="AK1945" s="1163"/>
      <c r="AL1945" s="1163"/>
      <c r="AM1945" s="1163"/>
      <c r="AN1945" s="1163"/>
      <c r="AO1945" s="1163"/>
      <c r="AP1945" s="1163"/>
      <c r="AQ1945" s="1163"/>
      <c r="AR1945" s="1163"/>
      <c r="AS1945" s="1163"/>
      <c r="AT1945" s="1163"/>
      <c r="AU1945" s="1163"/>
      <c r="AV1945" s="1163"/>
      <c r="AW1945" s="1163"/>
      <c r="AX1945" s="1163"/>
      <c r="AY1945" s="1163"/>
      <c r="AZ1945" s="1163"/>
      <c r="BA1945" s="1163"/>
      <c r="BB1945" s="1163"/>
      <c r="BC1945" s="1163"/>
      <c r="BD1945" s="1163"/>
      <c r="BE1945" s="1163"/>
      <c r="BF1945" s="1163"/>
      <c r="BG1945" s="1163"/>
      <c r="BH1945" s="1163"/>
      <c r="BI1945" s="1163"/>
      <c r="BJ1945" s="1163"/>
      <c r="BK1945" s="1163"/>
      <c r="BL1945" s="1163"/>
      <c r="BM1945" s="1163"/>
      <c r="BN1945" s="1163"/>
      <c r="BO1945" s="1163"/>
      <c r="BP1945" s="1163"/>
      <c r="BQ1945" s="1163"/>
      <c r="BR1945" s="1163"/>
      <c r="BS1945" s="1163"/>
      <c r="BT1945" s="1163"/>
      <c r="BU1945" s="1163"/>
      <c r="BV1945" s="1163"/>
      <c r="BW1945" s="1163"/>
      <c r="BX1945" s="1163"/>
      <c r="BY1945" s="1163"/>
      <c r="BZ1945" s="1163"/>
      <c r="CA1945" s="1163"/>
      <c r="CB1945" s="1163"/>
      <c r="CC1945" s="1163"/>
      <c r="CD1945" s="1163"/>
      <c r="CE1945" s="1163"/>
      <c r="CF1945" s="1163"/>
      <c r="CG1945" s="1163"/>
      <c r="CH1945" s="1163"/>
      <c r="CI1945" s="1163"/>
      <c r="CJ1945" s="1163"/>
      <c r="CK1945" s="1163"/>
      <c r="CL1945" s="1163"/>
      <c r="CM1945" s="1163"/>
      <c r="CN1945" s="1163"/>
      <c r="CO1945" s="1163"/>
      <c r="CP1945" s="1163"/>
      <c r="CQ1945" s="1163"/>
      <c r="CR1945" s="1163"/>
      <c r="CS1945" s="1163"/>
      <c r="CT1945" s="1163"/>
      <c r="CU1945" s="1163"/>
      <c r="CV1945" s="1163"/>
      <c r="CW1945" s="1163"/>
      <c r="CX1945" s="1163"/>
      <c r="CY1945" s="1163"/>
      <c r="CZ1945" s="1163"/>
      <c r="DA1945" s="1163"/>
      <c r="DB1945" s="1163"/>
      <c r="DC1945" s="1163"/>
      <c r="DD1945" s="1163"/>
      <c r="DE1945" s="1163"/>
      <c r="DF1945" s="1163"/>
      <c r="DG1945" s="1163"/>
      <c r="DH1945" s="1163"/>
      <c r="DI1945" s="1163"/>
      <c r="DJ1945" s="1163"/>
      <c r="DK1945" s="1163"/>
      <c r="DL1945" s="1163"/>
      <c r="DM1945" s="1163"/>
      <c r="DN1945" s="1163"/>
      <c r="DO1945" s="1163"/>
      <c r="DP1945" s="1163"/>
      <c r="DQ1945" s="1163"/>
      <c r="DR1945" s="1163"/>
      <c r="DS1945" s="1163"/>
      <c r="DT1945" s="1163"/>
      <c r="DU1945" s="1163"/>
      <c r="DV1945" s="1163"/>
      <c r="DW1945" s="1163"/>
      <c r="DX1945" s="1163"/>
      <c r="DY1945" s="1163"/>
      <c r="DZ1945" s="1163"/>
      <c r="EA1945" s="1163"/>
      <c r="EB1945" s="1163"/>
      <c r="EC1945" s="1163"/>
      <c r="ED1945" s="1163"/>
      <c r="EE1945" s="1163"/>
      <c r="EF1945" s="1163"/>
      <c r="EG1945" s="1163"/>
      <c r="EH1945" s="1163"/>
      <c r="EI1945" s="1163"/>
      <c r="EJ1945" s="1163"/>
      <c r="EK1945" s="1163"/>
      <c r="EL1945" s="1163"/>
      <c r="EM1945" s="1163"/>
      <c r="EN1945" s="1163"/>
      <c r="EO1945" s="1163"/>
      <c r="EP1945" s="1163"/>
      <c r="EQ1945" s="1163"/>
      <c r="ER1945" s="1163"/>
      <c r="ES1945" s="1163"/>
      <c r="ET1945" s="1163"/>
      <c r="EU1945" s="1163"/>
      <c r="EV1945" s="1163"/>
    </row>
    <row r="1946" spans="1:152" s="1364" customFormat="1" ht="15" customHeight="1">
      <c r="A1946" s="1157" t="s">
        <v>5181</v>
      </c>
      <c r="B1946" s="1363">
        <v>6</v>
      </c>
      <c r="C1946" s="1159" t="s">
        <v>5186</v>
      </c>
      <c r="D1946" s="1159" t="s">
        <v>5182</v>
      </c>
      <c r="E1946" s="1159" t="s">
        <v>5183</v>
      </c>
      <c r="F1946" s="1374">
        <f t="shared" si="20"/>
        <v>0.32</v>
      </c>
      <c r="G1946" s="1368">
        <v>23</v>
      </c>
      <c r="H1946" s="1229">
        <f t="shared" ref="H1946:H1951" si="22">((F1946*I1946)-G1946)/(F1946*I1946)</f>
        <v>0.40104166666666663</v>
      </c>
      <c r="I1946" s="162">
        <v>120</v>
      </c>
      <c r="J1946" s="1163"/>
      <c r="K1946" s="1163"/>
      <c r="L1946" s="1163"/>
      <c r="M1946" s="1163"/>
      <c r="N1946" s="1163"/>
      <c r="O1946" s="1163"/>
      <c r="P1946" s="1163"/>
      <c r="Q1946" s="1163"/>
      <c r="R1946" s="1163"/>
      <c r="S1946" s="1163"/>
      <c r="T1946" s="1163"/>
      <c r="U1946" s="1163"/>
      <c r="V1946" s="1163"/>
      <c r="W1946" s="1163"/>
      <c r="X1946" s="1163"/>
      <c r="Y1946" s="1163"/>
      <c r="Z1946" s="1163"/>
      <c r="AA1946" s="1163"/>
      <c r="AB1946" s="1163"/>
      <c r="AC1946" s="1163"/>
      <c r="AD1946" s="1163"/>
      <c r="AE1946" s="1163"/>
      <c r="AF1946" s="1163"/>
      <c r="AG1946" s="1163"/>
      <c r="AH1946" s="1163"/>
      <c r="AI1946" s="1163"/>
      <c r="AJ1946" s="1163"/>
      <c r="AK1946" s="1163"/>
      <c r="AL1946" s="1163"/>
      <c r="AM1946" s="1163"/>
      <c r="AN1946" s="1163"/>
      <c r="AO1946" s="1163"/>
      <c r="AP1946" s="1163"/>
      <c r="AQ1946" s="1163"/>
      <c r="AR1946" s="1163"/>
      <c r="AS1946" s="1163"/>
      <c r="AT1946" s="1163"/>
      <c r="AU1946" s="1163"/>
      <c r="AV1946" s="1163"/>
      <c r="AW1946" s="1163"/>
      <c r="AX1946" s="1163"/>
      <c r="AY1946" s="1163"/>
      <c r="AZ1946" s="1163"/>
      <c r="BA1946" s="1163"/>
      <c r="BB1946" s="1163"/>
      <c r="BC1946" s="1163"/>
      <c r="BD1946" s="1163"/>
      <c r="BE1946" s="1163"/>
      <c r="BF1946" s="1163"/>
      <c r="BG1946" s="1163"/>
      <c r="BH1946" s="1163"/>
      <c r="BI1946" s="1163"/>
      <c r="BJ1946" s="1163"/>
      <c r="BK1946" s="1163"/>
      <c r="BL1946" s="1163"/>
      <c r="BM1946" s="1163"/>
      <c r="BN1946" s="1163"/>
      <c r="BO1946" s="1163"/>
      <c r="BP1946" s="1163"/>
      <c r="BQ1946" s="1163"/>
      <c r="BR1946" s="1163"/>
      <c r="BS1946" s="1163"/>
      <c r="BT1946" s="1163"/>
      <c r="BU1946" s="1163"/>
      <c r="BV1946" s="1163"/>
      <c r="BW1946" s="1163"/>
      <c r="BX1946" s="1163"/>
      <c r="BY1946" s="1163"/>
      <c r="BZ1946" s="1163"/>
      <c r="CA1946" s="1163"/>
      <c r="CB1946" s="1163"/>
      <c r="CC1946" s="1163"/>
      <c r="CD1946" s="1163"/>
      <c r="CE1946" s="1163"/>
      <c r="CF1946" s="1163"/>
      <c r="CG1946" s="1163"/>
      <c r="CH1946" s="1163"/>
      <c r="CI1946" s="1163"/>
      <c r="CJ1946" s="1163"/>
      <c r="CK1946" s="1163"/>
      <c r="CL1946" s="1163"/>
      <c r="CM1946" s="1163"/>
      <c r="CN1946" s="1163"/>
      <c r="CO1946" s="1163"/>
      <c r="CP1946" s="1163"/>
      <c r="CQ1946" s="1163"/>
      <c r="CR1946" s="1163"/>
      <c r="CS1946" s="1163"/>
      <c r="CT1946" s="1163"/>
      <c r="CU1946" s="1163"/>
      <c r="CV1946" s="1163"/>
      <c r="CW1946" s="1163"/>
      <c r="CX1946" s="1163"/>
      <c r="CY1946" s="1163"/>
      <c r="CZ1946" s="1163"/>
      <c r="DA1946" s="1163"/>
      <c r="DB1946" s="1163"/>
      <c r="DC1946" s="1163"/>
      <c r="DD1946" s="1163"/>
      <c r="DE1946" s="1163"/>
      <c r="DF1946" s="1163"/>
      <c r="DG1946" s="1163"/>
      <c r="DH1946" s="1163"/>
      <c r="DI1946" s="1163"/>
      <c r="DJ1946" s="1163"/>
      <c r="DK1946" s="1163"/>
      <c r="DL1946" s="1163"/>
      <c r="DM1946" s="1163"/>
      <c r="DN1946" s="1163"/>
      <c r="DO1946" s="1163"/>
      <c r="DP1946" s="1163"/>
      <c r="DQ1946" s="1163"/>
      <c r="DR1946" s="1163"/>
      <c r="DS1946" s="1163"/>
      <c r="DT1946" s="1163"/>
      <c r="DU1946" s="1163"/>
      <c r="DV1946" s="1163"/>
      <c r="DW1946" s="1163"/>
      <c r="DX1946" s="1163"/>
      <c r="DY1946" s="1163"/>
      <c r="DZ1946" s="1163"/>
      <c r="EA1946" s="1163"/>
      <c r="EB1946" s="1163"/>
      <c r="EC1946" s="1163"/>
      <c r="ED1946" s="1163"/>
      <c r="EE1946" s="1163"/>
      <c r="EF1946" s="1163"/>
      <c r="EG1946" s="1163"/>
      <c r="EH1946" s="1163"/>
      <c r="EI1946" s="1163"/>
      <c r="EJ1946" s="1163"/>
      <c r="EK1946" s="1163"/>
      <c r="EL1946" s="1163"/>
      <c r="EM1946" s="1163"/>
      <c r="EN1946" s="1163"/>
      <c r="EO1946" s="1163"/>
      <c r="EP1946" s="1163"/>
      <c r="EQ1946" s="1163"/>
      <c r="ER1946" s="1163"/>
      <c r="ES1946" s="1163"/>
      <c r="ET1946" s="1163"/>
      <c r="EU1946" s="1163"/>
      <c r="EV1946" s="1163"/>
    </row>
    <row r="1947" spans="1:152" s="1364" customFormat="1" ht="15" customHeight="1">
      <c r="A1947" s="1157" t="s">
        <v>5181</v>
      </c>
      <c r="B1947" s="1363">
        <v>9</v>
      </c>
      <c r="C1947" s="1159" t="s">
        <v>5186</v>
      </c>
      <c r="D1947" s="1159" t="s">
        <v>5182</v>
      </c>
      <c r="E1947" s="1159" t="s">
        <v>5183</v>
      </c>
      <c r="F1947" s="1374">
        <f t="shared" si="20"/>
        <v>0.42</v>
      </c>
      <c r="G1947" s="1368">
        <v>30</v>
      </c>
      <c r="H1947" s="1229">
        <f t="shared" si="22"/>
        <v>0.40476190476190477</v>
      </c>
      <c r="I1947" s="162">
        <v>120</v>
      </c>
      <c r="J1947" s="1163"/>
      <c r="K1947" s="1163"/>
      <c r="L1947" s="1163"/>
      <c r="M1947" s="1163"/>
      <c r="N1947" s="1163"/>
      <c r="O1947" s="1163"/>
      <c r="P1947" s="1163"/>
      <c r="Q1947" s="1163"/>
      <c r="R1947" s="1163"/>
      <c r="S1947" s="1163"/>
      <c r="T1947" s="1163"/>
      <c r="U1947" s="1163"/>
      <c r="V1947" s="1163"/>
      <c r="W1947" s="1163"/>
      <c r="X1947" s="1163"/>
      <c r="Y1947" s="1163"/>
      <c r="Z1947" s="1163"/>
      <c r="AA1947" s="1163"/>
      <c r="AB1947" s="1163"/>
      <c r="AC1947" s="1163"/>
      <c r="AD1947" s="1163"/>
      <c r="AE1947" s="1163"/>
      <c r="AF1947" s="1163"/>
      <c r="AG1947" s="1163"/>
      <c r="AH1947" s="1163"/>
      <c r="AI1947" s="1163"/>
      <c r="AJ1947" s="1163"/>
      <c r="AK1947" s="1163"/>
      <c r="AL1947" s="1163"/>
      <c r="AM1947" s="1163"/>
      <c r="AN1947" s="1163"/>
      <c r="AO1947" s="1163"/>
      <c r="AP1947" s="1163"/>
      <c r="AQ1947" s="1163"/>
      <c r="AR1947" s="1163"/>
      <c r="AS1947" s="1163"/>
      <c r="AT1947" s="1163"/>
      <c r="AU1947" s="1163"/>
      <c r="AV1947" s="1163"/>
      <c r="AW1947" s="1163"/>
      <c r="AX1947" s="1163"/>
      <c r="AY1947" s="1163"/>
      <c r="AZ1947" s="1163"/>
      <c r="BA1947" s="1163"/>
      <c r="BB1947" s="1163"/>
      <c r="BC1947" s="1163"/>
      <c r="BD1947" s="1163"/>
      <c r="BE1947" s="1163"/>
      <c r="BF1947" s="1163"/>
      <c r="BG1947" s="1163"/>
      <c r="BH1947" s="1163"/>
      <c r="BI1947" s="1163"/>
      <c r="BJ1947" s="1163"/>
      <c r="BK1947" s="1163"/>
      <c r="BL1947" s="1163"/>
      <c r="BM1947" s="1163"/>
      <c r="BN1947" s="1163"/>
      <c r="BO1947" s="1163"/>
      <c r="BP1947" s="1163"/>
      <c r="BQ1947" s="1163"/>
      <c r="BR1947" s="1163"/>
      <c r="BS1947" s="1163"/>
      <c r="BT1947" s="1163"/>
      <c r="BU1947" s="1163"/>
      <c r="BV1947" s="1163"/>
      <c r="BW1947" s="1163"/>
      <c r="BX1947" s="1163"/>
      <c r="BY1947" s="1163"/>
      <c r="BZ1947" s="1163"/>
      <c r="CA1947" s="1163"/>
      <c r="CB1947" s="1163"/>
      <c r="CC1947" s="1163"/>
      <c r="CD1947" s="1163"/>
      <c r="CE1947" s="1163"/>
      <c r="CF1947" s="1163"/>
      <c r="CG1947" s="1163"/>
      <c r="CH1947" s="1163"/>
      <c r="CI1947" s="1163"/>
      <c r="CJ1947" s="1163"/>
      <c r="CK1947" s="1163"/>
      <c r="CL1947" s="1163"/>
      <c r="CM1947" s="1163"/>
      <c r="CN1947" s="1163"/>
      <c r="CO1947" s="1163"/>
      <c r="CP1947" s="1163"/>
      <c r="CQ1947" s="1163"/>
      <c r="CR1947" s="1163"/>
      <c r="CS1947" s="1163"/>
      <c r="CT1947" s="1163"/>
      <c r="CU1947" s="1163"/>
      <c r="CV1947" s="1163"/>
      <c r="CW1947" s="1163"/>
      <c r="CX1947" s="1163"/>
      <c r="CY1947" s="1163"/>
      <c r="CZ1947" s="1163"/>
      <c r="DA1947" s="1163"/>
      <c r="DB1947" s="1163"/>
      <c r="DC1947" s="1163"/>
      <c r="DD1947" s="1163"/>
      <c r="DE1947" s="1163"/>
      <c r="DF1947" s="1163"/>
      <c r="DG1947" s="1163"/>
      <c r="DH1947" s="1163"/>
      <c r="DI1947" s="1163"/>
      <c r="DJ1947" s="1163"/>
      <c r="DK1947" s="1163"/>
      <c r="DL1947" s="1163"/>
      <c r="DM1947" s="1163"/>
      <c r="DN1947" s="1163"/>
      <c r="DO1947" s="1163"/>
      <c r="DP1947" s="1163"/>
      <c r="DQ1947" s="1163"/>
      <c r="DR1947" s="1163"/>
      <c r="DS1947" s="1163"/>
      <c r="DT1947" s="1163"/>
      <c r="DU1947" s="1163"/>
      <c r="DV1947" s="1163"/>
      <c r="DW1947" s="1163"/>
      <c r="DX1947" s="1163"/>
      <c r="DY1947" s="1163"/>
      <c r="DZ1947" s="1163"/>
      <c r="EA1947" s="1163"/>
      <c r="EB1947" s="1163"/>
      <c r="EC1947" s="1163"/>
      <c r="ED1947" s="1163"/>
      <c r="EE1947" s="1163"/>
      <c r="EF1947" s="1163"/>
      <c r="EG1947" s="1163"/>
      <c r="EH1947" s="1163"/>
      <c r="EI1947" s="1163"/>
      <c r="EJ1947" s="1163"/>
      <c r="EK1947" s="1163"/>
      <c r="EL1947" s="1163"/>
      <c r="EM1947" s="1163"/>
      <c r="EN1947" s="1163"/>
      <c r="EO1947" s="1163"/>
      <c r="EP1947" s="1163"/>
      <c r="EQ1947" s="1163"/>
      <c r="ER1947" s="1163"/>
      <c r="ES1947" s="1163"/>
      <c r="ET1947" s="1163"/>
      <c r="EU1947" s="1163"/>
      <c r="EV1947" s="1163"/>
    </row>
    <row r="1948" spans="1:152" s="1364" customFormat="1" ht="15" customHeight="1">
      <c r="A1948" s="1157" t="s">
        <v>5181</v>
      </c>
      <c r="B1948" s="1363">
        <v>12</v>
      </c>
      <c r="C1948" s="1159" t="s">
        <v>5186</v>
      </c>
      <c r="D1948" s="1159" t="s">
        <v>5182</v>
      </c>
      <c r="E1948" s="1159" t="s">
        <v>5183</v>
      </c>
      <c r="F1948" s="1374">
        <f t="shared" si="20"/>
        <v>0.56000000000000005</v>
      </c>
      <c r="G1948" s="1368">
        <v>40</v>
      </c>
      <c r="H1948" s="1229">
        <f t="shared" si="22"/>
        <v>0.40476190476190477</v>
      </c>
      <c r="I1948" s="162">
        <v>120</v>
      </c>
      <c r="J1948" s="1163"/>
      <c r="K1948" s="1163"/>
      <c r="L1948" s="1163"/>
      <c r="M1948" s="1163"/>
      <c r="N1948" s="1163"/>
      <c r="O1948" s="1163"/>
      <c r="P1948" s="1163"/>
      <c r="Q1948" s="1163"/>
      <c r="R1948" s="1163"/>
      <c r="S1948" s="1163"/>
      <c r="T1948" s="1163"/>
      <c r="U1948" s="1163"/>
      <c r="V1948" s="1163"/>
      <c r="W1948" s="1163"/>
      <c r="X1948" s="1163"/>
      <c r="Y1948" s="1163"/>
      <c r="Z1948" s="1163"/>
      <c r="AA1948" s="1163"/>
      <c r="AB1948" s="1163"/>
      <c r="AC1948" s="1163"/>
      <c r="AD1948" s="1163"/>
      <c r="AE1948" s="1163"/>
      <c r="AF1948" s="1163"/>
      <c r="AG1948" s="1163"/>
      <c r="AH1948" s="1163"/>
      <c r="AI1948" s="1163"/>
      <c r="AJ1948" s="1163"/>
      <c r="AK1948" s="1163"/>
      <c r="AL1948" s="1163"/>
      <c r="AM1948" s="1163"/>
      <c r="AN1948" s="1163"/>
      <c r="AO1948" s="1163"/>
      <c r="AP1948" s="1163"/>
      <c r="AQ1948" s="1163"/>
      <c r="AR1948" s="1163"/>
      <c r="AS1948" s="1163"/>
      <c r="AT1948" s="1163"/>
      <c r="AU1948" s="1163"/>
      <c r="AV1948" s="1163"/>
      <c r="AW1948" s="1163"/>
      <c r="AX1948" s="1163"/>
      <c r="AY1948" s="1163"/>
      <c r="AZ1948" s="1163"/>
      <c r="BA1948" s="1163"/>
      <c r="BB1948" s="1163"/>
      <c r="BC1948" s="1163"/>
      <c r="BD1948" s="1163"/>
      <c r="BE1948" s="1163"/>
      <c r="BF1948" s="1163"/>
      <c r="BG1948" s="1163"/>
      <c r="BH1948" s="1163"/>
      <c r="BI1948" s="1163"/>
      <c r="BJ1948" s="1163"/>
      <c r="BK1948" s="1163"/>
      <c r="BL1948" s="1163"/>
      <c r="BM1948" s="1163"/>
      <c r="BN1948" s="1163"/>
      <c r="BO1948" s="1163"/>
      <c r="BP1948" s="1163"/>
      <c r="BQ1948" s="1163"/>
      <c r="BR1948" s="1163"/>
      <c r="BS1948" s="1163"/>
      <c r="BT1948" s="1163"/>
      <c r="BU1948" s="1163"/>
      <c r="BV1948" s="1163"/>
      <c r="BW1948" s="1163"/>
      <c r="BX1948" s="1163"/>
      <c r="BY1948" s="1163"/>
      <c r="BZ1948" s="1163"/>
      <c r="CA1948" s="1163"/>
      <c r="CB1948" s="1163"/>
      <c r="CC1948" s="1163"/>
      <c r="CD1948" s="1163"/>
      <c r="CE1948" s="1163"/>
      <c r="CF1948" s="1163"/>
      <c r="CG1948" s="1163"/>
      <c r="CH1948" s="1163"/>
      <c r="CI1948" s="1163"/>
      <c r="CJ1948" s="1163"/>
      <c r="CK1948" s="1163"/>
      <c r="CL1948" s="1163"/>
      <c r="CM1948" s="1163"/>
      <c r="CN1948" s="1163"/>
      <c r="CO1948" s="1163"/>
      <c r="CP1948" s="1163"/>
      <c r="CQ1948" s="1163"/>
      <c r="CR1948" s="1163"/>
      <c r="CS1948" s="1163"/>
      <c r="CT1948" s="1163"/>
      <c r="CU1948" s="1163"/>
      <c r="CV1948" s="1163"/>
      <c r="CW1948" s="1163"/>
      <c r="CX1948" s="1163"/>
      <c r="CY1948" s="1163"/>
      <c r="CZ1948" s="1163"/>
      <c r="DA1948" s="1163"/>
      <c r="DB1948" s="1163"/>
      <c r="DC1948" s="1163"/>
      <c r="DD1948" s="1163"/>
      <c r="DE1948" s="1163"/>
      <c r="DF1948" s="1163"/>
      <c r="DG1948" s="1163"/>
      <c r="DH1948" s="1163"/>
      <c r="DI1948" s="1163"/>
      <c r="DJ1948" s="1163"/>
      <c r="DK1948" s="1163"/>
      <c r="DL1948" s="1163"/>
      <c r="DM1948" s="1163"/>
      <c r="DN1948" s="1163"/>
      <c r="DO1948" s="1163"/>
      <c r="DP1948" s="1163"/>
      <c r="DQ1948" s="1163"/>
      <c r="DR1948" s="1163"/>
      <c r="DS1948" s="1163"/>
      <c r="DT1948" s="1163"/>
      <c r="DU1948" s="1163"/>
      <c r="DV1948" s="1163"/>
      <c r="DW1948" s="1163"/>
      <c r="DX1948" s="1163"/>
      <c r="DY1948" s="1163"/>
      <c r="DZ1948" s="1163"/>
      <c r="EA1948" s="1163"/>
      <c r="EB1948" s="1163"/>
      <c r="EC1948" s="1163"/>
      <c r="ED1948" s="1163"/>
      <c r="EE1948" s="1163"/>
      <c r="EF1948" s="1163"/>
      <c r="EG1948" s="1163"/>
      <c r="EH1948" s="1163"/>
      <c r="EI1948" s="1163"/>
      <c r="EJ1948" s="1163"/>
      <c r="EK1948" s="1163"/>
      <c r="EL1948" s="1163"/>
      <c r="EM1948" s="1163"/>
      <c r="EN1948" s="1163"/>
      <c r="EO1948" s="1163"/>
      <c r="EP1948" s="1163"/>
      <c r="EQ1948" s="1163"/>
      <c r="ER1948" s="1163"/>
      <c r="ES1948" s="1163"/>
      <c r="ET1948" s="1163"/>
      <c r="EU1948" s="1163"/>
      <c r="EV1948" s="1163"/>
    </row>
    <row r="1949" spans="1:152" s="1364" customFormat="1" ht="15" customHeight="1">
      <c r="A1949" s="1157" t="s">
        <v>5181</v>
      </c>
      <c r="B1949" s="1363">
        <v>15</v>
      </c>
      <c r="C1949" s="1159" t="s">
        <v>5186</v>
      </c>
      <c r="D1949" s="1159" t="s">
        <v>5182</v>
      </c>
      <c r="E1949" s="1159" t="s">
        <v>5183</v>
      </c>
      <c r="F1949" s="1374">
        <f t="shared" si="20"/>
        <v>0.69000000000000006</v>
      </c>
      <c r="G1949" s="1368">
        <v>49</v>
      </c>
      <c r="H1949" s="1229">
        <f t="shared" si="22"/>
        <v>0.40821256038647352</v>
      </c>
      <c r="I1949" s="162">
        <v>120</v>
      </c>
      <c r="J1949" s="1163"/>
      <c r="K1949" s="1163"/>
      <c r="L1949" s="1163"/>
      <c r="M1949" s="1163"/>
      <c r="N1949" s="1163"/>
      <c r="O1949" s="1163"/>
      <c r="P1949" s="1163"/>
      <c r="Q1949" s="1163"/>
      <c r="R1949" s="1163"/>
      <c r="S1949" s="1163"/>
      <c r="T1949" s="1163"/>
      <c r="U1949" s="1163"/>
      <c r="V1949" s="1163"/>
      <c r="W1949" s="1163"/>
      <c r="X1949" s="1163"/>
      <c r="Y1949" s="1163"/>
      <c r="Z1949" s="1163"/>
      <c r="AA1949" s="1163"/>
      <c r="AB1949" s="1163"/>
      <c r="AC1949" s="1163"/>
      <c r="AD1949" s="1163"/>
      <c r="AE1949" s="1163"/>
      <c r="AF1949" s="1163"/>
      <c r="AG1949" s="1163"/>
      <c r="AH1949" s="1163"/>
      <c r="AI1949" s="1163"/>
      <c r="AJ1949" s="1163"/>
      <c r="AK1949" s="1163"/>
      <c r="AL1949" s="1163"/>
      <c r="AM1949" s="1163"/>
      <c r="AN1949" s="1163"/>
      <c r="AO1949" s="1163"/>
      <c r="AP1949" s="1163"/>
      <c r="AQ1949" s="1163"/>
      <c r="AR1949" s="1163"/>
      <c r="AS1949" s="1163"/>
      <c r="AT1949" s="1163"/>
      <c r="AU1949" s="1163"/>
      <c r="AV1949" s="1163"/>
      <c r="AW1949" s="1163"/>
      <c r="AX1949" s="1163"/>
      <c r="AY1949" s="1163"/>
      <c r="AZ1949" s="1163"/>
      <c r="BA1949" s="1163"/>
      <c r="BB1949" s="1163"/>
      <c r="BC1949" s="1163"/>
      <c r="BD1949" s="1163"/>
      <c r="BE1949" s="1163"/>
      <c r="BF1949" s="1163"/>
      <c r="BG1949" s="1163"/>
      <c r="BH1949" s="1163"/>
      <c r="BI1949" s="1163"/>
      <c r="BJ1949" s="1163"/>
      <c r="BK1949" s="1163"/>
      <c r="BL1949" s="1163"/>
      <c r="BM1949" s="1163"/>
      <c r="BN1949" s="1163"/>
      <c r="BO1949" s="1163"/>
      <c r="BP1949" s="1163"/>
      <c r="BQ1949" s="1163"/>
      <c r="BR1949" s="1163"/>
      <c r="BS1949" s="1163"/>
      <c r="BT1949" s="1163"/>
      <c r="BU1949" s="1163"/>
      <c r="BV1949" s="1163"/>
      <c r="BW1949" s="1163"/>
      <c r="BX1949" s="1163"/>
      <c r="BY1949" s="1163"/>
      <c r="BZ1949" s="1163"/>
      <c r="CA1949" s="1163"/>
      <c r="CB1949" s="1163"/>
      <c r="CC1949" s="1163"/>
      <c r="CD1949" s="1163"/>
      <c r="CE1949" s="1163"/>
      <c r="CF1949" s="1163"/>
      <c r="CG1949" s="1163"/>
      <c r="CH1949" s="1163"/>
      <c r="CI1949" s="1163"/>
      <c r="CJ1949" s="1163"/>
      <c r="CK1949" s="1163"/>
      <c r="CL1949" s="1163"/>
      <c r="CM1949" s="1163"/>
      <c r="CN1949" s="1163"/>
      <c r="CO1949" s="1163"/>
      <c r="CP1949" s="1163"/>
      <c r="CQ1949" s="1163"/>
      <c r="CR1949" s="1163"/>
      <c r="CS1949" s="1163"/>
      <c r="CT1949" s="1163"/>
      <c r="CU1949" s="1163"/>
      <c r="CV1949" s="1163"/>
      <c r="CW1949" s="1163"/>
      <c r="CX1949" s="1163"/>
      <c r="CY1949" s="1163"/>
      <c r="CZ1949" s="1163"/>
      <c r="DA1949" s="1163"/>
      <c r="DB1949" s="1163"/>
      <c r="DC1949" s="1163"/>
      <c r="DD1949" s="1163"/>
      <c r="DE1949" s="1163"/>
      <c r="DF1949" s="1163"/>
      <c r="DG1949" s="1163"/>
      <c r="DH1949" s="1163"/>
      <c r="DI1949" s="1163"/>
      <c r="DJ1949" s="1163"/>
      <c r="DK1949" s="1163"/>
      <c r="DL1949" s="1163"/>
      <c r="DM1949" s="1163"/>
      <c r="DN1949" s="1163"/>
      <c r="DO1949" s="1163"/>
      <c r="DP1949" s="1163"/>
      <c r="DQ1949" s="1163"/>
      <c r="DR1949" s="1163"/>
      <c r="DS1949" s="1163"/>
      <c r="DT1949" s="1163"/>
      <c r="DU1949" s="1163"/>
      <c r="DV1949" s="1163"/>
      <c r="DW1949" s="1163"/>
      <c r="DX1949" s="1163"/>
      <c r="DY1949" s="1163"/>
      <c r="DZ1949" s="1163"/>
      <c r="EA1949" s="1163"/>
      <c r="EB1949" s="1163"/>
      <c r="EC1949" s="1163"/>
      <c r="ED1949" s="1163"/>
      <c r="EE1949" s="1163"/>
      <c r="EF1949" s="1163"/>
      <c r="EG1949" s="1163"/>
      <c r="EH1949" s="1163"/>
      <c r="EI1949" s="1163"/>
      <c r="EJ1949" s="1163"/>
      <c r="EK1949" s="1163"/>
      <c r="EL1949" s="1163"/>
      <c r="EM1949" s="1163"/>
      <c r="EN1949" s="1163"/>
      <c r="EO1949" s="1163"/>
      <c r="EP1949" s="1163"/>
      <c r="EQ1949" s="1163"/>
      <c r="ER1949" s="1163"/>
      <c r="ES1949" s="1163"/>
      <c r="ET1949" s="1163"/>
      <c r="EU1949" s="1163"/>
      <c r="EV1949" s="1163"/>
    </row>
    <row r="1950" spans="1:152" s="1364" customFormat="1" ht="15" customHeight="1">
      <c r="A1950" s="1157" t="s">
        <v>5181</v>
      </c>
      <c r="B1950" s="1363">
        <v>18</v>
      </c>
      <c r="C1950" s="1159" t="s">
        <v>5186</v>
      </c>
      <c r="D1950" s="1159" t="s">
        <v>5182</v>
      </c>
      <c r="E1950" s="1159" t="s">
        <v>5192</v>
      </c>
      <c r="F1950" s="1374">
        <f t="shared" si="20"/>
        <v>0.81</v>
      </c>
      <c r="G1950" s="1368">
        <v>58</v>
      </c>
      <c r="H1950" s="1229">
        <f t="shared" si="22"/>
        <v>0.40329218106995884</v>
      </c>
      <c r="I1950" s="162">
        <v>120</v>
      </c>
      <c r="J1950" s="1163"/>
      <c r="K1950" s="1163"/>
      <c r="L1950" s="1163"/>
      <c r="M1950" s="1163"/>
      <c r="N1950" s="1163"/>
      <c r="O1950" s="1163"/>
      <c r="P1950" s="1163"/>
      <c r="Q1950" s="1163"/>
      <c r="R1950" s="1163"/>
      <c r="S1950" s="1163"/>
      <c r="T1950" s="1163"/>
      <c r="U1950" s="1163"/>
      <c r="V1950" s="1163"/>
      <c r="W1950" s="1163"/>
      <c r="X1950" s="1163"/>
      <c r="Y1950" s="1163"/>
      <c r="Z1950" s="1163"/>
      <c r="AA1950" s="1163"/>
      <c r="AB1950" s="1163"/>
      <c r="AC1950" s="1163"/>
      <c r="AD1950" s="1163"/>
      <c r="AE1950" s="1163"/>
      <c r="AF1950" s="1163"/>
      <c r="AG1950" s="1163"/>
      <c r="AH1950" s="1163"/>
      <c r="AI1950" s="1163"/>
      <c r="AJ1950" s="1163"/>
      <c r="AK1950" s="1163"/>
      <c r="AL1950" s="1163"/>
      <c r="AM1950" s="1163"/>
      <c r="AN1950" s="1163"/>
      <c r="AO1950" s="1163"/>
      <c r="AP1950" s="1163"/>
      <c r="AQ1950" s="1163"/>
      <c r="AR1950" s="1163"/>
      <c r="AS1950" s="1163"/>
      <c r="AT1950" s="1163"/>
      <c r="AU1950" s="1163"/>
      <c r="AV1950" s="1163"/>
      <c r="AW1950" s="1163"/>
      <c r="AX1950" s="1163"/>
      <c r="AY1950" s="1163"/>
      <c r="AZ1950" s="1163"/>
      <c r="BA1950" s="1163"/>
      <c r="BB1950" s="1163"/>
      <c r="BC1950" s="1163"/>
      <c r="BD1950" s="1163"/>
      <c r="BE1950" s="1163"/>
      <c r="BF1950" s="1163"/>
      <c r="BG1950" s="1163"/>
      <c r="BH1950" s="1163"/>
      <c r="BI1950" s="1163"/>
      <c r="BJ1950" s="1163"/>
      <c r="BK1950" s="1163"/>
      <c r="BL1950" s="1163"/>
      <c r="BM1950" s="1163"/>
      <c r="BN1950" s="1163"/>
      <c r="BO1950" s="1163"/>
      <c r="BP1950" s="1163"/>
      <c r="BQ1950" s="1163"/>
      <c r="BR1950" s="1163"/>
      <c r="BS1950" s="1163"/>
      <c r="BT1950" s="1163"/>
      <c r="BU1950" s="1163"/>
      <c r="BV1950" s="1163"/>
      <c r="BW1950" s="1163"/>
      <c r="BX1950" s="1163"/>
      <c r="BY1950" s="1163"/>
      <c r="BZ1950" s="1163"/>
      <c r="CA1950" s="1163"/>
      <c r="CB1950" s="1163"/>
      <c r="CC1950" s="1163"/>
      <c r="CD1950" s="1163"/>
      <c r="CE1950" s="1163"/>
      <c r="CF1950" s="1163"/>
      <c r="CG1950" s="1163"/>
      <c r="CH1950" s="1163"/>
      <c r="CI1950" s="1163"/>
      <c r="CJ1950" s="1163"/>
      <c r="CK1950" s="1163"/>
      <c r="CL1950" s="1163"/>
      <c r="CM1950" s="1163"/>
      <c r="CN1950" s="1163"/>
      <c r="CO1950" s="1163"/>
      <c r="CP1950" s="1163"/>
      <c r="CQ1950" s="1163"/>
      <c r="CR1950" s="1163"/>
      <c r="CS1950" s="1163"/>
      <c r="CT1950" s="1163"/>
      <c r="CU1950" s="1163"/>
      <c r="CV1950" s="1163"/>
      <c r="CW1950" s="1163"/>
      <c r="CX1950" s="1163"/>
      <c r="CY1950" s="1163"/>
      <c r="CZ1950" s="1163"/>
      <c r="DA1950" s="1163"/>
      <c r="DB1950" s="1163"/>
      <c r="DC1950" s="1163"/>
      <c r="DD1950" s="1163"/>
      <c r="DE1950" s="1163"/>
      <c r="DF1950" s="1163"/>
      <c r="DG1950" s="1163"/>
      <c r="DH1950" s="1163"/>
      <c r="DI1950" s="1163"/>
      <c r="DJ1950" s="1163"/>
      <c r="DK1950" s="1163"/>
      <c r="DL1950" s="1163"/>
      <c r="DM1950" s="1163"/>
      <c r="DN1950" s="1163"/>
      <c r="DO1950" s="1163"/>
      <c r="DP1950" s="1163"/>
      <c r="DQ1950" s="1163"/>
      <c r="DR1950" s="1163"/>
      <c r="DS1950" s="1163"/>
      <c r="DT1950" s="1163"/>
      <c r="DU1950" s="1163"/>
      <c r="DV1950" s="1163"/>
      <c r="DW1950" s="1163"/>
      <c r="DX1950" s="1163"/>
      <c r="DY1950" s="1163"/>
      <c r="DZ1950" s="1163"/>
      <c r="EA1950" s="1163"/>
      <c r="EB1950" s="1163"/>
      <c r="EC1950" s="1163"/>
      <c r="ED1950" s="1163"/>
      <c r="EE1950" s="1163"/>
      <c r="EF1950" s="1163"/>
      <c r="EG1950" s="1163"/>
      <c r="EH1950" s="1163"/>
      <c r="EI1950" s="1163"/>
      <c r="EJ1950" s="1163"/>
      <c r="EK1950" s="1163"/>
      <c r="EL1950" s="1163"/>
      <c r="EM1950" s="1163"/>
      <c r="EN1950" s="1163"/>
      <c r="EO1950" s="1163"/>
      <c r="EP1950" s="1163"/>
      <c r="EQ1950" s="1163"/>
      <c r="ER1950" s="1163"/>
      <c r="ES1950" s="1163"/>
      <c r="ET1950" s="1163"/>
      <c r="EU1950" s="1163"/>
      <c r="EV1950" s="1163"/>
    </row>
    <row r="1951" spans="1:152" s="1364" customFormat="1" ht="15" customHeight="1">
      <c r="A1951" s="1157" t="s">
        <v>5181</v>
      </c>
      <c r="B1951" s="1365">
        <v>9</v>
      </c>
      <c r="C1951" s="1159" t="s">
        <v>5186</v>
      </c>
      <c r="D1951" s="1159" t="s">
        <v>5182</v>
      </c>
      <c r="E1951" s="1159" t="s">
        <v>5183</v>
      </c>
      <c r="F1951" s="1374">
        <f t="shared" si="20"/>
        <v>0.81</v>
      </c>
      <c r="G1951" s="1368">
        <v>58</v>
      </c>
      <c r="H1951" s="1229">
        <f t="shared" si="22"/>
        <v>0.40329218106995884</v>
      </c>
      <c r="I1951" s="162">
        <v>120</v>
      </c>
      <c r="J1951" s="1163"/>
      <c r="K1951" s="1163"/>
      <c r="L1951" s="1163"/>
      <c r="M1951" s="1163"/>
      <c r="N1951" s="1163"/>
      <c r="O1951" s="1163"/>
      <c r="P1951" s="1163"/>
      <c r="Q1951" s="1163"/>
      <c r="R1951" s="1163"/>
      <c r="S1951" s="1163"/>
      <c r="T1951" s="1163"/>
      <c r="U1951" s="1163"/>
      <c r="V1951" s="1163"/>
      <c r="W1951" s="1163"/>
      <c r="X1951" s="1163"/>
      <c r="Y1951" s="1163"/>
      <c r="Z1951" s="1163"/>
      <c r="AA1951" s="1163"/>
      <c r="AB1951" s="1163"/>
      <c r="AC1951" s="1163"/>
      <c r="AD1951" s="1163"/>
      <c r="AE1951" s="1163"/>
      <c r="AF1951" s="1163"/>
      <c r="AG1951" s="1163"/>
      <c r="AH1951" s="1163"/>
      <c r="AI1951" s="1163"/>
      <c r="AJ1951" s="1163"/>
      <c r="AK1951" s="1163"/>
      <c r="AL1951" s="1163"/>
      <c r="AM1951" s="1163"/>
      <c r="AN1951" s="1163"/>
      <c r="AO1951" s="1163"/>
      <c r="AP1951" s="1163"/>
      <c r="AQ1951" s="1163"/>
      <c r="AR1951" s="1163"/>
      <c r="AS1951" s="1163"/>
      <c r="AT1951" s="1163"/>
      <c r="AU1951" s="1163"/>
      <c r="AV1951" s="1163"/>
      <c r="AW1951" s="1163"/>
      <c r="AX1951" s="1163"/>
      <c r="AY1951" s="1163"/>
      <c r="AZ1951" s="1163"/>
      <c r="BA1951" s="1163"/>
      <c r="BB1951" s="1163"/>
      <c r="BC1951" s="1163"/>
      <c r="BD1951" s="1163"/>
      <c r="BE1951" s="1163"/>
      <c r="BF1951" s="1163"/>
      <c r="BG1951" s="1163"/>
      <c r="BH1951" s="1163"/>
      <c r="BI1951" s="1163"/>
      <c r="BJ1951" s="1163"/>
      <c r="BK1951" s="1163"/>
      <c r="BL1951" s="1163"/>
      <c r="BM1951" s="1163"/>
      <c r="BN1951" s="1163"/>
      <c r="BO1951" s="1163"/>
      <c r="BP1951" s="1163"/>
      <c r="BQ1951" s="1163"/>
      <c r="BR1951" s="1163"/>
      <c r="BS1951" s="1163"/>
      <c r="BT1951" s="1163"/>
      <c r="BU1951" s="1163"/>
      <c r="BV1951" s="1163"/>
      <c r="BW1951" s="1163"/>
      <c r="BX1951" s="1163"/>
      <c r="BY1951" s="1163"/>
      <c r="BZ1951" s="1163"/>
      <c r="CA1951" s="1163"/>
      <c r="CB1951" s="1163"/>
      <c r="CC1951" s="1163"/>
      <c r="CD1951" s="1163"/>
      <c r="CE1951" s="1163"/>
      <c r="CF1951" s="1163"/>
      <c r="CG1951" s="1163"/>
      <c r="CH1951" s="1163"/>
      <c r="CI1951" s="1163"/>
      <c r="CJ1951" s="1163"/>
      <c r="CK1951" s="1163"/>
      <c r="CL1951" s="1163"/>
      <c r="CM1951" s="1163"/>
      <c r="CN1951" s="1163"/>
      <c r="CO1951" s="1163"/>
      <c r="CP1951" s="1163"/>
      <c r="CQ1951" s="1163"/>
      <c r="CR1951" s="1163"/>
      <c r="CS1951" s="1163"/>
      <c r="CT1951" s="1163"/>
      <c r="CU1951" s="1163"/>
      <c r="CV1951" s="1163"/>
      <c r="CW1951" s="1163"/>
      <c r="CX1951" s="1163"/>
      <c r="CY1951" s="1163"/>
      <c r="CZ1951" s="1163"/>
      <c r="DA1951" s="1163"/>
      <c r="DB1951" s="1163"/>
      <c r="DC1951" s="1163"/>
      <c r="DD1951" s="1163"/>
      <c r="DE1951" s="1163"/>
      <c r="DF1951" s="1163"/>
      <c r="DG1951" s="1163"/>
      <c r="DH1951" s="1163"/>
      <c r="DI1951" s="1163"/>
      <c r="DJ1951" s="1163"/>
      <c r="DK1951" s="1163"/>
      <c r="DL1951" s="1163"/>
      <c r="DM1951" s="1163"/>
      <c r="DN1951" s="1163"/>
      <c r="DO1951" s="1163"/>
      <c r="DP1951" s="1163"/>
      <c r="DQ1951" s="1163"/>
      <c r="DR1951" s="1163"/>
      <c r="DS1951" s="1163"/>
      <c r="DT1951" s="1163"/>
      <c r="DU1951" s="1163"/>
      <c r="DV1951" s="1163"/>
      <c r="DW1951" s="1163"/>
      <c r="DX1951" s="1163"/>
      <c r="DY1951" s="1163"/>
      <c r="DZ1951" s="1163"/>
      <c r="EA1951" s="1163"/>
      <c r="EB1951" s="1163"/>
      <c r="EC1951" s="1163"/>
      <c r="ED1951" s="1163"/>
      <c r="EE1951" s="1163"/>
      <c r="EF1951" s="1163"/>
      <c r="EG1951" s="1163"/>
      <c r="EH1951" s="1163"/>
      <c r="EI1951" s="1163"/>
      <c r="EJ1951" s="1163"/>
      <c r="EK1951" s="1163"/>
      <c r="EL1951" s="1163"/>
      <c r="EM1951" s="1163"/>
      <c r="EN1951" s="1163"/>
      <c r="EO1951" s="1163"/>
      <c r="EP1951" s="1163"/>
      <c r="EQ1951" s="1163"/>
      <c r="ER1951" s="1163"/>
      <c r="ES1951" s="1163"/>
      <c r="ET1951" s="1163"/>
      <c r="EU1951" s="1163"/>
      <c r="EV1951" s="1163"/>
    </row>
    <row r="1955" spans="1:9" ht="13.5" customHeight="1">
      <c r="A1955" s="1236" t="s">
        <v>5206</v>
      </c>
    </row>
    <row r="1956" spans="1:9" ht="13.5" customHeight="1">
      <c r="A1956" s="354" t="s">
        <v>266</v>
      </c>
      <c r="B1956" s="354" t="s">
        <v>5210</v>
      </c>
      <c r="C1956" s="354" t="s">
        <v>5199</v>
      </c>
      <c r="D1956" s="1375" t="s">
        <v>5200</v>
      </c>
      <c r="E1956" s="1375" t="s">
        <v>5201</v>
      </c>
      <c r="F1956" s="1151" t="s">
        <v>5202</v>
      </c>
      <c r="G1956" s="1151" t="s">
        <v>5203</v>
      </c>
      <c r="H1956" s="1151" t="s">
        <v>4376</v>
      </c>
    </row>
    <row r="1957" spans="1:9" ht="13.5" customHeight="1">
      <c r="A1957" s="1115" t="s">
        <v>5207</v>
      </c>
      <c r="B1957" s="1115" t="s">
        <v>5209</v>
      </c>
      <c r="C1957" s="1111" t="s">
        <v>5204</v>
      </c>
      <c r="D1957" s="1376">
        <f>ROUNDUP(F1957/0.77/120,2)</f>
        <v>26.84</v>
      </c>
      <c r="E1957" s="1376" t="s">
        <v>5205</v>
      </c>
      <c r="F1957" s="1377">
        <f>2180+300</f>
        <v>2480</v>
      </c>
      <c r="G1957" s="1378">
        <f>(D1957-(F1957/H1957))/D1957</f>
        <v>0.23000496770988568</v>
      </c>
      <c r="H1957">
        <v>120</v>
      </c>
      <c r="I1957" s="194"/>
    </row>
    <row r="1958" spans="1:9" ht="13.5" customHeight="1">
      <c r="A1958" s="1115" t="s">
        <v>5207</v>
      </c>
      <c r="B1958" s="1115" t="s">
        <v>5209</v>
      </c>
      <c r="C1958" s="1111" t="s">
        <v>5212</v>
      </c>
      <c r="D1958" s="1376">
        <f>ROUNDUP(F1958/0.77/120,2)</f>
        <v>23.6</v>
      </c>
      <c r="E1958" s="1376"/>
      <c r="F1958" s="1377">
        <v>2180</v>
      </c>
      <c r="G1958" s="1378">
        <f>(D1958-(F1958/H1958))/D1958</f>
        <v>0.23022598870056496</v>
      </c>
      <c r="H1958">
        <v>120</v>
      </c>
      <c r="I1958" s="1379"/>
    </row>
    <row r="1959" spans="1:9" ht="13.5" customHeight="1">
      <c r="A1959" s="1115" t="s">
        <v>5208</v>
      </c>
      <c r="B1959" s="1115" t="s">
        <v>5211</v>
      </c>
      <c r="C1959" s="1111" t="s">
        <v>5204</v>
      </c>
      <c r="D1959" s="1376">
        <f>ROUNDUP(F1959/0.77/120,2)</f>
        <v>24.900000000000002</v>
      </c>
      <c r="E1959" s="1376" t="s">
        <v>5205</v>
      </c>
      <c r="F1959" s="1377">
        <f>2000+300</f>
        <v>2300</v>
      </c>
      <c r="G1959" s="1378">
        <f>(D1959-(F1959/H1959))/D1959</f>
        <v>0.23025435073627848</v>
      </c>
      <c r="H1959">
        <v>120</v>
      </c>
      <c r="I1959" s="194"/>
    </row>
    <row r="1960" spans="1:9" ht="13.5" customHeight="1">
      <c r="A1960" s="1115" t="s">
        <v>5208</v>
      </c>
      <c r="B1960" s="1115" t="s">
        <v>5211</v>
      </c>
      <c r="C1960" s="1111" t="s">
        <v>5212</v>
      </c>
      <c r="D1960" s="1376">
        <f>ROUNDUP(F1960/0.77/120,2)</f>
        <v>21.650000000000002</v>
      </c>
      <c r="E1960" s="1376"/>
      <c r="F1960" s="1377">
        <v>2000</v>
      </c>
      <c r="G1960" s="1378">
        <f>(D1960-(F1960/H1960))/D1960</f>
        <v>0.23017705927636645</v>
      </c>
      <c r="H1960">
        <v>120</v>
      </c>
      <c r="I1960" s="1379"/>
    </row>
    <row r="1963" spans="1:9" ht="15">
      <c r="A1963" s="354" t="s">
        <v>266</v>
      </c>
      <c r="B1963" s="354" t="s">
        <v>36</v>
      </c>
      <c r="C1963" s="354" t="s">
        <v>37</v>
      </c>
      <c r="D1963" s="354" t="s">
        <v>201</v>
      </c>
      <c r="E1963" s="92"/>
    </row>
    <row r="1964" spans="1:9" ht="15">
      <c r="A1964" s="40" t="s">
        <v>5213</v>
      </c>
      <c r="B1964" s="165" t="s">
        <v>5172</v>
      </c>
      <c r="C1964" s="357">
        <v>1</v>
      </c>
      <c r="D1964" s="1381">
        <v>2100</v>
      </c>
      <c r="E1964" s="92">
        <f t="shared" ref="E1964:E1969" si="23">D1964*C1964</f>
        <v>2100</v>
      </c>
    </row>
    <row r="1965" spans="1:9" ht="15">
      <c r="A1965" s="40" t="s">
        <v>5213</v>
      </c>
      <c r="B1965" s="165" t="s">
        <v>5174</v>
      </c>
      <c r="C1965" s="357">
        <v>1</v>
      </c>
      <c r="D1965" s="1381">
        <v>2100</v>
      </c>
      <c r="E1965" s="92">
        <f t="shared" si="23"/>
        <v>2100</v>
      </c>
    </row>
    <row r="1966" spans="1:9" ht="15">
      <c r="A1966" s="40" t="s">
        <v>5213</v>
      </c>
      <c r="B1966" s="1380" t="s">
        <v>5214</v>
      </c>
      <c r="C1966" s="357">
        <v>1</v>
      </c>
      <c r="D1966" s="1381">
        <v>3100</v>
      </c>
      <c r="E1966" s="92">
        <f t="shared" si="23"/>
        <v>3100</v>
      </c>
    </row>
    <row r="1967" spans="1:9" ht="15">
      <c r="A1967" s="40"/>
      <c r="B1967" s="1380" t="s">
        <v>5215</v>
      </c>
      <c r="C1967" s="353">
        <v>1</v>
      </c>
      <c r="D1967" s="1381">
        <v>15000</v>
      </c>
      <c r="E1967" s="92">
        <f t="shared" si="23"/>
        <v>15000</v>
      </c>
    </row>
    <row r="1968" spans="1:9" ht="15">
      <c r="A1968" s="40"/>
      <c r="B1968" s="40" t="s">
        <v>4329</v>
      </c>
      <c r="C1968" s="353">
        <v>3</v>
      </c>
      <c r="D1968" s="1381">
        <v>500</v>
      </c>
      <c r="E1968" s="7">
        <f t="shared" si="23"/>
        <v>1500</v>
      </c>
    </row>
    <row r="1969" spans="1:8" ht="15">
      <c r="A1969" s="40"/>
      <c r="B1969" s="40" t="s">
        <v>316</v>
      </c>
      <c r="C1969" s="353">
        <v>1</v>
      </c>
      <c r="D1969" s="1381">
        <v>1000</v>
      </c>
      <c r="E1969" s="287">
        <f t="shared" si="23"/>
        <v>1000</v>
      </c>
    </row>
    <row r="1970" spans="1:8">
      <c r="A1970" s="158"/>
      <c r="B1970" s="158"/>
      <c r="C1970" s="354" t="s">
        <v>5216</v>
      </c>
      <c r="D1970" s="1382">
        <f>SUM(D1964:D1969)</f>
        <v>23800</v>
      </c>
    </row>
    <row r="1973" spans="1:8" ht="13.5" customHeight="1">
      <c r="A1973" s="1236" t="s">
        <v>5219</v>
      </c>
    </row>
    <row r="1974" spans="1:8" ht="13.5" customHeight="1">
      <c r="A1974" s="354" t="s">
        <v>266</v>
      </c>
      <c r="B1974" s="354" t="s">
        <v>5199</v>
      </c>
      <c r="C1974" s="1375" t="s">
        <v>5200</v>
      </c>
      <c r="D1974" s="1375" t="s">
        <v>5201</v>
      </c>
      <c r="E1974" s="1151" t="s">
        <v>5202</v>
      </c>
      <c r="F1974" s="1151" t="s">
        <v>5203</v>
      </c>
      <c r="G1974" s="1151" t="s">
        <v>4376</v>
      </c>
    </row>
    <row r="1975" spans="1:8" ht="13.5" customHeight="1">
      <c r="A1975" s="1115" t="s">
        <v>5207</v>
      </c>
      <c r="B1975" s="1111" t="s">
        <v>5204</v>
      </c>
      <c r="C1975" s="1376">
        <f t="shared" ref="C1975:C1980" si="24">ROUNDUP(E1975/0.75/120,2)</f>
        <v>27.560000000000002</v>
      </c>
      <c r="D1975" s="1376" t="s">
        <v>5205</v>
      </c>
      <c r="E1975" s="1377">
        <f>2180+300</f>
        <v>2480</v>
      </c>
      <c r="F1975" s="1378">
        <f t="shared" ref="F1975:F1980" si="25">(C1975-(E1975/G1975))/C1975</f>
        <v>0.25012094823415582</v>
      </c>
      <c r="G1975">
        <v>120</v>
      </c>
      <c r="H1975" s="194"/>
    </row>
    <row r="1976" spans="1:8" ht="13.5" customHeight="1">
      <c r="A1976" s="1115" t="s">
        <v>5207</v>
      </c>
      <c r="B1976" s="1111" t="s">
        <v>5212</v>
      </c>
      <c r="C1976" s="1376">
        <f t="shared" si="24"/>
        <v>24.23</v>
      </c>
      <c r="D1976" s="1376"/>
      <c r="E1976" s="1377">
        <v>2180</v>
      </c>
      <c r="F1976" s="1378">
        <f t="shared" si="25"/>
        <v>0.25024074838354654</v>
      </c>
      <c r="G1976">
        <v>120</v>
      </c>
      <c r="H1976" s="1379"/>
    </row>
    <row r="1977" spans="1:8" ht="13.5" customHeight="1">
      <c r="A1977" s="1115" t="s">
        <v>5208</v>
      </c>
      <c r="B1977" s="1111" t="s">
        <v>5204</v>
      </c>
      <c r="C1977" s="1376">
        <f t="shared" si="24"/>
        <v>25.560000000000002</v>
      </c>
      <c r="D1977" s="1376" t="s">
        <v>5205</v>
      </c>
      <c r="E1977" s="1377">
        <f>2000+300</f>
        <v>2300</v>
      </c>
      <c r="F1977" s="1378">
        <f t="shared" si="25"/>
        <v>0.25013041210224313</v>
      </c>
      <c r="G1977">
        <v>120</v>
      </c>
      <c r="H1977" s="194"/>
    </row>
    <row r="1978" spans="1:8" ht="13.5" customHeight="1">
      <c r="A1978" s="1115" t="s">
        <v>5208</v>
      </c>
      <c r="B1978" s="1111" t="s">
        <v>5212</v>
      </c>
      <c r="C1978" s="1376">
        <f t="shared" si="24"/>
        <v>22.23</v>
      </c>
      <c r="D1978" s="1376"/>
      <c r="E1978" s="1377">
        <v>2000</v>
      </c>
      <c r="F1978" s="1378">
        <f t="shared" si="25"/>
        <v>0.25026240815714496</v>
      </c>
      <c r="G1978">
        <v>120</v>
      </c>
      <c r="H1978" s="1379"/>
    </row>
    <row r="1979" spans="1:8" ht="13.5" customHeight="1">
      <c r="A1979" s="1115" t="s">
        <v>5221</v>
      </c>
      <c r="B1979" s="1111" t="s">
        <v>5225</v>
      </c>
      <c r="C1979" s="1376">
        <f t="shared" si="24"/>
        <v>28.34</v>
      </c>
      <c r="D1979" s="1376" t="s">
        <v>5205</v>
      </c>
      <c r="E1979" s="1377">
        <f>2250+300</f>
        <v>2550</v>
      </c>
      <c r="F1979" s="1378">
        <f t="shared" si="25"/>
        <v>0.25017642907551163</v>
      </c>
      <c r="G1979">
        <v>120</v>
      </c>
      <c r="H1979" s="194"/>
    </row>
    <row r="1980" spans="1:8" ht="13.5" customHeight="1">
      <c r="A1980" s="1115" t="s">
        <v>5221</v>
      </c>
      <c r="B1980" s="1111" t="s">
        <v>5226</v>
      </c>
      <c r="C1980" s="1376">
        <f t="shared" si="24"/>
        <v>25</v>
      </c>
      <c r="D1980" s="1376" t="s">
        <v>5220</v>
      </c>
      <c r="E1980" s="1377">
        <v>2250</v>
      </c>
      <c r="F1980" s="1378">
        <f t="shared" si="25"/>
        <v>0.25</v>
      </c>
      <c r="G1980">
        <v>120</v>
      </c>
      <c r="H1980" s="1379"/>
    </row>
    <row r="1981" spans="1:8" ht="25.5">
      <c r="A1981" s="1344" t="s">
        <v>5222</v>
      </c>
      <c r="B1981" s="1344" t="s">
        <v>5224</v>
      </c>
      <c r="C1981" s="360">
        <f>ROUNDUP(E1981/0.8/120,2)</f>
        <v>16.150000000000002</v>
      </c>
      <c r="D1981" s="360"/>
      <c r="E1981" s="158">
        <f>1150+400</f>
        <v>1550</v>
      </c>
      <c r="F1981" s="1343">
        <f>(((C1981*G1981)-E1981)/(C1981*G1981))</f>
        <v>0.20020639834881329</v>
      </c>
      <c r="G1981" s="162">
        <v>120</v>
      </c>
    </row>
    <row r="1982" spans="1:8">
      <c r="A1982" s="1344" t="s">
        <v>5222</v>
      </c>
      <c r="B1982" s="1111" t="s">
        <v>5223</v>
      </c>
      <c r="C1982" s="360">
        <f>ROUNDUP(E1982/0.8/120,2)</f>
        <v>12.299999999999999</v>
      </c>
      <c r="D1982" s="360"/>
      <c r="E1982" s="158">
        <f>1150+30</f>
        <v>1180</v>
      </c>
      <c r="F1982" s="1341">
        <f>(((C1982*G1982)-E1982)/(C1982*G1982))</f>
        <v>0.20054200542005407</v>
      </c>
      <c r="G1982" s="1342">
        <v>120</v>
      </c>
    </row>
    <row r="1983" spans="1:8" ht="13.5" customHeight="1">
      <c r="A1983" s="1115" t="s">
        <v>5227</v>
      </c>
      <c r="B1983" s="1111" t="s">
        <v>5229</v>
      </c>
      <c r="C1983" s="1376">
        <f>ROUNDUP(E1983/0.75/120,2)</f>
        <v>55</v>
      </c>
      <c r="D1983" s="1376"/>
      <c r="E1983" s="1377">
        <f>3300*1.5</f>
        <v>4950</v>
      </c>
      <c r="F1983" s="1378">
        <f>(C1983-(E1983/G1983))/C1983</f>
        <v>0.25</v>
      </c>
      <c r="G1983">
        <v>120</v>
      </c>
      <c r="H1983" s="194"/>
    </row>
    <row r="1984" spans="1:8" ht="13.5" customHeight="1">
      <c r="A1984" s="1115" t="s">
        <v>5227</v>
      </c>
      <c r="B1984" s="1111" t="s">
        <v>5228</v>
      </c>
      <c r="C1984" s="1376">
        <f>ROUNDUP(E1984/0.75/120,2)</f>
        <v>36.669999999999995</v>
      </c>
      <c r="D1984" s="1376"/>
      <c r="E1984" s="1377">
        <v>3300</v>
      </c>
      <c r="F1984" s="1378">
        <f>(C1984-(E1984/G1984))/C1984</f>
        <v>0.25006817562039801</v>
      </c>
      <c r="G1984">
        <v>120</v>
      </c>
      <c r="H1984" s="194"/>
    </row>
    <row r="1987" spans="1:7">
      <c r="A1987" s="1338" t="s">
        <v>5232</v>
      </c>
      <c r="C1987" s="194" t="s">
        <v>5137</v>
      </c>
      <c r="D1987" s="1151" t="s">
        <v>4375</v>
      </c>
      <c r="E1987" s="1151" t="s">
        <v>4376</v>
      </c>
    </row>
    <row r="1988" spans="1:7" ht="25.5">
      <c r="A1988" s="1145" t="s">
        <v>5134</v>
      </c>
      <c r="B1988" s="1185" t="s">
        <v>5235</v>
      </c>
      <c r="C1988" s="365" t="s">
        <v>5236</v>
      </c>
      <c r="D1988" s="1339"/>
      <c r="E1988" s="1339"/>
    </row>
    <row r="1989" spans="1:7" ht="25.5">
      <c r="A1989" s="1344" t="s">
        <v>5233</v>
      </c>
      <c r="B1989" s="1113">
        <f>ROUNDUP(C1989/0.8/120,2)</f>
        <v>17.920000000000002</v>
      </c>
      <c r="C1989" s="158">
        <f>1420+300</f>
        <v>1720</v>
      </c>
      <c r="D1989" s="1343">
        <f>(((B1989*E1989)-C1989)/(B1989*E1989))</f>
        <v>0.20014880952380956</v>
      </c>
      <c r="E1989" s="162">
        <v>120</v>
      </c>
    </row>
    <row r="1990" spans="1:7" ht="25.5">
      <c r="A1990" s="1340" t="s">
        <v>5139</v>
      </c>
      <c r="B1990" s="1113">
        <f>ROUNDUP(C1990/0.8/120,2)</f>
        <v>15.11</v>
      </c>
      <c r="C1990" s="158">
        <f>1420+30</f>
        <v>1450</v>
      </c>
      <c r="D1990" s="1341">
        <f>(((B1990*E1990)-C1990)/(B1990*E1990))</f>
        <v>0.20030884623869394</v>
      </c>
      <c r="E1990" s="1342">
        <v>120</v>
      </c>
    </row>
    <row r="1991" spans="1:7">
      <c r="A1991" s="1383" t="s">
        <v>5234</v>
      </c>
    </row>
    <row r="1994" spans="1:7">
      <c r="A1994" s="1385" t="s">
        <v>266</v>
      </c>
      <c r="B1994" s="1386" t="s">
        <v>35</v>
      </c>
      <c r="C1994" s="354" t="s">
        <v>99</v>
      </c>
      <c r="D1994" s="354" t="s">
        <v>245</v>
      </c>
      <c r="E1994" s="354" t="s">
        <v>270</v>
      </c>
      <c r="F1994" s="354" t="s">
        <v>271</v>
      </c>
      <c r="G1994" s="1387" t="s">
        <v>4535</v>
      </c>
    </row>
    <row r="1995" spans="1:7">
      <c r="A1995" s="40">
        <v>2440</v>
      </c>
      <c r="B1995" s="1384">
        <v>140</v>
      </c>
      <c r="C1995" s="40" t="s">
        <v>5249</v>
      </c>
      <c r="D1995" s="355">
        <v>58</v>
      </c>
      <c r="E1995" s="356">
        <v>9</v>
      </c>
      <c r="F1995" s="357">
        <f>D1995*E1995</f>
        <v>522</v>
      </c>
      <c r="G1995" s="1113">
        <v>3.23</v>
      </c>
    </row>
    <row r="1996" spans="1:7">
      <c r="A1996" s="40"/>
      <c r="B1996" s="1195"/>
      <c r="C1996" s="40" t="s">
        <v>316</v>
      </c>
      <c r="D1996" s="353"/>
      <c r="E1996" s="1107"/>
      <c r="F1996" s="353">
        <v>1</v>
      </c>
      <c r="G1996" s="1113">
        <v>20</v>
      </c>
    </row>
    <row r="1999" spans="1:7">
      <c r="A1999" s="1338" t="s">
        <v>5232</v>
      </c>
      <c r="C1999" s="194" t="s">
        <v>5137</v>
      </c>
      <c r="D1999" s="1151" t="s">
        <v>4375</v>
      </c>
      <c r="E1999" s="1151" t="s">
        <v>4376</v>
      </c>
    </row>
    <row r="2000" spans="1:7" ht="25.5">
      <c r="A2000" s="1145" t="s">
        <v>5134</v>
      </c>
      <c r="B2000" s="1185" t="s">
        <v>5235</v>
      </c>
      <c r="C2000" s="365" t="s">
        <v>5236</v>
      </c>
      <c r="D2000" s="1339"/>
      <c r="E2000" s="1339"/>
    </row>
    <row r="2001" spans="1:8" ht="25.5">
      <c r="A2001" s="1344" t="s">
        <v>5253</v>
      </c>
      <c r="B2001" s="1113">
        <f>ROUNDUP(C2001/0.8/120,2)</f>
        <v>12.19</v>
      </c>
      <c r="C2001" s="158">
        <f>770+400</f>
        <v>1170</v>
      </c>
      <c r="D2001" s="1343">
        <f>(((B2001*E2001)-C2001)/(B2001*E2001))</f>
        <v>0.2616899097621001</v>
      </c>
      <c r="E2001" s="162">
        <v>130</v>
      </c>
    </row>
    <row r="2002" spans="1:8" ht="25.5">
      <c r="A2002" s="1344" t="s">
        <v>5254</v>
      </c>
      <c r="B2002" s="1113">
        <v>9.8699999999999992</v>
      </c>
      <c r="C2002" s="158">
        <f>740+30</f>
        <v>770</v>
      </c>
      <c r="D2002" s="1341">
        <f>(((B2002*E2002)-C2002)/(B2002*E2002))</f>
        <v>0.34988179669030728</v>
      </c>
      <c r="E2002" s="1342">
        <v>120</v>
      </c>
    </row>
    <row r="2003" spans="1:8">
      <c r="A2003" s="1383"/>
    </row>
    <row r="2004" spans="1:8" ht="14.25">
      <c r="A2004" s="1389" t="s">
        <v>5259</v>
      </c>
    </row>
    <row r="2005" spans="1:8" s="337" customFormat="1" ht="25.5">
      <c r="A2005" s="351" t="s">
        <v>261</v>
      </c>
      <c r="B2005" s="362" t="s">
        <v>356</v>
      </c>
      <c r="C2005" s="361" t="s">
        <v>244</v>
      </c>
      <c r="D2005" s="1395" t="s">
        <v>342</v>
      </c>
      <c r="E2005" s="361" t="s">
        <v>284</v>
      </c>
      <c r="F2005" s="1390" t="s">
        <v>5260</v>
      </c>
      <c r="G2005" s="1223" t="s">
        <v>4375</v>
      </c>
      <c r="H2005" s="1391" t="s">
        <v>4376</v>
      </c>
    </row>
    <row r="2006" spans="1:8" s="337" customFormat="1" ht="24" customHeight="1">
      <c r="A2006" s="363" t="s">
        <v>5257</v>
      </c>
      <c r="B2006" s="363" t="s">
        <v>5258</v>
      </c>
      <c r="C2006" s="1396" t="s">
        <v>5269</v>
      </c>
      <c r="D2006" s="364">
        <v>4.38</v>
      </c>
      <c r="E2006" s="1392" t="s">
        <v>5266</v>
      </c>
      <c r="F2006" s="1392">
        <f>390+30</f>
        <v>420</v>
      </c>
      <c r="G2006" s="1393">
        <f>(D2006-(F2006/H2006))/D2006</f>
        <v>0.20091324200913241</v>
      </c>
      <c r="H2006" s="1394">
        <v>120</v>
      </c>
    </row>
    <row r="2007" spans="1:8" s="337" customFormat="1" ht="24" customHeight="1">
      <c r="A2007" s="363" t="s">
        <v>5261</v>
      </c>
      <c r="B2007" s="363" t="s">
        <v>5262</v>
      </c>
      <c r="C2007" s="1396" t="s">
        <v>5270</v>
      </c>
      <c r="D2007" s="364">
        <v>4.6900000000000004</v>
      </c>
      <c r="E2007" s="1392" t="s">
        <v>5266</v>
      </c>
      <c r="F2007" s="1392">
        <f>420+30</f>
        <v>450</v>
      </c>
      <c r="G2007" s="1393">
        <f>(D2007-(F2007/H2007))/D2007</f>
        <v>0.20042643923240944</v>
      </c>
      <c r="H2007" s="1394">
        <v>120</v>
      </c>
    </row>
    <row r="2008" spans="1:8">
      <c r="A2008" s="352"/>
      <c r="B2008" s="352"/>
      <c r="C2008" s="352"/>
      <c r="D2008" s="352"/>
      <c r="E2008" s="352"/>
    </row>
    <row r="2009" spans="1:8" ht="25.5">
      <c r="A2009" s="1145" t="s">
        <v>5134</v>
      </c>
      <c r="B2009" s="362" t="s">
        <v>356</v>
      </c>
      <c r="C2009" s="361" t="s">
        <v>244</v>
      </c>
      <c r="D2009" s="1397" t="s">
        <v>342</v>
      </c>
      <c r="E2009" s="361" t="s">
        <v>284</v>
      </c>
      <c r="F2009" s="365" t="s">
        <v>5236</v>
      </c>
      <c r="G2009" s="1339"/>
      <c r="H2009" s="1339"/>
    </row>
    <row r="2010" spans="1:8" ht="25.5">
      <c r="A2010" s="1344" t="s">
        <v>5263</v>
      </c>
      <c r="B2010" s="1344" t="s">
        <v>5265</v>
      </c>
      <c r="C2010" s="1396" t="s">
        <v>5271</v>
      </c>
      <c r="D2010" s="1113">
        <f>ROUNDUP(F2010/0.8/120,2)</f>
        <v>11.98</v>
      </c>
      <c r="E2010" s="360" t="s">
        <v>5267</v>
      </c>
      <c r="F2010" s="158">
        <f>850+300</f>
        <v>1150</v>
      </c>
      <c r="G2010" s="1343">
        <f>(((D2010*H2010)-F2010)/(D2010*H2010))</f>
        <v>0.20005564830272685</v>
      </c>
      <c r="H2010" s="162">
        <v>120</v>
      </c>
    </row>
    <row r="2011" spans="1:8" ht="25.5">
      <c r="A2011" s="1344" t="s">
        <v>5264</v>
      </c>
      <c r="B2011" s="1344" t="s">
        <v>5265</v>
      </c>
      <c r="C2011" s="1396" t="s">
        <v>5271</v>
      </c>
      <c r="D2011" s="1113">
        <v>9.17</v>
      </c>
      <c r="E2011" s="360" t="s">
        <v>5268</v>
      </c>
      <c r="F2011" s="158">
        <f>850+30</f>
        <v>880</v>
      </c>
      <c r="G2011" s="1341">
        <f>(((D2011*H2011)-F2011)/(D2011*H2011))</f>
        <v>0.20029080334423852</v>
      </c>
      <c r="H2011" s="1342">
        <v>120</v>
      </c>
    </row>
    <row r="2014" spans="1:8" s="352" customFormat="1" ht="12.75">
      <c r="A2014" s="1385" t="s">
        <v>266</v>
      </c>
      <c r="B2014" s="354" t="s">
        <v>99</v>
      </c>
      <c r="C2014" s="354" t="s">
        <v>245</v>
      </c>
      <c r="D2014" s="354" t="s">
        <v>270</v>
      </c>
      <c r="E2014" s="354" t="s">
        <v>271</v>
      </c>
      <c r="F2014" s="1387" t="s">
        <v>4535</v>
      </c>
    </row>
    <row r="2015" spans="1:8" s="352" customFormat="1" ht="12.75">
      <c r="A2015" s="40" t="s">
        <v>5282</v>
      </c>
      <c r="B2015" s="1111" t="s">
        <v>2367</v>
      </c>
      <c r="C2015" s="357">
        <v>58</v>
      </c>
      <c r="D2015" s="1107">
        <v>26</v>
      </c>
      <c r="E2015" s="357">
        <f>C2015*D2015</f>
        <v>1508</v>
      </c>
      <c r="F2015" s="1113">
        <v>3.89</v>
      </c>
    </row>
    <row r="2016" spans="1:8" s="352" customFormat="1" ht="12.75">
      <c r="A2016" s="40" t="s">
        <v>5283</v>
      </c>
      <c r="B2016" s="1111" t="s">
        <v>2367</v>
      </c>
      <c r="C2016" s="357">
        <v>58</v>
      </c>
      <c r="D2016" s="1107">
        <v>30</v>
      </c>
      <c r="E2016" s="357">
        <f>C2016*D2016</f>
        <v>1740</v>
      </c>
      <c r="F2016" s="1113">
        <v>3.34</v>
      </c>
    </row>
    <row r="2017" spans="1:8" s="352" customFormat="1" ht="12.75">
      <c r="A2017" s="1106"/>
      <c r="B2017" s="40"/>
      <c r="C2017" s="355"/>
      <c r="D2017" s="356"/>
      <c r="E2017" s="355"/>
      <c r="F2017" s="1108"/>
    </row>
    <row r="2018" spans="1:8" s="352" customFormat="1" ht="12.75">
      <c r="A2018" s="40" t="s">
        <v>5285</v>
      </c>
      <c r="B2018" s="40" t="s">
        <v>212</v>
      </c>
      <c r="C2018" s="357">
        <v>58</v>
      </c>
      <c r="D2018" s="1107">
        <v>5</v>
      </c>
      <c r="E2018" s="357">
        <f>C2018*D2018</f>
        <v>290</v>
      </c>
      <c r="F2018" s="1113">
        <v>6.67</v>
      </c>
    </row>
    <row r="2019" spans="1:8" s="352" customFormat="1" ht="12.75">
      <c r="A2019" s="40" t="s">
        <v>5284</v>
      </c>
      <c r="B2019" s="40" t="s">
        <v>212</v>
      </c>
      <c r="C2019" s="357">
        <v>58</v>
      </c>
      <c r="D2019" s="1107">
        <v>30</v>
      </c>
      <c r="E2019" s="357">
        <f>C2019*D2019</f>
        <v>1740</v>
      </c>
      <c r="F2019" s="1113">
        <v>6.31</v>
      </c>
    </row>
    <row r="2022" spans="1:8" ht="14.25">
      <c r="A2022" s="1389" t="s">
        <v>5286</v>
      </c>
    </row>
    <row r="2023" spans="1:8" s="337" customFormat="1" ht="25.5">
      <c r="A2023" s="351" t="s">
        <v>261</v>
      </c>
      <c r="B2023" s="362" t="s">
        <v>356</v>
      </c>
      <c r="C2023" s="361" t="s">
        <v>244</v>
      </c>
      <c r="D2023" s="1395" t="s">
        <v>342</v>
      </c>
      <c r="E2023" s="361" t="s">
        <v>284</v>
      </c>
      <c r="F2023" s="1390" t="s">
        <v>5260</v>
      </c>
      <c r="G2023" s="1223" t="s">
        <v>4375</v>
      </c>
      <c r="H2023" s="1391" t="s">
        <v>4376</v>
      </c>
    </row>
    <row r="2024" spans="1:8" s="337" customFormat="1" ht="24" customHeight="1">
      <c r="A2024" s="363" t="s">
        <v>5287</v>
      </c>
      <c r="B2024" s="363" t="s">
        <v>5288</v>
      </c>
      <c r="C2024" s="363" t="s">
        <v>5289</v>
      </c>
      <c r="D2024" s="364">
        <v>7.92</v>
      </c>
      <c r="E2024" s="1392" t="s">
        <v>5290</v>
      </c>
      <c r="F2024" s="1392">
        <f>730+30</f>
        <v>760</v>
      </c>
      <c r="G2024" s="1393">
        <f>(D2024-(F2024/H2024))/D2024</f>
        <v>0.20033670033670037</v>
      </c>
      <c r="H2024" s="1394">
        <v>120</v>
      </c>
    </row>
    <row r="2026" spans="1:8" ht="14.25">
      <c r="A2026" s="1389" t="s">
        <v>5308</v>
      </c>
    </row>
    <row r="2027" spans="1:8" s="337" customFormat="1" ht="14.25">
      <c r="A2027" s="351" t="s">
        <v>261</v>
      </c>
      <c r="B2027" s="1395" t="s">
        <v>342</v>
      </c>
      <c r="C2027" s="1390" t="s">
        <v>5260</v>
      </c>
      <c r="D2027" s="1223" t="s">
        <v>4375</v>
      </c>
      <c r="E2027" s="1391" t="s">
        <v>4376</v>
      </c>
    </row>
    <row r="2028" spans="1:8" s="337" customFormat="1" ht="24" customHeight="1">
      <c r="A2028" s="363">
        <v>5081</v>
      </c>
      <c r="B2028" s="364">
        <v>9.17</v>
      </c>
      <c r="C2028" s="1392">
        <f>850+30</f>
        <v>880</v>
      </c>
      <c r="D2028" s="1393">
        <f>(B2028-(C2028/E2028))/B2028</f>
        <v>0.20029080334423849</v>
      </c>
      <c r="E2028" s="1394">
        <v>120</v>
      </c>
    </row>
    <row r="2031" spans="1:8" ht="15">
      <c r="A2031" s="1404" t="s">
        <v>5319</v>
      </c>
      <c r="B2031" s="1404"/>
      <c r="C2031" s="1404"/>
      <c r="D2031" s="1404"/>
      <c r="E2031" s="1404"/>
      <c r="F2031" s="1404"/>
    </row>
    <row r="2032" spans="1:8">
      <c r="A2032" s="1145" t="s">
        <v>179</v>
      </c>
      <c r="B2032" s="1145" t="s">
        <v>99</v>
      </c>
      <c r="C2032" s="1145" t="s">
        <v>5327</v>
      </c>
      <c r="D2032" s="1405" t="s">
        <v>4535</v>
      </c>
      <c r="E2032" s="1405" t="s">
        <v>5350</v>
      </c>
      <c r="G2032" s="1151" t="s">
        <v>4375</v>
      </c>
      <c r="H2032" s="194" t="s">
        <v>4376</v>
      </c>
    </row>
    <row r="2033" spans="1:8">
      <c r="A2033" s="40" t="s">
        <v>5320</v>
      </c>
      <c r="B2033" s="40" t="s">
        <v>5318</v>
      </c>
      <c r="C2033" s="357">
        <v>10</v>
      </c>
      <c r="D2033" s="385">
        <f t="shared" ref="D2033:D2048" si="26">ROUNDUP(F2033/0.6/120,2)</f>
        <v>0.88</v>
      </c>
      <c r="E2033" s="1412" t="s">
        <v>5341</v>
      </c>
      <c r="F2033" s="1408">
        <v>63</v>
      </c>
      <c r="G2033" s="1189">
        <f t="shared" ref="G2033:G2048" si="27">(D2033-(F2033/H2033))/D2033</f>
        <v>0.40340909090909088</v>
      </c>
      <c r="H2033" s="194">
        <v>120</v>
      </c>
    </row>
    <row r="2034" spans="1:8">
      <c r="A2034" s="40" t="s">
        <v>5320</v>
      </c>
      <c r="B2034" s="40" t="s">
        <v>5328</v>
      </c>
      <c r="C2034" s="357">
        <v>100</v>
      </c>
      <c r="D2034" s="385">
        <f t="shared" si="26"/>
        <v>1.99</v>
      </c>
      <c r="E2034" s="1412" t="s">
        <v>5340</v>
      </c>
      <c r="F2034" s="1408">
        <f>63+80</f>
        <v>143</v>
      </c>
      <c r="G2034" s="1189">
        <f t="shared" si="27"/>
        <v>0.40117252931323283</v>
      </c>
      <c r="H2034" s="194">
        <v>120</v>
      </c>
    </row>
    <row r="2035" spans="1:8">
      <c r="A2035" s="40" t="s">
        <v>5321</v>
      </c>
      <c r="B2035" s="40" t="s">
        <v>5318</v>
      </c>
      <c r="C2035" s="357">
        <v>10</v>
      </c>
      <c r="D2035" s="385">
        <f t="shared" si="26"/>
        <v>2.17</v>
      </c>
      <c r="E2035" s="1412" t="s">
        <v>5342</v>
      </c>
      <c r="F2035" s="1408">
        <v>156</v>
      </c>
      <c r="G2035" s="1189">
        <f t="shared" si="27"/>
        <v>0.4009216589861751</v>
      </c>
      <c r="H2035" s="194">
        <v>120</v>
      </c>
    </row>
    <row r="2036" spans="1:8">
      <c r="A2036" s="40" t="s">
        <v>5321</v>
      </c>
      <c r="B2036" s="40" t="s">
        <v>5328</v>
      </c>
      <c r="C2036" s="357">
        <v>100</v>
      </c>
      <c r="D2036" s="385">
        <f t="shared" si="26"/>
        <v>3.42</v>
      </c>
      <c r="E2036" s="1412"/>
      <c r="F2036" s="1408">
        <f>156+90</f>
        <v>246</v>
      </c>
      <c r="G2036" s="1189">
        <f t="shared" si="27"/>
        <v>0.40058479532163749</v>
      </c>
      <c r="H2036" s="194">
        <v>120</v>
      </c>
    </row>
    <row r="2037" spans="1:8">
      <c r="A2037" s="40" t="s">
        <v>5323</v>
      </c>
      <c r="B2037" s="40" t="s">
        <v>5318</v>
      </c>
      <c r="C2037" s="357">
        <v>10</v>
      </c>
      <c r="D2037" s="385">
        <f t="shared" si="26"/>
        <v>0.98</v>
      </c>
      <c r="E2037" s="1412" t="s">
        <v>5342</v>
      </c>
      <c r="F2037" s="1408">
        <v>70</v>
      </c>
      <c r="G2037" s="1189">
        <f t="shared" si="27"/>
        <v>0.40476190476190471</v>
      </c>
      <c r="H2037" s="194">
        <v>120</v>
      </c>
    </row>
    <row r="2038" spans="1:8">
      <c r="A2038" s="40" t="s">
        <v>5323</v>
      </c>
      <c r="B2038" s="40" t="s">
        <v>5328</v>
      </c>
      <c r="C2038" s="357">
        <v>100</v>
      </c>
      <c r="D2038" s="385">
        <f t="shared" si="26"/>
        <v>1.95</v>
      </c>
      <c r="E2038" s="1412"/>
      <c r="F2038" s="1408">
        <f>70+70</f>
        <v>140</v>
      </c>
      <c r="G2038" s="1189">
        <f t="shared" si="27"/>
        <v>0.40170940170940167</v>
      </c>
      <c r="H2038" s="194">
        <v>120</v>
      </c>
    </row>
    <row r="2039" spans="1:8">
      <c r="A2039" s="40" t="s">
        <v>5324</v>
      </c>
      <c r="B2039" s="40" t="s">
        <v>5318</v>
      </c>
      <c r="C2039" s="357">
        <v>10</v>
      </c>
      <c r="D2039" s="385">
        <f t="shared" si="26"/>
        <v>0.77</v>
      </c>
      <c r="E2039" s="1412" t="s">
        <v>5342</v>
      </c>
      <c r="F2039" s="1408">
        <v>55</v>
      </c>
      <c r="G2039" s="1189">
        <f t="shared" si="27"/>
        <v>0.40476190476190482</v>
      </c>
      <c r="H2039" s="194">
        <v>120</v>
      </c>
    </row>
    <row r="2040" spans="1:8">
      <c r="A2040" s="40" t="s">
        <v>5324</v>
      </c>
      <c r="B2040" s="40" t="s">
        <v>5328</v>
      </c>
      <c r="C2040" s="357">
        <v>100</v>
      </c>
      <c r="D2040" s="385">
        <f t="shared" si="26"/>
        <v>1.8800000000000001</v>
      </c>
      <c r="E2040" s="1412"/>
      <c r="F2040" s="1408">
        <f>55+80</f>
        <v>135</v>
      </c>
      <c r="G2040" s="1189">
        <f t="shared" si="27"/>
        <v>0.40159574468085107</v>
      </c>
      <c r="H2040" s="194">
        <v>120</v>
      </c>
    </row>
    <row r="2041" spans="1:8">
      <c r="A2041" s="40" t="s">
        <v>5322</v>
      </c>
      <c r="B2041" s="40" t="s">
        <v>5318</v>
      </c>
      <c r="C2041" s="357">
        <v>10</v>
      </c>
      <c r="D2041" s="385">
        <f t="shared" si="26"/>
        <v>0.42</v>
      </c>
      <c r="E2041" s="1412" t="s">
        <v>5343</v>
      </c>
      <c r="F2041" s="1408">
        <v>30</v>
      </c>
      <c r="G2041" s="1189">
        <f t="shared" si="27"/>
        <v>0.40476190476190477</v>
      </c>
      <c r="H2041" s="194">
        <v>120</v>
      </c>
    </row>
    <row r="2042" spans="1:8">
      <c r="A2042" s="40" t="s">
        <v>5322</v>
      </c>
      <c r="B2042" s="40" t="s">
        <v>5328</v>
      </c>
      <c r="C2042" s="357">
        <v>100</v>
      </c>
      <c r="D2042" s="385">
        <f t="shared" si="26"/>
        <v>1.39</v>
      </c>
      <c r="E2042" s="1412"/>
      <c r="F2042" s="1408">
        <f>30+70</f>
        <v>100</v>
      </c>
      <c r="G2042" s="1189">
        <f t="shared" si="27"/>
        <v>0.40047961630695439</v>
      </c>
      <c r="H2042" s="194">
        <v>120</v>
      </c>
    </row>
    <row r="2043" spans="1:8">
      <c r="A2043" s="40" t="s">
        <v>5325</v>
      </c>
      <c r="B2043" s="40" t="s">
        <v>5318</v>
      </c>
      <c r="C2043" s="357">
        <v>10</v>
      </c>
      <c r="D2043" s="385">
        <f t="shared" si="26"/>
        <v>0.5</v>
      </c>
      <c r="E2043" s="1412" t="s">
        <v>5344</v>
      </c>
      <c r="F2043" s="1408">
        <v>36</v>
      </c>
      <c r="G2043" s="1189">
        <f t="shared" si="27"/>
        <v>0.4</v>
      </c>
      <c r="H2043" s="194">
        <v>120</v>
      </c>
    </row>
    <row r="2044" spans="1:8">
      <c r="A2044" s="40" t="s">
        <v>5325</v>
      </c>
      <c r="B2044" s="40" t="s">
        <v>5328</v>
      </c>
      <c r="C2044" s="357">
        <v>100</v>
      </c>
      <c r="D2044" s="385">
        <f t="shared" si="26"/>
        <v>1.48</v>
      </c>
      <c r="E2044" s="1412"/>
      <c r="F2044" s="1408">
        <f>36+70</f>
        <v>106</v>
      </c>
      <c r="G2044" s="1189">
        <f t="shared" si="27"/>
        <v>0.40315315315315314</v>
      </c>
      <c r="H2044" s="194">
        <v>120</v>
      </c>
    </row>
    <row r="2045" spans="1:8">
      <c r="A2045" s="40" t="s">
        <v>5335</v>
      </c>
      <c r="B2045" s="40" t="s">
        <v>5318</v>
      </c>
      <c r="C2045" s="357">
        <v>10</v>
      </c>
      <c r="D2045" s="385">
        <f t="shared" si="26"/>
        <v>0.46</v>
      </c>
      <c r="E2045" s="1412" t="s">
        <v>5345</v>
      </c>
      <c r="F2045" s="1408">
        <v>33</v>
      </c>
      <c r="G2045" s="1189">
        <f t="shared" si="27"/>
        <v>0.40217391304347822</v>
      </c>
      <c r="H2045" s="194">
        <v>120</v>
      </c>
    </row>
    <row r="2046" spans="1:8">
      <c r="A2046" s="40" t="s">
        <v>5335</v>
      </c>
      <c r="B2046" s="40" t="s">
        <v>5328</v>
      </c>
      <c r="C2046" s="357">
        <v>100</v>
      </c>
      <c r="D2046" s="385">
        <f t="shared" si="26"/>
        <v>1.44</v>
      </c>
      <c r="E2046" s="360" t="s">
        <v>5329</v>
      </c>
      <c r="F2046" s="1408">
        <f>33+70</f>
        <v>103</v>
      </c>
      <c r="G2046" s="1189">
        <f t="shared" si="27"/>
        <v>0.40393518518518517</v>
      </c>
      <c r="H2046" s="194">
        <v>120</v>
      </c>
    </row>
    <row r="2047" spans="1:8">
      <c r="A2047" s="40" t="s">
        <v>5326</v>
      </c>
      <c r="B2047" s="40" t="s">
        <v>5318</v>
      </c>
      <c r="C2047" s="357" t="s">
        <v>5349</v>
      </c>
      <c r="D2047" s="385">
        <f t="shared" si="26"/>
        <v>1.39</v>
      </c>
      <c r="E2047" s="1412" t="s">
        <v>5347</v>
      </c>
      <c r="F2047" s="1406">
        <v>100</v>
      </c>
      <c r="G2047" s="1189">
        <f t="shared" si="27"/>
        <v>0.40047961630695439</v>
      </c>
      <c r="H2047" s="194">
        <v>120</v>
      </c>
    </row>
    <row r="2048" spans="1:8">
      <c r="A2048" s="40" t="s">
        <v>5326</v>
      </c>
      <c r="B2048" s="40" t="s">
        <v>5328</v>
      </c>
      <c r="C2048" s="357">
        <v>301</v>
      </c>
      <c r="D2048" s="385">
        <f t="shared" si="26"/>
        <v>1.95</v>
      </c>
      <c r="E2048" s="360" t="s">
        <v>5329</v>
      </c>
      <c r="F2048" s="1406">
        <f>100+40</f>
        <v>140</v>
      </c>
      <c r="G2048" s="1189">
        <f t="shared" si="27"/>
        <v>0.40170940170940167</v>
      </c>
      <c r="H2048" s="194">
        <v>120</v>
      </c>
    </row>
    <row r="2049" spans="1:6">
      <c r="A2049" s="1418" t="s">
        <v>5351</v>
      </c>
    </row>
    <row r="2050" spans="1:6">
      <c r="A2050" s="1419" t="s">
        <v>5397</v>
      </c>
    </row>
    <row r="2051" spans="1:6" ht="15">
      <c r="A2051" s="435" t="s">
        <v>5395</v>
      </c>
    </row>
    <row r="2052" spans="1:6">
      <c r="A2052" s="1419" t="s">
        <v>5396</v>
      </c>
    </row>
    <row r="2055" spans="1:6">
      <c r="A2055" s="1145" t="s">
        <v>179</v>
      </c>
      <c r="B2055" s="1145" t="s">
        <v>99</v>
      </c>
      <c r="C2055" s="1145" t="s">
        <v>5327</v>
      </c>
      <c r="D2055" s="1145" t="s">
        <v>5330</v>
      </c>
      <c r="E2055" s="1405" t="s">
        <v>5333</v>
      </c>
    </row>
    <row r="2056" spans="1:6">
      <c r="A2056" s="40" t="s">
        <v>5320</v>
      </c>
      <c r="B2056" s="40" t="s">
        <v>5332</v>
      </c>
      <c r="C2056" s="357">
        <v>10</v>
      </c>
      <c r="D2056" s="1408">
        <v>63</v>
      </c>
      <c r="E2056" s="1412">
        <v>1000</v>
      </c>
      <c r="F2056" s="1406">
        <v>63</v>
      </c>
    </row>
    <row r="2057" spans="1:6">
      <c r="A2057" s="40" t="s">
        <v>5320</v>
      </c>
      <c r="B2057" s="40" t="s">
        <v>5331</v>
      </c>
      <c r="C2057" s="357">
        <v>100</v>
      </c>
      <c r="D2057" s="1408" t="s">
        <v>5336</v>
      </c>
      <c r="E2057" s="1412"/>
      <c r="F2057" s="1406"/>
    </row>
    <row r="2058" spans="1:6">
      <c r="A2058" s="40" t="s">
        <v>5321</v>
      </c>
      <c r="B2058" s="40" t="s">
        <v>5332</v>
      </c>
      <c r="C2058" s="357">
        <v>10</v>
      </c>
      <c r="D2058" s="1408">
        <v>156</v>
      </c>
      <c r="E2058" s="1412">
        <v>200</v>
      </c>
      <c r="F2058" s="1406">
        <v>156</v>
      </c>
    </row>
    <row r="2059" spans="1:6">
      <c r="A2059" s="40" t="s">
        <v>5321</v>
      </c>
      <c r="B2059" s="40" t="s">
        <v>5331</v>
      </c>
      <c r="C2059" s="357">
        <v>100</v>
      </c>
      <c r="D2059" s="1408" t="s">
        <v>5337</v>
      </c>
      <c r="E2059" s="1412"/>
      <c r="F2059" s="1406"/>
    </row>
    <row r="2060" spans="1:6">
      <c r="A2060" s="40" t="s">
        <v>5323</v>
      </c>
      <c r="B2060" s="40" t="s">
        <v>5332</v>
      </c>
      <c r="C2060" s="357">
        <v>10</v>
      </c>
      <c r="D2060" s="1408">
        <v>70</v>
      </c>
      <c r="E2060" s="1412">
        <v>200</v>
      </c>
      <c r="F2060" s="1406">
        <v>70</v>
      </c>
    </row>
    <row r="2061" spans="1:6">
      <c r="A2061" s="40" t="s">
        <v>5323</v>
      </c>
      <c r="B2061" s="40" t="s">
        <v>5331</v>
      </c>
      <c r="C2061" s="357">
        <v>100</v>
      </c>
      <c r="D2061" s="1408" t="s">
        <v>5338</v>
      </c>
      <c r="E2061" s="1412"/>
      <c r="F2061" s="1406"/>
    </row>
    <row r="2062" spans="1:6">
      <c r="A2062" s="40" t="s">
        <v>5324</v>
      </c>
      <c r="B2062" s="40" t="s">
        <v>5332</v>
      </c>
      <c r="C2062" s="357">
        <v>10</v>
      </c>
      <c r="D2062" s="1408">
        <v>55</v>
      </c>
      <c r="E2062" s="1412">
        <v>200</v>
      </c>
      <c r="F2062" s="1406">
        <v>55</v>
      </c>
    </row>
    <row r="2063" spans="1:6">
      <c r="A2063" s="40" t="s">
        <v>5324</v>
      </c>
      <c r="B2063" s="40" t="s">
        <v>5331</v>
      </c>
      <c r="C2063" s="357">
        <v>100</v>
      </c>
      <c r="D2063" s="1408" t="s">
        <v>5339</v>
      </c>
      <c r="E2063" s="1412"/>
      <c r="F2063" s="1406"/>
    </row>
    <row r="2064" spans="1:6">
      <c r="A2064" s="40" t="s">
        <v>5322</v>
      </c>
      <c r="B2064" s="40" t="s">
        <v>5332</v>
      </c>
      <c r="C2064" s="357">
        <v>10</v>
      </c>
      <c r="D2064" s="1408">
        <v>30</v>
      </c>
      <c r="E2064" s="1412">
        <v>1100</v>
      </c>
      <c r="F2064" s="1406">
        <v>30</v>
      </c>
    </row>
    <row r="2065" spans="1:6">
      <c r="A2065" s="40" t="s">
        <v>5322</v>
      </c>
      <c r="B2065" s="40" t="s">
        <v>5331</v>
      </c>
      <c r="C2065" s="357">
        <v>100</v>
      </c>
      <c r="D2065" s="1408" t="s">
        <v>5338</v>
      </c>
      <c r="E2065" s="1412"/>
      <c r="F2065" s="1406"/>
    </row>
    <row r="2066" spans="1:6">
      <c r="A2066" s="40" t="s">
        <v>5325</v>
      </c>
      <c r="B2066" s="40" t="s">
        <v>5332</v>
      </c>
      <c r="C2066" s="357">
        <v>10</v>
      </c>
      <c r="D2066" s="1408">
        <v>36</v>
      </c>
      <c r="E2066" s="1412">
        <v>2000</v>
      </c>
      <c r="F2066" s="1406">
        <v>36</v>
      </c>
    </row>
    <row r="2067" spans="1:6">
      <c r="A2067" s="40" t="s">
        <v>5325</v>
      </c>
      <c r="B2067" s="40" t="s">
        <v>5331</v>
      </c>
      <c r="C2067" s="357">
        <v>100</v>
      </c>
      <c r="D2067" s="1408" t="s">
        <v>5338</v>
      </c>
      <c r="E2067" s="1412"/>
      <c r="F2067" s="1406"/>
    </row>
    <row r="2068" spans="1:6">
      <c r="A2068" s="40" t="s">
        <v>5335</v>
      </c>
      <c r="B2068" s="40" t="s">
        <v>5332</v>
      </c>
      <c r="C2068" s="357">
        <v>10</v>
      </c>
      <c r="D2068" s="1408">
        <v>33</v>
      </c>
      <c r="E2068" s="1412">
        <v>1200</v>
      </c>
      <c r="F2068" s="1406"/>
    </row>
    <row r="2069" spans="1:6">
      <c r="A2069" s="40" t="s">
        <v>5335</v>
      </c>
      <c r="B2069" s="40" t="s">
        <v>5331</v>
      </c>
      <c r="C2069" s="357">
        <v>100</v>
      </c>
      <c r="D2069" s="1408" t="s">
        <v>5338</v>
      </c>
      <c r="E2069" s="1412"/>
      <c r="F2069" s="1406"/>
    </row>
    <row r="2070" spans="1:6">
      <c r="A2070" s="40" t="s">
        <v>5326</v>
      </c>
      <c r="B2070" s="40" t="s">
        <v>5332</v>
      </c>
      <c r="C2070" s="357">
        <v>10</v>
      </c>
      <c r="D2070" s="1408">
        <v>100</v>
      </c>
      <c r="E2070" s="1413" t="s">
        <v>5346</v>
      </c>
      <c r="F2070" s="1406">
        <v>100</v>
      </c>
    </row>
    <row r="2071" spans="1:6">
      <c r="A2071" s="40" t="s">
        <v>5326</v>
      </c>
      <c r="B2071" s="40" t="s">
        <v>5331</v>
      </c>
      <c r="C2071" s="357">
        <v>301</v>
      </c>
      <c r="D2071" s="1414" t="s">
        <v>5348</v>
      </c>
      <c r="E2071" s="360"/>
      <c r="F2071" s="1406"/>
    </row>
    <row r="2072" spans="1:6">
      <c r="A2072" s="1236"/>
      <c r="B2072" s="1236"/>
      <c r="C2072" s="1409"/>
      <c r="D2072" s="1410"/>
      <c r="E2072" s="1407"/>
      <c r="F2072" s="1406"/>
    </row>
    <row r="2073" spans="1:6">
      <c r="A2073" s="1236"/>
      <c r="B2073" s="1236"/>
      <c r="C2073" s="1409"/>
      <c r="D2073" s="1410"/>
      <c r="E2073" s="1407"/>
      <c r="F2073" s="1406"/>
    </row>
    <row r="2074" spans="1:6">
      <c r="A2074" s="1236"/>
      <c r="B2074" s="1236"/>
      <c r="C2074" s="1409"/>
      <c r="D2074" s="1410"/>
      <c r="E2074" s="1407"/>
      <c r="F2074" s="1406"/>
    </row>
    <row r="2076" spans="1:6">
      <c r="A2076" s="1145" t="s">
        <v>179</v>
      </c>
      <c r="B2076" s="1145" t="s">
        <v>99</v>
      </c>
      <c r="C2076" s="1145" t="s">
        <v>5327</v>
      </c>
      <c r="D2076" s="1145" t="s">
        <v>5330</v>
      </c>
      <c r="E2076" s="1405" t="s">
        <v>5333</v>
      </c>
    </row>
    <row r="2077" spans="1:6">
      <c r="A2077" s="40" t="s">
        <v>5326</v>
      </c>
      <c r="B2077" s="40" t="s">
        <v>5332</v>
      </c>
      <c r="C2077" s="357">
        <v>10</v>
      </c>
      <c r="D2077" s="1408">
        <v>100</v>
      </c>
      <c r="E2077" s="360"/>
    </row>
    <row r="2078" spans="1:6">
      <c r="A2078" s="40" t="s">
        <v>5326</v>
      </c>
      <c r="B2078" s="40" t="s">
        <v>5331</v>
      </c>
      <c r="C2078" s="357">
        <v>300</v>
      </c>
      <c r="D2078" s="1408" t="s">
        <v>5334</v>
      </c>
      <c r="E2078" s="360"/>
    </row>
    <row r="2081" spans="1:5">
      <c r="A2081" s="1338" t="s">
        <v>5353</v>
      </c>
      <c r="C2081" s="194" t="s">
        <v>5137</v>
      </c>
      <c r="D2081" s="1151" t="s">
        <v>4375</v>
      </c>
      <c r="E2081" s="1151" t="s">
        <v>4376</v>
      </c>
    </row>
    <row r="2082" spans="1:5" ht="27">
      <c r="A2082" s="1145" t="s">
        <v>5134</v>
      </c>
      <c r="B2082" s="1185" t="s">
        <v>4535</v>
      </c>
      <c r="C2082" s="1390" t="s">
        <v>5354</v>
      </c>
      <c r="D2082" s="1339"/>
      <c r="E2082" s="1339"/>
    </row>
    <row r="2083" spans="1:5" ht="25.5">
      <c r="A2083" s="1344" t="s">
        <v>5355</v>
      </c>
      <c r="B2083" s="360">
        <f>ROUNDUP(C2083/0.8/120,2)</f>
        <v>17.920000000000002</v>
      </c>
      <c r="C2083" s="158">
        <f>1420+300</f>
        <v>1720</v>
      </c>
      <c r="D2083" s="1343">
        <f>(((B2083*E2083)-C2083)/(B2083*E2083))</f>
        <v>0.20014880952380956</v>
      </c>
      <c r="E2083" s="162">
        <v>120</v>
      </c>
    </row>
    <row r="2084" spans="1:5" ht="25.5">
      <c r="A2084" s="1340" t="s">
        <v>5356</v>
      </c>
      <c r="B2084" s="360">
        <f>ROUNDUP(C2084/0.8/120,2)</f>
        <v>15.11</v>
      </c>
      <c r="C2084" s="158">
        <f>1420+30</f>
        <v>1450</v>
      </c>
      <c r="D2084" s="1341">
        <f>(((B2084*E2084)-C2084)/(B2084*E2084))</f>
        <v>0.20030884623869394</v>
      </c>
      <c r="E2084" s="1342">
        <v>120</v>
      </c>
    </row>
    <row r="2085" spans="1:5" s="393" customFormat="1" ht="26.1" customHeight="1">
      <c r="A2085" s="363" t="s">
        <v>5359</v>
      </c>
      <c r="B2085" s="1415" t="s">
        <v>5357</v>
      </c>
      <c r="C2085" s="1390"/>
      <c r="D2085" s="1223"/>
      <c r="E2085" s="1391"/>
    </row>
    <row r="2086" spans="1:5" s="400" customFormat="1" ht="24" customHeight="1">
      <c r="A2086" s="363" t="s">
        <v>5358</v>
      </c>
      <c r="B2086" s="360">
        <f>ROUNDUP(C2086/0.8/120,2)</f>
        <v>31.57</v>
      </c>
      <c r="C2086" s="363">
        <f>3000+30</f>
        <v>3030</v>
      </c>
      <c r="D2086" s="1393">
        <f>(B2086-(C2086/E2086))/B2086</f>
        <v>0.20019005384859045</v>
      </c>
      <c r="E2086" s="1394">
        <v>120</v>
      </c>
    </row>
    <row r="2087" spans="1:5" s="393" customFormat="1" ht="33.6" customHeight="1">
      <c r="A2087" s="363" t="s">
        <v>5360</v>
      </c>
      <c r="B2087" s="1415" t="s">
        <v>5361</v>
      </c>
      <c r="C2087" s="1390">
        <v>2400</v>
      </c>
      <c r="D2087" s="1393" t="e">
        <f>(B2087-(C2087/E2087))/B2087</f>
        <v>#VALUE!</v>
      </c>
      <c r="E2087" s="1394">
        <v>120</v>
      </c>
    </row>
    <row r="2088" spans="1:5" s="393" customFormat="1" ht="33.6" customHeight="1">
      <c r="A2088" s="363" t="s">
        <v>5362</v>
      </c>
      <c r="B2088" s="360">
        <f>ROUNDUP(C2088/0.8/120,2)</f>
        <v>19.8</v>
      </c>
      <c r="C2088" s="1390">
        <v>1900</v>
      </c>
      <c r="D2088" s="1393">
        <f>(B2088-(C2088/E2088))/B2088</f>
        <v>0.20033670033670034</v>
      </c>
      <c r="E2088" s="1394">
        <v>120</v>
      </c>
    </row>
    <row r="2089" spans="1:5" ht="51">
      <c r="A2089" s="1416" t="s">
        <v>5363</v>
      </c>
    </row>
    <row r="2092" spans="1:5" ht="14.25">
      <c r="A2092" s="1389" t="s">
        <v>5372</v>
      </c>
    </row>
    <row r="2093" spans="1:5" s="337" customFormat="1" ht="14.25">
      <c r="A2093" s="351" t="s">
        <v>261</v>
      </c>
      <c r="B2093" s="1395" t="s">
        <v>342</v>
      </c>
      <c r="C2093" s="1390" t="s">
        <v>5260</v>
      </c>
      <c r="D2093" s="1223" t="s">
        <v>4375</v>
      </c>
      <c r="E2093" s="1391" t="s">
        <v>4376</v>
      </c>
    </row>
    <row r="2094" spans="1:5" s="337" customFormat="1" ht="24" customHeight="1">
      <c r="A2094" s="363" t="s">
        <v>5371</v>
      </c>
      <c r="B2094" s="364">
        <v>7.92</v>
      </c>
      <c r="C2094" s="1392">
        <f>730+30</f>
        <v>760</v>
      </c>
      <c r="D2094" s="1393">
        <f>(B2094-(C2094/E2094))/B2094</f>
        <v>0.20033670033670037</v>
      </c>
      <c r="E2094" s="1394">
        <v>120</v>
      </c>
    </row>
    <row r="2096" spans="1:5">
      <c r="A2096" t="s">
        <v>5374</v>
      </c>
    </row>
    <row r="2097" spans="1:7">
      <c r="A2097" s="351" t="s">
        <v>261</v>
      </c>
      <c r="B2097" s="351" t="s">
        <v>5375</v>
      </c>
      <c r="C2097" s="1395" t="s">
        <v>342</v>
      </c>
      <c r="D2097" s="1390" t="s">
        <v>5260</v>
      </c>
      <c r="E2097" s="1223" t="s">
        <v>4375</v>
      </c>
      <c r="F2097" s="1391" t="s">
        <v>4376</v>
      </c>
    </row>
    <row r="2098" spans="1:7">
      <c r="A2098" s="363" t="s">
        <v>314</v>
      </c>
      <c r="B2098" s="363" t="s">
        <v>5376</v>
      </c>
      <c r="C2098" s="364">
        <v>7.92</v>
      </c>
      <c r="D2098" s="1392">
        <f>730+30</f>
        <v>760</v>
      </c>
      <c r="E2098" s="1393">
        <f>(C2098-(D2098/F2098))/C2098</f>
        <v>0.20033670033670037</v>
      </c>
      <c r="F2098" s="1394">
        <v>120</v>
      </c>
    </row>
    <row r="2099" spans="1:7">
      <c r="A2099" s="363" t="s">
        <v>314</v>
      </c>
      <c r="B2099" s="363" t="s">
        <v>5377</v>
      </c>
      <c r="C2099" s="364">
        <v>7.09</v>
      </c>
      <c r="D2099" s="1392">
        <f>650+30</f>
        <v>680</v>
      </c>
      <c r="E2099" s="1393">
        <f>(C2099-(D2099/F2099))/C2099</f>
        <v>0.20075223319228955</v>
      </c>
      <c r="F2099" s="1394">
        <v>120</v>
      </c>
    </row>
    <row r="2100" spans="1:7">
      <c r="A2100" s="363" t="s">
        <v>314</v>
      </c>
      <c r="B2100" s="363" t="s">
        <v>5378</v>
      </c>
      <c r="C2100" s="364">
        <v>6.98</v>
      </c>
      <c r="D2100" s="1392">
        <f>640+30</f>
        <v>670</v>
      </c>
      <c r="E2100" s="1393">
        <f>(C2100-(D2100/F2100))/C2100</f>
        <v>0.20009551098376321</v>
      </c>
      <c r="F2100" s="1394">
        <v>120</v>
      </c>
    </row>
    <row r="2101" spans="1:7">
      <c r="A2101" s="363" t="s">
        <v>314</v>
      </c>
      <c r="B2101" s="363" t="s">
        <v>5379</v>
      </c>
      <c r="C2101" s="364">
        <v>6.88</v>
      </c>
      <c r="D2101" s="1392">
        <f>630+30</f>
        <v>660</v>
      </c>
      <c r="E2101" s="1393">
        <f>(C2101-(D2101/F2101))/C2101</f>
        <v>0.2005813953488372</v>
      </c>
      <c r="F2101" s="1394">
        <v>120</v>
      </c>
    </row>
    <row r="2104" spans="1:7">
      <c r="A2104" s="351" t="s">
        <v>5385</v>
      </c>
      <c r="B2104" s="351" t="s">
        <v>261</v>
      </c>
      <c r="C2104" s="351" t="s">
        <v>36</v>
      </c>
      <c r="D2104" s="354" t="s">
        <v>245</v>
      </c>
      <c r="E2104" s="354" t="s">
        <v>270</v>
      </c>
      <c r="F2104" s="354" t="s">
        <v>271</v>
      </c>
      <c r="G2104" s="1387" t="s">
        <v>4535</v>
      </c>
    </row>
    <row r="2105" spans="1:7" ht="15">
      <c r="A2105" s="6" t="s">
        <v>5383</v>
      </c>
      <c r="B2105" s="22" t="s">
        <v>314</v>
      </c>
      <c r="C2105" s="22" t="s">
        <v>5380</v>
      </c>
      <c r="D2105" s="108">
        <v>53</v>
      </c>
      <c r="E2105" s="109">
        <v>1</v>
      </c>
      <c r="F2105" s="8">
        <f>D2105*E2105</f>
        <v>53</v>
      </c>
      <c r="G2105" s="39">
        <v>7.92</v>
      </c>
    </row>
    <row r="2106" spans="1:7" ht="15">
      <c r="A2106" s="6" t="s">
        <v>5383</v>
      </c>
      <c r="B2106" s="22" t="s">
        <v>314</v>
      </c>
      <c r="C2106" s="22" t="s">
        <v>5381</v>
      </c>
      <c r="D2106" s="108">
        <v>58</v>
      </c>
      <c r="E2106" s="109">
        <v>1</v>
      </c>
      <c r="F2106" s="8">
        <f>D2106*E2106</f>
        <v>58</v>
      </c>
      <c r="G2106" s="39">
        <v>7.92</v>
      </c>
    </row>
    <row r="2107" spans="1:7" ht="15">
      <c r="A2107" s="6" t="s">
        <v>5384</v>
      </c>
      <c r="B2107" s="22" t="s">
        <v>314</v>
      </c>
      <c r="C2107" s="22" t="s">
        <v>5380</v>
      </c>
      <c r="D2107" s="108"/>
      <c r="E2107" s="109"/>
      <c r="F2107" s="8">
        <v>5</v>
      </c>
      <c r="G2107" s="39">
        <v>7.92</v>
      </c>
    </row>
    <row r="2108" spans="1:7" ht="22.5">
      <c r="A2108" s="6" t="s">
        <v>5382</v>
      </c>
      <c r="B2108" s="22"/>
      <c r="C2108" s="22" t="s">
        <v>236</v>
      </c>
      <c r="D2108" s="8"/>
      <c r="E2108" s="109" ph="1"/>
      <c r="F2108" s="38">
        <v>1</v>
      </c>
      <c r="G2108" s="39">
        <v>12</v>
      </c>
    </row>
    <row r="2109" spans="1:7" ht="22.5">
      <c r="A2109" s="6" t="s">
        <v>5382</v>
      </c>
      <c r="B2109" s="49"/>
      <c r="C2109" s="22" t="s">
        <v>316</v>
      </c>
      <c r="D2109" s="8"/>
      <c r="E2109" s="109" ph="1"/>
      <c r="F2109" s="38">
        <v>1</v>
      </c>
      <c r="G2109" s="39">
        <v>25</v>
      </c>
    </row>
    <row r="2113" spans="1:9">
      <c r="A2113" s="351" t="s">
        <v>5387</v>
      </c>
      <c r="B2113" s="351" t="s">
        <v>261</v>
      </c>
      <c r="C2113" s="351" t="s">
        <v>36</v>
      </c>
      <c r="D2113" s="354" t="s">
        <v>245</v>
      </c>
      <c r="E2113" s="354" t="s">
        <v>270</v>
      </c>
      <c r="F2113" s="354" t="s">
        <v>271</v>
      </c>
    </row>
    <row r="2114" spans="1:9" ht="15">
      <c r="A2114" s="6" t="s">
        <v>5386</v>
      </c>
      <c r="B2114" s="22" t="s">
        <v>314</v>
      </c>
      <c r="C2114" s="22" t="s">
        <v>5380</v>
      </c>
      <c r="D2114" s="108">
        <v>53</v>
      </c>
      <c r="E2114" s="109">
        <v>1</v>
      </c>
      <c r="F2114" s="8">
        <f>D2114*E2114</f>
        <v>53</v>
      </c>
    </row>
    <row r="2115" spans="1:9" ht="15">
      <c r="A2115" s="6" t="s">
        <v>5386</v>
      </c>
      <c r="B2115" s="22" t="s">
        <v>314</v>
      </c>
      <c r="C2115" s="22" t="s">
        <v>5381</v>
      </c>
      <c r="D2115" s="108">
        <v>58</v>
      </c>
      <c r="E2115" s="109">
        <v>1</v>
      </c>
      <c r="F2115" s="8">
        <f>D2115*E2115</f>
        <v>58</v>
      </c>
    </row>
    <row r="2116" spans="1:9" ht="15">
      <c r="A2116" s="6"/>
      <c r="B2116" s="22"/>
      <c r="C2116" s="22"/>
      <c r="D2116" s="108"/>
      <c r="E2116" s="109"/>
      <c r="F2116" s="8"/>
    </row>
    <row r="2117" spans="1:9" ht="15">
      <c r="A2117" s="6" t="s">
        <v>5384</v>
      </c>
      <c r="B2117" s="22" t="s">
        <v>314</v>
      </c>
      <c r="C2117" s="22" t="s">
        <v>5380</v>
      </c>
      <c r="D2117" s="108"/>
      <c r="E2117" s="109"/>
      <c r="F2117" s="8">
        <v>5</v>
      </c>
    </row>
    <row r="2120" spans="1:9">
      <c r="A2120" s="351" t="s">
        <v>261</v>
      </c>
      <c r="B2120" s="351" t="s">
        <v>36</v>
      </c>
      <c r="C2120" s="354" t="s">
        <v>245</v>
      </c>
      <c r="D2120" s="354" t="s">
        <v>270</v>
      </c>
      <c r="E2120" s="354" t="s">
        <v>271</v>
      </c>
    </row>
    <row r="2121" spans="1:9">
      <c r="A2121" s="1106" t="s">
        <v>5152</v>
      </c>
      <c r="B2121" s="40" t="s">
        <v>5153</v>
      </c>
      <c r="C2121" s="1420">
        <v>50</v>
      </c>
      <c r="D2121" s="1107">
        <v>48</v>
      </c>
      <c r="E2121" s="1420">
        <f>C2121*D2121</f>
        <v>2400</v>
      </c>
    </row>
    <row r="2122" spans="1:9">
      <c r="A2122" s="1106" t="s">
        <v>5152</v>
      </c>
      <c r="B2122" s="40" t="s">
        <v>5154</v>
      </c>
      <c r="C2122" s="1420">
        <v>50</v>
      </c>
      <c r="D2122" s="1107">
        <v>9</v>
      </c>
      <c r="E2122" s="1420">
        <f>C2122*D2122</f>
        <v>450</v>
      </c>
    </row>
    <row r="2125" spans="1:9" s="1423" customFormat="1" ht="17.100000000000001" customHeight="1">
      <c r="A2125" s="1855" t="s">
        <v>5402</v>
      </c>
      <c r="B2125" s="1421" t="s">
        <v>5411</v>
      </c>
      <c r="C2125" s="1421"/>
      <c r="D2125" s="1421"/>
      <c r="E2125" s="1421"/>
      <c r="F2125" s="1856" t="s">
        <v>4063</v>
      </c>
      <c r="G2125" s="1861" t="s">
        <v>5403</v>
      </c>
      <c r="H2125" s="1422"/>
      <c r="I2125" s="1863" t="s">
        <v>375</v>
      </c>
    </row>
    <row r="2126" spans="1:9" s="1423" customFormat="1" ht="17.100000000000001" customHeight="1">
      <c r="A2126" s="1855"/>
      <c r="B2126" s="1424" t="s">
        <v>5407</v>
      </c>
      <c r="C2126" s="1424" t="s">
        <v>5408</v>
      </c>
      <c r="D2126" s="1424" t="s">
        <v>5409</v>
      </c>
      <c r="E2126" s="1424" t="s">
        <v>5410</v>
      </c>
      <c r="F2126" s="1857"/>
      <c r="G2126" s="1862"/>
      <c r="H2126" s="1422" t="s">
        <v>5404</v>
      </c>
      <c r="I2126" s="1864"/>
    </row>
    <row r="2127" spans="1:9" s="1423" customFormat="1" ht="17.100000000000001" customHeight="1">
      <c r="A2127" s="1425" t="s">
        <v>5405</v>
      </c>
      <c r="B2127" s="1427">
        <v>3.9</v>
      </c>
      <c r="C2127" s="1427">
        <v>2.8</v>
      </c>
      <c r="D2127" s="1427">
        <v>2.65</v>
      </c>
      <c r="E2127" s="1427">
        <v>2.5099999999999998</v>
      </c>
      <c r="F2127" s="1428">
        <v>950</v>
      </c>
      <c r="G2127" s="1429">
        <v>6</v>
      </c>
      <c r="H2127" s="1429">
        <f>G2127/2.54</f>
        <v>2.3622047244094486</v>
      </c>
      <c r="I2127" s="1426" t="s">
        <v>5406</v>
      </c>
    </row>
    <row r="2130" spans="1:6">
      <c r="A2130" s="1338" t="s">
        <v>5413</v>
      </c>
      <c r="C2130" s="194" t="s">
        <v>5137</v>
      </c>
      <c r="D2130" s="1151" t="s">
        <v>4375</v>
      </c>
      <c r="E2130" s="1151" t="s">
        <v>4376</v>
      </c>
    </row>
    <row r="2131" spans="1:6" ht="27">
      <c r="A2131" s="1145" t="s">
        <v>5134</v>
      </c>
      <c r="B2131" s="1145" t="s">
        <v>35</v>
      </c>
      <c r="C2131" s="1185" t="s">
        <v>4535</v>
      </c>
      <c r="D2131" s="1390" t="s">
        <v>5354</v>
      </c>
      <c r="E2131" s="1339"/>
      <c r="F2131" s="1339"/>
    </row>
    <row r="2132" spans="1:6" ht="25.5">
      <c r="A2132" s="1344" t="s">
        <v>5414</v>
      </c>
      <c r="B2132" s="1344" t="s">
        <v>5417</v>
      </c>
      <c r="C2132" s="360">
        <f>ROUNDUP(D2132/0.8/120,2)</f>
        <v>12.61</v>
      </c>
      <c r="D2132" s="158">
        <f>810+400</f>
        <v>1210</v>
      </c>
      <c r="E2132" s="1343">
        <f>(((C2132*F2132)-D2132)/(C2132*F2132))</f>
        <v>0.20037007665873635</v>
      </c>
      <c r="F2132" s="162">
        <v>120</v>
      </c>
    </row>
    <row r="2133" spans="1:6" ht="25.5">
      <c r="A2133" s="1344" t="s">
        <v>5415</v>
      </c>
      <c r="B2133" s="1344" t="s">
        <v>5417</v>
      </c>
      <c r="C2133" s="360">
        <f>ROUNDUP(D2133/0.8/120,2)</f>
        <v>8.75</v>
      </c>
      <c r="D2133" s="158">
        <f>810+30</f>
        <v>840</v>
      </c>
      <c r="E2133" s="1341">
        <f>(((C2133*F2133)-D2133)/(C2133*F2133))</f>
        <v>0.2</v>
      </c>
      <c r="F2133" s="1342">
        <v>120</v>
      </c>
    </row>
    <row r="2134" spans="1:6">
      <c r="A2134" s="1344"/>
      <c r="B2134" s="1344"/>
      <c r="C2134" s="360"/>
      <c r="D2134" s="158"/>
      <c r="E2134" s="1341"/>
      <c r="F2134" s="1342"/>
    </row>
    <row r="2135" spans="1:6" s="393" customFormat="1" ht="26.1" customHeight="1">
      <c r="A2135" s="1392" t="s">
        <v>5434</v>
      </c>
      <c r="B2135" s="1344" t="s">
        <v>5418</v>
      </c>
      <c r="C2135" s="360">
        <f>ROUNDUP(D2135/0.8/120,2)</f>
        <v>8.129999999999999</v>
      </c>
      <c r="D2135" s="158">
        <f>580+100+100</f>
        <v>780</v>
      </c>
      <c r="E2135" s="1341">
        <f>(((C2135*F2135)-D2135)/(C2135*F2135))</f>
        <v>0.20049200492004912</v>
      </c>
      <c r="F2135" s="1342">
        <v>120</v>
      </c>
    </row>
    <row r="2136" spans="1:6" s="400" customFormat="1" ht="24" customHeight="1">
      <c r="A2136" s="1392" t="s">
        <v>5416</v>
      </c>
      <c r="B2136" s="1344" t="s">
        <v>5418</v>
      </c>
      <c r="C2136" s="360">
        <f>ROUNDUP(D2136/0.8/120,2)</f>
        <v>7.3999999999999995</v>
      </c>
      <c r="D2136" s="158">
        <f>580+100+30</f>
        <v>710</v>
      </c>
      <c r="E2136" s="1430">
        <f>(C2136-(D2136/F2136))/C2136</f>
        <v>0.20045045045045035</v>
      </c>
      <c r="F2136" s="1431">
        <v>120</v>
      </c>
    </row>
    <row r="2138" spans="1:6" ht="14.25" thickBot="1">
      <c r="A2138" t="s">
        <v>5443</v>
      </c>
    </row>
    <row r="2139" spans="1:6" ht="16.5" thickBot="1">
      <c r="A2139" s="1435" t="s">
        <v>5435</v>
      </c>
      <c r="B2139" s="1436"/>
    </row>
    <row r="2140" spans="1:6" ht="16.5" thickBot="1">
      <c r="A2140" s="1437" t="s">
        <v>5436</v>
      </c>
      <c r="B2140" s="1438" t="s">
        <v>5437</v>
      </c>
      <c r="C2140" s="360">
        <v>8.75</v>
      </c>
    </row>
    <row r="2141" spans="1:6" ht="16.5" thickBot="1">
      <c r="A2141" s="1437" t="s">
        <v>5438</v>
      </c>
      <c r="B2141" s="1438" t="s">
        <v>5437</v>
      </c>
      <c r="C2141" s="360">
        <v>8.75</v>
      </c>
    </row>
    <row r="2142" spans="1:6" ht="16.5" thickBot="1">
      <c r="A2142" s="1437" t="s">
        <v>5439</v>
      </c>
      <c r="B2142" s="1439" t="s">
        <v>5440</v>
      </c>
      <c r="C2142" s="360">
        <v>8.5500000000000007</v>
      </c>
    </row>
    <row r="2143" spans="1:6" ht="16.5" thickBot="1">
      <c r="A2143" s="1437" t="s">
        <v>5441</v>
      </c>
      <c r="B2143" s="1439" t="s">
        <v>5442</v>
      </c>
      <c r="C2143" s="360">
        <v>8.23</v>
      </c>
    </row>
    <row r="2144" spans="1:6" ht="15.75">
      <c r="A2144" s="1440"/>
      <c r="B2144" s="1441"/>
      <c r="C2144" s="1407"/>
    </row>
    <row r="2145" spans="1:5" ht="14.25">
      <c r="A2145" t="s">
        <v>5444</v>
      </c>
      <c r="B2145" s="1441"/>
      <c r="C2145" s="1407"/>
    </row>
    <row r="2146" spans="1:5" ht="54.75" thickBot="1">
      <c r="A2146" s="1442" t="s">
        <v>5445</v>
      </c>
      <c r="B2146" s="1437" t="s">
        <v>5441</v>
      </c>
      <c r="C2146" s="1439">
        <f>580+50+30</f>
        <v>660</v>
      </c>
      <c r="D2146" s="360">
        <v>6.88</v>
      </c>
    </row>
    <row r="2148" spans="1:5">
      <c r="A2148" s="351" t="s">
        <v>261</v>
      </c>
      <c r="B2148" s="351" t="s">
        <v>36</v>
      </c>
      <c r="C2148" s="351" t="s">
        <v>37</v>
      </c>
      <c r="D2148" s="1185" t="s">
        <v>4535</v>
      </c>
    </row>
    <row r="2149" spans="1:5">
      <c r="A2149" s="40" t="s">
        <v>5324</v>
      </c>
      <c r="B2149" s="40" t="s">
        <v>5430</v>
      </c>
      <c r="C2149" s="357">
        <v>100</v>
      </c>
      <c r="D2149" s="1113">
        <v>1.88</v>
      </c>
    </row>
    <row r="2150" spans="1:5">
      <c r="A2150" s="40" t="s">
        <v>5324</v>
      </c>
      <c r="B2150" s="40" t="s">
        <v>5431</v>
      </c>
      <c r="C2150" s="357">
        <v>100</v>
      </c>
      <c r="D2150" s="1113">
        <v>1.88</v>
      </c>
    </row>
    <row r="2151" spans="1:5">
      <c r="A2151" s="40" t="s">
        <v>5324</v>
      </c>
      <c r="B2151" s="40" t="s">
        <v>5432</v>
      </c>
      <c r="C2151" s="357">
        <v>100</v>
      </c>
      <c r="D2151" s="1113">
        <v>1.88</v>
      </c>
    </row>
    <row r="2152" spans="1:5">
      <c r="A2152" s="40"/>
      <c r="B2152" s="40" t="s">
        <v>316</v>
      </c>
      <c r="C2152" s="353">
        <v>1</v>
      </c>
      <c r="D2152" s="1113">
        <v>12</v>
      </c>
    </row>
    <row r="2156" spans="1:5">
      <c r="A2156" s="351" t="s">
        <v>261</v>
      </c>
      <c r="B2156" s="351" t="s">
        <v>36</v>
      </c>
      <c r="C2156" s="351" t="s">
        <v>37</v>
      </c>
      <c r="D2156" s="1185" t="s">
        <v>4535</v>
      </c>
    </row>
    <row r="2157" spans="1:5">
      <c r="A2157" s="1106" t="s">
        <v>5152</v>
      </c>
      <c r="B2157" s="40" t="s">
        <v>5453</v>
      </c>
      <c r="C2157" s="1420">
        <v>11</v>
      </c>
      <c r="D2157" s="1113">
        <v>17.739999999999998</v>
      </c>
    </row>
    <row r="2158" spans="1:5" ht="14.25">
      <c r="A2158" s="308"/>
    </row>
    <row r="2159" spans="1:5" ht="14.25">
      <c r="A2159" s="308"/>
    </row>
    <row r="2160" spans="1:5">
      <c r="A2160" s="1338" t="s">
        <v>5468</v>
      </c>
      <c r="C2160" s="194" t="s">
        <v>5137</v>
      </c>
      <c r="D2160" s="1151" t="s">
        <v>4375</v>
      </c>
      <c r="E2160" s="1151" t="s">
        <v>4376</v>
      </c>
    </row>
    <row r="2161" spans="1:5" ht="25.5">
      <c r="A2161" s="1145" t="s">
        <v>5134</v>
      </c>
      <c r="B2161" s="1185" t="s">
        <v>5476</v>
      </c>
      <c r="C2161" s="365" t="s">
        <v>5475</v>
      </c>
      <c r="D2161" s="1339"/>
      <c r="E2161" s="1339"/>
    </row>
    <row r="2162" spans="1:5" ht="25.5">
      <c r="A2162" s="1344" t="s">
        <v>5477</v>
      </c>
      <c r="B2162" s="1113">
        <f>ROUNDUP(C2162/0.8/120,2)</f>
        <v>18.96</v>
      </c>
      <c r="C2162" s="158">
        <f>1420+400</f>
        <v>1820</v>
      </c>
      <c r="D2162" s="1343">
        <f>(((B2162*E2162)-C2162)/(B2162*E2162))</f>
        <v>0.2000703234880451</v>
      </c>
      <c r="E2162" s="162">
        <v>120</v>
      </c>
    </row>
    <row r="2163" spans="1:5" ht="29.25">
      <c r="A2163" s="1340" t="s">
        <v>5470</v>
      </c>
      <c r="B2163" s="1113">
        <f>ROUNDUP(C2163/0.8/120,2)</f>
        <v>15.11</v>
      </c>
      <c r="C2163" s="158">
        <f>1420+30</f>
        <v>1450</v>
      </c>
      <c r="D2163" s="1341">
        <f>(((B2163*E2163)-C2163)/(B2163*E2163))</f>
        <v>0.20030884623869394</v>
      </c>
      <c r="E2163" s="1342">
        <v>120</v>
      </c>
    </row>
    <row r="2164" spans="1:5" ht="25.5">
      <c r="A2164" s="1340" t="s">
        <v>5471</v>
      </c>
      <c r="B2164" s="1113">
        <f>ROUNDUP(C2164/0.8/120,2)</f>
        <v>14.28</v>
      </c>
      <c r="C2164" s="158">
        <f>1340+30</f>
        <v>1370</v>
      </c>
      <c r="D2164" s="1341">
        <f>(((B2164*E2164)-C2164)/(B2164*E2164))</f>
        <v>0.20051353874883282</v>
      </c>
      <c r="E2164" s="1342">
        <v>120</v>
      </c>
    </row>
    <row r="2165" spans="1:5" ht="25.5">
      <c r="A2165" s="1340" t="s">
        <v>5472</v>
      </c>
      <c r="B2165" s="1113">
        <f>ROUNDUP(C2165/0.8/120,2)</f>
        <v>13.75</v>
      </c>
      <c r="C2165" s="158">
        <f>1290+30</f>
        <v>1320</v>
      </c>
      <c r="D2165" s="1341">
        <f>(((B2165*E2165)-C2165)/(B2165*E2165))</f>
        <v>0.2</v>
      </c>
      <c r="E2165" s="1342">
        <v>120</v>
      </c>
    </row>
    <row r="2166" spans="1:5" ht="25.5">
      <c r="A2166" s="1340" t="s">
        <v>5473</v>
      </c>
      <c r="B2166" s="1113">
        <f>ROUNDUP(C2166/0.8/120,2)</f>
        <v>12.92</v>
      </c>
      <c r="C2166" s="158">
        <f>1210+30</f>
        <v>1240</v>
      </c>
      <c r="D2166" s="1341">
        <f>(((B2166*E2166)-C2166)/(B2166*E2166))</f>
        <v>0.20020639834881326</v>
      </c>
      <c r="E2166" s="1342">
        <v>120</v>
      </c>
    </row>
    <row r="2167" spans="1:5" ht="14.25">
      <c r="A2167" s="308"/>
    </row>
    <row r="2168" spans="1:5" ht="14.25">
      <c r="A2168" s="308"/>
    </row>
    <row r="2169" spans="1:5" ht="17.25">
      <c r="A2169" s="1459" t="s">
        <v>5469</v>
      </c>
    </row>
    <row r="2170" spans="1:5" ht="17.25">
      <c r="A2170" s="1460" t="s">
        <v>5464</v>
      </c>
    </row>
    <row r="2171" spans="1:5" ht="17.25">
      <c r="A2171" s="1460" t="s">
        <v>5474</v>
      </c>
    </row>
    <row r="2172" spans="1:5" ht="17.25">
      <c r="A2172" s="1460" t="s">
        <v>5465</v>
      </c>
    </row>
    <row r="2173" spans="1:5" ht="17.25">
      <c r="A2173" s="1460" t="s">
        <v>5466</v>
      </c>
    </row>
    <row r="2174" spans="1:5" ht="17.25">
      <c r="A2174" s="1460" t="s">
        <v>5467</v>
      </c>
    </row>
    <row r="2175" spans="1:5" ht="17.25">
      <c r="A2175" s="1460" t="s">
        <v>5478</v>
      </c>
    </row>
    <row r="2176" spans="1:5" ht="14.25">
      <c r="A2176" s="308"/>
    </row>
    <row r="2177" spans="1:8">
      <c r="A2177" s="351" t="s">
        <v>261</v>
      </c>
      <c r="B2177" s="351" t="s">
        <v>169</v>
      </c>
      <c r="C2177" s="351" t="s">
        <v>36</v>
      </c>
      <c r="D2177" s="351" t="s">
        <v>37</v>
      </c>
      <c r="E2177" s="1185" t="s">
        <v>4535</v>
      </c>
      <c r="F2177" s="1185" t="s">
        <v>5491</v>
      </c>
    </row>
    <row r="2178" spans="1:8" ht="16.5">
      <c r="A2178" s="1106" t="s">
        <v>5490</v>
      </c>
      <c r="B2178" s="1384"/>
      <c r="C2178" s="40"/>
      <c r="D2178" s="355"/>
      <c r="E2178" s="45" t="s">
        <v>5</v>
      </c>
      <c r="F2178" s="1113"/>
    </row>
    <row r="2179" spans="1:8">
      <c r="A2179" s="40" t="s">
        <v>5483</v>
      </c>
      <c r="B2179" s="1384">
        <v>132</v>
      </c>
      <c r="C2179" s="40" t="s">
        <v>5485</v>
      </c>
      <c r="D2179" s="357">
        <v>10</v>
      </c>
      <c r="E2179" s="1113">
        <v>4.6900000000000004</v>
      </c>
      <c r="F2179" s="1113">
        <f>E2179*D2179</f>
        <v>46.900000000000006</v>
      </c>
    </row>
    <row r="2180" spans="1:8">
      <c r="A2180" s="40" t="s">
        <v>5487</v>
      </c>
      <c r="B2180" s="1384">
        <v>148</v>
      </c>
      <c r="C2180" s="40" t="s">
        <v>5486</v>
      </c>
      <c r="D2180" s="357">
        <v>10</v>
      </c>
      <c r="E2180" s="1113">
        <v>9.48</v>
      </c>
      <c r="F2180" s="1113">
        <f>E2180*D2180</f>
        <v>94.800000000000011</v>
      </c>
    </row>
    <row r="2181" spans="1:8">
      <c r="A2181" s="1270" t="s">
        <v>5489</v>
      </c>
      <c r="B2181" s="1384"/>
      <c r="C2181" s="40"/>
      <c r="D2181" s="355"/>
      <c r="E2181" s="45" t="s">
        <v>5</v>
      </c>
      <c r="F2181" s="1113"/>
    </row>
    <row r="2182" spans="1:8">
      <c r="A2182" s="40" t="s">
        <v>5484</v>
      </c>
      <c r="B2182" s="1384">
        <v>148</v>
      </c>
      <c r="C2182" s="40" t="s">
        <v>5485</v>
      </c>
      <c r="D2182" s="357">
        <v>10</v>
      </c>
      <c r="E2182" s="1113">
        <v>20.63</v>
      </c>
      <c r="F2182" s="1113">
        <f>E2182*D2182</f>
        <v>206.29999999999998</v>
      </c>
    </row>
    <row r="2183" spans="1:8">
      <c r="A2183" s="40"/>
      <c r="B2183" s="1195"/>
      <c r="C2183" s="165" t="s">
        <v>4329</v>
      </c>
      <c r="D2183" s="353">
        <v>3</v>
      </c>
      <c r="E2183" s="1113">
        <v>12</v>
      </c>
      <c r="F2183" s="1113">
        <f>E2183*D2183</f>
        <v>36</v>
      </c>
    </row>
    <row r="2184" spans="1:8">
      <c r="A2184" s="40"/>
      <c r="B2184" s="1195"/>
      <c r="C2184" s="165" t="s">
        <v>316</v>
      </c>
      <c r="D2184" s="353">
        <v>1</v>
      </c>
      <c r="E2184" s="1113">
        <v>25</v>
      </c>
      <c r="F2184" s="1113">
        <f>E2184*D2184</f>
        <v>25</v>
      </c>
    </row>
    <row r="2185" spans="1:8" ht="14.25">
      <c r="A2185" s="308"/>
    </row>
    <row r="2186" spans="1:8" ht="14.25">
      <c r="A2186" s="308"/>
    </row>
    <row r="2187" spans="1:8" ht="15">
      <c r="A2187" s="1404" t="s">
        <v>5497</v>
      </c>
      <c r="B2187" s="1404"/>
      <c r="C2187" s="1404"/>
      <c r="D2187" s="1404"/>
      <c r="E2187" s="1404"/>
      <c r="F2187" s="1404"/>
    </row>
    <row r="2188" spans="1:8">
      <c r="A2188" s="1145" t="s">
        <v>179</v>
      </c>
      <c r="B2188" s="1145" t="s">
        <v>99</v>
      </c>
      <c r="C2188" s="1145" t="s">
        <v>5327</v>
      </c>
      <c r="D2188" s="1405" t="s">
        <v>4535</v>
      </c>
      <c r="E2188" s="1405" t="s">
        <v>5501</v>
      </c>
      <c r="F2188" s="1462" t="s">
        <v>5499</v>
      </c>
      <c r="G2188" s="1151" t="s">
        <v>4375</v>
      </c>
      <c r="H2188" s="194" t="s">
        <v>4376</v>
      </c>
    </row>
    <row r="2189" spans="1:8">
      <c r="A2189" s="40" t="s">
        <v>5498</v>
      </c>
      <c r="B2189" s="40" t="s">
        <v>5318</v>
      </c>
      <c r="C2189" s="357">
        <v>10</v>
      </c>
      <c r="D2189" s="385">
        <f>ROUNDUP(F2189/0.6/120,2)</f>
        <v>4.24</v>
      </c>
      <c r="E2189" s="1412" t="s">
        <v>5500</v>
      </c>
      <c r="F2189" s="1408">
        <v>305</v>
      </c>
      <c r="G2189" s="1189">
        <f>(D2189-(F2189/H2189))/D2189</f>
        <v>0.4005503144654089</v>
      </c>
      <c r="H2189" s="194">
        <v>120</v>
      </c>
    </row>
    <row r="2190" spans="1:8">
      <c r="A2190" s="40" t="s">
        <v>5498</v>
      </c>
      <c r="B2190" s="40" t="s">
        <v>5328</v>
      </c>
      <c r="C2190" s="357">
        <v>100</v>
      </c>
      <c r="D2190" s="385">
        <f>ROUNDUP(F2190/0.6/120,2)</f>
        <v>5.63</v>
      </c>
      <c r="E2190" s="1412" t="s">
        <v>1893</v>
      </c>
      <c r="F2190" s="1408">
        <f>305+100</f>
        <v>405</v>
      </c>
      <c r="G2190" s="1189">
        <f>(D2190-(F2190/H2190))/D2190</f>
        <v>0.40053285968028418</v>
      </c>
      <c r="H2190" s="194">
        <v>120</v>
      </c>
    </row>
    <row r="2191" spans="1:8" ht="14.25">
      <c r="A2191" s="308"/>
    </row>
    <row r="2192" spans="1:8">
      <c r="A2192" s="1338" t="s">
        <v>5505</v>
      </c>
      <c r="C2192" s="194" t="s">
        <v>5137</v>
      </c>
      <c r="D2192" s="1151" t="s">
        <v>4375</v>
      </c>
      <c r="E2192" s="1151" t="s">
        <v>4376</v>
      </c>
    </row>
    <row r="2193" spans="1:8" ht="27">
      <c r="A2193" s="1145" t="s">
        <v>5134</v>
      </c>
      <c r="B2193" s="1185" t="s">
        <v>4535</v>
      </c>
      <c r="C2193" s="1390" t="s">
        <v>5354</v>
      </c>
      <c r="D2193" s="1339"/>
      <c r="E2193" s="1339"/>
    </row>
    <row r="2194" spans="1:8" ht="25.5">
      <c r="A2194" s="1344" t="s">
        <v>5506</v>
      </c>
      <c r="B2194" s="360">
        <f>ROUNDUP(C2194/0.8/120,2)</f>
        <v>11.98</v>
      </c>
      <c r="C2194" s="158">
        <f>750+400</f>
        <v>1150</v>
      </c>
      <c r="D2194" s="1343">
        <f>(((B2194*E2194)-C2194)/(B2194*E2194))</f>
        <v>0.20005564830272685</v>
      </c>
      <c r="E2194" s="162">
        <v>120</v>
      </c>
    </row>
    <row r="2195" spans="1:8" ht="25.5">
      <c r="A2195" s="1344" t="s">
        <v>5507</v>
      </c>
      <c r="B2195" s="360">
        <f>ROUNDUP(C2195/0.8/120,2)</f>
        <v>8.129999999999999</v>
      </c>
      <c r="C2195" s="158">
        <f>750+30</f>
        <v>780</v>
      </c>
      <c r="D2195" s="1341">
        <f>(((B2195*E2195)-C2195)/(B2195*E2195))</f>
        <v>0.20049200492004912</v>
      </c>
      <c r="E2195" s="1342">
        <v>120</v>
      </c>
    </row>
    <row r="2196" spans="1:8" ht="25.5">
      <c r="A2196" s="1344" t="s">
        <v>5508</v>
      </c>
      <c r="B2196" s="360">
        <f>ROUNDUP(C2196/0.8/120,2)</f>
        <v>12.61</v>
      </c>
      <c r="C2196" s="158">
        <f>810+400</f>
        <v>1210</v>
      </c>
      <c r="D2196" s="1343">
        <f>(((B2196*E2196)-C2196)/(B2196*E2196))</f>
        <v>0.20037007665873635</v>
      </c>
      <c r="E2196" s="162">
        <v>120</v>
      </c>
    </row>
    <row r="2197" spans="1:8" ht="25.5">
      <c r="A2197" s="1344" t="s">
        <v>5509</v>
      </c>
      <c r="B2197" s="360">
        <f>ROUNDUP(C2197/0.8/120,2)</f>
        <v>8.75</v>
      </c>
      <c r="C2197" s="158">
        <f>810+30</f>
        <v>840</v>
      </c>
      <c r="D2197" s="1341">
        <f>(((B2197*E2197)-C2197)/(B2197*E2197))</f>
        <v>0.2</v>
      </c>
      <c r="E2197" s="1342">
        <v>120</v>
      </c>
    </row>
    <row r="2198" spans="1:8" ht="14.25">
      <c r="A2198" s="308"/>
    </row>
    <row r="2199" spans="1:8" ht="14.25">
      <c r="A2199" s="308"/>
    </row>
    <row r="2200" spans="1:8" ht="15">
      <c r="A2200" s="1404" t="s">
        <v>5530</v>
      </c>
      <c r="B2200" s="1404"/>
      <c r="C2200" s="1404"/>
      <c r="D2200" s="1404"/>
      <c r="E2200" s="1404"/>
      <c r="F2200" s="1404"/>
    </row>
    <row r="2201" spans="1:8">
      <c r="A2201" s="1145" t="s">
        <v>179</v>
      </c>
      <c r="B2201" s="1145" t="s">
        <v>99</v>
      </c>
      <c r="C2201" s="1145" t="s">
        <v>5327</v>
      </c>
      <c r="D2201" s="1405" t="s">
        <v>4535</v>
      </c>
      <c r="E2201" s="1405" t="s">
        <v>5536</v>
      </c>
      <c r="F2201" s="1462" t="s">
        <v>5499</v>
      </c>
      <c r="G2201" s="1151" t="s">
        <v>4375</v>
      </c>
      <c r="H2201" s="194" t="s">
        <v>4376</v>
      </c>
    </row>
    <row r="2202" spans="1:8">
      <c r="A2202" s="40" t="s">
        <v>5498</v>
      </c>
      <c r="B2202" s="40" t="s">
        <v>5318</v>
      </c>
      <c r="C2202" s="357">
        <v>10</v>
      </c>
      <c r="D2202" s="385">
        <f>ROUNDUP(F2202/0.6/120,2)</f>
        <v>4.24</v>
      </c>
      <c r="E2202" s="1412" t="s">
        <v>5540</v>
      </c>
      <c r="F2202" s="1408">
        <v>305</v>
      </c>
      <c r="G2202" s="1189">
        <f>(D2202-(F2202/H2202))/D2202</f>
        <v>0.4005503144654089</v>
      </c>
      <c r="H2202" s="194">
        <v>120</v>
      </c>
    </row>
    <row r="2203" spans="1:8">
      <c r="A2203" s="40" t="s">
        <v>5531</v>
      </c>
      <c r="B2203" s="40" t="s">
        <v>5318</v>
      </c>
      <c r="C2203" s="357">
        <v>10</v>
      </c>
      <c r="D2203" s="385">
        <f>ROUNDUP(F2203/0.6/120,2)</f>
        <v>2.8899999999999997</v>
      </c>
      <c r="E2203" s="1412" t="s">
        <v>5541</v>
      </c>
      <c r="F2203" s="1408">
        <v>208</v>
      </c>
      <c r="G2203" s="1189">
        <f>(D2203-(F2203/H2203))/D2203</f>
        <v>0.40023068050749705</v>
      </c>
      <c r="H2203" s="194">
        <v>120</v>
      </c>
    </row>
    <row r="2204" spans="1:8">
      <c r="A2204" s="40" t="s">
        <v>5532</v>
      </c>
      <c r="B2204" s="40" t="s">
        <v>5318</v>
      </c>
      <c r="C2204" s="357">
        <v>10</v>
      </c>
      <c r="D2204" s="385">
        <f>ROUNDUP(F2204/0.6/120,2)</f>
        <v>3.03</v>
      </c>
      <c r="E2204" s="1412" t="s">
        <v>5542</v>
      </c>
      <c r="F2204" s="1408">
        <v>218</v>
      </c>
      <c r="G2204" s="1189">
        <f>(D2204-(F2204/H2204))/D2204</f>
        <v>0.40044004400440042</v>
      </c>
      <c r="H2204" s="194">
        <v>120</v>
      </c>
    </row>
    <row r="2205" spans="1:8">
      <c r="A2205" s="40" t="s">
        <v>5533</v>
      </c>
      <c r="B2205" s="40" t="s">
        <v>5318</v>
      </c>
      <c r="C2205" s="357">
        <v>10</v>
      </c>
      <c r="D2205" s="385">
        <f>ROUNDUP(F2205/0.6/120,2)</f>
        <v>4.41</v>
      </c>
      <c r="E2205" s="1412" t="s">
        <v>5543</v>
      </c>
      <c r="F2205" s="1408">
        <v>317</v>
      </c>
      <c r="G2205" s="1189">
        <f>(D2205-(F2205/H2205))/D2205</f>
        <v>0.40098261526832957</v>
      </c>
      <c r="H2205" s="194">
        <v>120</v>
      </c>
    </row>
    <row r="2206" spans="1:8" ht="45.75" customHeight="1">
      <c r="A2206" s="40" t="s">
        <v>5534</v>
      </c>
      <c r="B2206" s="1470" t="s">
        <v>5539</v>
      </c>
      <c r="C2206" s="357">
        <v>10</v>
      </c>
      <c r="D2206" s="385">
        <f>ROUNDUP(F2206/0.6/120,2)</f>
        <v>1.53</v>
      </c>
      <c r="E2206" s="1412" t="s">
        <v>5544</v>
      </c>
      <c r="F2206" s="1408">
        <v>110</v>
      </c>
      <c r="G2206" s="1189">
        <f>(D2206-(F2206/H2206))/D2206</f>
        <v>0.40087145969498916</v>
      </c>
      <c r="H2206" s="194">
        <v>120</v>
      </c>
    </row>
    <row r="2207" spans="1:8" ht="14.25">
      <c r="A2207" s="308"/>
    </row>
    <row r="2208" spans="1:8" ht="14.25">
      <c r="A2208" s="308"/>
    </row>
    <row r="2209" spans="1:8" ht="14.25">
      <c r="A2209" s="308"/>
    </row>
    <row r="2210" spans="1:8">
      <c r="A2210" s="1145" t="s">
        <v>179</v>
      </c>
      <c r="B2210" s="1145" t="s">
        <v>99</v>
      </c>
      <c r="C2210" s="1145" t="s">
        <v>5327</v>
      </c>
      <c r="D2210" s="1405" t="s">
        <v>362</v>
      </c>
      <c r="E2210" s="1468" t="s">
        <v>5537</v>
      </c>
    </row>
    <row r="2211" spans="1:8">
      <c r="A2211" s="40" t="s">
        <v>5498</v>
      </c>
      <c r="B2211" s="40" t="s">
        <v>5318</v>
      </c>
      <c r="C2211" s="357">
        <v>10</v>
      </c>
      <c r="D2211" s="1412"/>
      <c r="E2211" s="1408">
        <v>305</v>
      </c>
    </row>
    <row r="2212" spans="1:8">
      <c r="A2212" s="40" t="s">
        <v>5531</v>
      </c>
      <c r="B2212" s="40" t="s">
        <v>5318</v>
      </c>
      <c r="C2212" s="357">
        <v>10</v>
      </c>
      <c r="D2212" s="1412"/>
      <c r="E2212" s="1408">
        <v>208</v>
      </c>
    </row>
    <row r="2213" spans="1:8">
      <c r="A2213" s="40" t="s">
        <v>5532</v>
      </c>
      <c r="B2213" s="40" t="s">
        <v>5318</v>
      </c>
      <c r="C2213" s="357">
        <v>10</v>
      </c>
      <c r="D2213" s="1412"/>
      <c r="E2213" s="1408">
        <v>218</v>
      </c>
    </row>
    <row r="2214" spans="1:8">
      <c r="A2214" s="40" t="s">
        <v>5533</v>
      </c>
      <c r="B2214" s="40" t="s">
        <v>5318</v>
      </c>
      <c r="C2214" s="357">
        <v>10</v>
      </c>
      <c r="D2214" s="1412"/>
      <c r="E2214" s="1408">
        <v>317</v>
      </c>
    </row>
    <row r="2215" spans="1:8">
      <c r="A2215" s="40" t="s">
        <v>5534</v>
      </c>
      <c r="B2215" s="40" t="s">
        <v>5535</v>
      </c>
      <c r="C2215" s="357">
        <v>10</v>
      </c>
      <c r="D2215" s="1412"/>
      <c r="E2215" s="1469" t="s">
        <v>5538</v>
      </c>
    </row>
    <row r="2216" spans="1:8" ht="14.25">
      <c r="A2216" s="308"/>
    </row>
    <row r="2217" spans="1:8">
      <c r="A2217" t="s">
        <v>5551</v>
      </c>
    </row>
    <row r="2218" spans="1:8" ht="25.5">
      <c r="A2218" s="1471" t="s">
        <v>260</v>
      </c>
      <c r="B2218" s="1358" t="s">
        <v>169</v>
      </c>
      <c r="C2218" s="1472" t="s">
        <v>2</v>
      </c>
      <c r="D2218" s="1359" t="s">
        <v>282</v>
      </c>
      <c r="E2218" s="1361" t="s">
        <v>4377</v>
      </c>
      <c r="F2218" s="1473" t="s">
        <v>5202</v>
      </c>
      <c r="G2218" s="1151" t="s">
        <v>4375</v>
      </c>
      <c r="H2218" s="194" t="s">
        <v>4376</v>
      </c>
    </row>
    <row r="2219" spans="1:8">
      <c r="A2219" s="1159" t="s">
        <v>5550</v>
      </c>
      <c r="B2219" s="1474">
        <v>3</v>
      </c>
      <c r="C2219" s="1158">
        <v>30</v>
      </c>
      <c r="D2219" s="1159" t="s">
        <v>288</v>
      </c>
      <c r="E2219" s="1160">
        <v>0.76</v>
      </c>
      <c r="F2219" s="1370">
        <v>41</v>
      </c>
      <c r="G2219" s="1189">
        <f>(E2219-(F2219/H2219))/E2219</f>
        <v>0.55043859649122806</v>
      </c>
      <c r="H2219" s="194">
        <v>120</v>
      </c>
    </row>
    <row r="2220" spans="1:8" ht="14.25">
      <c r="A2220" s="308"/>
    </row>
    <row r="2221" spans="1:8" ht="14.25">
      <c r="A2221" s="308"/>
    </row>
    <row r="2222" spans="1:8">
      <c r="A2222" s="1145" t="s">
        <v>179</v>
      </c>
      <c r="B2222" s="1145" t="s">
        <v>5555</v>
      </c>
      <c r="C2222" s="1145" t="s">
        <v>99</v>
      </c>
      <c r="D2222" s="354" t="s">
        <v>245</v>
      </c>
      <c r="E2222" s="354" t="s">
        <v>270</v>
      </c>
      <c r="F2222" s="354" t="s">
        <v>271</v>
      </c>
      <c r="G2222" s="1405" t="s">
        <v>4535</v>
      </c>
    </row>
    <row r="2223" spans="1:8">
      <c r="A2223" s="40">
        <v>5356</v>
      </c>
      <c r="B2223" s="41">
        <v>3</v>
      </c>
      <c r="C2223" s="40" t="s">
        <v>79</v>
      </c>
      <c r="D2223" s="357">
        <v>30</v>
      </c>
      <c r="E2223" s="1107">
        <v>1</v>
      </c>
      <c r="F2223" s="357">
        <f>D2223*E2223</f>
        <v>30</v>
      </c>
      <c r="G2223" s="1113">
        <v>0.76</v>
      </c>
    </row>
    <row r="2224" spans="1:8">
      <c r="A2224" s="40">
        <v>5356</v>
      </c>
      <c r="B2224" s="41">
        <v>3</v>
      </c>
      <c r="C2224" s="40" t="s">
        <v>78</v>
      </c>
      <c r="D2224" s="357">
        <v>30</v>
      </c>
      <c r="E2224" s="1107">
        <v>1</v>
      </c>
      <c r="F2224" s="357">
        <f>D2224*E2224</f>
        <v>30</v>
      </c>
      <c r="G2224" s="1113">
        <v>0.76</v>
      </c>
    </row>
    <row r="2225" spans="1:8">
      <c r="A2225" s="40">
        <v>5356</v>
      </c>
      <c r="B2225" s="41">
        <v>3</v>
      </c>
      <c r="C2225" s="40" t="s">
        <v>5548</v>
      </c>
      <c r="D2225" s="357">
        <v>30</v>
      </c>
      <c r="E2225" s="1107">
        <v>1</v>
      </c>
      <c r="F2225" s="357">
        <f>D2225*E2225</f>
        <v>30</v>
      </c>
      <c r="G2225" s="1113">
        <v>0.76</v>
      </c>
    </row>
    <row r="2226" spans="1:8">
      <c r="A2226" s="40">
        <v>5356</v>
      </c>
      <c r="B2226" s="41">
        <v>3</v>
      </c>
      <c r="C2226" s="40" t="s">
        <v>5549</v>
      </c>
      <c r="D2226" s="357">
        <v>30</v>
      </c>
      <c r="E2226" s="1107">
        <v>1</v>
      </c>
      <c r="F2226" s="357">
        <f>D2226*E2226</f>
        <v>30</v>
      </c>
      <c r="G2226" s="1113">
        <v>0.76</v>
      </c>
    </row>
    <row r="2227" spans="1:8">
      <c r="A2227" s="40"/>
      <c r="B2227" s="1195"/>
      <c r="C2227" s="165" t="s">
        <v>316</v>
      </c>
      <c r="D2227" s="357"/>
      <c r="E2227" s="1107"/>
      <c r="F2227" s="353">
        <v>1</v>
      </c>
      <c r="G2227" s="1113">
        <v>12</v>
      </c>
    </row>
    <row r="2232" spans="1:8">
      <c r="A2232" s="1145" t="s">
        <v>179</v>
      </c>
      <c r="B2232" s="1145" t="s">
        <v>169</v>
      </c>
      <c r="C2232" s="1145" t="s">
        <v>99</v>
      </c>
      <c r="D2232" s="354" t="s">
        <v>245</v>
      </c>
      <c r="E2232" s="354" t="s">
        <v>270</v>
      </c>
      <c r="F2232" s="354" t="s">
        <v>271</v>
      </c>
      <c r="G2232" s="1405" t="s">
        <v>4535</v>
      </c>
    </row>
    <row r="2233" spans="1:8">
      <c r="A2233" s="40" t="s">
        <v>5558</v>
      </c>
      <c r="B2233" s="1384">
        <v>160</v>
      </c>
      <c r="C2233" s="40" t="s">
        <v>5559</v>
      </c>
      <c r="D2233" s="355">
        <v>50</v>
      </c>
      <c r="E2233" s="356">
        <v>1</v>
      </c>
      <c r="F2233" s="357">
        <f>D2233*E2233</f>
        <v>50</v>
      </c>
      <c r="G2233" s="1113">
        <v>5.48</v>
      </c>
    </row>
    <row r="2234" spans="1:8">
      <c r="A2234" s="40" t="s">
        <v>5558</v>
      </c>
      <c r="B2234" s="1384">
        <v>160</v>
      </c>
      <c r="C2234" s="40" t="s">
        <v>5560</v>
      </c>
      <c r="D2234" s="355">
        <v>50</v>
      </c>
      <c r="E2234" s="356">
        <v>1</v>
      </c>
      <c r="F2234" s="357">
        <f>D2234*E2234</f>
        <v>50</v>
      </c>
      <c r="G2234" s="1113">
        <v>5.48</v>
      </c>
    </row>
    <row r="2235" spans="1:8">
      <c r="A2235" s="40"/>
      <c r="B2235" s="1195"/>
      <c r="C2235" s="40" t="s">
        <v>316</v>
      </c>
      <c r="D2235" s="353"/>
      <c r="E2235" s="1107"/>
      <c r="F2235" s="353">
        <v>1</v>
      </c>
      <c r="G2235" s="1113">
        <v>25</v>
      </c>
    </row>
    <row r="2238" spans="1:8" ht="15">
      <c r="A2238" s="1404" t="s">
        <v>5566</v>
      </c>
      <c r="B2238" s="1404"/>
      <c r="C2238" s="1404"/>
      <c r="D2238" s="1404"/>
      <c r="E2238" s="1404"/>
      <c r="F2238" s="1404"/>
    </row>
    <row r="2239" spans="1:8">
      <c r="A2239" s="1145" t="s">
        <v>179</v>
      </c>
      <c r="B2239" s="1145" t="s">
        <v>99</v>
      </c>
      <c r="C2239" s="1145" t="s">
        <v>5327</v>
      </c>
      <c r="D2239" s="1405" t="s">
        <v>4535</v>
      </c>
      <c r="E2239" s="1405" t="s">
        <v>5565</v>
      </c>
      <c r="F2239" s="1462" t="s">
        <v>5499</v>
      </c>
      <c r="G2239" s="1151" t="s">
        <v>4375</v>
      </c>
      <c r="H2239" s="194" t="s">
        <v>4376</v>
      </c>
    </row>
    <row r="2240" spans="1:8">
      <c r="A2240" s="40" t="s">
        <v>5561</v>
      </c>
      <c r="B2240" s="40" t="s">
        <v>5318</v>
      </c>
      <c r="C2240" s="357">
        <v>10</v>
      </c>
      <c r="D2240" s="385">
        <f>ROUNDUP(F2240/0.6/120,2)</f>
        <v>1.75</v>
      </c>
      <c r="E2240" s="1412" t="s">
        <v>5564</v>
      </c>
      <c r="F2240" s="1408">
        <v>126</v>
      </c>
      <c r="G2240" s="1189">
        <f>(D2240-(F2240/H2240))/D2240</f>
        <v>0.39999999999999997</v>
      </c>
      <c r="H2240" s="194">
        <v>120</v>
      </c>
    </row>
    <row r="2241" spans="1:8">
      <c r="A2241" s="40" t="s">
        <v>5561</v>
      </c>
      <c r="B2241" s="40" t="s">
        <v>5328</v>
      </c>
      <c r="C2241" s="357">
        <v>100</v>
      </c>
      <c r="D2241" s="385">
        <f>ROUNDUP(F2241/0.6/120,2)</f>
        <v>2.8699999999999997</v>
      </c>
      <c r="E2241" s="1412" t="s">
        <v>1893</v>
      </c>
      <c r="F2241" s="1408">
        <f>126+80</f>
        <v>206</v>
      </c>
      <c r="G2241" s="1189">
        <f>(D2241-(F2241/H2241))/D2241</f>
        <v>0.40185830429732866</v>
      </c>
      <c r="H2241" s="194">
        <v>120</v>
      </c>
    </row>
    <row r="2245" spans="1:8" ht="15">
      <c r="A2245" s="1404" t="s">
        <v>5567</v>
      </c>
      <c r="B2245" s="1404"/>
      <c r="C2245" s="1404"/>
      <c r="D2245" s="1404"/>
      <c r="E2245" s="1404"/>
      <c r="F2245" s="1404"/>
    </row>
    <row r="2246" spans="1:8">
      <c r="A2246" s="1145" t="s">
        <v>179</v>
      </c>
      <c r="B2246" s="1145" t="s">
        <v>99</v>
      </c>
      <c r="C2246" s="1145" t="s">
        <v>5327</v>
      </c>
      <c r="D2246" s="1405" t="s">
        <v>4535</v>
      </c>
      <c r="E2246" s="1405" t="s">
        <v>5565</v>
      </c>
      <c r="F2246" s="1462" t="s">
        <v>5499</v>
      </c>
      <c r="G2246" s="1151" t="s">
        <v>4375</v>
      </c>
      <c r="H2246" s="194" t="s">
        <v>4376</v>
      </c>
    </row>
    <row r="2247" spans="1:8" ht="16.5">
      <c r="A2247" s="40" t="s">
        <v>5568</v>
      </c>
      <c r="B2247" s="40" t="s">
        <v>5318</v>
      </c>
      <c r="C2247" s="357">
        <v>10</v>
      </c>
      <c r="D2247" s="385">
        <f>ROUNDUP(F2247/0.6/120,2)</f>
        <v>2.4499999999999997</v>
      </c>
      <c r="E2247" s="1412" t="s">
        <v>5570</v>
      </c>
      <c r="F2247" s="1408">
        <v>176</v>
      </c>
      <c r="G2247" s="1189">
        <f>(D2247-(F2247/H2247))/D2247</f>
        <v>0.40136054421768708</v>
      </c>
      <c r="H2247" s="194">
        <v>120</v>
      </c>
    </row>
    <row r="2248" spans="1:8">
      <c r="A2248" s="40" t="s">
        <v>5568</v>
      </c>
      <c r="B2248" s="40" t="s">
        <v>5328</v>
      </c>
      <c r="C2248" s="357" t="s">
        <v>5569</v>
      </c>
      <c r="D2248" s="385">
        <f>ROUNDUP(F2248/0.6/120,2)</f>
        <v>3.5599999999999996</v>
      </c>
      <c r="E2248" s="1412" t="s">
        <v>1893</v>
      </c>
      <c r="F2248" s="1408">
        <f>176+80</f>
        <v>256</v>
      </c>
      <c r="G2248" s="1189">
        <f>(D2248-(F2248/H2248))/D2248</f>
        <v>0.40074906367041191</v>
      </c>
      <c r="H2248" s="194">
        <v>120</v>
      </c>
    </row>
    <row r="2249" spans="1:8">
      <c r="A2249" s="40" t="s">
        <v>5571</v>
      </c>
      <c r="B2249" s="40" t="s">
        <v>5318</v>
      </c>
      <c r="C2249" s="357">
        <v>10</v>
      </c>
      <c r="D2249" s="385">
        <f>ROUNDUP(F2249/0.6/120,2)</f>
        <v>2.2699999999999996</v>
      </c>
      <c r="E2249" s="1412" t="s">
        <v>5572</v>
      </c>
      <c r="F2249" s="1408">
        <v>163</v>
      </c>
      <c r="G2249" s="1189">
        <f>(D2249-(F2249/H2249))/D2249</f>
        <v>0.40161527165932437</v>
      </c>
      <c r="H2249" s="194">
        <v>120</v>
      </c>
    </row>
    <row r="2250" spans="1:8">
      <c r="A2250" s="40" t="s">
        <v>5571</v>
      </c>
      <c r="B2250" s="40" t="s">
        <v>5328</v>
      </c>
      <c r="C2250" s="357" t="s">
        <v>5569</v>
      </c>
      <c r="D2250" s="385">
        <f>ROUNDUP(F2250/0.6/120,2)</f>
        <v>3.38</v>
      </c>
      <c r="E2250" s="1412" t="s">
        <v>1893</v>
      </c>
      <c r="F2250" s="1408">
        <f>163+80</f>
        <v>243</v>
      </c>
      <c r="G2250" s="1189">
        <f>(D2250-(F2250/H2250))/D2250</f>
        <v>0.40088757396449703</v>
      </c>
      <c r="H2250" s="194">
        <v>120</v>
      </c>
    </row>
    <row r="2254" spans="1:8">
      <c r="A2254" s="1145" t="s">
        <v>5576</v>
      </c>
      <c r="B2254" s="1145" t="s">
        <v>179</v>
      </c>
      <c r="C2254" s="1145" t="s">
        <v>99</v>
      </c>
      <c r="D2254" s="1145" t="s">
        <v>37</v>
      </c>
      <c r="E2254" s="1405" t="s">
        <v>4535</v>
      </c>
    </row>
    <row r="2255" spans="1:8">
      <c r="A2255" s="1484" t="s">
        <v>5577</v>
      </c>
      <c r="B2255" s="40" t="s">
        <v>5575</v>
      </c>
      <c r="C2255" s="40" t="s">
        <v>5318</v>
      </c>
      <c r="D2255" s="357">
        <v>30</v>
      </c>
      <c r="E2255" s="1113">
        <v>2.4500000000000002</v>
      </c>
    </row>
    <row r="2256" spans="1:8">
      <c r="A2256" s="1484" t="s">
        <v>5578</v>
      </c>
      <c r="B2256" s="40" t="s">
        <v>5575</v>
      </c>
      <c r="C2256" s="40" t="s">
        <v>5318</v>
      </c>
      <c r="D2256" s="357">
        <v>10</v>
      </c>
      <c r="E2256" s="1113">
        <v>2.4500000000000002</v>
      </c>
    </row>
    <row r="2257" spans="1:8">
      <c r="A2257" s="1483"/>
      <c r="B2257" s="306"/>
      <c r="C2257" s="40" t="s">
        <v>316</v>
      </c>
      <c r="D2257" s="353">
        <v>1</v>
      </c>
      <c r="E2257" s="1113">
        <v>12</v>
      </c>
    </row>
    <row r="2261" spans="1:8">
      <c r="A2261" s="1145" t="s">
        <v>179</v>
      </c>
      <c r="B2261" s="1145" t="s">
        <v>99</v>
      </c>
      <c r="C2261" s="354" t="s">
        <v>245</v>
      </c>
      <c r="D2261" s="354" t="s">
        <v>270</v>
      </c>
      <c r="E2261" s="354" t="s">
        <v>271</v>
      </c>
      <c r="F2261" s="1405" t="s">
        <v>4535</v>
      </c>
    </row>
    <row r="2262" spans="1:8">
      <c r="A2262" s="40" t="s">
        <v>4996</v>
      </c>
      <c r="B2262" s="40" t="s">
        <v>58</v>
      </c>
      <c r="C2262" s="355">
        <v>13.7</v>
      </c>
      <c r="D2262" s="356">
        <v>2</v>
      </c>
      <c r="E2262" s="1420">
        <f>C2262*D2262</f>
        <v>27.4</v>
      </c>
      <c r="F2262" s="1113">
        <v>29.85</v>
      </c>
    </row>
    <row r="2263" spans="1:8">
      <c r="A2263" s="40"/>
      <c r="B2263" s="40" t="s">
        <v>316</v>
      </c>
      <c r="C2263" s="353"/>
      <c r="D2263" s="1107"/>
      <c r="E2263" s="353">
        <v>1</v>
      </c>
      <c r="F2263" s="1113">
        <v>20</v>
      </c>
    </row>
    <row r="2266" spans="1:8" ht="15">
      <c r="A2266" s="1404" t="s">
        <v>5581</v>
      </c>
      <c r="B2266" s="1404"/>
      <c r="C2266" s="1404"/>
      <c r="D2266" s="1404"/>
      <c r="E2266" s="1404"/>
      <c r="F2266" s="1404"/>
    </row>
    <row r="2267" spans="1:8">
      <c r="A2267" s="1145" t="s">
        <v>179</v>
      </c>
      <c r="B2267" s="1145" t="s">
        <v>99</v>
      </c>
      <c r="C2267" s="1145" t="s">
        <v>5327</v>
      </c>
      <c r="D2267" s="1405" t="s">
        <v>4535</v>
      </c>
      <c r="E2267" s="1405" t="s">
        <v>5601</v>
      </c>
      <c r="F2267" s="1462" t="s">
        <v>5499</v>
      </c>
      <c r="G2267" s="1151" t="s">
        <v>4375</v>
      </c>
      <c r="H2267" s="194" t="s">
        <v>4376</v>
      </c>
    </row>
    <row r="2268" spans="1:8">
      <c r="A2268" s="40" t="s">
        <v>5498</v>
      </c>
      <c r="B2268" s="40" t="s">
        <v>5318</v>
      </c>
      <c r="C2268" s="42">
        <v>10</v>
      </c>
      <c r="D2268" s="360">
        <f t="shared" ref="D2268:D2278" si="28">ROUNDUP(F2268/0.6/120,2)</f>
        <v>4.24</v>
      </c>
      <c r="E2268" s="1412" t="s">
        <v>5500</v>
      </c>
      <c r="F2268" s="1408">
        <v>305</v>
      </c>
      <c r="G2268" s="1189">
        <f>(D2268-(F2268/H2268))/D2268</f>
        <v>0.4005503144654089</v>
      </c>
      <c r="H2268" s="194">
        <v>120</v>
      </c>
    </row>
    <row r="2269" spans="1:8">
      <c r="A2269" s="1115" t="s">
        <v>5591</v>
      </c>
      <c r="B2269" s="1115" t="s">
        <v>5318</v>
      </c>
      <c r="C2269" s="1486">
        <v>10</v>
      </c>
      <c r="D2269" s="1487">
        <f t="shared" si="28"/>
        <v>2.6199999999999997</v>
      </c>
      <c r="E2269" s="1115" t="s">
        <v>5582</v>
      </c>
      <c r="F2269">
        <v>188</v>
      </c>
      <c r="G2269" s="1189">
        <f>(D2269-(F2269/H2269))/D2269</f>
        <v>0.40203562340966914</v>
      </c>
      <c r="H2269" s="194">
        <v>120</v>
      </c>
    </row>
    <row r="2270" spans="1:8">
      <c r="A2270" s="1115" t="s">
        <v>5592</v>
      </c>
      <c r="B2270" s="1115" t="s">
        <v>5318</v>
      </c>
      <c r="C2270" s="1486">
        <v>10</v>
      </c>
      <c r="D2270" s="1487">
        <f t="shared" si="28"/>
        <v>2.59</v>
      </c>
      <c r="E2270" s="1115" t="s">
        <v>5583</v>
      </c>
      <c r="F2270">
        <v>186</v>
      </c>
      <c r="G2270" s="1189">
        <f t="shared" ref="G2270:G2278" si="29">(D2270-(F2270/H2270))/D2270</f>
        <v>0.40154440154440152</v>
      </c>
      <c r="H2270" s="194">
        <v>120</v>
      </c>
    </row>
    <row r="2271" spans="1:8">
      <c r="A2271" s="1115" t="s">
        <v>5593</v>
      </c>
      <c r="B2271" s="1115" t="s">
        <v>5318</v>
      </c>
      <c r="C2271" s="1486">
        <v>10</v>
      </c>
      <c r="D2271" s="1487">
        <f t="shared" si="28"/>
        <v>1.91</v>
      </c>
      <c r="E2271" s="1115" t="s">
        <v>5584</v>
      </c>
      <c r="F2271">
        <v>137</v>
      </c>
      <c r="G2271" s="1189">
        <f t="shared" si="29"/>
        <v>0.40226876090750435</v>
      </c>
      <c r="H2271" s="194">
        <v>120</v>
      </c>
    </row>
    <row r="2272" spans="1:8">
      <c r="A2272" s="1115" t="s">
        <v>5594</v>
      </c>
      <c r="B2272" s="1115" t="s">
        <v>5318</v>
      </c>
      <c r="C2272" s="1486">
        <v>10</v>
      </c>
      <c r="D2272" s="1487">
        <f t="shared" si="28"/>
        <v>2.1399999999999997</v>
      </c>
      <c r="E2272" s="1115" t="s">
        <v>5585</v>
      </c>
      <c r="F2272">
        <v>154</v>
      </c>
      <c r="G2272" s="1189">
        <f t="shared" si="29"/>
        <v>0.40031152647975066</v>
      </c>
      <c r="H2272" s="194">
        <v>120</v>
      </c>
    </row>
    <row r="2273" spans="1:8">
      <c r="A2273" s="1115" t="s">
        <v>5595</v>
      </c>
      <c r="B2273" s="1115" t="s">
        <v>5318</v>
      </c>
      <c r="C2273" s="1486">
        <v>10</v>
      </c>
      <c r="D2273" s="1487">
        <f t="shared" si="28"/>
        <v>1.89</v>
      </c>
      <c r="E2273" s="1115" t="s">
        <v>5586</v>
      </c>
      <c r="F2273">
        <v>136</v>
      </c>
      <c r="G2273" s="1189">
        <f t="shared" si="29"/>
        <v>0.400352733686067</v>
      </c>
      <c r="H2273" s="194">
        <v>120</v>
      </c>
    </row>
    <row r="2274" spans="1:8">
      <c r="A2274" s="1115" t="s">
        <v>5596</v>
      </c>
      <c r="B2274" s="1115" t="s">
        <v>5318</v>
      </c>
      <c r="C2274" s="1486">
        <v>10</v>
      </c>
      <c r="D2274" s="1487">
        <f t="shared" si="28"/>
        <v>2.59</v>
      </c>
      <c r="E2274" s="1115" t="s">
        <v>5587</v>
      </c>
      <c r="F2274">
        <v>186</v>
      </c>
      <c r="G2274" s="1189">
        <f t="shared" si="29"/>
        <v>0.40154440154440152</v>
      </c>
      <c r="H2274" s="194">
        <v>120</v>
      </c>
    </row>
    <row r="2275" spans="1:8">
      <c r="A2275" s="1115" t="s">
        <v>5597</v>
      </c>
      <c r="B2275" s="1115" t="s">
        <v>5318</v>
      </c>
      <c r="C2275" s="1486">
        <v>10</v>
      </c>
      <c r="D2275" s="1487">
        <f t="shared" si="28"/>
        <v>2.71</v>
      </c>
      <c r="E2275" s="1115" t="s">
        <v>5588</v>
      </c>
      <c r="F2275">
        <v>195</v>
      </c>
      <c r="G2275" s="1189">
        <f t="shared" si="29"/>
        <v>0.40036900369003692</v>
      </c>
      <c r="H2275" s="194">
        <v>120</v>
      </c>
    </row>
    <row r="2276" spans="1:8">
      <c r="A2276" s="1115" t="s">
        <v>5598</v>
      </c>
      <c r="B2276" s="1115" t="s">
        <v>5318</v>
      </c>
      <c r="C2276" s="1486">
        <v>10</v>
      </c>
      <c r="D2276" s="1487">
        <f t="shared" si="28"/>
        <v>2.2999999999999998</v>
      </c>
      <c r="E2276" s="1115" t="s">
        <v>5589</v>
      </c>
      <c r="F2276">
        <v>165</v>
      </c>
      <c r="G2276" s="1189">
        <f t="shared" si="29"/>
        <v>0.40217391304347822</v>
      </c>
      <c r="H2276" s="194">
        <v>120</v>
      </c>
    </row>
    <row r="2277" spans="1:8">
      <c r="A2277" s="1115" t="s">
        <v>5599</v>
      </c>
      <c r="B2277" s="1115" t="s">
        <v>5318</v>
      </c>
      <c r="C2277" s="1486">
        <v>10</v>
      </c>
      <c r="D2277" s="1487">
        <f t="shared" si="28"/>
        <v>2.6999999999999997</v>
      </c>
      <c r="E2277" s="1115" t="s">
        <v>5590</v>
      </c>
      <c r="F2277">
        <v>194</v>
      </c>
      <c r="G2277" s="1189">
        <f t="shared" si="29"/>
        <v>0.40123456790123452</v>
      </c>
      <c r="H2277" s="194">
        <v>120</v>
      </c>
    </row>
    <row r="2278" spans="1:8">
      <c r="A2278" s="1115" t="s">
        <v>5600</v>
      </c>
      <c r="B2278" s="1115" t="s">
        <v>5318</v>
      </c>
      <c r="C2278" s="1486">
        <v>10</v>
      </c>
      <c r="D2278" s="1487">
        <f t="shared" si="28"/>
        <v>2.8899999999999997</v>
      </c>
      <c r="E2278" s="1115" t="s">
        <v>5586</v>
      </c>
      <c r="F2278">
        <v>208</v>
      </c>
      <c r="G2278" s="1189">
        <f t="shared" si="29"/>
        <v>0.40023068050749705</v>
      </c>
      <c r="H2278" s="194">
        <v>120</v>
      </c>
    </row>
    <row r="2279" spans="1:8">
      <c r="D2279" s="194"/>
    </row>
    <row r="2282" spans="1:8">
      <c r="A2282" s="1145" t="s">
        <v>179</v>
      </c>
      <c r="B2282" s="1145" t="s">
        <v>99</v>
      </c>
      <c r="C2282" s="354" t="s">
        <v>271</v>
      </c>
      <c r="D2282" s="1405" t="s">
        <v>4535</v>
      </c>
    </row>
    <row r="2283" spans="1:8">
      <c r="A2283" s="40" t="s">
        <v>5602</v>
      </c>
      <c r="B2283" s="40" t="s">
        <v>5603</v>
      </c>
      <c r="C2283" s="357">
        <v>100</v>
      </c>
      <c r="D2283" s="1113">
        <v>2.87</v>
      </c>
    </row>
    <row r="2284" spans="1:8">
      <c r="A2284" s="40"/>
      <c r="B2284" s="40" t="s">
        <v>316</v>
      </c>
      <c r="C2284" s="353">
        <v>1</v>
      </c>
      <c r="D2284" s="1113">
        <v>12</v>
      </c>
    </row>
    <row r="2287" spans="1:8">
      <c r="A2287" t="s">
        <v>5617</v>
      </c>
    </row>
    <row r="2288" spans="1:8" s="1364" customFormat="1" ht="25.5">
      <c r="A2288" s="1489" t="s">
        <v>260</v>
      </c>
      <c r="B2288" s="1490" t="s">
        <v>5611</v>
      </c>
      <c r="C2288" s="1491" t="s">
        <v>5612</v>
      </c>
      <c r="D2288" s="1492" t="s">
        <v>5613</v>
      </c>
      <c r="E2288" s="1493" t="s">
        <v>5614</v>
      </c>
      <c r="F2288" s="1494"/>
    </row>
    <row r="2289" spans="1:8" s="1364" customFormat="1" ht="18" customHeight="1">
      <c r="A2289" s="1157" t="s">
        <v>5615</v>
      </c>
      <c r="B2289" s="1159" t="s">
        <v>5616</v>
      </c>
      <c r="C2289" s="1363">
        <v>25</v>
      </c>
      <c r="D2289" s="1495">
        <v>30</v>
      </c>
      <c r="E2289" s="1374">
        <v>1.21</v>
      </c>
      <c r="F2289" s="1498">
        <v>80</v>
      </c>
      <c r="G2289" s="1496">
        <f>(((E2289*H2289)-F2289)/(E2289*H2289))</f>
        <v>0.44903581267217624</v>
      </c>
      <c r="H2289" s="1497">
        <v>120</v>
      </c>
    </row>
    <row r="2292" spans="1:8">
      <c r="A2292" s="1145" t="s">
        <v>179</v>
      </c>
      <c r="B2292" s="1145" t="s">
        <v>99</v>
      </c>
      <c r="C2292" s="354" t="s">
        <v>271</v>
      </c>
      <c r="D2292" s="1405" t="s">
        <v>4535</v>
      </c>
      <c r="E2292" s="1405" t="s">
        <v>5491</v>
      </c>
    </row>
    <row r="2293" spans="1:8">
      <c r="A2293" s="40" t="s">
        <v>5498</v>
      </c>
      <c r="B2293" s="40" t="s">
        <v>5318</v>
      </c>
      <c r="C2293" s="357">
        <v>2</v>
      </c>
      <c r="D2293" s="1113">
        <v>4.24</v>
      </c>
      <c r="E2293" s="1113">
        <f t="shared" ref="E2293:E2304" si="30">D2293*C2293</f>
        <v>8.48</v>
      </c>
    </row>
    <row r="2294" spans="1:8">
      <c r="A2294" s="1115" t="s">
        <v>5591</v>
      </c>
      <c r="B2294" s="40" t="s">
        <v>5318</v>
      </c>
      <c r="C2294" s="357">
        <v>2</v>
      </c>
      <c r="D2294" s="1113">
        <v>2.6199999999999997</v>
      </c>
      <c r="E2294" s="1113">
        <f t="shared" si="30"/>
        <v>5.2399999999999993</v>
      </c>
    </row>
    <row r="2295" spans="1:8">
      <c r="A2295" s="1115" t="s">
        <v>5592</v>
      </c>
      <c r="B2295" s="40" t="s">
        <v>5318</v>
      </c>
      <c r="C2295" s="357">
        <v>2</v>
      </c>
      <c r="D2295" s="1113">
        <v>2.59</v>
      </c>
      <c r="E2295" s="1113">
        <f t="shared" si="30"/>
        <v>5.18</v>
      </c>
    </row>
    <row r="2296" spans="1:8">
      <c r="A2296" s="1115" t="s">
        <v>5593</v>
      </c>
      <c r="B2296" s="40" t="s">
        <v>5318</v>
      </c>
      <c r="C2296" s="357">
        <v>2</v>
      </c>
      <c r="D2296" s="1113">
        <v>1.91</v>
      </c>
      <c r="E2296" s="1113">
        <f t="shared" si="30"/>
        <v>3.82</v>
      </c>
    </row>
    <row r="2297" spans="1:8">
      <c r="A2297" s="1115" t="s">
        <v>5594</v>
      </c>
      <c r="B2297" s="40" t="s">
        <v>5318</v>
      </c>
      <c r="C2297" s="357">
        <v>2</v>
      </c>
      <c r="D2297" s="1113">
        <v>2.1399999999999997</v>
      </c>
      <c r="E2297" s="1113">
        <f t="shared" si="30"/>
        <v>4.2799999999999994</v>
      </c>
    </row>
    <row r="2298" spans="1:8">
      <c r="A2298" s="1115" t="s">
        <v>5595</v>
      </c>
      <c r="B2298" s="40" t="s">
        <v>5318</v>
      </c>
      <c r="C2298" s="357">
        <v>2</v>
      </c>
      <c r="D2298" s="1113">
        <v>1.89</v>
      </c>
      <c r="E2298" s="1113">
        <f t="shared" si="30"/>
        <v>3.78</v>
      </c>
    </row>
    <row r="2299" spans="1:8">
      <c r="A2299" s="1115" t="s">
        <v>5596</v>
      </c>
      <c r="B2299" s="40" t="s">
        <v>5318</v>
      </c>
      <c r="C2299" s="357">
        <v>2</v>
      </c>
      <c r="D2299" s="1113">
        <v>2.59</v>
      </c>
      <c r="E2299" s="1113">
        <f t="shared" si="30"/>
        <v>5.18</v>
      </c>
    </row>
    <row r="2300" spans="1:8">
      <c r="A2300" s="1115" t="s">
        <v>5597</v>
      </c>
      <c r="B2300" s="40" t="s">
        <v>5318</v>
      </c>
      <c r="C2300" s="357">
        <v>2</v>
      </c>
      <c r="D2300" s="1113">
        <v>2.71</v>
      </c>
      <c r="E2300" s="1113">
        <f t="shared" si="30"/>
        <v>5.42</v>
      </c>
    </row>
    <row r="2301" spans="1:8">
      <c r="A2301" s="1115" t="s">
        <v>5598</v>
      </c>
      <c r="B2301" s="40" t="s">
        <v>5318</v>
      </c>
      <c r="C2301" s="357">
        <v>2</v>
      </c>
      <c r="D2301" s="1113">
        <v>2.2999999999999998</v>
      </c>
      <c r="E2301" s="1113">
        <f t="shared" si="30"/>
        <v>4.5999999999999996</v>
      </c>
    </row>
    <row r="2302" spans="1:8">
      <c r="A2302" s="1115" t="s">
        <v>5599</v>
      </c>
      <c r="B2302" s="40" t="s">
        <v>5318</v>
      </c>
      <c r="C2302" s="357">
        <v>2</v>
      </c>
      <c r="D2302" s="1113">
        <v>2.6999999999999997</v>
      </c>
      <c r="E2302" s="1113">
        <f t="shared" si="30"/>
        <v>5.3999999999999995</v>
      </c>
    </row>
    <row r="2303" spans="1:8">
      <c r="A2303" s="1115" t="s">
        <v>5600</v>
      </c>
      <c r="B2303" s="40" t="s">
        <v>5318</v>
      </c>
      <c r="C2303" s="357">
        <v>2</v>
      </c>
      <c r="D2303" s="1113">
        <v>2.8899999999999997</v>
      </c>
      <c r="E2303" s="1113">
        <f t="shared" si="30"/>
        <v>5.7799999999999994</v>
      </c>
    </row>
    <row r="2304" spans="1:8">
      <c r="A2304" s="40"/>
      <c r="B2304" s="40" t="s">
        <v>316</v>
      </c>
      <c r="C2304" s="353">
        <v>1</v>
      </c>
      <c r="D2304" s="1113">
        <v>12</v>
      </c>
      <c r="E2304" s="1113">
        <f t="shared" si="30"/>
        <v>12</v>
      </c>
    </row>
    <row r="2305" spans="1:6">
      <c r="A2305" s="40"/>
      <c r="B2305" s="40"/>
      <c r="C2305" s="353"/>
      <c r="D2305" s="1500" t="s">
        <v>5625</v>
      </c>
      <c r="E2305" s="1500">
        <f>SUM(E2293:E2304)</f>
        <v>69.16</v>
      </c>
    </row>
    <row r="2308" spans="1:6" s="352" customFormat="1" ht="12.75">
      <c r="A2308" s="1145" t="s">
        <v>179</v>
      </c>
      <c r="B2308" s="1145" t="s">
        <v>99</v>
      </c>
      <c r="C2308" s="354" t="s">
        <v>271</v>
      </c>
      <c r="D2308" s="1405" t="s">
        <v>4535</v>
      </c>
      <c r="E2308" s="33"/>
    </row>
    <row r="2309" spans="1:6" s="352" customFormat="1" ht="12.75">
      <c r="A2309" s="40" t="s">
        <v>5602</v>
      </c>
      <c r="B2309" s="40" t="s">
        <v>5603</v>
      </c>
      <c r="C2309" s="357">
        <v>100</v>
      </c>
      <c r="D2309" s="1113">
        <v>2.87</v>
      </c>
      <c r="E2309" s="1113">
        <f>D2309*C2309</f>
        <v>287</v>
      </c>
    </row>
    <row r="2310" spans="1:6" s="352" customFormat="1" ht="12.75">
      <c r="A2310" s="40" t="s">
        <v>5602</v>
      </c>
      <c r="B2310" s="40" t="s">
        <v>5318</v>
      </c>
      <c r="C2310" s="357">
        <v>100</v>
      </c>
      <c r="D2310" s="1113">
        <v>1.75</v>
      </c>
      <c r="E2310" s="1113">
        <f>D2310*C2310</f>
        <v>175</v>
      </c>
    </row>
    <row r="2311" spans="1:6">
      <c r="A2311" s="40"/>
      <c r="B2311" s="40" t="s">
        <v>316</v>
      </c>
      <c r="C2311" s="353">
        <v>1</v>
      </c>
      <c r="D2311" s="1113">
        <v>24</v>
      </c>
    </row>
    <row r="2314" spans="1:6" ht="14.25" thickBot="1">
      <c r="A2314" t="s">
        <v>5631</v>
      </c>
    </row>
    <row r="2315" spans="1:6" ht="14.25" thickBot="1">
      <c r="A2315" s="1502" t="s">
        <v>179</v>
      </c>
      <c r="B2315" s="1503" t="s">
        <v>5628</v>
      </c>
      <c r="C2315" s="1503" t="s">
        <v>5629</v>
      </c>
      <c r="D2315" s="1504" t="s">
        <v>5630</v>
      </c>
      <c r="E2315" s="1151" t="s">
        <v>4375</v>
      </c>
      <c r="F2315" s="1151" t="s">
        <v>4376</v>
      </c>
    </row>
    <row r="2316" spans="1:6" ht="51.75" thickBot="1">
      <c r="A2316" s="1505" t="s">
        <v>5632</v>
      </c>
      <c r="B2316" s="1506">
        <v>10.6</v>
      </c>
      <c r="C2316" s="1507" t="s">
        <v>5633</v>
      </c>
      <c r="D2316" s="194">
        <f>860+30</f>
        <v>890</v>
      </c>
      <c r="E2316" s="1508">
        <f>(B2316-(D2316/F2316))/B2316</f>
        <v>0.30031446540880496</v>
      </c>
      <c r="F2316" s="1243">
        <v>120</v>
      </c>
    </row>
    <row r="2319" spans="1:6">
      <c r="A2319" s="1145" t="s">
        <v>179</v>
      </c>
      <c r="B2319" s="1145" t="s">
        <v>99</v>
      </c>
      <c r="C2319" s="354" t="s">
        <v>271</v>
      </c>
      <c r="D2319" s="1405" t="s">
        <v>4535</v>
      </c>
      <c r="E2319" s="1405" t="s">
        <v>5491</v>
      </c>
      <c r="F2319" s="1405" t="s">
        <v>5639</v>
      </c>
    </row>
    <row r="2320" spans="1:6">
      <c r="A2320" s="40" t="s">
        <v>5498</v>
      </c>
      <c r="B2320" s="40" t="s">
        <v>5318</v>
      </c>
      <c r="C2320" s="357">
        <v>90</v>
      </c>
      <c r="D2320" s="1113">
        <v>4.24</v>
      </c>
      <c r="E2320" s="1113">
        <f>D2320*C2320</f>
        <v>381.6</v>
      </c>
      <c r="F2320" s="1509" t="s">
        <v>5642</v>
      </c>
    </row>
    <row r="2321" spans="1:6">
      <c r="A2321" s="40" t="s">
        <v>5602</v>
      </c>
      <c r="B2321" s="40" t="s">
        <v>5318</v>
      </c>
      <c r="C2321" s="357">
        <v>130</v>
      </c>
      <c r="D2321" s="1113">
        <v>1.75</v>
      </c>
      <c r="E2321" s="1113">
        <f>D2321*C2321</f>
        <v>227.5</v>
      </c>
      <c r="F2321" s="1509" t="s">
        <v>5641</v>
      </c>
    </row>
    <row r="2322" spans="1:6" ht="43.5" customHeight="1">
      <c r="A2322" s="40" t="s">
        <v>5602</v>
      </c>
      <c r="B2322" s="40" t="s">
        <v>5603</v>
      </c>
      <c r="C2322" s="357">
        <v>50</v>
      </c>
      <c r="D2322" s="1113">
        <v>2.87</v>
      </c>
      <c r="E2322" s="1113">
        <f>D2322*C2322</f>
        <v>143.5</v>
      </c>
      <c r="F2322" s="1509" t="s">
        <v>5640</v>
      </c>
    </row>
    <row r="2323" spans="1:6">
      <c r="A2323" s="306"/>
      <c r="B2323" s="40" t="s">
        <v>316</v>
      </c>
      <c r="C2323" s="353">
        <v>1</v>
      </c>
      <c r="D2323" s="1113">
        <v>24</v>
      </c>
      <c r="E2323" s="1113">
        <f>D2323*C2323</f>
        <v>24</v>
      </c>
      <c r="F2323" s="158"/>
    </row>
    <row r="2326" spans="1:6">
      <c r="A2326" s="1338" t="s">
        <v>5648</v>
      </c>
      <c r="C2326" s="194" t="s">
        <v>5137</v>
      </c>
      <c r="D2326" s="1151" t="s">
        <v>4375</v>
      </c>
      <c r="E2326" s="1151" t="s">
        <v>4376</v>
      </c>
    </row>
    <row r="2327" spans="1:6" ht="27">
      <c r="A2327" s="1145" t="s">
        <v>5134</v>
      </c>
      <c r="B2327" s="1185" t="s">
        <v>4535</v>
      </c>
      <c r="C2327" s="1390" t="s">
        <v>5354</v>
      </c>
      <c r="D2327" s="1339"/>
      <c r="E2327" s="1339"/>
    </row>
    <row r="2328" spans="1:6" ht="25.5">
      <c r="A2328" s="1344" t="s">
        <v>5653</v>
      </c>
      <c r="B2328" s="360">
        <f>ROUNDUP(C2328/0.8/120,2)</f>
        <v>17.3</v>
      </c>
      <c r="C2328" s="158">
        <f>1260+400</f>
        <v>1660</v>
      </c>
      <c r="D2328" s="1343">
        <f>(((B2328*E2328)-C2328)/(B2328*E2328))</f>
        <v>0.20038535645472061</v>
      </c>
      <c r="E2328" s="162">
        <v>120</v>
      </c>
    </row>
    <row r="2329" spans="1:6" ht="25.5">
      <c r="A2329" s="1344" t="s">
        <v>5649</v>
      </c>
      <c r="B2329" s="360">
        <f>ROUNDUP(C2329/0.8/120,2)</f>
        <v>13.44</v>
      </c>
      <c r="C2329" s="158">
        <f>1260+30</f>
        <v>1290</v>
      </c>
      <c r="D2329" s="1341">
        <f>(((B2329*E2329)-C2329)/(B2329*E2329))</f>
        <v>0.20014880952380951</v>
      </c>
      <c r="E2329" s="1342">
        <v>120</v>
      </c>
    </row>
    <row r="2330" spans="1:6" ht="25.5">
      <c r="A2330" s="363" t="s">
        <v>5650</v>
      </c>
      <c r="B2330" s="1415" t="s">
        <v>5652</v>
      </c>
      <c r="C2330" s="158">
        <v>360</v>
      </c>
      <c r="D2330" s="1341" t="e">
        <f>(((B2330*E2330)-C2330)/(B2330*E2330))</f>
        <v>#VALUE!</v>
      </c>
      <c r="E2330" s="162">
        <v>120</v>
      </c>
    </row>
    <row r="2331" spans="1:6" ht="25.5">
      <c r="A2331" s="363" t="s">
        <v>5651</v>
      </c>
      <c r="B2331" s="360">
        <v>4.7300000000000004</v>
      </c>
      <c r="C2331" s="158">
        <v>360</v>
      </c>
      <c r="D2331" s="1341">
        <f>(((B2331*E2331)-C2331)/(B2331*E2331))</f>
        <v>0.36575052854122625</v>
      </c>
      <c r="E2331" s="1342">
        <v>120</v>
      </c>
    </row>
    <row r="2334" spans="1:6">
      <c r="A2334" s="1145" t="s">
        <v>179</v>
      </c>
      <c r="B2334" s="1145" t="s">
        <v>99</v>
      </c>
      <c r="C2334" s="354" t="s">
        <v>271</v>
      </c>
      <c r="D2334" s="1405" t="s">
        <v>4535</v>
      </c>
    </row>
    <row r="2335" spans="1:6">
      <c r="A2335" s="40" t="s">
        <v>207</v>
      </c>
      <c r="B2335" s="40" t="s">
        <v>5656</v>
      </c>
      <c r="C2335" s="357">
        <v>50</v>
      </c>
      <c r="D2335" s="1113">
        <v>4.7300000000000004</v>
      </c>
    </row>
    <row r="2336" spans="1:6">
      <c r="A2336" s="40" t="s">
        <v>207</v>
      </c>
      <c r="B2336" s="40" t="s">
        <v>5657</v>
      </c>
      <c r="C2336" s="357">
        <v>62</v>
      </c>
      <c r="D2336" s="1113">
        <v>4.7300000000000004</v>
      </c>
    </row>
    <row r="2337" spans="1:6">
      <c r="A2337" s="40" t="s">
        <v>207</v>
      </c>
      <c r="B2337" s="40" t="s">
        <v>5658</v>
      </c>
      <c r="C2337" s="357">
        <v>50</v>
      </c>
      <c r="D2337" s="1113">
        <v>4.7300000000000004</v>
      </c>
    </row>
    <row r="2338" spans="1:6">
      <c r="A2338" s="40" t="s">
        <v>207</v>
      </c>
      <c r="B2338" s="40" t="s">
        <v>5659</v>
      </c>
      <c r="C2338" s="357">
        <v>50</v>
      </c>
      <c r="D2338" s="1113">
        <v>4.7300000000000004</v>
      </c>
    </row>
    <row r="2339" spans="1:6">
      <c r="A2339" s="1106"/>
      <c r="B2339" s="40"/>
      <c r="C2339" s="355"/>
      <c r="D2339" s="45"/>
    </row>
    <row r="2340" spans="1:6">
      <c r="A2340" s="40" t="s">
        <v>5660</v>
      </c>
      <c r="B2340" s="1111" t="s">
        <v>5662</v>
      </c>
      <c r="C2340" s="1420">
        <v>50</v>
      </c>
      <c r="D2340" s="1113">
        <v>13.44</v>
      </c>
    </row>
    <row r="2341" spans="1:6">
      <c r="A2341" s="40" t="s">
        <v>5660</v>
      </c>
      <c r="B2341" s="1111" t="s">
        <v>5663</v>
      </c>
      <c r="C2341" s="1420">
        <v>50.5</v>
      </c>
      <c r="D2341" s="1113">
        <v>13.44</v>
      </c>
    </row>
    <row r="2342" spans="1:6">
      <c r="A2342" s="40"/>
      <c r="B2342" s="40" t="s">
        <v>316</v>
      </c>
      <c r="C2342" s="353">
        <v>1</v>
      </c>
      <c r="D2342" s="1113">
        <v>25</v>
      </c>
    </row>
    <row r="2345" spans="1:6">
      <c r="A2345" s="1338" t="s">
        <v>5668</v>
      </c>
      <c r="C2345" s="194" t="s">
        <v>5137</v>
      </c>
      <c r="D2345" s="1151" t="s">
        <v>4375</v>
      </c>
      <c r="E2345" s="1151" t="s">
        <v>4376</v>
      </c>
    </row>
    <row r="2346" spans="1:6" ht="27">
      <c r="A2346" s="1145" t="s">
        <v>5134</v>
      </c>
      <c r="B2346" s="1145" t="s">
        <v>5671</v>
      </c>
      <c r="C2346" s="1185" t="s">
        <v>4535</v>
      </c>
      <c r="D2346" s="1390" t="s">
        <v>5354</v>
      </c>
      <c r="E2346" s="1339"/>
      <c r="F2346" s="1339"/>
    </row>
    <row r="2347" spans="1:6" s="393" customFormat="1" ht="51">
      <c r="A2347" s="1392" t="s">
        <v>5669</v>
      </c>
      <c r="B2347" s="1344" t="s">
        <v>5672</v>
      </c>
      <c r="C2347" s="360">
        <f>ROUNDUP(D2347/0.8/120,2)</f>
        <v>8.129999999999999</v>
      </c>
      <c r="D2347" s="158">
        <f>580+100+100</f>
        <v>780</v>
      </c>
      <c r="E2347" s="1341">
        <f>(((C2347*F2347)-D2347)/(C2347*F2347))</f>
        <v>0.20049200492004912</v>
      </c>
      <c r="F2347" s="1342">
        <v>120</v>
      </c>
    </row>
    <row r="2348" spans="1:6" s="400" customFormat="1" ht="51">
      <c r="A2348" s="1392" t="s">
        <v>5670</v>
      </c>
      <c r="B2348" s="1344" t="s">
        <v>5672</v>
      </c>
      <c r="C2348" s="360">
        <f>ROUNDUP(D2348/0.8/120,2)</f>
        <v>7.3999999999999995</v>
      </c>
      <c r="D2348" s="158">
        <f>580+100+30</f>
        <v>710</v>
      </c>
      <c r="E2348" s="1430">
        <f>(C2348-(D2348/F2348))/C2348</f>
        <v>0.20045045045045035</v>
      </c>
      <c r="F2348" s="1431">
        <v>120</v>
      </c>
    </row>
    <row r="2349" spans="1:6" s="400" customFormat="1">
      <c r="A2349" s="1392"/>
      <c r="B2349" s="1344"/>
      <c r="C2349" s="360"/>
      <c r="D2349" s="158"/>
      <c r="E2349" s="1430"/>
      <c r="F2349" s="1431"/>
    </row>
    <row r="2350" spans="1:6" s="393" customFormat="1" ht="25.5">
      <c r="A2350" s="1392" t="s">
        <v>5673</v>
      </c>
      <c r="B2350" s="1344" t="s">
        <v>5672</v>
      </c>
      <c r="C2350" s="360">
        <f>ROUNDUP(D2350/0.8/120,2)</f>
        <v>8.86</v>
      </c>
      <c r="D2350" s="158">
        <v>850</v>
      </c>
      <c r="E2350" s="1341">
        <f>(((C2350*F2350)-D2350)/(C2350*F2350))</f>
        <v>0.2005267118133934</v>
      </c>
      <c r="F2350" s="1342">
        <v>120</v>
      </c>
    </row>
    <row r="2351" spans="1:6" s="400" customFormat="1" ht="25.5">
      <c r="A2351" s="1392" t="s">
        <v>5674</v>
      </c>
      <c r="B2351" s="1344" t="s">
        <v>5672</v>
      </c>
      <c r="C2351" s="360">
        <f>ROUNDUP(D2351/0.8/120,2)</f>
        <v>8.129999999999999</v>
      </c>
      <c r="D2351" s="158">
        <v>780</v>
      </c>
      <c r="E2351" s="1430">
        <f>(C2351-(D2351/F2351))/C2351</f>
        <v>0.20049200492004909</v>
      </c>
      <c r="F2351" s="1431">
        <v>120</v>
      </c>
    </row>
    <row r="2354" spans="1:5" ht="14.25">
      <c r="A2354" s="1389" t="s">
        <v>5308</v>
      </c>
    </row>
    <row r="2355" spans="1:5" s="337" customFormat="1" ht="14.25">
      <c r="A2355" s="351" t="s">
        <v>261</v>
      </c>
      <c r="B2355" s="1395" t="s">
        <v>342</v>
      </c>
      <c r="C2355" s="1390" t="s">
        <v>5260</v>
      </c>
      <c r="D2355" s="1223" t="s">
        <v>4375</v>
      </c>
      <c r="E2355" s="1391" t="s">
        <v>4376</v>
      </c>
    </row>
    <row r="2356" spans="1:5" s="337" customFormat="1" ht="24" customHeight="1">
      <c r="A2356" s="363" t="s">
        <v>5675</v>
      </c>
      <c r="B2356" s="364">
        <v>9.8000000000000007</v>
      </c>
      <c r="C2356" s="1392">
        <f>910+30</f>
        <v>940</v>
      </c>
      <c r="D2356" s="1393">
        <f>(B2356-(C2356/E2356))/B2356</f>
        <v>0.20068027210884362</v>
      </c>
      <c r="E2356" s="1394">
        <v>120</v>
      </c>
    </row>
    <row r="2359" spans="1:5">
      <c r="A2359" t="s">
        <v>5704</v>
      </c>
    </row>
    <row r="2360" spans="1:5" s="352" customFormat="1" ht="12">
      <c r="A2360" s="365" t="s">
        <v>5705</v>
      </c>
      <c r="B2360" s="365" t="s">
        <v>5707</v>
      </c>
      <c r="C2360" s="365" t="s">
        <v>5709</v>
      </c>
      <c r="D2360" s="365" t="s">
        <v>5710</v>
      </c>
      <c r="E2360" s="365" t="s">
        <v>5718</v>
      </c>
    </row>
    <row r="2361" spans="1:5" s="352" customFormat="1" ht="12.75">
      <c r="A2361" s="1106" t="s">
        <v>2358</v>
      </c>
      <c r="B2361" s="40"/>
      <c r="C2361" s="357"/>
      <c r="D2361" s="386"/>
      <c r="E2361" s="1516"/>
    </row>
    <row r="2362" spans="1:5" s="352" customFormat="1" ht="12.75">
      <c r="A2362" s="1514" t="s">
        <v>5676</v>
      </c>
      <c r="B2362" s="40" t="s">
        <v>5318</v>
      </c>
      <c r="C2362" s="357">
        <v>10</v>
      </c>
      <c r="D2362" s="386">
        <v>88</v>
      </c>
      <c r="E2362" s="1516"/>
    </row>
    <row r="2363" spans="1:5" s="352" customFormat="1" ht="12.75">
      <c r="A2363" s="1106" t="s">
        <v>5691</v>
      </c>
      <c r="B2363" s="40"/>
      <c r="C2363" s="357"/>
      <c r="D2363" s="386"/>
      <c r="E2363" s="1516"/>
    </row>
    <row r="2364" spans="1:5" s="352" customFormat="1" ht="12.75">
      <c r="A2364" s="1514" t="s">
        <v>5677</v>
      </c>
      <c r="B2364" s="40" t="s">
        <v>5318</v>
      </c>
      <c r="C2364" s="357">
        <v>10</v>
      </c>
      <c r="D2364" s="386">
        <v>92</v>
      </c>
      <c r="E2364" s="1516"/>
    </row>
    <row r="2365" spans="1:5" s="352" customFormat="1" ht="12.75">
      <c r="A2365" s="1106" t="s">
        <v>5693</v>
      </c>
      <c r="B2365" s="40"/>
      <c r="C2365" s="357"/>
      <c r="D2365" s="386"/>
      <c r="E2365" s="1516"/>
    </row>
    <row r="2366" spans="1:5" s="352" customFormat="1" ht="12.75">
      <c r="A2366" s="1514" t="s">
        <v>5678</v>
      </c>
      <c r="B2366" s="40" t="s">
        <v>5708</v>
      </c>
      <c r="C2366" s="357">
        <v>10</v>
      </c>
      <c r="D2366" s="386">
        <v>43</v>
      </c>
      <c r="E2366" s="1516"/>
    </row>
    <row r="2367" spans="1:5" s="352" customFormat="1" ht="12.75">
      <c r="A2367" s="1106" t="s">
        <v>5692</v>
      </c>
      <c r="B2367" s="40"/>
      <c r="C2367" s="357"/>
      <c r="D2367" s="386"/>
      <c r="E2367" s="1516"/>
    </row>
    <row r="2368" spans="1:5" s="352" customFormat="1" ht="16.5">
      <c r="A2368" s="1514" t="s">
        <v>5706</v>
      </c>
      <c r="B2368" s="40" t="s">
        <v>5708</v>
      </c>
      <c r="C2368" s="357">
        <v>10</v>
      </c>
      <c r="D2368" s="386">
        <v>43</v>
      </c>
      <c r="E2368" s="1516"/>
    </row>
    <row r="2369" spans="1:5" s="352" customFormat="1" ht="12.75">
      <c r="A2369" s="1106" t="s">
        <v>5694</v>
      </c>
      <c r="B2369" s="40"/>
      <c r="C2369" s="357"/>
      <c r="D2369" s="386"/>
      <c r="E2369" s="1516"/>
    </row>
    <row r="2370" spans="1:5" s="352" customFormat="1" ht="12.75">
      <c r="A2370" s="1514" t="s">
        <v>5679</v>
      </c>
      <c r="B2370" s="40" t="s">
        <v>5708</v>
      </c>
      <c r="C2370" s="357">
        <v>10</v>
      </c>
      <c r="D2370" s="386">
        <v>50</v>
      </c>
      <c r="E2370" s="1516"/>
    </row>
    <row r="2371" spans="1:5" s="352" customFormat="1" ht="12.75">
      <c r="A2371" s="1106" t="s">
        <v>5695</v>
      </c>
      <c r="B2371" s="40"/>
      <c r="C2371" s="357"/>
      <c r="D2371" s="386"/>
      <c r="E2371" s="1516"/>
    </row>
    <row r="2372" spans="1:5" s="352" customFormat="1" ht="12.75">
      <c r="A2372" s="1514" t="s">
        <v>5680</v>
      </c>
      <c r="B2372" s="40" t="s">
        <v>5318</v>
      </c>
      <c r="C2372" s="357">
        <v>10</v>
      </c>
      <c r="D2372" s="386">
        <v>176</v>
      </c>
      <c r="E2372" s="1516"/>
    </row>
    <row r="2373" spans="1:5" s="352" customFormat="1" ht="12.75">
      <c r="A2373" s="1106" t="s">
        <v>5696</v>
      </c>
      <c r="B2373" s="40"/>
      <c r="C2373" s="357"/>
      <c r="D2373" s="386"/>
      <c r="E2373" s="1516"/>
    </row>
    <row r="2374" spans="1:5" s="352" customFormat="1" ht="12.75">
      <c r="A2374" s="1514" t="s">
        <v>5681</v>
      </c>
      <c r="B2374" s="40" t="s">
        <v>5318</v>
      </c>
      <c r="C2374" s="357">
        <v>10</v>
      </c>
      <c r="D2374" s="386">
        <v>84</v>
      </c>
      <c r="E2374" s="1516"/>
    </row>
    <row r="2375" spans="1:5" s="352" customFormat="1" ht="12.75">
      <c r="A2375" s="1106" t="s">
        <v>5698</v>
      </c>
      <c r="B2375" s="40"/>
      <c r="C2375" s="357"/>
      <c r="D2375" s="386"/>
      <c r="E2375" s="1516"/>
    </row>
    <row r="2376" spans="1:5" s="352" customFormat="1" ht="12.75">
      <c r="A2376" s="1514" t="s">
        <v>5697</v>
      </c>
      <c r="B2376" s="40" t="s">
        <v>5708</v>
      </c>
      <c r="C2376" s="357">
        <v>10</v>
      </c>
      <c r="D2376" s="386">
        <v>99</v>
      </c>
      <c r="E2376" s="1516"/>
    </row>
    <row r="2377" spans="1:5" s="352" customFormat="1" ht="12.75">
      <c r="A2377" s="1514" t="s">
        <v>5682</v>
      </c>
      <c r="B2377" s="40" t="s">
        <v>5708</v>
      </c>
      <c r="C2377" s="357">
        <v>10</v>
      </c>
      <c r="D2377" s="386">
        <v>99</v>
      </c>
      <c r="E2377" s="1516"/>
    </row>
    <row r="2378" spans="1:5" s="352" customFormat="1" ht="12.75">
      <c r="A2378" s="1106" t="s">
        <v>5699</v>
      </c>
      <c r="B2378" s="40"/>
      <c r="C2378" s="357"/>
      <c r="D2378" s="386"/>
      <c r="E2378" s="1516"/>
    </row>
    <row r="2379" spans="1:5" s="352" customFormat="1" ht="12.75">
      <c r="A2379" s="1514" t="s">
        <v>5683</v>
      </c>
      <c r="B2379" s="40" t="s">
        <v>5700</v>
      </c>
      <c r="C2379" s="357">
        <v>10</v>
      </c>
      <c r="D2379" s="386">
        <v>273</v>
      </c>
      <c r="E2379" s="1516"/>
    </row>
    <row r="2380" spans="1:5" s="352" customFormat="1" ht="12.75">
      <c r="A2380" s="1514" t="s">
        <v>5683</v>
      </c>
      <c r="B2380" s="40" t="s">
        <v>5701</v>
      </c>
      <c r="C2380" s="357">
        <v>10</v>
      </c>
      <c r="D2380" s="386">
        <v>273</v>
      </c>
      <c r="E2380" s="1516"/>
    </row>
    <row r="2381" spans="1:5" s="352" customFormat="1" ht="12.75">
      <c r="A2381" s="1106" t="s">
        <v>5703</v>
      </c>
      <c r="B2381" s="40"/>
      <c r="C2381" s="357"/>
      <c r="D2381" s="386"/>
      <c r="E2381" s="1516"/>
    </row>
    <row r="2382" spans="1:5" s="352" customFormat="1" ht="12.75">
      <c r="A2382" s="1514" t="s">
        <v>5684</v>
      </c>
      <c r="B2382" s="306" t="s">
        <v>5702</v>
      </c>
      <c r="C2382" s="357">
        <v>10</v>
      </c>
      <c r="D2382" s="386">
        <v>223</v>
      </c>
      <c r="E2382" s="1516"/>
    </row>
    <row r="2383" spans="1:5" s="352" customFormat="1" ht="12.75">
      <c r="A2383" s="1515" t="s">
        <v>5719</v>
      </c>
      <c r="B2383" s="40"/>
      <c r="C2383" s="357"/>
      <c r="D2383" s="386"/>
      <c r="E2383" s="1516"/>
    </row>
    <row r="2384" spans="1:5" s="352" customFormat="1" ht="12.75">
      <c r="A2384" s="1514" t="s">
        <v>5685</v>
      </c>
      <c r="B2384" s="40" t="s">
        <v>5686</v>
      </c>
      <c r="C2384" s="357">
        <v>10</v>
      </c>
      <c r="D2384" s="1519" t="s">
        <v>5690</v>
      </c>
      <c r="E2384" s="1516"/>
    </row>
    <row r="2385" spans="1:9" s="352" customFormat="1" ht="12"/>
    <row r="2387" spans="1:9" ht="15.75">
      <c r="A2387" s="1517" t="s">
        <v>5711</v>
      </c>
    </row>
    <row r="2388" spans="1:9" ht="15.75">
      <c r="A2388" s="1518" t="s">
        <v>5712</v>
      </c>
    </row>
    <row r="2389" spans="1:9" ht="15.75">
      <c r="A2389" s="1518" t="s">
        <v>5713</v>
      </c>
    </row>
    <row r="2390" spans="1:9" ht="15.75">
      <c r="A2390" s="1517" t="s">
        <v>5714</v>
      </c>
    </row>
    <row r="2391" spans="1:9" ht="15.75">
      <c r="A2391" s="1517" t="s">
        <v>5715</v>
      </c>
    </row>
    <row r="2392" spans="1:9" ht="15.75">
      <c r="A2392" s="1517" t="s">
        <v>5716</v>
      </c>
    </row>
    <row r="2393" spans="1:9" ht="15.75">
      <c r="A2393" s="1518" t="s">
        <v>5717</v>
      </c>
    </row>
    <row r="2397" spans="1:9" s="352" customFormat="1" ht="25.5">
      <c r="A2397" s="1145" t="s">
        <v>179</v>
      </c>
      <c r="B2397" s="1145" t="s">
        <v>99</v>
      </c>
      <c r="C2397" s="1145" t="s">
        <v>5327</v>
      </c>
      <c r="D2397" s="1405" t="s">
        <v>4535</v>
      </c>
      <c r="E2397" s="1405" t="s">
        <v>5722</v>
      </c>
      <c r="F2397" s="1462" t="s">
        <v>5499</v>
      </c>
      <c r="G2397" s="1151" t="s">
        <v>4375</v>
      </c>
      <c r="H2397" s="194" t="s">
        <v>4376</v>
      </c>
      <c r="I2397" s="1520"/>
    </row>
    <row r="2398" spans="1:9" s="352" customFormat="1">
      <c r="A2398" s="40" t="s">
        <v>5688</v>
      </c>
      <c r="B2398" s="40" t="s">
        <v>5318</v>
      </c>
      <c r="C2398" s="1420">
        <v>13.7</v>
      </c>
      <c r="D2398" s="1113">
        <f t="shared" ref="D2398:D2423" si="31">ROUNDUP(F2398/0.6/120,2)</f>
        <v>2.23</v>
      </c>
      <c r="E2398" s="1412" t="s">
        <v>5341</v>
      </c>
      <c r="F2398" s="330">
        <v>160</v>
      </c>
      <c r="G2398" s="1189">
        <f>(D2398-(F2398/H2398))/D2398</f>
        <v>0.40209267563527656</v>
      </c>
      <c r="H2398" s="194">
        <v>120</v>
      </c>
    </row>
    <row r="2399" spans="1:9" s="352" customFormat="1">
      <c r="A2399" s="40" t="s">
        <v>5688</v>
      </c>
      <c r="B2399" s="40" t="s">
        <v>5328</v>
      </c>
      <c r="C2399" s="357">
        <v>383.6</v>
      </c>
      <c r="D2399" s="1113">
        <f t="shared" si="31"/>
        <v>2.78</v>
      </c>
      <c r="E2399" s="1412" t="s">
        <v>1893</v>
      </c>
      <c r="F2399" s="330">
        <f>160+40</f>
        <v>200</v>
      </c>
      <c r="G2399" s="1189">
        <f>(D2399-(F2399/H2399))/D2399</f>
        <v>0.40047961630695439</v>
      </c>
      <c r="H2399" s="194">
        <v>120</v>
      </c>
    </row>
    <row r="2400" spans="1:9" s="352" customFormat="1">
      <c r="A2400" s="40" t="s">
        <v>2360</v>
      </c>
      <c r="B2400" s="40" t="s">
        <v>5318</v>
      </c>
      <c r="C2400" s="1420">
        <v>13.7</v>
      </c>
      <c r="D2400" s="1113">
        <f t="shared" si="31"/>
        <v>1.81</v>
      </c>
      <c r="E2400" s="1412" t="s">
        <v>5728</v>
      </c>
      <c r="F2400" s="330">
        <v>130</v>
      </c>
      <c r="G2400" s="1189">
        <f t="shared" ref="G2400:G2422" si="32">(D2400-(F2400/H2400))/D2400</f>
        <v>0.4014732965009209</v>
      </c>
      <c r="H2400" s="194">
        <v>120</v>
      </c>
    </row>
    <row r="2401" spans="1:8" s="352" customFormat="1">
      <c r="A2401" s="40" t="s">
        <v>2360</v>
      </c>
      <c r="B2401" s="40" t="s">
        <v>5328</v>
      </c>
      <c r="C2401" s="357">
        <v>383.6</v>
      </c>
      <c r="D2401" s="1113">
        <f t="shared" si="31"/>
        <v>2.3699999999999997</v>
      </c>
      <c r="E2401" s="1412" t="s">
        <v>1893</v>
      </c>
      <c r="F2401" s="330">
        <f>130+40</f>
        <v>170</v>
      </c>
      <c r="G2401" s="1189">
        <f t="shared" si="32"/>
        <v>0.40225035161744011</v>
      </c>
      <c r="H2401" s="194">
        <v>120</v>
      </c>
    </row>
    <row r="2402" spans="1:8" s="352" customFormat="1">
      <c r="A2402" s="40" t="s">
        <v>5676</v>
      </c>
      <c r="B2402" s="40" t="s">
        <v>5318</v>
      </c>
      <c r="C2402" s="357">
        <v>10</v>
      </c>
      <c r="D2402" s="1113">
        <f t="shared" si="31"/>
        <v>1.23</v>
      </c>
      <c r="E2402" s="1412" t="s">
        <v>5729</v>
      </c>
      <c r="F2402" s="330">
        <v>88</v>
      </c>
      <c r="G2402" s="1189">
        <f t="shared" si="32"/>
        <v>0.40379403794037944</v>
      </c>
      <c r="H2402" s="194">
        <v>120</v>
      </c>
    </row>
    <row r="2403" spans="1:8" s="352" customFormat="1">
      <c r="A2403" s="40" t="s">
        <v>5676</v>
      </c>
      <c r="B2403" s="40" t="s">
        <v>5328</v>
      </c>
      <c r="C2403" s="357" t="s">
        <v>5569</v>
      </c>
      <c r="D2403" s="1113">
        <f t="shared" si="31"/>
        <v>2.34</v>
      </c>
      <c r="E2403" s="1412" t="s">
        <v>1893</v>
      </c>
      <c r="F2403" s="330">
        <f>88+80</f>
        <v>168</v>
      </c>
      <c r="G2403" s="1189">
        <f t="shared" si="32"/>
        <v>0.40170940170940173</v>
      </c>
      <c r="H2403" s="194">
        <v>120</v>
      </c>
    </row>
    <row r="2404" spans="1:8" s="352" customFormat="1">
      <c r="A2404" s="40" t="s">
        <v>5677</v>
      </c>
      <c r="B2404" s="40" t="s">
        <v>5318</v>
      </c>
      <c r="C2404" s="357">
        <v>10</v>
      </c>
      <c r="D2404" s="1113">
        <f t="shared" si="31"/>
        <v>1.28</v>
      </c>
      <c r="E2404" s="1412" t="s">
        <v>5730</v>
      </c>
      <c r="F2404" s="330">
        <v>92</v>
      </c>
      <c r="G2404" s="1189">
        <f t="shared" si="32"/>
        <v>0.40104166666666663</v>
      </c>
      <c r="H2404" s="194">
        <v>120</v>
      </c>
    </row>
    <row r="2405" spans="1:8" s="352" customFormat="1">
      <c r="A2405" s="40" t="s">
        <v>5677</v>
      </c>
      <c r="B2405" s="40" t="s">
        <v>5328</v>
      </c>
      <c r="C2405" s="357" t="s">
        <v>5569</v>
      </c>
      <c r="D2405" s="1113">
        <f t="shared" si="31"/>
        <v>2.3899999999999997</v>
      </c>
      <c r="E2405" s="1412" t="s">
        <v>1893</v>
      </c>
      <c r="F2405" s="330">
        <f>92+80</f>
        <v>172</v>
      </c>
      <c r="G2405" s="1189">
        <f t="shared" si="32"/>
        <v>0.40027894002789394</v>
      </c>
      <c r="H2405" s="194">
        <v>120</v>
      </c>
    </row>
    <row r="2406" spans="1:8" s="352" customFormat="1">
      <c r="A2406" s="40" t="s">
        <v>5678</v>
      </c>
      <c r="B2406" s="40" t="s">
        <v>5708</v>
      </c>
      <c r="C2406" s="357">
        <v>10</v>
      </c>
      <c r="D2406" s="1113">
        <f t="shared" si="31"/>
        <v>0.6</v>
      </c>
      <c r="E2406" s="1412" t="s">
        <v>5733</v>
      </c>
      <c r="F2406" s="330">
        <v>43</v>
      </c>
      <c r="G2406" s="1189">
        <f t="shared" si="32"/>
        <v>0.40277777777777773</v>
      </c>
      <c r="H2406" s="194">
        <v>120</v>
      </c>
    </row>
    <row r="2407" spans="1:8" s="352" customFormat="1">
      <c r="A2407" s="40" t="s">
        <v>5678</v>
      </c>
      <c r="B2407" s="40" t="s">
        <v>5328</v>
      </c>
      <c r="C2407" s="357" t="s">
        <v>5569</v>
      </c>
      <c r="D2407" s="1113">
        <f t="shared" si="31"/>
        <v>1.71</v>
      </c>
      <c r="E2407" s="1412" t="s">
        <v>1893</v>
      </c>
      <c r="F2407" s="330">
        <f>43+80</f>
        <v>123</v>
      </c>
      <c r="G2407" s="1189">
        <f t="shared" si="32"/>
        <v>0.40058479532163749</v>
      </c>
      <c r="H2407" s="194">
        <v>120</v>
      </c>
    </row>
    <row r="2408" spans="1:8" s="352" customFormat="1">
      <c r="A2408" s="1312" t="s">
        <v>5743</v>
      </c>
      <c r="B2408" s="40" t="s">
        <v>5708</v>
      </c>
      <c r="C2408" s="357">
        <v>10</v>
      </c>
      <c r="D2408" s="1113">
        <f t="shared" si="31"/>
        <v>0.6</v>
      </c>
      <c r="E2408" s="1412" t="s">
        <v>5734</v>
      </c>
      <c r="F2408" s="330">
        <v>43</v>
      </c>
      <c r="G2408" s="1189">
        <f t="shared" si="32"/>
        <v>0.40277777777777773</v>
      </c>
      <c r="H2408" s="194">
        <v>120</v>
      </c>
    </row>
    <row r="2409" spans="1:8" s="352" customFormat="1">
      <c r="A2409" s="1115" t="s">
        <v>5731</v>
      </c>
      <c r="B2409" s="40" t="s">
        <v>5328</v>
      </c>
      <c r="C2409" s="357" t="s">
        <v>5569</v>
      </c>
      <c r="D2409" s="1113">
        <f t="shared" si="31"/>
        <v>1.71</v>
      </c>
      <c r="E2409" s="1412" t="s">
        <v>1893</v>
      </c>
      <c r="F2409" s="330">
        <f>43+80</f>
        <v>123</v>
      </c>
      <c r="G2409" s="1189">
        <f t="shared" si="32"/>
        <v>0.40058479532163749</v>
      </c>
      <c r="H2409" s="194">
        <v>120</v>
      </c>
    </row>
    <row r="2410" spans="1:8" s="352" customFormat="1">
      <c r="A2410" s="40" t="s">
        <v>5679</v>
      </c>
      <c r="B2410" s="40" t="s">
        <v>5708</v>
      </c>
      <c r="C2410" s="357">
        <v>10</v>
      </c>
      <c r="D2410" s="1113">
        <f t="shared" si="31"/>
        <v>0.7</v>
      </c>
      <c r="E2410" s="1412" t="s">
        <v>5735</v>
      </c>
      <c r="F2410" s="330">
        <v>50</v>
      </c>
      <c r="G2410" s="1189">
        <f t="shared" si="32"/>
        <v>0.40476190476190471</v>
      </c>
      <c r="H2410" s="194">
        <v>120</v>
      </c>
    </row>
    <row r="2411" spans="1:8" s="352" customFormat="1">
      <c r="A2411" s="40" t="s">
        <v>5679</v>
      </c>
      <c r="B2411" s="40" t="s">
        <v>5328</v>
      </c>
      <c r="C2411" s="357" t="s">
        <v>5569</v>
      </c>
      <c r="D2411" s="1113">
        <f t="shared" si="31"/>
        <v>1.81</v>
      </c>
      <c r="E2411" s="1412" t="s">
        <v>1893</v>
      </c>
      <c r="F2411" s="330">
        <f>50+80</f>
        <v>130</v>
      </c>
      <c r="G2411" s="1189">
        <f t="shared" si="32"/>
        <v>0.4014732965009209</v>
      </c>
      <c r="H2411" s="194">
        <v>120</v>
      </c>
    </row>
    <row r="2412" spans="1:8" s="352" customFormat="1">
      <c r="A2412" s="40" t="s">
        <v>5680</v>
      </c>
      <c r="B2412" s="40" t="s">
        <v>5318</v>
      </c>
      <c r="C2412" s="357">
        <v>10</v>
      </c>
      <c r="D2412" s="1113">
        <f t="shared" si="31"/>
        <v>2.4499999999999997</v>
      </c>
      <c r="E2412" s="1412" t="s">
        <v>5734</v>
      </c>
      <c r="F2412" s="330">
        <v>176</v>
      </c>
      <c r="G2412" s="1189">
        <f t="shared" si="32"/>
        <v>0.40136054421768708</v>
      </c>
      <c r="H2412" s="194">
        <v>120</v>
      </c>
    </row>
    <row r="2413" spans="1:8" s="352" customFormat="1">
      <c r="A2413" s="40" t="s">
        <v>5680</v>
      </c>
      <c r="B2413" s="40" t="s">
        <v>5328</v>
      </c>
      <c r="C2413" s="357" t="s">
        <v>5569</v>
      </c>
      <c r="D2413" s="1113">
        <f t="shared" si="31"/>
        <v>3.6999999999999997</v>
      </c>
      <c r="E2413" s="1412" t="s">
        <v>1893</v>
      </c>
      <c r="F2413" s="330">
        <f>176+90</f>
        <v>266</v>
      </c>
      <c r="G2413" s="1189">
        <f t="shared" si="32"/>
        <v>0.4009009009009008</v>
      </c>
      <c r="H2413" s="194">
        <v>120</v>
      </c>
    </row>
    <row r="2414" spans="1:8" s="352" customFormat="1">
      <c r="A2414" s="40" t="s">
        <v>5681</v>
      </c>
      <c r="B2414" s="40" t="s">
        <v>5318</v>
      </c>
      <c r="C2414" s="357">
        <v>10</v>
      </c>
      <c r="D2414" s="1113">
        <f t="shared" si="31"/>
        <v>1.17</v>
      </c>
      <c r="E2414" s="1412" t="s">
        <v>5736</v>
      </c>
      <c r="F2414" s="330">
        <v>84</v>
      </c>
      <c r="G2414" s="1189">
        <f t="shared" si="32"/>
        <v>0.40170940170940173</v>
      </c>
      <c r="H2414" s="194">
        <v>120</v>
      </c>
    </row>
    <row r="2415" spans="1:8" s="352" customFormat="1">
      <c r="A2415" s="40" t="s">
        <v>5720</v>
      </c>
      <c r="B2415" s="40" t="s">
        <v>5328</v>
      </c>
      <c r="C2415" s="357" t="s">
        <v>5569</v>
      </c>
      <c r="D2415" s="1113">
        <f t="shared" si="31"/>
        <v>2.2799999999999998</v>
      </c>
      <c r="E2415" s="1412" t="s">
        <v>1893</v>
      </c>
      <c r="F2415" s="330">
        <f>84+80</f>
        <v>164</v>
      </c>
      <c r="G2415" s="1189">
        <f t="shared" si="32"/>
        <v>0.40058479532163738</v>
      </c>
      <c r="H2415" s="194">
        <v>120</v>
      </c>
    </row>
    <row r="2416" spans="1:8" s="352" customFormat="1">
      <c r="A2416" s="40" t="s">
        <v>5697</v>
      </c>
      <c r="B2416" s="40" t="s">
        <v>5708</v>
      </c>
      <c r="C2416" s="357">
        <v>10</v>
      </c>
      <c r="D2416" s="1113">
        <f t="shared" si="31"/>
        <v>1.3800000000000001</v>
      </c>
      <c r="E2416" s="1412" t="s">
        <v>5737</v>
      </c>
      <c r="F2416" s="330">
        <v>99</v>
      </c>
      <c r="G2416" s="1189">
        <f t="shared" si="32"/>
        <v>0.40217391304347833</v>
      </c>
      <c r="H2416" s="194">
        <v>120</v>
      </c>
    </row>
    <row r="2417" spans="1:8" s="352" customFormat="1">
      <c r="A2417" s="40" t="s">
        <v>5697</v>
      </c>
      <c r="B2417" s="40" t="s">
        <v>5328</v>
      </c>
      <c r="C2417" s="357" t="s">
        <v>5569</v>
      </c>
      <c r="D2417" s="1113">
        <f t="shared" si="31"/>
        <v>2.4899999999999998</v>
      </c>
      <c r="E2417" s="1412" t="s">
        <v>1893</v>
      </c>
      <c r="F2417" s="330">
        <f>99+80</f>
        <v>179</v>
      </c>
      <c r="G2417" s="1189">
        <f t="shared" si="32"/>
        <v>0.40093708165997316</v>
      </c>
      <c r="H2417" s="194">
        <v>120</v>
      </c>
    </row>
    <row r="2418" spans="1:8" s="352" customFormat="1">
      <c r="A2418" s="40" t="s">
        <v>5682</v>
      </c>
      <c r="B2418" s="40" t="s">
        <v>5708</v>
      </c>
      <c r="C2418" s="357">
        <v>10</v>
      </c>
      <c r="D2418" s="1113">
        <f t="shared" si="31"/>
        <v>1.3800000000000001</v>
      </c>
      <c r="E2418" s="1412" t="s">
        <v>5738</v>
      </c>
      <c r="F2418" s="330">
        <v>99</v>
      </c>
      <c r="G2418" s="1189">
        <f t="shared" si="32"/>
        <v>0.40217391304347833</v>
      </c>
      <c r="H2418" s="194">
        <v>120</v>
      </c>
    </row>
    <row r="2419" spans="1:8" s="352" customFormat="1">
      <c r="A2419" s="40" t="s">
        <v>5682</v>
      </c>
      <c r="B2419" s="40" t="s">
        <v>5328</v>
      </c>
      <c r="C2419" s="357" t="s">
        <v>5569</v>
      </c>
      <c r="D2419" s="1113">
        <f t="shared" si="31"/>
        <v>2.4899999999999998</v>
      </c>
      <c r="E2419" s="1412" t="s">
        <v>1893</v>
      </c>
      <c r="F2419" s="330">
        <f>99+80</f>
        <v>179</v>
      </c>
      <c r="G2419" s="1189">
        <f t="shared" si="32"/>
        <v>0.40093708165997316</v>
      </c>
      <c r="H2419" s="194">
        <v>120</v>
      </c>
    </row>
    <row r="2420" spans="1:8" s="352" customFormat="1">
      <c r="A2420" s="40" t="s">
        <v>5683</v>
      </c>
      <c r="B2420" s="40" t="s">
        <v>5700</v>
      </c>
      <c r="C2420" s="357">
        <v>10</v>
      </c>
      <c r="D2420" s="1113">
        <f t="shared" si="31"/>
        <v>3.8</v>
      </c>
      <c r="E2420" s="1412" t="s">
        <v>5737</v>
      </c>
      <c r="F2420" s="330">
        <v>273</v>
      </c>
      <c r="G2420" s="1189">
        <f t="shared" si="32"/>
        <v>0.40131578947368418</v>
      </c>
      <c r="H2420" s="194">
        <v>120</v>
      </c>
    </row>
    <row r="2421" spans="1:8" s="352" customFormat="1">
      <c r="A2421" s="40" t="s">
        <v>5683</v>
      </c>
      <c r="B2421" s="40" t="s">
        <v>5701</v>
      </c>
      <c r="C2421" s="357">
        <v>10</v>
      </c>
      <c r="D2421" s="1113">
        <f t="shared" si="31"/>
        <v>3.8</v>
      </c>
      <c r="E2421" s="1412" t="s">
        <v>5739</v>
      </c>
      <c r="F2421" s="330">
        <v>273</v>
      </c>
      <c r="G2421" s="1189">
        <f t="shared" si="32"/>
        <v>0.40131578947368418</v>
      </c>
      <c r="H2421" s="194">
        <v>120</v>
      </c>
    </row>
    <row r="2422" spans="1:8" s="352" customFormat="1">
      <c r="A2422" s="40" t="s">
        <v>5684</v>
      </c>
      <c r="B2422" s="40" t="s">
        <v>5721</v>
      </c>
      <c r="C2422" s="357">
        <v>10</v>
      </c>
      <c r="D2422" s="1113">
        <f t="shared" si="31"/>
        <v>3.0999999999999996</v>
      </c>
      <c r="E2422" s="1412" t="s">
        <v>5740</v>
      </c>
      <c r="F2422" s="330">
        <v>223</v>
      </c>
      <c r="G2422" s="1189">
        <f t="shared" si="32"/>
        <v>0.40053763440860207</v>
      </c>
      <c r="H2422" s="194">
        <v>120</v>
      </c>
    </row>
    <row r="2423" spans="1:8" s="352" customFormat="1">
      <c r="A2423" s="40" t="s">
        <v>5685</v>
      </c>
      <c r="B2423" s="40" t="s">
        <v>5686</v>
      </c>
      <c r="C2423" s="357">
        <v>10</v>
      </c>
      <c r="D2423" s="1113">
        <f t="shared" si="31"/>
        <v>1.74</v>
      </c>
      <c r="E2423" s="1412" t="s">
        <v>5741</v>
      </c>
      <c r="F2423" s="330">
        <v>125</v>
      </c>
      <c r="G2423" s="1189">
        <f>(D2423-(F2423/H2423))/D2423</f>
        <v>0.40134099616858232</v>
      </c>
      <c r="H2423" s="194">
        <v>120</v>
      </c>
    </row>
    <row r="2424" spans="1:8" s="352" customFormat="1" ht="12"/>
    <row r="2425" spans="1:8">
      <c r="A2425" s="1418" t="s">
        <v>5742</v>
      </c>
    </row>
    <row r="2426" spans="1:8">
      <c r="A2426" s="1419"/>
    </row>
    <row r="2428" spans="1:8">
      <c r="A2428" s="1521" t="s">
        <v>5727</v>
      </c>
    </row>
    <row r="2429" spans="1:8" ht="24.75">
      <c r="A2429" s="1521" t="s">
        <v>5723</v>
      </c>
    </row>
    <row r="2430" spans="1:8">
      <c r="A2430" s="1522" t="s">
        <v>5724</v>
      </c>
    </row>
    <row r="2431" spans="1:8">
      <c r="A2431" s="1522" t="s">
        <v>5725</v>
      </c>
    </row>
    <row r="2432" spans="1:8">
      <c r="A2432" s="1522" t="s">
        <v>5726</v>
      </c>
    </row>
    <row r="2435" spans="1:12">
      <c r="A2435" s="365" t="s">
        <v>46</v>
      </c>
      <c r="B2435" s="365" t="s">
        <v>234</v>
      </c>
      <c r="C2435" s="365" t="s">
        <v>50</v>
      </c>
      <c r="D2435" s="365" t="s">
        <v>5710</v>
      </c>
    </row>
    <row r="2436" spans="1:12">
      <c r="A2436" s="40" t="s">
        <v>3209</v>
      </c>
      <c r="B2436" s="40" t="s">
        <v>5318</v>
      </c>
      <c r="C2436" s="357">
        <v>2</v>
      </c>
      <c r="D2436" s="386">
        <v>240</v>
      </c>
    </row>
    <row r="2437" spans="1:12">
      <c r="A2437" s="40" t="s">
        <v>5789</v>
      </c>
      <c r="B2437" s="40" t="s">
        <v>5318</v>
      </c>
      <c r="C2437" s="357">
        <v>2</v>
      </c>
      <c r="D2437" s="386">
        <v>120</v>
      </c>
    </row>
    <row r="2438" spans="1:12">
      <c r="A2438" s="40" t="s">
        <v>5790</v>
      </c>
      <c r="B2438" s="40" t="s">
        <v>5318</v>
      </c>
      <c r="C2438" s="357">
        <v>2</v>
      </c>
      <c r="D2438" s="386">
        <v>160</v>
      </c>
    </row>
    <row r="2439" spans="1:12">
      <c r="A2439" s="40" t="s">
        <v>5791</v>
      </c>
      <c r="B2439" s="40" t="s">
        <v>5318</v>
      </c>
      <c r="C2439" s="357">
        <v>2</v>
      </c>
      <c r="D2439" s="386">
        <v>155</v>
      </c>
    </row>
    <row r="2440" spans="1:12">
      <c r="A2440" s="40" t="s">
        <v>5792</v>
      </c>
      <c r="B2440" s="40" t="s">
        <v>5318</v>
      </c>
      <c r="C2440" s="357">
        <v>2</v>
      </c>
      <c r="D2440" s="386">
        <v>170</v>
      </c>
    </row>
    <row r="2444" spans="1:12" ht="25.5">
      <c r="A2444" s="1145" t="s">
        <v>179</v>
      </c>
      <c r="B2444" s="1145" t="s">
        <v>99</v>
      </c>
      <c r="C2444" s="1145" t="s">
        <v>5327</v>
      </c>
      <c r="D2444" s="1405" t="s">
        <v>4535</v>
      </c>
      <c r="E2444" s="1405" t="s">
        <v>5794</v>
      </c>
      <c r="F2444" s="1462" t="s">
        <v>5499</v>
      </c>
      <c r="G2444" s="1151" t="s">
        <v>4375</v>
      </c>
      <c r="H2444" s="194" t="s">
        <v>4376</v>
      </c>
      <c r="I2444" s="330"/>
      <c r="J2444" s="330"/>
      <c r="K2444" s="386"/>
      <c r="L2444" s="1523"/>
    </row>
    <row r="2445" spans="1:12">
      <c r="A2445" s="40" t="s">
        <v>3209</v>
      </c>
      <c r="B2445" s="40" t="s">
        <v>5318</v>
      </c>
      <c r="C2445" s="1420">
        <v>13.7</v>
      </c>
      <c r="D2445" s="1113">
        <f t="shared" ref="D2445:D2454" si="33">ROUNDUP(F2445/0.6/120,2)</f>
        <v>3.34</v>
      </c>
      <c r="E2445" s="1412" t="s">
        <v>5795</v>
      </c>
      <c r="F2445" s="330">
        <v>240</v>
      </c>
      <c r="G2445" s="1189">
        <f t="shared" ref="G2445:G2454" si="34">(D2445-(F2445/H2445))/D2445</f>
        <v>0.40119760479041916</v>
      </c>
      <c r="H2445" s="194">
        <v>120</v>
      </c>
    </row>
    <row r="2446" spans="1:12">
      <c r="A2446" s="40" t="s">
        <v>3209</v>
      </c>
      <c r="B2446" s="40" t="s">
        <v>5328</v>
      </c>
      <c r="C2446" s="357">
        <v>383.6</v>
      </c>
      <c r="D2446" s="1113">
        <f t="shared" si="33"/>
        <v>3.8899999999999997</v>
      </c>
      <c r="E2446" s="1412" t="s">
        <v>1893</v>
      </c>
      <c r="F2446" s="330">
        <f>240+40</f>
        <v>280</v>
      </c>
      <c r="G2446" s="1189">
        <f t="shared" si="34"/>
        <v>0.40017137960582683</v>
      </c>
      <c r="H2446" s="194">
        <v>120</v>
      </c>
    </row>
    <row r="2447" spans="1:12">
      <c r="A2447" s="40" t="s">
        <v>5789</v>
      </c>
      <c r="B2447" s="40" t="s">
        <v>5318</v>
      </c>
      <c r="C2447" s="1420">
        <v>13.7</v>
      </c>
      <c r="D2447" s="1113">
        <f t="shared" si="33"/>
        <v>1.67</v>
      </c>
      <c r="E2447" s="360" t="s">
        <v>5796</v>
      </c>
      <c r="F2447" s="330">
        <v>120</v>
      </c>
      <c r="G2447" s="1189">
        <f t="shared" si="34"/>
        <v>0.40119760479041916</v>
      </c>
      <c r="H2447" s="194">
        <v>120</v>
      </c>
    </row>
    <row r="2448" spans="1:12">
      <c r="A2448" s="40" t="s">
        <v>5789</v>
      </c>
      <c r="B2448" s="40" t="s">
        <v>5328</v>
      </c>
      <c r="C2448" s="357">
        <v>383.6</v>
      </c>
      <c r="D2448" s="1113">
        <f t="shared" si="33"/>
        <v>2.23</v>
      </c>
      <c r="E2448" s="1412" t="s">
        <v>1893</v>
      </c>
      <c r="F2448" s="330">
        <f>120+40</f>
        <v>160</v>
      </c>
      <c r="G2448" s="1189">
        <f t="shared" si="34"/>
        <v>0.40209267563527656</v>
      </c>
      <c r="H2448" s="194">
        <v>120</v>
      </c>
    </row>
    <row r="2449" spans="1:8">
      <c r="A2449" s="40" t="s">
        <v>5790</v>
      </c>
      <c r="B2449" s="40" t="s">
        <v>5318</v>
      </c>
      <c r="C2449" s="1420">
        <v>13.7</v>
      </c>
      <c r="D2449" s="1113">
        <f t="shared" si="33"/>
        <v>2.23</v>
      </c>
      <c r="E2449" s="360" t="s">
        <v>5797</v>
      </c>
      <c r="F2449" s="330">
        <v>160</v>
      </c>
      <c r="G2449" s="1189">
        <f t="shared" si="34"/>
        <v>0.40209267563527656</v>
      </c>
      <c r="H2449" s="194">
        <v>120</v>
      </c>
    </row>
    <row r="2450" spans="1:8">
      <c r="A2450" s="40" t="s">
        <v>5790</v>
      </c>
      <c r="B2450" s="40" t="s">
        <v>5328</v>
      </c>
      <c r="C2450" s="357">
        <v>383.6</v>
      </c>
      <c r="D2450" s="1113">
        <f t="shared" si="33"/>
        <v>2.78</v>
      </c>
      <c r="E2450" s="1412" t="s">
        <v>1893</v>
      </c>
      <c r="F2450" s="330">
        <f>160+40</f>
        <v>200</v>
      </c>
      <c r="G2450" s="1189">
        <f t="shared" si="34"/>
        <v>0.40047961630695439</v>
      </c>
      <c r="H2450" s="194">
        <v>120</v>
      </c>
    </row>
    <row r="2451" spans="1:8">
      <c r="A2451" s="40" t="s">
        <v>5791</v>
      </c>
      <c r="B2451" s="40" t="s">
        <v>5318</v>
      </c>
      <c r="C2451" s="1420">
        <v>13.7</v>
      </c>
      <c r="D2451" s="1113">
        <f t="shared" si="33"/>
        <v>2.1599999999999997</v>
      </c>
      <c r="E2451" s="360" t="s">
        <v>5798</v>
      </c>
      <c r="F2451" s="330">
        <v>155</v>
      </c>
      <c r="G2451" s="1189">
        <f t="shared" si="34"/>
        <v>0.40200617283950607</v>
      </c>
      <c r="H2451" s="194">
        <v>120</v>
      </c>
    </row>
    <row r="2452" spans="1:8">
      <c r="A2452" s="40" t="s">
        <v>5791</v>
      </c>
      <c r="B2452" s="40" t="s">
        <v>5328</v>
      </c>
      <c r="C2452" s="357">
        <v>383.6</v>
      </c>
      <c r="D2452" s="1113">
        <f t="shared" si="33"/>
        <v>2.71</v>
      </c>
      <c r="E2452" s="1412" t="s">
        <v>1893</v>
      </c>
      <c r="F2452" s="330">
        <f>155+40</f>
        <v>195</v>
      </c>
      <c r="G2452" s="1189">
        <f t="shared" si="34"/>
        <v>0.40036900369003692</v>
      </c>
      <c r="H2452" s="194">
        <v>120</v>
      </c>
    </row>
    <row r="2453" spans="1:8">
      <c r="A2453" s="40" t="s">
        <v>5792</v>
      </c>
      <c r="B2453" s="40" t="s">
        <v>5318</v>
      </c>
      <c r="C2453" s="1420">
        <v>13.7</v>
      </c>
      <c r="D2453" s="1113">
        <f t="shared" si="33"/>
        <v>2.3699999999999997</v>
      </c>
      <c r="E2453" s="360" t="s">
        <v>5799</v>
      </c>
      <c r="F2453" s="330">
        <v>170</v>
      </c>
      <c r="G2453" s="1189">
        <f t="shared" si="34"/>
        <v>0.40225035161744011</v>
      </c>
      <c r="H2453" s="194">
        <v>120</v>
      </c>
    </row>
    <row r="2454" spans="1:8">
      <c r="A2454" s="40" t="s">
        <v>5792</v>
      </c>
      <c r="B2454" s="40" t="s">
        <v>5328</v>
      </c>
      <c r="C2454" s="357">
        <v>383.6</v>
      </c>
      <c r="D2454" s="1113">
        <f t="shared" si="33"/>
        <v>2.92</v>
      </c>
      <c r="E2454" s="1412" t="s">
        <v>1893</v>
      </c>
      <c r="F2454" s="330">
        <f>170+40</f>
        <v>210</v>
      </c>
      <c r="G2454" s="1189">
        <f t="shared" si="34"/>
        <v>0.40068493150684931</v>
      </c>
      <c r="H2454" s="194">
        <v>120</v>
      </c>
    </row>
    <row r="2459" spans="1:8" ht="25.5">
      <c r="A2459" s="1145" t="s">
        <v>179</v>
      </c>
      <c r="B2459" s="1145" t="s">
        <v>99</v>
      </c>
      <c r="C2459" s="1145" t="s">
        <v>5327</v>
      </c>
      <c r="D2459" s="1405" t="s">
        <v>4535</v>
      </c>
      <c r="E2459" s="1405" t="s">
        <v>5794</v>
      </c>
      <c r="F2459" s="1145" t="s">
        <v>5499</v>
      </c>
      <c r="G2459" s="1339" t="s">
        <v>4375</v>
      </c>
      <c r="H2459" s="1526" t="s">
        <v>4376</v>
      </c>
    </row>
    <row r="2460" spans="1:8">
      <c r="A2460" s="40" t="s">
        <v>5749</v>
      </c>
      <c r="B2460" s="40" t="s">
        <v>5318</v>
      </c>
      <c r="C2460" s="357">
        <v>10</v>
      </c>
      <c r="D2460" s="1113">
        <f t="shared" ref="D2460:D2476" si="35">ROUNDUP(F2460/0.6/120,2)</f>
        <v>2.8899999999999997</v>
      </c>
      <c r="E2460" s="360" t="s">
        <v>5808</v>
      </c>
      <c r="F2460" s="386">
        <v>208</v>
      </c>
      <c r="G2460" s="1527">
        <f>(D2460-(F2460/H2460))/D2460</f>
        <v>0.40023068050749705</v>
      </c>
      <c r="H2460" s="1526">
        <v>120</v>
      </c>
    </row>
    <row r="2461" spans="1:8">
      <c r="A2461" s="40" t="s">
        <v>5749</v>
      </c>
      <c r="B2461" s="40" t="s">
        <v>5328</v>
      </c>
      <c r="C2461" s="357" t="s">
        <v>5569</v>
      </c>
      <c r="D2461" s="1113">
        <f>ROUNDUP(F2461/0.6/120,2)</f>
        <v>4.1399999999999997</v>
      </c>
      <c r="E2461" s="1412" t="s">
        <v>1893</v>
      </c>
      <c r="F2461" s="386">
        <f>208+90</f>
        <v>298</v>
      </c>
      <c r="G2461" s="1527">
        <f t="shared" ref="G2461:G2470" si="36">(D2461-(F2461/H2461))/D2461</f>
        <v>0.40016103059581315</v>
      </c>
      <c r="H2461" s="1526">
        <v>120</v>
      </c>
    </row>
    <row r="2462" spans="1:8">
      <c r="A2462" s="40" t="s">
        <v>5750</v>
      </c>
      <c r="B2462" s="40" t="s">
        <v>5318</v>
      </c>
      <c r="C2462" s="357">
        <v>10</v>
      </c>
      <c r="D2462" s="1113">
        <f t="shared" si="35"/>
        <v>1.71</v>
      </c>
      <c r="E2462" s="360" t="s">
        <v>5809</v>
      </c>
      <c r="F2462" s="386">
        <v>123</v>
      </c>
      <c r="G2462" s="1527">
        <f t="shared" si="36"/>
        <v>0.40058479532163749</v>
      </c>
      <c r="H2462" s="1526">
        <v>120</v>
      </c>
    </row>
    <row r="2463" spans="1:8">
      <c r="A2463" s="40" t="s">
        <v>5750</v>
      </c>
      <c r="B2463" s="40" t="s">
        <v>5328</v>
      </c>
      <c r="C2463" s="357" t="s">
        <v>5569</v>
      </c>
      <c r="D2463" s="1113">
        <f>ROUNDUP(F2463/0.6/120,2)</f>
        <v>2.82</v>
      </c>
      <c r="E2463" s="1412" t="s">
        <v>1893</v>
      </c>
      <c r="F2463" s="386">
        <f>123+80</f>
        <v>203</v>
      </c>
      <c r="G2463" s="1527">
        <f t="shared" si="36"/>
        <v>0.40011820330969267</v>
      </c>
      <c r="H2463" s="1526">
        <v>120</v>
      </c>
    </row>
    <row r="2464" spans="1:8">
      <c r="A2464" s="40" t="s">
        <v>5751</v>
      </c>
      <c r="B2464" s="40" t="s">
        <v>5318</v>
      </c>
      <c r="C2464" s="357">
        <v>10</v>
      </c>
      <c r="D2464" s="1113">
        <f t="shared" si="35"/>
        <v>3.48</v>
      </c>
      <c r="E2464" s="360" t="s">
        <v>5810</v>
      </c>
      <c r="F2464" s="386">
        <v>250</v>
      </c>
      <c r="G2464" s="1527">
        <f t="shared" si="36"/>
        <v>0.40134099616858232</v>
      </c>
      <c r="H2464" s="1526">
        <v>120</v>
      </c>
    </row>
    <row r="2465" spans="1:8">
      <c r="A2465" s="40" t="s">
        <v>5751</v>
      </c>
      <c r="B2465" s="40" t="s">
        <v>5328</v>
      </c>
      <c r="C2465" s="357" t="s">
        <v>5569</v>
      </c>
      <c r="D2465" s="1113">
        <f>ROUNDUP(F2465/0.6/120,2)</f>
        <v>4.7299999999999995</v>
      </c>
      <c r="E2465" s="1412" t="s">
        <v>1893</v>
      </c>
      <c r="F2465" s="386">
        <f>250+90</f>
        <v>340</v>
      </c>
      <c r="G2465" s="1527">
        <f t="shared" si="36"/>
        <v>0.40098661028893579</v>
      </c>
      <c r="H2465" s="1526">
        <v>120</v>
      </c>
    </row>
    <row r="2466" spans="1:8">
      <c r="A2466" s="40" t="s">
        <v>5752</v>
      </c>
      <c r="B2466" s="40" t="s">
        <v>5318</v>
      </c>
      <c r="C2466" s="357">
        <v>10</v>
      </c>
      <c r="D2466" s="1113">
        <f t="shared" si="35"/>
        <v>3.17</v>
      </c>
      <c r="E2466" s="360" t="s">
        <v>5811</v>
      </c>
      <c r="F2466" s="386">
        <v>228</v>
      </c>
      <c r="G2466" s="1527">
        <f t="shared" si="36"/>
        <v>0.40063091482649843</v>
      </c>
      <c r="H2466" s="1526">
        <v>120</v>
      </c>
    </row>
    <row r="2467" spans="1:8">
      <c r="A2467" s="40" t="s">
        <v>5752</v>
      </c>
      <c r="B2467" s="40" t="s">
        <v>5328</v>
      </c>
      <c r="C2467" s="357" t="s">
        <v>5569</v>
      </c>
      <c r="D2467" s="1113">
        <f>ROUNDUP(F2467/0.6/120,2)</f>
        <v>4.2799999999999994</v>
      </c>
      <c r="E2467" s="1412" t="s">
        <v>1893</v>
      </c>
      <c r="F2467" s="386">
        <f>228+80</f>
        <v>308</v>
      </c>
      <c r="G2467" s="1527">
        <f t="shared" si="36"/>
        <v>0.40031152647975066</v>
      </c>
      <c r="H2467" s="1526">
        <v>120</v>
      </c>
    </row>
    <row r="2468" spans="1:8">
      <c r="A2468" s="40" t="s">
        <v>5753</v>
      </c>
      <c r="B2468" s="40" t="s">
        <v>5318</v>
      </c>
      <c r="C2468" s="357">
        <v>10</v>
      </c>
      <c r="D2468" s="1113">
        <f t="shared" si="35"/>
        <v>1.62</v>
      </c>
      <c r="E2468" s="360" t="s">
        <v>5812</v>
      </c>
      <c r="F2468" s="386">
        <v>116</v>
      </c>
      <c r="G2468" s="1527">
        <f t="shared" si="36"/>
        <v>0.4032921810699589</v>
      </c>
      <c r="H2468" s="1526">
        <v>120</v>
      </c>
    </row>
    <row r="2469" spans="1:8">
      <c r="A2469" s="40" t="s">
        <v>5753</v>
      </c>
      <c r="B2469" s="40" t="s">
        <v>5328</v>
      </c>
      <c r="C2469" s="357" t="s">
        <v>5569</v>
      </c>
      <c r="D2469" s="1113">
        <f>ROUNDUP(F2469/0.6/120,2)</f>
        <v>2.73</v>
      </c>
      <c r="E2469" s="1412" t="s">
        <v>1893</v>
      </c>
      <c r="F2469" s="386">
        <f>116+80</f>
        <v>196</v>
      </c>
      <c r="G2469" s="1527">
        <f t="shared" si="36"/>
        <v>0.40170940170940173</v>
      </c>
      <c r="H2469" s="1526">
        <v>120</v>
      </c>
    </row>
    <row r="2470" spans="1:8">
      <c r="A2470" s="40" t="s">
        <v>5754</v>
      </c>
      <c r="B2470" s="40" t="s">
        <v>5318</v>
      </c>
      <c r="C2470" s="357">
        <v>10</v>
      </c>
      <c r="D2470" s="1113">
        <f t="shared" si="35"/>
        <v>1.07</v>
      </c>
      <c r="E2470" s="360" t="s">
        <v>5813</v>
      </c>
      <c r="F2470" s="386">
        <v>77</v>
      </c>
      <c r="G2470" s="1527">
        <f t="shared" si="36"/>
        <v>0.40031152647975077</v>
      </c>
      <c r="H2470" s="1526">
        <v>120</v>
      </c>
    </row>
    <row r="2471" spans="1:8">
      <c r="A2471" s="40" t="s">
        <v>5754</v>
      </c>
      <c r="B2471" s="40" t="s">
        <v>5328</v>
      </c>
      <c r="C2471" s="357" t="s">
        <v>5569</v>
      </c>
      <c r="D2471" s="1113">
        <f>ROUNDUP(F2471/0.6/120,2)</f>
        <v>2.19</v>
      </c>
      <c r="E2471" s="1412" t="s">
        <v>1893</v>
      </c>
      <c r="F2471" s="386">
        <f>77+80</f>
        <v>157</v>
      </c>
      <c r="G2471" s="1527">
        <f t="shared" ref="G2471:G2515" si="37">(D2471-(F2471/H2471))/D2471</f>
        <v>0.4025875190258752</v>
      </c>
      <c r="H2471" s="1526">
        <v>120</v>
      </c>
    </row>
    <row r="2472" spans="1:8">
      <c r="A2472" s="40" t="s">
        <v>5755</v>
      </c>
      <c r="B2472" s="40" t="s">
        <v>5318</v>
      </c>
      <c r="C2472" s="357">
        <v>10</v>
      </c>
      <c r="D2472" s="1113">
        <f t="shared" si="35"/>
        <v>4.49</v>
      </c>
      <c r="E2472" s="360" t="s">
        <v>5811</v>
      </c>
      <c r="F2472" s="386">
        <v>323</v>
      </c>
      <c r="G2472" s="1527">
        <f t="shared" si="37"/>
        <v>0.40051967334818112</v>
      </c>
      <c r="H2472" s="1526">
        <v>120</v>
      </c>
    </row>
    <row r="2473" spans="1:8">
      <c r="A2473" s="40" t="s">
        <v>5755</v>
      </c>
      <c r="B2473" s="40" t="s">
        <v>5328</v>
      </c>
      <c r="C2473" s="357" t="s">
        <v>5569</v>
      </c>
      <c r="D2473" s="1113">
        <f>ROUNDUP(F2473/0.6/120,2)</f>
        <v>5.88</v>
      </c>
      <c r="E2473" s="1412" t="s">
        <v>1893</v>
      </c>
      <c r="F2473" s="386">
        <f>323+100</f>
        <v>423</v>
      </c>
      <c r="G2473" s="1527">
        <f t="shared" si="37"/>
        <v>0.40051020408163268</v>
      </c>
      <c r="H2473" s="1526">
        <v>120</v>
      </c>
    </row>
    <row r="2474" spans="1:8">
      <c r="A2474" s="40" t="s">
        <v>5756</v>
      </c>
      <c r="B2474" s="40" t="s">
        <v>5318</v>
      </c>
      <c r="C2474" s="357">
        <v>10</v>
      </c>
      <c r="D2474" s="1113">
        <f t="shared" si="35"/>
        <v>5.77</v>
      </c>
      <c r="E2474" s="360" t="s">
        <v>5814</v>
      </c>
      <c r="F2474" s="386">
        <v>415</v>
      </c>
      <c r="G2474" s="1527">
        <f t="shared" si="37"/>
        <v>0.40063547082611201</v>
      </c>
      <c r="H2474" s="1526">
        <v>120</v>
      </c>
    </row>
    <row r="2475" spans="1:8">
      <c r="A2475" s="40" t="s">
        <v>5756</v>
      </c>
      <c r="B2475" s="40" t="s">
        <v>5328</v>
      </c>
      <c r="C2475" s="357" t="s">
        <v>5569</v>
      </c>
      <c r="D2475" s="1113">
        <f>ROUNDUP(F2475/0.6/120,2)</f>
        <v>7.02</v>
      </c>
      <c r="E2475" s="1412" t="s">
        <v>1893</v>
      </c>
      <c r="F2475" s="386">
        <f>415+90</f>
        <v>505</v>
      </c>
      <c r="G2475" s="1527">
        <f t="shared" si="37"/>
        <v>0.40052231718898385</v>
      </c>
      <c r="H2475" s="1526">
        <v>120</v>
      </c>
    </row>
    <row r="2476" spans="1:8">
      <c r="A2476" s="40" t="s">
        <v>5757</v>
      </c>
      <c r="B2476" s="40" t="s">
        <v>5318</v>
      </c>
      <c r="C2476" s="357">
        <v>10</v>
      </c>
      <c r="D2476" s="1113">
        <f t="shared" si="35"/>
        <v>2.2999999999999998</v>
      </c>
      <c r="E2476" s="360" t="s">
        <v>5811</v>
      </c>
      <c r="F2476" s="386">
        <v>165</v>
      </c>
      <c r="G2476" s="1527">
        <f t="shared" si="37"/>
        <v>0.40217391304347822</v>
      </c>
      <c r="H2476" s="1526">
        <v>120</v>
      </c>
    </row>
    <row r="2477" spans="1:8">
      <c r="A2477" s="40" t="s">
        <v>5757</v>
      </c>
      <c r="B2477" s="40" t="s">
        <v>5328</v>
      </c>
      <c r="C2477" s="357" t="s">
        <v>5569</v>
      </c>
      <c r="D2477" s="1113">
        <f>ROUNDUP(F2477/0.6/120,2)</f>
        <v>3.4099999999999997</v>
      </c>
      <c r="E2477" s="1412" t="s">
        <v>1893</v>
      </c>
      <c r="F2477" s="386">
        <f>165+80</f>
        <v>245</v>
      </c>
      <c r="G2477" s="1527">
        <f t="shared" si="37"/>
        <v>0.40127077223851415</v>
      </c>
      <c r="H2477" s="1526">
        <v>120</v>
      </c>
    </row>
    <row r="2478" spans="1:8">
      <c r="A2478" s="40" t="s">
        <v>5758</v>
      </c>
      <c r="B2478" s="40" t="s">
        <v>5318</v>
      </c>
      <c r="C2478" s="357">
        <v>10</v>
      </c>
      <c r="D2478" s="1113">
        <f t="shared" ref="D2478:D2483" si="38">ROUNDUP(F2478/0.6/120,2)</f>
        <v>6.31</v>
      </c>
      <c r="E2478" s="360" t="s">
        <v>5814</v>
      </c>
      <c r="F2478" s="386">
        <v>454</v>
      </c>
      <c r="G2478" s="1527">
        <f t="shared" si="37"/>
        <v>0.40042260961436871</v>
      </c>
      <c r="H2478" s="1526">
        <v>120</v>
      </c>
    </row>
    <row r="2479" spans="1:8">
      <c r="A2479" s="40" t="s">
        <v>5758</v>
      </c>
      <c r="B2479" s="40" t="s">
        <v>5328</v>
      </c>
      <c r="C2479" s="357" t="s">
        <v>5569</v>
      </c>
      <c r="D2479" s="1113">
        <f t="shared" si="38"/>
        <v>7.56</v>
      </c>
      <c r="E2479" s="1412" t="s">
        <v>1893</v>
      </c>
      <c r="F2479" s="386">
        <f>454+90</f>
        <v>544</v>
      </c>
      <c r="G2479" s="1527">
        <f t="shared" si="37"/>
        <v>0.400352733686067</v>
      </c>
      <c r="H2479" s="1526">
        <v>120</v>
      </c>
    </row>
    <row r="2480" spans="1:8">
      <c r="A2480" s="40" t="s">
        <v>5759</v>
      </c>
      <c r="B2480" s="40" t="s">
        <v>5318</v>
      </c>
      <c r="C2480" s="357">
        <v>10</v>
      </c>
      <c r="D2480" s="1113">
        <f t="shared" si="38"/>
        <v>1.37</v>
      </c>
      <c r="E2480" s="360" t="s">
        <v>5811</v>
      </c>
      <c r="F2480" s="386">
        <v>98</v>
      </c>
      <c r="G2480" s="1527">
        <f t="shared" si="37"/>
        <v>0.4038929440389295</v>
      </c>
      <c r="H2480" s="1526">
        <v>120</v>
      </c>
    </row>
    <row r="2481" spans="1:8">
      <c r="A2481" s="40" t="s">
        <v>5759</v>
      </c>
      <c r="B2481" s="40" t="s">
        <v>5328</v>
      </c>
      <c r="C2481" s="357" t="s">
        <v>5569</v>
      </c>
      <c r="D2481" s="1113">
        <f t="shared" si="38"/>
        <v>2.48</v>
      </c>
      <c r="E2481" s="1412" t="s">
        <v>1893</v>
      </c>
      <c r="F2481" s="386">
        <f>98+80</f>
        <v>178</v>
      </c>
      <c r="G2481" s="1527">
        <f t="shared" si="37"/>
        <v>0.4018817204301075</v>
      </c>
      <c r="H2481" s="1526">
        <v>120</v>
      </c>
    </row>
    <row r="2482" spans="1:8">
      <c r="A2482" s="40" t="s">
        <v>5760</v>
      </c>
      <c r="B2482" s="40" t="s">
        <v>5318</v>
      </c>
      <c r="C2482" s="357">
        <v>10</v>
      </c>
      <c r="D2482" s="1113">
        <f t="shared" si="38"/>
        <v>2.7699999999999996</v>
      </c>
      <c r="E2482" s="360" t="s">
        <v>5815</v>
      </c>
      <c r="F2482" s="386">
        <v>199</v>
      </c>
      <c r="G2482" s="1527">
        <f t="shared" si="37"/>
        <v>0.40132370637785786</v>
      </c>
      <c r="H2482" s="1526">
        <v>120</v>
      </c>
    </row>
    <row r="2483" spans="1:8">
      <c r="A2483" s="40" t="s">
        <v>5760</v>
      </c>
      <c r="B2483" s="40" t="s">
        <v>5328</v>
      </c>
      <c r="C2483" s="357" t="s">
        <v>5569</v>
      </c>
      <c r="D2483" s="1113">
        <f t="shared" si="38"/>
        <v>4.0199999999999996</v>
      </c>
      <c r="E2483" s="1412" t="s">
        <v>1893</v>
      </c>
      <c r="F2483" s="386">
        <f>199+90</f>
        <v>289</v>
      </c>
      <c r="G2483" s="1527">
        <f t="shared" si="37"/>
        <v>0.40091210613598671</v>
      </c>
      <c r="H2483" s="1526">
        <v>120</v>
      </c>
    </row>
    <row r="2484" spans="1:8">
      <c r="A2484" s="1525" t="s">
        <v>5787</v>
      </c>
      <c r="B2484" s="40"/>
      <c r="C2484" s="357"/>
      <c r="D2484" s="1113"/>
      <c r="E2484" s="360"/>
      <c r="F2484" s="386"/>
      <c r="G2484" s="1527" t="e">
        <f t="shared" si="37"/>
        <v>#DIV/0!</v>
      </c>
      <c r="H2484" s="1526">
        <v>120</v>
      </c>
    </row>
    <row r="2485" spans="1:8">
      <c r="A2485" s="40" t="s">
        <v>5785</v>
      </c>
      <c r="B2485" s="40" t="s">
        <v>5771</v>
      </c>
      <c r="C2485" s="357">
        <v>2</v>
      </c>
      <c r="D2485" s="1113">
        <f>ROUNDUP(F2485/0.6/120,2)</f>
        <v>0</v>
      </c>
      <c r="E2485" s="1412" t="s">
        <v>5807</v>
      </c>
      <c r="F2485" s="386"/>
      <c r="G2485" s="1527" t="e">
        <f t="shared" si="37"/>
        <v>#DIV/0!</v>
      </c>
      <c r="H2485" s="1526">
        <v>120</v>
      </c>
    </row>
    <row r="2486" spans="1:8">
      <c r="A2486" s="1525" t="s">
        <v>5786</v>
      </c>
      <c r="B2486" s="40"/>
      <c r="C2486" s="357"/>
      <c r="D2486" s="1113"/>
      <c r="E2486" s="360"/>
      <c r="F2486" s="386"/>
      <c r="G2486" s="1527" t="e">
        <f t="shared" si="37"/>
        <v>#DIV/0!</v>
      </c>
      <c r="H2486" s="1526">
        <v>120</v>
      </c>
    </row>
    <row r="2487" spans="1:8">
      <c r="A2487" s="40" t="s">
        <v>5761</v>
      </c>
      <c r="B2487" s="40" t="s">
        <v>5771</v>
      </c>
      <c r="C2487" s="357">
        <v>2</v>
      </c>
      <c r="D2487" s="1113">
        <f>ROUNDUP(F2487/0.6/120,2)</f>
        <v>0</v>
      </c>
      <c r="E2487" s="1412" t="s">
        <v>5807</v>
      </c>
      <c r="F2487" s="386"/>
      <c r="G2487" s="1527" t="e">
        <f t="shared" si="37"/>
        <v>#DIV/0!</v>
      </c>
      <c r="H2487" s="1526">
        <v>120</v>
      </c>
    </row>
    <row r="2488" spans="1:8">
      <c r="A2488" s="40" t="s">
        <v>3209</v>
      </c>
      <c r="B2488" s="40" t="s">
        <v>5318</v>
      </c>
      <c r="C2488" s="1420">
        <v>13.7</v>
      </c>
      <c r="D2488" s="1113">
        <f t="shared" ref="D2488:D2497" si="39">ROUNDUP(F2488/0.6/120,2)</f>
        <v>3.34</v>
      </c>
      <c r="E2488" s="1412" t="s">
        <v>5590</v>
      </c>
      <c r="F2488" s="386">
        <v>240</v>
      </c>
      <c r="G2488" s="1527">
        <f t="shared" si="37"/>
        <v>0.40119760479041916</v>
      </c>
      <c r="H2488" s="1526">
        <v>120</v>
      </c>
    </row>
    <row r="2489" spans="1:8">
      <c r="A2489" s="40" t="s">
        <v>3209</v>
      </c>
      <c r="B2489" s="40" t="s">
        <v>5328</v>
      </c>
      <c r="C2489" s="357">
        <v>383.6</v>
      </c>
      <c r="D2489" s="1113">
        <f t="shared" si="39"/>
        <v>3.8899999999999997</v>
      </c>
      <c r="E2489" s="1412" t="s">
        <v>1893</v>
      </c>
      <c r="F2489" s="386">
        <f>240+40</f>
        <v>280</v>
      </c>
      <c r="G2489" s="1527">
        <f t="shared" si="37"/>
        <v>0.40017137960582683</v>
      </c>
      <c r="H2489" s="1526">
        <v>120</v>
      </c>
    </row>
    <row r="2490" spans="1:8">
      <c r="A2490" s="40" t="s">
        <v>5789</v>
      </c>
      <c r="B2490" s="40" t="s">
        <v>5318</v>
      </c>
      <c r="C2490" s="1420">
        <v>13.7</v>
      </c>
      <c r="D2490" s="1113">
        <f t="shared" si="39"/>
        <v>1.67</v>
      </c>
      <c r="E2490" s="360" t="s">
        <v>5796</v>
      </c>
      <c r="F2490" s="386">
        <v>120</v>
      </c>
      <c r="G2490" s="1527">
        <f t="shared" si="37"/>
        <v>0.40119760479041916</v>
      </c>
      <c r="H2490" s="1526">
        <v>120</v>
      </c>
    </row>
    <row r="2491" spans="1:8">
      <c r="A2491" s="40" t="s">
        <v>5789</v>
      </c>
      <c r="B2491" s="40" t="s">
        <v>5328</v>
      </c>
      <c r="C2491" s="357">
        <v>383.6</v>
      </c>
      <c r="D2491" s="1113">
        <f t="shared" si="39"/>
        <v>2.23</v>
      </c>
      <c r="E2491" s="1412" t="s">
        <v>1893</v>
      </c>
      <c r="F2491" s="386">
        <f>120+40</f>
        <v>160</v>
      </c>
      <c r="G2491" s="1527">
        <f t="shared" si="37"/>
        <v>0.40209267563527656</v>
      </c>
      <c r="H2491" s="1526">
        <v>120</v>
      </c>
    </row>
    <row r="2492" spans="1:8">
      <c r="A2492" s="40" t="s">
        <v>5688</v>
      </c>
      <c r="B2492" s="40" t="s">
        <v>5318</v>
      </c>
      <c r="C2492" s="1420">
        <v>13.7</v>
      </c>
      <c r="D2492" s="1113">
        <f t="shared" si="39"/>
        <v>2.23</v>
      </c>
      <c r="E2492" s="360" t="s">
        <v>5341</v>
      </c>
      <c r="F2492" s="386">
        <v>160</v>
      </c>
      <c r="G2492" s="1527">
        <f t="shared" si="37"/>
        <v>0.40209267563527656</v>
      </c>
      <c r="H2492" s="1526">
        <v>120</v>
      </c>
    </row>
    <row r="2493" spans="1:8">
      <c r="A2493" s="40" t="s">
        <v>5688</v>
      </c>
      <c r="B2493" s="40" t="s">
        <v>5328</v>
      </c>
      <c r="C2493" s="357">
        <v>383.6</v>
      </c>
      <c r="D2493" s="1113">
        <f t="shared" si="39"/>
        <v>2.78</v>
      </c>
      <c r="E2493" s="1412" t="s">
        <v>1893</v>
      </c>
      <c r="F2493" s="386">
        <f>160+40</f>
        <v>200</v>
      </c>
      <c r="G2493" s="1527">
        <f t="shared" si="37"/>
        <v>0.40047961630695439</v>
      </c>
      <c r="H2493" s="1526">
        <v>120</v>
      </c>
    </row>
    <row r="2494" spans="1:8">
      <c r="A2494" s="40" t="s">
        <v>4455</v>
      </c>
      <c r="B2494" s="40" t="s">
        <v>5318</v>
      </c>
      <c r="C2494" s="1420">
        <v>13.7</v>
      </c>
      <c r="D2494" s="1113">
        <f t="shared" si="39"/>
        <v>2.1599999999999997</v>
      </c>
      <c r="E2494" s="360" t="s">
        <v>5798</v>
      </c>
      <c r="F2494" s="386">
        <v>155</v>
      </c>
      <c r="G2494" s="1527">
        <f t="shared" si="37"/>
        <v>0.40200617283950607</v>
      </c>
      <c r="H2494" s="1526">
        <v>120</v>
      </c>
    </row>
    <row r="2495" spans="1:8">
      <c r="A2495" s="40" t="s">
        <v>4455</v>
      </c>
      <c r="B2495" s="40" t="s">
        <v>5328</v>
      </c>
      <c r="C2495" s="357">
        <v>383.6</v>
      </c>
      <c r="D2495" s="1113">
        <f t="shared" si="39"/>
        <v>2.71</v>
      </c>
      <c r="E2495" s="1412" t="s">
        <v>1893</v>
      </c>
      <c r="F2495" s="386">
        <f>155+40</f>
        <v>195</v>
      </c>
      <c r="G2495" s="1527">
        <f t="shared" si="37"/>
        <v>0.40036900369003692</v>
      </c>
      <c r="H2495" s="1526">
        <v>120</v>
      </c>
    </row>
    <row r="2496" spans="1:8">
      <c r="A2496" s="40" t="s">
        <v>5792</v>
      </c>
      <c r="B2496" s="40" t="s">
        <v>5318</v>
      </c>
      <c r="C2496" s="1420">
        <v>13.7</v>
      </c>
      <c r="D2496" s="1113">
        <f t="shared" si="39"/>
        <v>2.3699999999999997</v>
      </c>
      <c r="E2496" s="360" t="s">
        <v>5799</v>
      </c>
      <c r="F2496" s="386">
        <v>170</v>
      </c>
      <c r="G2496" s="1527">
        <f t="shared" si="37"/>
        <v>0.40225035161744011</v>
      </c>
      <c r="H2496" s="1526">
        <v>120</v>
      </c>
    </row>
    <row r="2497" spans="1:8">
      <c r="A2497" s="40" t="s">
        <v>5792</v>
      </c>
      <c r="B2497" s="40" t="s">
        <v>5328</v>
      </c>
      <c r="C2497" s="357">
        <v>383.6</v>
      </c>
      <c r="D2497" s="1113">
        <f t="shared" si="39"/>
        <v>2.92</v>
      </c>
      <c r="E2497" s="1412" t="s">
        <v>1893</v>
      </c>
      <c r="F2497" s="386">
        <f>170+40</f>
        <v>210</v>
      </c>
      <c r="G2497" s="1527">
        <f t="shared" si="37"/>
        <v>0.40068493150684931</v>
      </c>
      <c r="H2497" s="1526">
        <v>120</v>
      </c>
    </row>
    <row r="2498" spans="1:8">
      <c r="A2498" s="40" t="s">
        <v>5806</v>
      </c>
      <c r="B2498" s="40" t="s">
        <v>5318</v>
      </c>
      <c r="C2498" s="357">
        <v>10</v>
      </c>
      <c r="D2498" s="1113">
        <f t="shared" ref="D2498:D2515" si="40">ROUNDUP(F2498/0.6/120,2)</f>
        <v>2.5</v>
      </c>
      <c r="E2498" s="360" t="s">
        <v>5815</v>
      </c>
      <c r="F2498" s="386">
        <v>180</v>
      </c>
      <c r="G2498" s="1527">
        <f t="shared" si="37"/>
        <v>0.4</v>
      </c>
      <c r="H2498" s="1526">
        <v>120</v>
      </c>
    </row>
    <row r="2499" spans="1:8">
      <c r="A2499" s="40" t="s">
        <v>5762</v>
      </c>
      <c r="B2499" s="40" t="s">
        <v>5328</v>
      </c>
      <c r="C2499" s="357" t="s">
        <v>5569</v>
      </c>
      <c r="D2499" s="1113">
        <f t="shared" si="40"/>
        <v>3.6199999999999997</v>
      </c>
      <c r="E2499" s="1412" t="s">
        <v>1893</v>
      </c>
      <c r="F2499" s="386">
        <f>180+80</f>
        <v>260</v>
      </c>
      <c r="G2499" s="1527">
        <f t="shared" si="37"/>
        <v>0.40147329650092078</v>
      </c>
      <c r="H2499" s="1526">
        <v>120</v>
      </c>
    </row>
    <row r="2500" spans="1:8">
      <c r="A2500" s="40" t="s">
        <v>5763</v>
      </c>
      <c r="B2500" s="40" t="s">
        <v>5318</v>
      </c>
      <c r="C2500" s="357">
        <v>10</v>
      </c>
      <c r="D2500" s="1113">
        <f t="shared" si="40"/>
        <v>2.59</v>
      </c>
      <c r="E2500" s="360" t="s">
        <v>5816</v>
      </c>
      <c r="F2500" s="386">
        <v>186</v>
      </c>
      <c r="G2500" s="1527">
        <f t="shared" si="37"/>
        <v>0.40154440154440152</v>
      </c>
      <c r="H2500" s="1526">
        <v>120</v>
      </c>
    </row>
    <row r="2501" spans="1:8">
      <c r="A2501" s="40" t="s">
        <v>5763</v>
      </c>
      <c r="B2501" s="40" t="s">
        <v>5328</v>
      </c>
      <c r="C2501" s="357" t="s">
        <v>5569</v>
      </c>
      <c r="D2501" s="1113">
        <f t="shared" si="40"/>
        <v>3.6999999999999997</v>
      </c>
      <c r="E2501" s="1412" t="s">
        <v>1893</v>
      </c>
      <c r="F2501" s="386">
        <f>186+80</f>
        <v>266</v>
      </c>
      <c r="G2501" s="1527">
        <f t="shared" si="37"/>
        <v>0.4009009009009008</v>
      </c>
      <c r="H2501" s="1526">
        <v>120</v>
      </c>
    </row>
    <row r="2502" spans="1:8">
      <c r="A2502" s="40" t="s">
        <v>5764</v>
      </c>
      <c r="B2502" s="40" t="s">
        <v>5318</v>
      </c>
      <c r="C2502" s="357">
        <v>10</v>
      </c>
      <c r="D2502" s="1113">
        <f t="shared" si="40"/>
        <v>1.98</v>
      </c>
      <c r="E2502" s="360" t="s">
        <v>5817</v>
      </c>
      <c r="F2502" s="386">
        <v>142</v>
      </c>
      <c r="G2502" s="1527">
        <f t="shared" si="37"/>
        <v>0.40235690235690236</v>
      </c>
      <c r="H2502" s="1526">
        <v>120</v>
      </c>
    </row>
    <row r="2503" spans="1:8">
      <c r="A2503" s="40" t="s">
        <v>5764</v>
      </c>
      <c r="B2503" s="40" t="s">
        <v>5328</v>
      </c>
      <c r="C2503" s="357" t="s">
        <v>5569</v>
      </c>
      <c r="D2503" s="1113">
        <f t="shared" si="40"/>
        <v>3.09</v>
      </c>
      <c r="E2503" s="1412" t="s">
        <v>1893</v>
      </c>
      <c r="F2503" s="386">
        <f>142+80</f>
        <v>222</v>
      </c>
      <c r="G2503" s="1527">
        <f t="shared" si="37"/>
        <v>0.40129449838187697</v>
      </c>
      <c r="H2503" s="1526">
        <v>120</v>
      </c>
    </row>
    <row r="2504" spans="1:8">
      <c r="A2504" s="40" t="s">
        <v>5765</v>
      </c>
      <c r="B2504" s="40" t="s">
        <v>5318</v>
      </c>
      <c r="C2504" s="357">
        <v>10</v>
      </c>
      <c r="D2504" s="1113">
        <f t="shared" si="40"/>
        <v>2.6199999999999997</v>
      </c>
      <c r="E2504" s="360" t="s">
        <v>5818</v>
      </c>
      <c r="F2504" s="386">
        <v>188</v>
      </c>
      <c r="G2504" s="1527">
        <f t="shared" si="37"/>
        <v>0.40203562340966914</v>
      </c>
      <c r="H2504" s="1526">
        <v>120</v>
      </c>
    </row>
    <row r="2505" spans="1:8">
      <c r="A2505" s="40" t="s">
        <v>5765</v>
      </c>
      <c r="B2505" s="40" t="s">
        <v>5328</v>
      </c>
      <c r="C2505" s="357" t="s">
        <v>5569</v>
      </c>
      <c r="D2505" s="1113">
        <f t="shared" si="40"/>
        <v>3.8699999999999997</v>
      </c>
      <c r="E2505" s="1412" t="s">
        <v>1893</v>
      </c>
      <c r="F2505" s="386">
        <f>188+90</f>
        <v>278</v>
      </c>
      <c r="G2505" s="1527">
        <f t="shared" si="37"/>
        <v>0.40137812230835473</v>
      </c>
      <c r="H2505" s="1526">
        <v>120</v>
      </c>
    </row>
    <row r="2506" spans="1:8">
      <c r="A2506" s="40" t="s">
        <v>5681</v>
      </c>
      <c r="B2506" s="40" t="s">
        <v>5318</v>
      </c>
      <c r="C2506" s="357">
        <v>10</v>
      </c>
      <c r="D2506" s="1113">
        <f t="shared" si="40"/>
        <v>1.17</v>
      </c>
      <c r="E2506" s="360" t="s">
        <v>5819</v>
      </c>
      <c r="F2506" s="386">
        <v>84</v>
      </c>
      <c r="G2506" s="1527">
        <f t="shared" si="37"/>
        <v>0.40170940170940173</v>
      </c>
      <c r="H2506" s="1526">
        <v>120</v>
      </c>
    </row>
    <row r="2507" spans="1:8">
      <c r="A2507" s="40" t="s">
        <v>5681</v>
      </c>
      <c r="B2507" s="40" t="s">
        <v>5328</v>
      </c>
      <c r="C2507" s="357" t="s">
        <v>5569</v>
      </c>
      <c r="D2507" s="1113">
        <f t="shared" si="40"/>
        <v>2.2799999999999998</v>
      </c>
      <c r="E2507" s="1412" t="s">
        <v>1893</v>
      </c>
      <c r="F2507" s="386">
        <f>84+80</f>
        <v>164</v>
      </c>
      <c r="G2507" s="1527">
        <f t="shared" si="37"/>
        <v>0.40058479532163738</v>
      </c>
      <c r="H2507" s="1526">
        <v>120</v>
      </c>
    </row>
    <row r="2508" spans="1:8">
      <c r="A2508" s="40" t="s">
        <v>5766</v>
      </c>
      <c r="B2508" s="40" t="s">
        <v>5318</v>
      </c>
      <c r="C2508" s="357">
        <v>10</v>
      </c>
      <c r="D2508" s="1113">
        <f t="shared" si="40"/>
        <v>0.91</v>
      </c>
      <c r="E2508" s="360" t="s">
        <v>5820</v>
      </c>
      <c r="F2508" s="386">
        <v>65</v>
      </c>
      <c r="G2508" s="1527">
        <f t="shared" si="37"/>
        <v>0.40476190476190482</v>
      </c>
      <c r="H2508" s="1526">
        <v>120</v>
      </c>
    </row>
    <row r="2509" spans="1:8">
      <c r="A2509" s="40" t="s">
        <v>5766</v>
      </c>
      <c r="B2509" s="40" t="s">
        <v>5328</v>
      </c>
      <c r="C2509" s="357" t="s">
        <v>5569</v>
      </c>
      <c r="D2509" s="1113">
        <f t="shared" si="40"/>
        <v>2.0199999999999996</v>
      </c>
      <c r="E2509" s="1412" t="s">
        <v>1893</v>
      </c>
      <c r="F2509" s="386">
        <f>65+80</f>
        <v>145</v>
      </c>
      <c r="G2509" s="1527">
        <f t="shared" si="37"/>
        <v>0.40181518151815171</v>
      </c>
      <c r="H2509" s="1526">
        <v>120</v>
      </c>
    </row>
    <row r="2510" spans="1:8">
      <c r="A2510" s="40" t="s">
        <v>5767</v>
      </c>
      <c r="B2510" s="40" t="s">
        <v>5772</v>
      </c>
      <c r="C2510" s="357">
        <v>10</v>
      </c>
      <c r="D2510" s="1113">
        <f t="shared" si="40"/>
        <v>1.24</v>
      </c>
      <c r="E2510" s="360" t="s">
        <v>5821</v>
      </c>
      <c r="F2510" s="386">
        <v>89</v>
      </c>
      <c r="G2510" s="1527">
        <f t="shared" si="37"/>
        <v>0.4018817204301075</v>
      </c>
      <c r="H2510" s="1526">
        <v>120</v>
      </c>
    </row>
    <row r="2511" spans="1:8">
      <c r="A2511" s="40" t="s">
        <v>5788</v>
      </c>
      <c r="B2511" s="40" t="s">
        <v>5773</v>
      </c>
      <c r="C2511" s="357">
        <v>10</v>
      </c>
      <c r="D2511" s="1113">
        <f t="shared" si="40"/>
        <v>3.4099999999999997</v>
      </c>
      <c r="E2511" s="360" t="s">
        <v>5822</v>
      </c>
      <c r="F2511" s="386">
        <v>245</v>
      </c>
      <c r="G2511" s="1527">
        <f t="shared" si="37"/>
        <v>0.40127077223851415</v>
      </c>
      <c r="H2511" s="1526">
        <v>120</v>
      </c>
    </row>
    <row r="2512" spans="1:8">
      <c r="A2512" s="40" t="s">
        <v>5768</v>
      </c>
      <c r="B2512" s="40" t="s">
        <v>5774</v>
      </c>
      <c r="C2512" s="357">
        <v>10</v>
      </c>
      <c r="D2512" s="1113">
        <f t="shared" si="40"/>
        <v>4.71</v>
      </c>
      <c r="E2512" s="360" t="s">
        <v>5815</v>
      </c>
      <c r="F2512" s="386">
        <v>339</v>
      </c>
      <c r="G2512" s="1527">
        <f t="shared" si="37"/>
        <v>0.40021231422505305</v>
      </c>
      <c r="H2512" s="1526">
        <v>120</v>
      </c>
    </row>
    <row r="2513" spans="1:23">
      <c r="A2513" s="40" t="s">
        <v>5768</v>
      </c>
      <c r="B2513" s="40" t="s">
        <v>5328</v>
      </c>
      <c r="C2513" s="357" t="s">
        <v>5569</v>
      </c>
      <c r="D2513" s="1113">
        <f t="shared" si="40"/>
        <v>6.1</v>
      </c>
      <c r="E2513" s="1412" t="s">
        <v>1893</v>
      </c>
      <c r="F2513" s="386">
        <f>339+100</f>
        <v>439</v>
      </c>
      <c r="G2513" s="1527">
        <f t="shared" si="37"/>
        <v>0.40027322404371585</v>
      </c>
      <c r="H2513" s="1526">
        <v>120</v>
      </c>
    </row>
    <row r="2514" spans="1:23">
      <c r="A2514" s="40" t="s">
        <v>5769</v>
      </c>
      <c r="B2514" s="40" t="s">
        <v>5781</v>
      </c>
      <c r="C2514" s="357">
        <v>10</v>
      </c>
      <c r="D2514" s="1113">
        <f t="shared" si="40"/>
        <v>3.44</v>
      </c>
      <c r="E2514" s="360" t="s">
        <v>5808</v>
      </c>
      <c r="F2514" s="386">
        <v>247</v>
      </c>
      <c r="G2514" s="1527">
        <f t="shared" si="37"/>
        <v>0.40164728682170547</v>
      </c>
      <c r="H2514" s="1526">
        <v>120</v>
      </c>
    </row>
    <row r="2515" spans="1:23">
      <c r="A2515" s="40" t="s">
        <v>5770</v>
      </c>
      <c r="B2515" s="40" t="s">
        <v>5775</v>
      </c>
      <c r="C2515" s="357">
        <v>10</v>
      </c>
      <c r="D2515" s="1113">
        <f t="shared" si="40"/>
        <v>0.96</v>
      </c>
      <c r="E2515" s="360" t="s">
        <v>5823</v>
      </c>
      <c r="F2515" s="386">
        <v>69</v>
      </c>
      <c r="G2515" s="1527">
        <f t="shared" si="37"/>
        <v>0.40104166666666669</v>
      </c>
      <c r="H2515" s="1526">
        <v>120</v>
      </c>
    </row>
    <row r="2517" spans="1:23">
      <c r="A2517" s="1236" t="s">
        <v>5824</v>
      </c>
    </row>
    <row r="2518" spans="1:23" s="7" customFormat="1" ht="18" customHeight="1">
      <c r="B2518" s="12"/>
      <c r="C2518" s="6" t="s">
        <v>5748</v>
      </c>
      <c r="D2518" s="14" t="s">
        <v>3047</v>
      </c>
      <c r="E2518" s="19" t="s">
        <v>2358</v>
      </c>
      <c r="F2518" s="24"/>
      <c r="G2518" s="22"/>
      <c r="H2518" s="60"/>
      <c r="I2518" s="61"/>
      <c r="J2518" s="60"/>
      <c r="K2518" s="16" t="s">
        <v>5</v>
      </c>
      <c r="L2518" s="139"/>
      <c r="M2518" s="33"/>
      <c r="N2518" s="33"/>
      <c r="O2518" s="32"/>
      <c r="P2518" s="6" t="s">
        <v>3</v>
      </c>
      <c r="Q2518" s="358"/>
      <c r="S2518" s="1434"/>
      <c r="U2518" s="120"/>
      <c r="V2518" s="260">
        <v>120</v>
      </c>
    </row>
    <row r="2519" spans="1:23" s="7" customFormat="1" ht="18" customHeight="1">
      <c r="B2519" s="12" t="s">
        <v>300</v>
      </c>
      <c r="C2519" s="6" t="s">
        <v>5748</v>
      </c>
      <c r="D2519" s="14" t="s">
        <v>3047</v>
      </c>
      <c r="E2519" s="82" t="s">
        <v>5749</v>
      </c>
      <c r="F2519" s="24"/>
      <c r="G2519" s="22" t="s">
        <v>5318</v>
      </c>
      <c r="H2519" s="108"/>
      <c r="I2519" s="109"/>
      <c r="J2519" s="8">
        <v>2</v>
      </c>
      <c r="K2519" s="39">
        <f t="shared" ref="K2519:K2527" si="41">ROUNDUP(S2519/0.6/120,2)</f>
        <v>2.8899999999999997</v>
      </c>
      <c r="L2519" s="39">
        <f t="shared" ref="L2519:L2544" si="42">K2519*J2519</f>
        <v>5.7799999999999994</v>
      </c>
      <c r="M2519" s="117" t="s">
        <v>323</v>
      </c>
      <c r="N2519" s="160"/>
      <c r="O2519" s="32"/>
      <c r="P2519" s="391" t="e">
        <f t="shared" ref="P2519:P2544" si="43">ROUNDUP(S2519/V2519/VLOOKUP(B2519,$C$2:$F$6,3,FALSE),2)</f>
        <v>#N/A</v>
      </c>
      <c r="Q2519" s="322">
        <v>2.48</v>
      </c>
      <c r="R2519" s="322">
        <f t="shared" ref="R2519:R2544" si="44">Q2519*J2519</f>
        <v>4.96</v>
      </c>
      <c r="S2519" s="7">
        <v>208</v>
      </c>
      <c r="T2519" s="7">
        <f t="shared" ref="T2519:T2544" si="45">S2519*J2519</f>
        <v>416</v>
      </c>
      <c r="U2519" s="386"/>
      <c r="V2519" s="260">
        <v>120</v>
      </c>
      <c r="W2519" s="1136">
        <f t="shared" ref="W2519:W2544" si="46">(((K2519*V2519)-S2519)/(K2519*V2519))</f>
        <v>0.40023068050749705</v>
      </c>
    </row>
    <row r="2520" spans="1:23" s="7" customFormat="1" ht="18" customHeight="1">
      <c r="B2520" s="12" t="s">
        <v>300</v>
      </c>
      <c r="C2520" s="6" t="s">
        <v>5748</v>
      </c>
      <c r="D2520" s="14" t="s">
        <v>3047</v>
      </c>
      <c r="E2520" s="82" t="s">
        <v>5750</v>
      </c>
      <c r="F2520" s="24"/>
      <c r="G2520" s="22" t="s">
        <v>5318</v>
      </c>
      <c r="H2520" s="108"/>
      <c r="I2520" s="109"/>
      <c r="J2520" s="8">
        <v>2</v>
      </c>
      <c r="K2520" s="39">
        <f t="shared" si="41"/>
        <v>1.71</v>
      </c>
      <c r="L2520" s="39">
        <f t="shared" si="42"/>
        <v>3.42</v>
      </c>
      <c r="M2520" s="117" t="s">
        <v>323</v>
      </c>
      <c r="N2520" s="160"/>
      <c r="O2520" s="32"/>
      <c r="P2520" s="391" t="e">
        <f t="shared" si="43"/>
        <v>#N/A</v>
      </c>
      <c r="Q2520" s="322">
        <v>1.47</v>
      </c>
      <c r="R2520" s="322">
        <f t="shared" si="44"/>
        <v>2.94</v>
      </c>
      <c r="S2520" s="7">
        <v>123</v>
      </c>
      <c r="T2520" s="7">
        <f t="shared" si="45"/>
        <v>246</v>
      </c>
      <c r="U2520" s="386"/>
      <c r="V2520" s="260">
        <v>120</v>
      </c>
      <c r="W2520" s="1136">
        <f t="shared" si="46"/>
        <v>0.40058479532163738</v>
      </c>
    </row>
    <row r="2521" spans="1:23" s="7" customFormat="1" ht="18" customHeight="1">
      <c r="B2521" s="12" t="s">
        <v>300</v>
      </c>
      <c r="C2521" s="6" t="s">
        <v>5748</v>
      </c>
      <c r="D2521" s="14" t="s">
        <v>3047</v>
      </c>
      <c r="E2521" s="82" t="s">
        <v>5751</v>
      </c>
      <c r="F2521" s="24"/>
      <c r="G2521" s="22" t="s">
        <v>5318</v>
      </c>
      <c r="H2521" s="108"/>
      <c r="I2521" s="109"/>
      <c r="J2521" s="8">
        <v>2</v>
      </c>
      <c r="K2521" s="39">
        <f t="shared" si="41"/>
        <v>3.48</v>
      </c>
      <c r="L2521" s="39">
        <f t="shared" si="42"/>
        <v>6.96</v>
      </c>
      <c r="M2521" s="117" t="s">
        <v>323</v>
      </c>
      <c r="N2521" s="160"/>
      <c r="O2521" s="32"/>
      <c r="P2521" s="391" t="e">
        <f t="shared" si="43"/>
        <v>#N/A</v>
      </c>
      <c r="Q2521" s="322">
        <v>2.98</v>
      </c>
      <c r="R2521" s="322">
        <f t="shared" si="44"/>
        <v>5.96</v>
      </c>
      <c r="S2521" s="7">
        <v>250</v>
      </c>
      <c r="T2521" s="7">
        <f t="shared" si="45"/>
        <v>500</v>
      </c>
      <c r="U2521" s="386"/>
      <c r="V2521" s="260">
        <v>120</v>
      </c>
      <c r="W2521" s="1136">
        <f t="shared" si="46"/>
        <v>0.40134099616858243</v>
      </c>
    </row>
    <row r="2522" spans="1:23" s="7" customFormat="1" ht="18" customHeight="1">
      <c r="B2522" s="12" t="s">
        <v>300</v>
      </c>
      <c r="C2522" s="6" t="s">
        <v>5748</v>
      </c>
      <c r="D2522" s="14" t="s">
        <v>3047</v>
      </c>
      <c r="E2522" s="82" t="s">
        <v>5752</v>
      </c>
      <c r="F2522" s="24"/>
      <c r="G2522" s="22" t="s">
        <v>5318</v>
      </c>
      <c r="H2522" s="108"/>
      <c r="I2522" s="109"/>
      <c r="J2522" s="8">
        <v>2</v>
      </c>
      <c r="K2522" s="39">
        <f t="shared" si="41"/>
        <v>3.17</v>
      </c>
      <c r="L2522" s="39">
        <f t="shared" si="42"/>
        <v>6.34</v>
      </c>
      <c r="M2522" s="117" t="s">
        <v>323</v>
      </c>
      <c r="N2522" s="160"/>
      <c r="O2522" s="32"/>
      <c r="P2522" s="391" t="e">
        <f t="shared" si="43"/>
        <v>#N/A</v>
      </c>
      <c r="Q2522" s="322">
        <v>2.72</v>
      </c>
      <c r="R2522" s="322">
        <f t="shared" si="44"/>
        <v>5.44</v>
      </c>
      <c r="S2522" s="7">
        <v>228</v>
      </c>
      <c r="T2522" s="7">
        <f t="shared" si="45"/>
        <v>456</v>
      </c>
      <c r="U2522" s="386"/>
      <c r="V2522" s="260">
        <v>120</v>
      </c>
      <c r="W2522" s="1136">
        <f t="shared" si="46"/>
        <v>0.40063091482649837</v>
      </c>
    </row>
    <row r="2523" spans="1:23" s="7" customFormat="1" ht="18" customHeight="1">
      <c r="B2523" s="12" t="s">
        <v>300</v>
      </c>
      <c r="C2523" s="6" t="s">
        <v>5748</v>
      </c>
      <c r="D2523" s="14" t="s">
        <v>3047</v>
      </c>
      <c r="E2523" s="82" t="s">
        <v>5753</v>
      </c>
      <c r="F2523" s="24"/>
      <c r="G2523" s="22" t="s">
        <v>5318</v>
      </c>
      <c r="H2523" s="108"/>
      <c r="I2523" s="109"/>
      <c r="J2523" s="8">
        <v>2</v>
      </c>
      <c r="K2523" s="39">
        <f t="shared" si="41"/>
        <v>1.62</v>
      </c>
      <c r="L2523" s="39">
        <f t="shared" si="42"/>
        <v>3.24</v>
      </c>
      <c r="M2523" s="117" t="s">
        <v>323</v>
      </c>
      <c r="N2523" s="160"/>
      <c r="O2523" s="32"/>
      <c r="P2523" s="391" t="e">
        <f t="shared" si="43"/>
        <v>#N/A</v>
      </c>
      <c r="Q2523" s="322">
        <v>1.39</v>
      </c>
      <c r="R2523" s="322">
        <f t="shared" si="44"/>
        <v>2.78</v>
      </c>
      <c r="S2523" s="7">
        <v>116</v>
      </c>
      <c r="T2523" s="7">
        <f t="shared" si="45"/>
        <v>232</v>
      </c>
      <c r="U2523" s="386"/>
      <c r="V2523" s="260">
        <v>120</v>
      </c>
      <c r="W2523" s="1136">
        <f t="shared" si="46"/>
        <v>0.40329218106995884</v>
      </c>
    </row>
    <row r="2524" spans="1:23" s="7" customFormat="1" ht="18" customHeight="1">
      <c r="B2524" s="12" t="s">
        <v>300</v>
      </c>
      <c r="C2524" s="6" t="s">
        <v>5748</v>
      </c>
      <c r="D2524" s="14" t="s">
        <v>3047</v>
      </c>
      <c r="E2524" s="82" t="s">
        <v>5754</v>
      </c>
      <c r="F2524" s="24"/>
      <c r="G2524" s="22" t="s">
        <v>5318</v>
      </c>
      <c r="H2524" s="108"/>
      <c r="I2524" s="109"/>
      <c r="J2524" s="8">
        <v>2</v>
      </c>
      <c r="K2524" s="39">
        <f t="shared" si="41"/>
        <v>1.07</v>
      </c>
      <c r="L2524" s="39">
        <f t="shared" si="42"/>
        <v>2.14</v>
      </c>
      <c r="M2524" s="117" t="s">
        <v>323</v>
      </c>
      <c r="N2524" s="160"/>
      <c r="O2524" s="32"/>
      <c r="P2524" s="391" t="e">
        <f t="shared" si="43"/>
        <v>#N/A</v>
      </c>
      <c r="Q2524" s="322">
        <v>0.92</v>
      </c>
      <c r="R2524" s="322">
        <f t="shared" si="44"/>
        <v>1.84</v>
      </c>
      <c r="S2524" s="7">
        <v>77</v>
      </c>
      <c r="T2524" s="7">
        <f t="shared" si="45"/>
        <v>154</v>
      </c>
      <c r="U2524" s="386"/>
      <c r="V2524" s="260">
        <v>120</v>
      </c>
      <c r="W2524" s="1136">
        <f t="shared" si="46"/>
        <v>0.40031152647975082</v>
      </c>
    </row>
    <row r="2525" spans="1:23" s="7" customFormat="1" ht="18" customHeight="1">
      <c r="B2525" s="12" t="s">
        <v>300</v>
      </c>
      <c r="C2525" s="6" t="s">
        <v>5748</v>
      </c>
      <c r="D2525" s="14" t="s">
        <v>3047</v>
      </c>
      <c r="E2525" s="82" t="s">
        <v>5755</v>
      </c>
      <c r="F2525" s="24"/>
      <c r="G2525" s="22" t="s">
        <v>5318</v>
      </c>
      <c r="H2525" s="108"/>
      <c r="I2525" s="109"/>
      <c r="J2525" s="8">
        <v>2</v>
      </c>
      <c r="K2525" s="39">
        <f t="shared" si="41"/>
        <v>4.49</v>
      </c>
      <c r="L2525" s="39">
        <f t="shared" si="42"/>
        <v>8.98</v>
      </c>
      <c r="M2525" s="117" t="s">
        <v>323</v>
      </c>
      <c r="N2525" s="160"/>
      <c r="O2525" s="32"/>
      <c r="P2525" s="391" t="e">
        <f t="shared" si="43"/>
        <v>#N/A</v>
      </c>
      <c r="Q2525" s="322">
        <v>3.85</v>
      </c>
      <c r="R2525" s="322">
        <f t="shared" si="44"/>
        <v>7.7</v>
      </c>
      <c r="S2525" s="7">
        <v>323</v>
      </c>
      <c r="T2525" s="7">
        <f t="shared" si="45"/>
        <v>646</v>
      </c>
      <c r="U2525" s="386"/>
      <c r="V2525" s="260">
        <v>120</v>
      </c>
      <c r="W2525" s="1136">
        <f t="shared" si="46"/>
        <v>0.40051967334818123</v>
      </c>
    </row>
    <row r="2526" spans="1:23" s="7" customFormat="1" ht="18" customHeight="1">
      <c r="B2526" s="12" t="s">
        <v>300</v>
      </c>
      <c r="C2526" s="6" t="s">
        <v>5748</v>
      </c>
      <c r="D2526" s="14" t="s">
        <v>3047</v>
      </c>
      <c r="E2526" s="82" t="s">
        <v>5756</v>
      </c>
      <c r="F2526" s="24"/>
      <c r="G2526" s="22" t="s">
        <v>5318</v>
      </c>
      <c r="H2526" s="108"/>
      <c r="I2526" s="109"/>
      <c r="J2526" s="8">
        <v>2</v>
      </c>
      <c r="K2526" s="39">
        <f t="shared" si="41"/>
        <v>5.77</v>
      </c>
      <c r="L2526" s="39">
        <f t="shared" si="42"/>
        <v>11.54</v>
      </c>
      <c r="M2526" s="117" t="s">
        <v>323</v>
      </c>
      <c r="N2526" s="160"/>
      <c r="O2526" s="32"/>
      <c r="P2526" s="391" t="e">
        <f t="shared" si="43"/>
        <v>#N/A</v>
      </c>
      <c r="Q2526" s="322">
        <v>4.95</v>
      </c>
      <c r="R2526" s="322">
        <f t="shared" si="44"/>
        <v>9.9</v>
      </c>
      <c r="S2526" s="7">
        <v>415</v>
      </c>
      <c r="T2526" s="7">
        <f t="shared" si="45"/>
        <v>830</v>
      </c>
      <c r="U2526" s="386"/>
      <c r="V2526" s="260">
        <v>120</v>
      </c>
      <c r="W2526" s="1136">
        <f t="shared" si="46"/>
        <v>0.40063547082611206</v>
      </c>
    </row>
    <row r="2527" spans="1:23" s="7" customFormat="1" ht="18" customHeight="1">
      <c r="B2527" s="12" t="s">
        <v>300</v>
      </c>
      <c r="C2527" s="6" t="s">
        <v>5748</v>
      </c>
      <c r="D2527" s="14" t="s">
        <v>3047</v>
      </c>
      <c r="E2527" s="82" t="s">
        <v>5757</v>
      </c>
      <c r="F2527" s="24"/>
      <c r="G2527" s="22" t="s">
        <v>5318</v>
      </c>
      <c r="H2527" s="108"/>
      <c r="I2527" s="109"/>
      <c r="J2527" s="8">
        <v>2</v>
      </c>
      <c r="K2527" s="39">
        <f t="shared" si="41"/>
        <v>2.2999999999999998</v>
      </c>
      <c r="L2527" s="39">
        <f t="shared" si="42"/>
        <v>4.5999999999999996</v>
      </c>
      <c r="M2527" s="117" t="s">
        <v>323</v>
      </c>
      <c r="N2527" s="160"/>
      <c r="O2527" s="32"/>
      <c r="P2527" s="391" t="e">
        <f t="shared" si="43"/>
        <v>#N/A</v>
      </c>
      <c r="Q2527" s="322">
        <v>1.97</v>
      </c>
      <c r="R2527" s="322">
        <f t="shared" si="44"/>
        <v>3.94</v>
      </c>
      <c r="S2527" s="7">
        <v>165</v>
      </c>
      <c r="T2527" s="7">
        <f t="shared" si="45"/>
        <v>330</v>
      </c>
      <c r="U2527" s="386"/>
      <c r="V2527" s="260">
        <v>120</v>
      </c>
      <c r="W2527" s="1136">
        <f t="shared" si="46"/>
        <v>0.40217391304347827</v>
      </c>
    </row>
    <row r="2528" spans="1:23" s="7" customFormat="1" ht="18" customHeight="1">
      <c r="B2528" s="12"/>
      <c r="C2528" s="6" t="s">
        <v>5748</v>
      </c>
      <c r="D2528" s="14" t="s">
        <v>3047</v>
      </c>
      <c r="E2528" s="19" t="s">
        <v>5776</v>
      </c>
      <c r="F2528" s="24"/>
      <c r="G2528" s="22"/>
      <c r="H2528" s="60"/>
      <c r="I2528" s="61"/>
      <c r="J2528" s="60"/>
      <c r="K2528" s="16"/>
      <c r="L2528" s="139"/>
      <c r="M2528" s="33"/>
      <c r="N2528" s="33"/>
      <c r="O2528" s="32"/>
      <c r="P2528" s="6" t="s">
        <v>3</v>
      </c>
      <c r="Q2528" s="358"/>
      <c r="S2528" s="1434"/>
      <c r="U2528" s="120"/>
      <c r="V2528" s="260">
        <v>120</v>
      </c>
    </row>
    <row r="2529" spans="2:23" s="7" customFormat="1" ht="18" customHeight="1">
      <c r="B2529" s="12" t="s">
        <v>300</v>
      </c>
      <c r="C2529" s="6" t="s">
        <v>5748</v>
      </c>
      <c r="D2529" s="14" t="s">
        <v>3047</v>
      </c>
      <c r="E2529" s="82" t="s">
        <v>5758</v>
      </c>
      <c r="F2529" s="24"/>
      <c r="G2529" s="22" t="s">
        <v>5318</v>
      </c>
      <c r="H2529" s="108"/>
      <c r="I2529" s="109"/>
      <c r="J2529" s="8">
        <v>2</v>
      </c>
      <c r="K2529" s="39">
        <f>ROUNDUP(S2529/0.6/120,2)</f>
        <v>6.31</v>
      </c>
      <c r="L2529" s="39">
        <f t="shared" si="42"/>
        <v>12.62</v>
      </c>
      <c r="M2529" s="117" t="s">
        <v>323</v>
      </c>
      <c r="N2529" s="160"/>
      <c r="O2529" s="32"/>
      <c r="P2529" s="391" t="e">
        <f t="shared" si="43"/>
        <v>#N/A</v>
      </c>
      <c r="Q2529" s="322">
        <v>5.41</v>
      </c>
      <c r="R2529" s="322">
        <f t="shared" si="44"/>
        <v>10.82</v>
      </c>
      <c r="S2529" s="7">
        <v>454</v>
      </c>
      <c r="T2529" s="7">
        <f t="shared" si="45"/>
        <v>908</v>
      </c>
      <c r="U2529" s="386"/>
      <c r="V2529" s="260">
        <v>120</v>
      </c>
      <c r="W2529" s="1136">
        <f t="shared" si="46"/>
        <v>0.40042260961436865</v>
      </c>
    </row>
    <row r="2530" spans="2:23" s="7" customFormat="1" ht="18" customHeight="1">
      <c r="B2530" s="12"/>
      <c r="C2530" s="6" t="s">
        <v>5748</v>
      </c>
      <c r="D2530" s="14" t="s">
        <v>3047</v>
      </c>
      <c r="E2530" s="19" t="s">
        <v>2358</v>
      </c>
      <c r="F2530" s="24"/>
      <c r="G2530" s="22"/>
      <c r="H2530" s="60"/>
      <c r="I2530" s="61"/>
      <c r="J2530" s="60"/>
      <c r="K2530" s="39"/>
      <c r="L2530" s="139"/>
      <c r="M2530" s="33"/>
      <c r="N2530" s="33"/>
      <c r="O2530" s="32"/>
      <c r="P2530" s="6" t="s">
        <v>3</v>
      </c>
      <c r="Q2530" s="358"/>
      <c r="S2530" s="1434"/>
      <c r="U2530" s="120"/>
      <c r="V2530" s="260">
        <v>120</v>
      </c>
    </row>
    <row r="2531" spans="2:23" s="7" customFormat="1" ht="18" customHeight="1">
      <c r="B2531" s="12" t="s">
        <v>300</v>
      </c>
      <c r="C2531" s="6" t="s">
        <v>5748</v>
      </c>
      <c r="D2531" s="14" t="s">
        <v>3047</v>
      </c>
      <c r="E2531" s="82" t="s">
        <v>5759</v>
      </c>
      <c r="F2531" s="24"/>
      <c r="G2531" s="22" t="s">
        <v>5318</v>
      </c>
      <c r="H2531" s="108"/>
      <c r="I2531" s="109"/>
      <c r="J2531" s="8">
        <v>2</v>
      </c>
      <c r="K2531" s="39">
        <f>ROUNDUP(S2531/0.6/120,2)</f>
        <v>1.37</v>
      </c>
      <c r="L2531" s="39">
        <f t="shared" si="42"/>
        <v>2.74</v>
      </c>
      <c r="M2531" s="117" t="s">
        <v>323</v>
      </c>
      <c r="N2531" s="160"/>
      <c r="O2531" s="32"/>
      <c r="P2531" s="391" t="e">
        <f t="shared" si="43"/>
        <v>#N/A</v>
      </c>
      <c r="Q2531" s="322">
        <v>1.17</v>
      </c>
      <c r="R2531" s="322">
        <f t="shared" si="44"/>
        <v>2.34</v>
      </c>
      <c r="S2531" s="7">
        <v>98</v>
      </c>
      <c r="T2531" s="7">
        <f t="shared" si="45"/>
        <v>196</v>
      </c>
      <c r="U2531" s="386"/>
      <c r="V2531" s="260">
        <v>120</v>
      </c>
      <c r="W2531" s="1136">
        <f t="shared" si="46"/>
        <v>0.40389294403892945</v>
      </c>
    </row>
    <row r="2532" spans="2:23" s="7" customFormat="1" ht="18" customHeight="1">
      <c r="B2532" s="12" t="s">
        <v>300</v>
      </c>
      <c r="C2532" s="6" t="s">
        <v>5748</v>
      </c>
      <c r="D2532" s="14" t="s">
        <v>3047</v>
      </c>
      <c r="E2532" s="82" t="s">
        <v>5760</v>
      </c>
      <c r="F2532" s="24"/>
      <c r="G2532" s="22" t="s">
        <v>5318</v>
      </c>
      <c r="H2532" s="108"/>
      <c r="I2532" s="109"/>
      <c r="J2532" s="8">
        <v>2</v>
      </c>
      <c r="K2532" s="39">
        <f>ROUNDUP(S2532/0.6/120,2)</f>
        <v>2.7699999999999996</v>
      </c>
      <c r="L2532" s="39">
        <f t="shared" si="42"/>
        <v>5.5399999999999991</v>
      </c>
      <c r="M2532" s="117" t="s">
        <v>323</v>
      </c>
      <c r="N2532" s="160"/>
      <c r="O2532" s="32"/>
      <c r="P2532" s="391" t="e">
        <f t="shared" si="43"/>
        <v>#N/A</v>
      </c>
      <c r="Q2532" s="322">
        <v>2.37</v>
      </c>
      <c r="R2532" s="322">
        <f t="shared" si="44"/>
        <v>4.74</v>
      </c>
      <c r="S2532" s="7">
        <v>199</v>
      </c>
      <c r="T2532" s="7">
        <f t="shared" si="45"/>
        <v>398</v>
      </c>
      <c r="U2532" s="386"/>
      <c r="V2532" s="260">
        <v>120</v>
      </c>
      <c r="W2532" s="1136">
        <f t="shared" si="46"/>
        <v>0.40132370637785797</v>
      </c>
    </row>
    <row r="2533" spans="2:23" s="7" customFormat="1" ht="18" customHeight="1">
      <c r="B2533" s="12"/>
      <c r="C2533" s="6" t="s">
        <v>5748</v>
      </c>
      <c r="D2533" s="14" t="s">
        <v>3047</v>
      </c>
      <c r="E2533" s="19" t="s">
        <v>5787</v>
      </c>
      <c r="F2533" s="24"/>
      <c r="G2533" s="22"/>
      <c r="H2533" s="108"/>
      <c r="I2533" s="109"/>
      <c r="J2533" s="8"/>
      <c r="K2533" s="39"/>
      <c r="L2533" s="39"/>
      <c r="M2533" s="117"/>
      <c r="N2533" s="160"/>
      <c r="O2533" s="32"/>
      <c r="P2533" s="391"/>
      <c r="Q2533" s="322"/>
      <c r="R2533" s="322"/>
      <c r="U2533" s="386"/>
      <c r="V2533" s="260"/>
      <c r="W2533" s="1136"/>
    </row>
    <row r="2534" spans="2:23" s="7" customFormat="1" ht="18" customHeight="1">
      <c r="B2534" s="12" t="s">
        <v>300</v>
      </c>
      <c r="C2534" s="6" t="s">
        <v>5748</v>
      </c>
      <c r="D2534" s="14" t="s">
        <v>3047</v>
      </c>
      <c r="E2534" s="82" t="s">
        <v>5785</v>
      </c>
      <c r="F2534" s="24"/>
      <c r="G2534" s="22" t="s">
        <v>5771</v>
      </c>
      <c r="H2534" s="108"/>
      <c r="I2534" s="109"/>
      <c r="J2534" s="8">
        <v>2</v>
      </c>
      <c r="K2534" s="39">
        <f>ROUNDUP(S2534/0.6/120,2)</f>
        <v>0</v>
      </c>
      <c r="L2534" s="39">
        <f t="shared" si="42"/>
        <v>0</v>
      </c>
      <c r="M2534" s="117" t="s">
        <v>323</v>
      </c>
      <c r="N2534" s="160"/>
      <c r="O2534" s="32"/>
      <c r="P2534" s="391" t="e">
        <f t="shared" si="43"/>
        <v>#N/A</v>
      </c>
      <c r="Q2534" s="322"/>
      <c r="R2534" s="322">
        <f t="shared" si="44"/>
        <v>0</v>
      </c>
      <c r="T2534" s="7">
        <f t="shared" si="45"/>
        <v>0</v>
      </c>
      <c r="U2534" s="386"/>
      <c r="V2534" s="260">
        <v>120</v>
      </c>
      <c r="W2534" s="1136" t="e">
        <f t="shared" si="46"/>
        <v>#DIV/0!</v>
      </c>
    </row>
    <row r="2535" spans="2:23" s="7" customFormat="1" ht="18" customHeight="1">
      <c r="B2535" s="12"/>
      <c r="C2535" s="6" t="s">
        <v>5748</v>
      </c>
      <c r="D2535" s="14" t="s">
        <v>3047</v>
      </c>
      <c r="E2535" s="19" t="s">
        <v>5786</v>
      </c>
      <c r="F2535" s="24"/>
      <c r="G2535" s="22"/>
      <c r="H2535" s="108"/>
      <c r="I2535" s="109"/>
      <c r="J2535" s="8"/>
      <c r="K2535" s="39"/>
      <c r="L2535" s="39"/>
      <c r="M2535" s="117"/>
      <c r="N2535" s="160"/>
      <c r="O2535" s="32"/>
      <c r="P2535" s="391"/>
      <c r="Q2535" s="322"/>
      <c r="R2535" s="322"/>
      <c r="U2535" s="386"/>
      <c r="V2535" s="260"/>
      <c r="W2535" s="1136"/>
    </row>
    <row r="2536" spans="2:23" s="7" customFormat="1" ht="18" customHeight="1">
      <c r="B2536" s="12" t="s">
        <v>300</v>
      </c>
      <c r="C2536" s="6" t="s">
        <v>5748</v>
      </c>
      <c r="D2536" s="14" t="s">
        <v>3047</v>
      </c>
      <c r="E2536" s="82" t="s">
        <v>5761</v>
      </c>
      <c r="F2536" s="24"/>
      <c r="G2536" s="22" t="s">
        <v>5771</v>
      </c>
      <c r="H2536" s="108"/>
      <c r="I2536" s="109"/>
      <c r="J2536" s="8">
        <v>2</v>
      </c>
      <c r="K2536" s="39">
        <f>ROUNDUP(S2536/0.6/120,2)</f>
        <v>0</v>
      </c>
      <c r="L2536" s="39">
        <f t="shared" si="42"/>
        <v>0</v>
      </c>
      <c r="M2536" s="117" t="s">
        <v>323</v>
      </c>
      <c r="N2536" s="160"/>
      <c r="O2536" s="32"/>
      <c r="P2536" s="391" t="e">
        <f t="shared" si="43"/>
        <v>#N/A</v>
      </c>
      <c r="Q2536" s="322"/>
      <c r="R2536" s="322">
        <f t="shared" si="44"/>
        <v>0</v>
      </c>
      <c r="T2536" s="7">
        <f t="shared" si="45"/>
        <v>0</v>
      </c>
      <c r="U2536" s="386"/>
      <c r="V2536" s="260">
        <v>120</v>
      </c>
      <c r="W2536" s="1136" t="e">
        <f t="shared" si="46"/>
        <v>#DIV/0!</v>
      </c>
    </row>
    <row r="2537" spans="2:23" s="7" customFormat="1" ht="18" customHeight="1">
      <c r="B2537" s="12"/>
      <c r="C2537" s="6" t="s">
        <v>5748</v>
      </c>
      <c r="D2537" s="14" t="s">
        <v>3047</v>
      </c>
      <c r="E2537" s="19" t="s">
        <v>5783</v>
      </c>
      <c r="F2537" s="24"/>
      <c r="G2537" s="22"/>
      <c r="H2537" s="108"/>
      <c r="I2537" s="109"/>
      <c r="J2537" s="8"/>
      <c r="K2537" s="39"/>
      <c r="L2537" s="39"/>
      <c r="M2537" s="117"/>
      <c r="N2537" s="160"/>
      <c r="O2537" s="32"/>
      <c r="P2537" s="391"/>
      <c r="Q2537" s="322"/>
      <c r="R2537" s="322"/>
      <c r="U2537" s="386"/>
      <c r="V2537" s="260"/>
      <c r="W2537" s="1136"/>
    </row>
    <row r="2538" spans="2:23" s="7" customFormat="1" ht="18" customHeight="1">
      <c r="B2538" s="12" t="s">
        <v>300</v>
      </c>
      <c r="C2538" s="6" t="s">
        <v>5748</v>
      </c>
      <c r="D2538" s="14" t="s">
        <v>3047</v>
      </c>
      <c r="E2538" s="82" t="s">
        <v>3209</v>
      </c>
      <c r="F2538" s="24"/>
      <c r="G2538" s="22" t="s">
        <v>5318</v>
      </c>
      <c r="H2538" s="108"/>
      <c r="I2538" s="109"/>
      <c r="J2538" s="8">
        <v>2</v>
      </c>
      <c r="K2538" s="39">
        <f>ROUNDUP(S2538/0.6/120,2)</f>
        <v>3.34</v>
      </c>
      <c r="L2538" s="39">
        <f t="shared" si="42"/>
        <v>6.68</v>
      </c>
      <c r="M2538" s="117" t="s">
        <v>323</v>
      </c>
      <c r="N2538" s="160"/>
      <c r="O2538" s="32"/>
      <c r="P2538" s="391" t="e">
        <f t="shared" si="43"/>
        <v>#N/A</v>
      </c>
      <c r="Q2538" s="322">
        <v>2.86</v>
      </c>
      <c r="R2538" s="322">
        <f t="shared" si="44"/>
        <v>5.72</v>
      </c>
      <c r="S2538" s="7">
        <v>240</v>
      </c>
      <c r="T2538" s="7">
        <f t="shared" si="45"/>
        <v>480</v>
      </c>
      <c r="U2538" s="386"/>
      <c r="V2538" s="260">
        <v>120</v>
      </c>
      <c r="W2538" s="1136">
        <f t="shared" si="46"/>
        <v>0.4011976047904191</v>
      </c>
    </row>
    <row r="2539" spans="2:23" s="7" customFormat="1" ht="18" customHeight="1">
      <c r="B2539" s="12" t="s">
        <v>300</v>
      </c>
      <c r="C2539" s="6" t="s">
        <v>5748</v>
      </c>
      <c r="D2539" s="14" t="s">
        <v>3047</v>
      </c>
      <c r="E2539" s="82" t="s">
        <v>5789</v>
      </c>
      <c r="F2539" s="24"/>
      <c r="G2539" s="22" t="s">
        <v>5318</v>
      </c>
      <c r="H2539" s="108"/>
      <c r="I2539" s="109"/>
      <c r="J2539" s="8">
        <v>2</v>
      </c>
      <c r="K2539" s="39">
        <f>ROUNDUP(S2539/0.6/120,2)</f>
        <v>1.67</v>
      </c>
      <c r="L2539" s="39">
        <f t="shared" si="42"/>
        <v>3.34</v>
      </c>
      <c r="M2539" s="117" t="s">
        <v>323</v>
      </c>
      <c r="N2539" s="160"/>
      <c r="O2539" s="32"/>
      <c r="P2539" s="391" t="e">
        <f t="shared" si="43"/>
        <v>#N/A</v>
      </c>
      <c r="Q2539" s="322">
        <v>1.43</v>
      </c>
      <c r="R2539" s="322">
        <f t="shared" si="44"/>
        <v>2.86</v>
      </c>
      <c r="S2539" s="7">
        <v>120</v>
      </c>
      <c r="T2539" s="7">
        <f t="shared" si="45"/>
        <v>240</v>
      </c>
      <c r="U2539" s="386"/>
      <c r="V2539" s="260">
        <v>120</v>
      </c>
      <c r="W2539" s="1136">
        <f t="shared" si="46"/>
        <v>0.4011976047904191</v>
      </c>
    </row>
    <row r="2540" spans="2:23" s="7" customFormat="1" ht="18" customHeight="1">
      <c r="B2540" s="12"/>
      <c r="C2540" s="6" t="s">
        <v>5748</v>
      </c>
      <c r="D2540" s="14" t="s">
        <v>3047</v>
      </c>
      <c r="E2540" s="19" t="s">
        <v>3081</v>
      </c>
      <c r="F2540" s="24"/>
      <c r="G2540" s="22"/>
      <c r="H2540" s="108"/>
      <c r="I2540" s="109"/>
      <c r="J2540" s="8"/>
      <c r="K2540" s="39"/>
      <c r="L2540" s="39"/>
      <c r="M2540" s="117"/>
      <c r="N2540" s="160"/>
      <c r="O2540" s="32"/>
      <c r="P2540" s="391"/>
      <c r="Q2540" s="322"/>
      <c r="R2540" s="322"/>
      <c r="U2540" s="386"/>
      <c r="V2540" s="260"/>
      <c r="W2540" s="1136"/>
    </row>
    <row r="2541" spans="2:23" s="7" customFormat="1" ht="18" customHeight="1">
      <c r="B2541" s="12" t="s">
        <v>300</v>
      </c>
      <c r="C2541" s="6" t="s">
        <v>5748</v>
      </c>
      <c r="D2541" s="14" t="s">
        <v>3047</v>
      </c>
      <c r="E2541" s="82" t="s">
        <v>5688</v>
      </c>
      <c r="F2541" s="24"/>
      <c r="G2541" s="22" t="s">
        <v>5318</v>
      </c>
      <c r="H2541" s="108"/>
      <c r="I2541" s="109"/>
      <c r="J2541" s="8">
        <v>2</v>
      </c>
      <c r="K2541" s="39">
        <f>ROUNDUP(S2541/0.6/120,2)</f>
        <v>2.23</v>
      </c>
      <c r="L2541" s="39">
        <f t="shared" si="42"/>
        <v>4.46</v>
      </c>
      <c r="M2541" s="117" t="s">
        <v>323</v>
      </c>
      <c r="N2541" s="160"/>
      <c r="O2541" s="32"/>
      <c r="P2541" s="391" t="e">
        <f t="shared" si="43"/>
        <v>#N/A</v>
      </c>
      <c r="Q2541" s="322">
        <v>1.91</v>
      </c>
      <c r="R2541" s="322">
        <f t="shared" si="44"/>
        <v>3.82</v>
      </c>
      <c r="S2541" s="7">
        <v>160</v>
      </c>
      <c r="T2541" s="7">
        <f t="shared" si="45"/>
        <v>320</v>
      </c>
      <c r="U2541" s="386"/>
      <c r="V2541" s="260">
        <v>120</v>
      </c>
      <c r="W2541" s="1136">
        <f t="shared" si="46"/>
        <v>0.40209267563527656</v>
      </c>
    </row>
    <row r="2542" spans="2:23" s="7" customFormat="1" ht="18" customHeight="1">
      <c r="B2542" s="12"/>
      <c r="C2542" s="6" t="s">
        <v>5748</v>
      </c>
      <c r="D2542" s="14" t="s">
        <v>3047</v>
      </c>
      <c r="E2542" s="19" t="s">
        <v>2358</v>
      </c>
      <c r="F2542" s="24"/>
      <c r="G2542" s="22"/>
      <c r="H2542" s="108"/>
      <c r="I2542" s="109"/>
      <c r="J2542" s="8"/>
      <c r="K2542" s="39"/>
      <c r="L2542" s="39"/>
      <c r="M2542" s="117"/>
      <c r="N2542" s="160"/>
      <c r="O2542" s="32"/>
      <c r="P2542" s="391"/>
      <c r="Q2542" s="322"/>
      <c r="R2542" s="322"/>
      <c r="U2542" s="386"/>
      <c r="V2542" s="260"/>
      <c r="W2542" s="1136"/>
    </row>
    <row r="2543" spans="2:23" s="7" customFormat="1" ht="18" customHeight="1">
      <c r="B2543" s="12" t="s">
        <v>300</v>
      </c>
      <c r="C2543" s="6" t="s">
        <v>5748</v>
      </c>
      <c r="D2543" s="14" t="s">
        <v>3047</v>
      </c>
      <c r="E2543" s="82" t="s">
        <v>4455</v>
      </c>
      <c r="F2543" s="24"/>
      <c r="G2543" s="22" t="s">
        <v>5318</v>
      </c>
      <c r="H2543" s="108"/>
      <c r="I2543" s="109"/>
      <c r="J2543" s="8">
        <v>2</v>
      </c>
      <c r="K2543" s="39">
        <f>ROUNDUP(S2543/0.6/120,2)</f>
        <v>2.1599999999999997</v>
      </c>
      <c r="L2543" s="39">
        <f t="shared" si="42"/>
        <v>4.3199999999999994</v>
      </c>
      <c r="M2543" s="117" t="s">
        <v>323</v>
      </c>
      <c r="N2543" s="160"/>
      <c r="O2543" s="32"/>
      <c r="P2543" s="391" t="e">
        <f t="shared" si="43"/>
        <v>#N/A</v>
      </c>
      <c r="Q2543" s="322">
        <v>1.85</v>
      </c>
      <c r="R2543" s="322">
        <f t="shared" si="44"/>
        <v>3.7</v>
      </c>
      <c r="S2543" s="7">
        <v>155</v>
      </c>
      <c r="T2543" s="7">
        <f t="shared" si="45"/>
        <v>310</v>
      </c>
      <c r="U2543" s="386"/>
      <c r="V2543" s="260">
        <v>120</v>
      </c>
      <c r="W2543" s="1136">
        <f t="shared" si="46"/>
        <v>0.40200617283950613</v>
      </c>
    </row>
    <row r="2544" spans="2:23" s="7" customFormat="1" ht="18" customHeight="1">
      <c r="B2544" s="12" t="s">
        <v>300</v>
      </c>
      <c r="C2544" s="6" t="s">
        <v>5748</v>
      </c>
      <c r="D2544" s="14" t="s">
        <v>3047</v>
      </c>
      <c r="E2544" s="82" t="s">
        <v>5792</v>
      </c>
      <c r="F2544" s="24"/>
      <c r="G2544" s="22" t="s">
        <v>5318</v>
      </c>
      <c r="H2544" s="108"/>
      <c r="I2544" s="109"/>
      <c r="J2544" s="8">
        <v>2</v>
      </c>
      <c r="K2544" s="39">
        <f>ROUNDUP(S2544/0.6/120,2)</f>
        <v>2.3699999999999997</v>
      </c>
      <c r="L2544" s="39">
        <f t="shared" si="42"/>
        <v>4.7399999999999993</v>
      </c>
      <c r="M2544" s="117" t="s">
        <v>323</v>
      </c>
      <c r="N2544" s="160"/>
      <c r="O2544" s="32"/>
      <c r="P2544" s="391" t="e">
        <f t="shared" si="43"/>
        <v>#N/A</v>
      </c>
      <c r="Q2544" s="322">
        <v>2.0299999999999998</v>
      </c>
      <c r="R2544" s="322">
        <f t="shared" si="44"/>
        <v>4.0599999999999996</v>
      </c>
      <c r="S2544" s="7">
        <v>170</v>
      </c>
      <c r="T2544" s="7">
        <f t="shared" si="45"/>
        <v>340</v>
      </c>
      <c r="U2544" s="386"/>
      <c r="V2544" s="260">
        <v>120</v>
      </c>
      <c r="W2544" s="1136">
        <f t="shared" si="46"/>
        <v>0.40225035161744016</v>
      </c>
    </row>
    <row r="2545" spans="2:23" s="7" customFormat="1" ht="18" customHeight="1">
      <c r="B2545" s="12"/>
      <c r="C2545" s="6" t="s">
        <v>5748</v>
      </c>
      <c r="D2545" s="14" t="s">
        <v>3047</v>
      </c>
      <c r="E2545" s="19" t="s">
        <v>5784</v>
      </c>
      <c r="F2545" s="24"/>
      <c r="G2545" s="22"/>
      <c r="H2545" s="108"/>
      <c r="I2545" s="109"/>
      <c r="J2545" s="8"/>
      <c r="K2545" s="39"/>
      <c r="L2545" s="39"/>
      <c r="M2545" s="117"/>
      <c r="N2545" s="160"/>
      <c r="O2545" s="32"/>
      <c r="P2545" s="391"/>
      <c r="Q2545" s="322"/>
      <c r="R2545" s="322"/>
      <c r="U2545" s="386"/>
      <c r="V2545" s="260"/>
      <c r="W2545" s="1136"/>
    </row>
    <row r="2546" spans="2:23" s="7" customFormat="1" ht="18" customHeight="1">
      <c r="B2546" s="12" t="s">
        <v>300</v>
      </c>
      <c r="C2546" s="6" t="s">
        <v>5748</v>
      </c>
      <c r="D2546" s="14" t="s">
        <v>3047</v>
      </c>
      <c r="E2546" s="82" t="s">
        <v>5762</v>
      </c>
      <c r="F2546" s="24"/>
      <c r="G2546" s="22" t="s">
        <v>5318</v>
      </c>
      <c r="H2546" s="108"/>
      <c r="I2546" s="109"/>
      <c r="J2546" s="8">
        <v>2</v>
      </c>
      <c r="K2546" s="39">
        <f>ROUNDUP(S2546/0.6/120,2)</f>
        <v>0</v>
      </c>
      <c r="L2546" s="39">
        <f t="shared" ref="L2546:L2566" si="47">K2546*J2546</f>
        <v>0</v>
      </c>
      <c r="M2546" s="117" t="s">
        <v>323</v>
      </c>
      <c r="N2546" s="160"/>
      <c r="O2546" s="32"/>
      <c r="P2546" s="391" t="e">
        <f t="shared" ref="P2546:P2565" si="48">ROUNDUP(S2546/V2546/VLOOKUP(B2546,$C$2:$F$6,3,FALSE),2)</f>
        <v>#N/A</v>
      </c>
      <c r="Q2546" s="322"/>
      <c r="R2546" s="322">
        <f t="shared" ref="R2546:R2566" si="49">Q2546*J2546</f>
        <v>0</v>
      </c>
      <c r="T2546" s="7">
        <f t="shared" ref="T2546:T2566" si="50">S2546*J2546</f>
        <v>0</v>
      </c>
      <c r="U2546" s="386"/>
      <c r="V2546" s="260">
        <v>120</v>
      </c>
      <c r="W2546" s="1136" t="e">
        <f t="shared" ref="W2546:W2566" si="51">(((K2546*V2546)-S2546)/(K2546*V2546))</f>
        <v>#DIV/0!</v>
      </c>
    </row>
    <row r="2547" spans="2:23" s="7" customFormat="1" ht="18" customHeight="1">
      <c r="B2547" s="12"/>
      <c r="C2547" s="6" t="s">
        <v>5748</v>
      </c>
      <c r="D2547" s="14" t="s">
        <v>3047</v>
      </c>
      <c r="E2547" s="19" t="s">
        <v>2358</v>
      </c>
      <c r="F2547" s="24"/>
      <c r="G2547" s="22"/>
      <c r="H2547" s="60"/>
      <c r="I2547" s="61"/>
      <c r="J2547" s="60"/>
      <c r="K2547" s="16"/>
      <c r="L2547" s="139"/>
      <c r="M2547" s="33"/>
      <c r="N2547" s="33"/>
      <c r="O2547" s="32"/>
      <c r="P2547" s="6" t="s">
        <v>3</v>
      </c>
      <c r="Q2547" s="358"/>
      <c r="S2547" s="1434"/>
      <c r="U2547" s="120"/>
      <c r="V2547" s="260">
        <v>120</v>
      </c>
    </row>
    <row r="2548" spans="2:23" s="7" customFormat="1" ht="18" customHeight="1">
      <c r="B2548" s="12" t="s">
        <v>300</v>
      </c>
      <c r="C2548" s="6" t="s">
        <v>5748</v>
      </c>
      <c r="D2548" s="14" t="s">
        <v>3047</v>
      </c>
      <c r="E2548" s="82" t="s">
        <v>5763</v>
      </c>
      <c r="F2548" s="24"/>
      <c r="G2548" s="22" t="s">
        <v>5318</v>
      </c>
      <c r="H2548" s="108"/>
      <c r="I2548" s="109"/>
      <c r="J2548" s="8">
        <v>2</v>
      </c>
      <c r="K2548" s="39">
        <f>ROUNDUP(S2548/0.6/120,2)</f>
        <v>2.59</v>
      </c>
      <c r="L2548" s="39">
        <f t="shared" si="47"/>
        <v>5.18</v>
      </c>
      <c r="M2548" s="117" t="s">
        <v>323</v>
      </c>
      <c r="N2548" s="160"/>
      <c r="O2548" s="32"/>
      <c r="P2548" s="391" t="e">
        <f t="shared" si="48"/>
        <v>#N/A</v>
      </c>
      <c r="Q2548" s="322">
        <v>2.2200000000000002</v>
      </c>
      <c r="R2548" s="322">
        <f t="shared" si="49"/>
        <v>4.4400000000000004</v>
      </c>
      <c r="S2548" s="7">
        <v>186</v>
      </c>
      <c r="T2548" s="7">
        <f t="shared" si="50"/>
        <v>372</v>
      </c>
      <c r="U2548" s="386"/>
      <c r="V2548" s="260">
        <v>120</v>
      </c>
      <c r="W2548" s="1136">
        <f t="shared" si="51"/>
        <v>0.40154440154440146</v>
      </c>
    </row>
    <row r="2549" spans="2:23" s="7" customFormat="1" ht="18" customHeight="1">
      <c r="B2549" s="12" t="s">
        <v>300</v>
      </c>
      <c r="C2549" s="6" t="s">
        <v>5748</v>
      </c>
      <c r="D2549" s="14" t="s">
        <v>3047</v>
      </c>
      <c r="E2549" s="82" t="s">
        <v>5764</v>
      </c>
      <c r="F2549" s="24"/>
      <c r="G2549" s="22" t="s">
        <v>5318</v>
      </c>
      <c r="H2549" s="108"/>
      <c r="I2549" s="109"/>
      <c r="J2549" s="8">
        <v>2</v>
      </c>
      <c r="K2549" s="39">
        <f>ROUNDUP(S2549/0.6/120,2)</f>
        <v>1.98</v>
      </c>
      <c r="L2549" s="39">
        <f t="shared" si="47"/>
        <v>3.96</v>
      </c>
      <c r="M2549" s="117" t="s">
        <v>323</v>
      </c>
      <c r="N2549" s="160"/>
      <c r="O2549" s="32"/>
      <c r="P2549" s="391" t="e">
        <f t="shared" si="48"/>
        <v>#N/A</v>
      </c>
      <c r="Q2549" s="322">
        <v>1.7</v>
      </c>
      <c r="R2549" s="322">
        <f t="shared" si="49"/>
        <v>3.4</v>
      </c>
      <c r="S2549" s="7">
        <v>142</v>
      </c>
      <c r="T2549" s="7">
        <f t="shared" si="50"/>
        <v>284</v>
      </c>
      <c r="U2549" s="386"/>
      <c r="V2549" s="260">
        <v>120</v>
      </c>
      <c r="W2549" s="1136">
        <f t="shared" si="51"/>
        <v>0.40235690235690236</v>
      </c>
    </row>
    <row r="2550" spans="2:23" s="7" customFormat="1" ht="18" customHeight="1">
      <c r="B2550" s="12"/>
      <c r="C2550" s="6" t="s">
        <v>5748</v>
      </c>
      <c r="D2550" s="14" t="s">
        <v>3047</v>
      </c>
      <c r="E2550" s="19" t="s">
        <v>5777</v>
      </c>
      <c r="F2550" s="24"/>
      <c r="G2550" s="22"/>
      <c r="H2550" s="60"/>
      <c r="I2550" s="61"/>
      <c r="J2550" s="60"/>
      <c r="K2550" s="16"/>
      <c r="L2550" s="139"/>
      <c r="M2550" s="33"/>
      <c r="N2550" s="33"/>
      <c r="O2550" s="32"/>
      <c r="P2550" s="6" t="s">
        <v>3</v>
      </c>
      <c r="Q2550" s="358"/>
      <c r="S2550" s="1434"/>
      <c r="U2550" s="120"/>
      <c r="V2550" s="260">
        <v>120</v>
      </c>
    </row>
    <row r="2551" spans="2:23" s="7" customFormat="1" ht="18" customHeight="1">
      <c r="B2551" s="12" t="s">
        <v>300</v>
      </c>
      <c r="C2551" s="6" t="s">
        <v>5748</v>
      </c>
      <c r="D2551" s="14" t="s">
        <v>3047</v>
      </c>
      <c r="E2551" s="82" t="s">
        <v>5765</v>
      </c>
      <c r="F2551" s="24"/>
      <c r="G2551" s="22" t="s">
        <v>5318</v>
      </c>
      <c r="H2551" s="108"/>
      <c r="I2551" s="109"/>
      <c r="J2551" s="8">
        <v>2</v>
      </c>
      <c r="K2551" s="39">
        <f>ROUNDUP(S2551/0.6/120,2)</f>
        <v>2.6199999999999997</v>
      </c>
      <c r="L2551" s="39">
        <f t="shared" si="47"/>
        <v>5.2399999999999993</v>
      </c>
      <c r="M2551" s="117" t="s">
        <v>323</v>
      </c>
      <c r="N2551" s="160"/>
      <c r="O2551" s="32"/>
      <c r="P2551" s="391" t="e">
        <f t="shared" si="48"/>
        <v>#N/A</v>
      </c>
      <c r="Q2551" s="322">
        <v>2.2400000000000002</v>
      </c>
      <c r="R2551" s="322">
        <f t="shared" si="49"/>
        <v>4.4800000000000004</v>
      </c>
      <c r="S2551" s="7">
        <v>188</v>
      </c>
      <c r="T2551" s="7">
        <f t="shared" si="50"/>
        <v>376</v>
      </c>
      <c r="U2551" s="386"/>
      <c r="V2551" s="260">
        <v>120</v>
      </c>
      <c r="W2551" s="1136">
        <f t="shared" si="51"/>
        <v>0.40203562340966914</v>
      </c>
    </row>
    <row r="2552" spans="2:23" s="7" customFormat="1" ht="18" customHeight="1">
      <c r="B2552" s="12"/>
      <c r="C2552" s="6" t="s">
        <v>5748</v>
      </c>
      <c r="D2552" s="14" t="s">
        <v>3047</v>
      </c>
      <c r="E2552" s="19" t="s">
        <v>5696</v>
      </c>
      <c r="F2552" s="24"/>
      <c r="G2552" s="22"/>
      <c r="H2552" s="108"/>
      <c r="I2552" s="109"/>
      <c r="J2552" s="8"/>
      <c r="K2552" s="39"/>
      <c r="L2552" s="39"/>
      <c r="M2552" s="117"/>
      <c r="N2552" s="33"/>
      <c r="O2552" s="32"/>
      <c r="P2552" s="391"/>
      <c r="Q2552" s="322"/>
      <c r="R2552" s="322"/>
      <c r="U2552" s="386"/>
      <c r="V2552" s="260"/>
      <c r="W2552" s="1136"/>
    </row>
    <row r="2553" spans="2:23" s="7" customFormat="1" ht="18" customHeight="1">
      <c r="B2553" s="12" t="s">
        <v>300</v>
      </c>
      <c r="C2553" s="6" t="s">
        <v>5748</v>
      </c>
      <c r="D2553" s="14" t="s">
        <v>3047</v>
      </c>
      <c r="E2553" s="82" t="s">
        <v>5681</v>
      </c>
      <c r="F2553" s="24"/>
      <c r="G2553" s="22" t="s">
        <v>5318</v>
      </c>
      <c r="H2553" s="108"/>
      <c r="I2553" s="109"/>
      <c r="J2553" s="8">
        <v>2</v>
      </c>
      <c r="K2553" s="39">
        <f>ROUNDUP(S2553/0.6/120,2)</f>
        <v>1.17</v>
      </c>
      <c r="L2553" s="39">
        <f>K2553*J2553</f>
        <v>2.34</v>
      </c>
      <c r="M2553" s="117" t="s">
        <v>323</v>
      </c>
      <c r="N2553" s="160"/>
      <c r="O2553" s="32"/>
      <c r="P2553" s="391" t="e">
        <f>ROUNDUP(S2553/V2553/VLOOKUP(B2553,$C$2:$F$6,3,FALSE),2)</f>
        <v>#N/A</v>
      </c>
      <c r="Q2553" s="322">
        <v>1</v>
      </c>
      <c r="R2553" s="322">
        <f>Q2553*J2553</f>
        <v>2</v>
      </c>
      <c r="S2553" s="7">
        <v>84</v>
      </c>
      <c r="T2553" s="7">
        <f>S2553*J2553</f>
        <v>168</v>
      </c>
      <c r="U2553" s="386"/>
      <c r="V2553" s="260">
        <v>120</v>
      </c>
      <c r="W2553" s="1136">
        <f>(((K2553*V2553)-S2553)/(K2553*V2553))</f>
        <v>0.40170940170940161</v>
      </c>
    </row>
    <row r="2554" spans="2:23" s="7" customFormat="1" ht="18" customHeight="1">
      <c r="B2554" s="12"/>
      <c r="C2554" s="6" t="s">
        <v>5748</v>
      </c>
      <c r="D2554" s="14" t="s">
        <v>3047</v>
      </c>
      <c r="E2554" s="19" t="s">
        <v>2358</v>
      </c>
      <c r="F2554" s="24"/>
      <c r="G2554" s="22"/>
      <c r="H2554" s="60"/>
      <c r="I2554" s="61"/>
      <c r="J2554" s="60"/>
      <c r="K2554" s="16"/>
      <c r="L2554" s="139"/>
      <c r="M2554" s="33"/>
      <c r="N2554" s="33"/>
      <c r="O2554" s="32"/>
      <c r="P2554" s="6" t="s">
        <v>3</v>
      </c>
      <c r="Q2554" s="358"/>
      <c r="S2554" s="1434"/>
      <c r="U2554" s="120"/>
      <c r="V2554" s="260">
        <v>120</v>
      </c>
    </row>
    <row r="2555" spans="2:23" s="7" customFormat="1" ht="18" customHeight="1">
      <c r="B2555" s="12" t="s">
        <v>300</v>
      </c>
      <c r="C2555" s="6" t="s">
        <v>5748</v>
      </c>
      <c r="D2555" s="14" t="s">
        <v>3047</v>
      </c>
      <c r="E2555" s="82" t="s">
        <v>5766</v>
      </c>
      <c r="F2555" s="24"/>
      <c r="G2555" s="22" t="s">
        <v>5318</v>
      </c>
      <c r="H2555" s="108"/>
      <c r="I2555" s="109"/>
      <c r="J2555" s="8">
        <v>2</v>
      </c>
      <c r="K2555" s="39">
        <f>ROUNDUP(S2555/0.6/120,2)</f>
        <v>0.91</v>
      </c>
      <c r="L2555" s="39">
        <f t="shared" si="47"/>
        <v>1.82</v>
      </c>
      <c r="M2555" s="117" t="s">
        <v>323</v>
      </c>
      <c r="N2555" s="160"/>
      <c r="O2555" s="32"/>
      <c r="P2555" s="391" t="e">
        <f t="shared" si="48"/>
        <v>#N/A</v>
      </c>
      <c r="Q2555" s="322">
        <v>0.78</v>
      </c>
      <c r="R2555" s="322">
        <f t="shared" si="49"/>
        <v>1.56</v>
      </c>
      <c r="S2555" s="7">
        <v>65</v>
      </c>
      <c r="T2555" s="7">
        <f t="shared" si="50"/>
        <v>130</v>
      </c>
      <c r="U2555" s="386"/>
      <c r="V2555" s="260">
        <v>120</v>
      </c>
      <c r="W2555" s="1136">
        <f t="shared" si="51"/>
        <v>0.40476190476190477</v>
      </c>
    </row>
    <row r="2556" spans="2:23" s="7" customFormat="1" ht="18" customHeight="1">
      <c r="B2556" s="12"/>
      <c r="C2556" s="6" t="s">
        <v>5748</v>
      </c>
      <c r="D2556" s="14" t="s">
        <v>3047</v>
      </c>
      <c r="E2556" s="19" t="s">
        <v>5778</v>
      </c>
      <c r="F2556" s="24"/>
      <c r="G2556" s="22"/>
      <c r="H2556" s="108"/>
      <c r="I2556" s="109"/>
      <c r="J2556" s="8"/>
      <c r="K2556" s="39"/>
      <c r="L2556" s="39"/>
      <c r="M2556" s="117"/>
      <c r="N2556" s="33"/>
      <c r="O2556" s="32"/>
      <c r="P2556" s="391"/>
      <c r="Q2556" s="322"/>
      <c r="R2556" s="322"/>
      <c r="U2556" s="386"/>
      <c r="V2556" s="260"/>
      <c r="W2556" s="1136"/>
    </row>
    <row r="2557" spans="2:23" s="7" customFormat="1" ht="18" customHeight="1">
      <c r="B2557" s="12" t="s">
        <v>300</v>
      </c>
      <c r="C2557" s="6" t="s">
        <v>5748</v>
      </c>
      <c r="D2557" s="14" t="s">
        <v>3047</v>
      </c>
      <c r="E2557" s="82" t="s">
        <v>5767</v>
      </c>
      <c r="F2557" s="24"/>
      <c r="G2557" s="22" t="s">
        <v>5772</v>
      </c>
      <c r="H2557" s="108"/>
      <c r="I2557" s="109"/>
      <c r="J2557" s="8">
        <v>2</v>
      </c>
      <c r="K2557" s="39">
        <f>ROUNDUP(S2557/0.6/120,2)</f>
        <v>1.24</v>
      </c>
      <c r="L2557" s="39">
        <f t="shared" si="47"/>
        <v>2.48</v>
      </c>
      <c r="M2557" s="117" t="s">
        <v>323</v>
      </c>
      <c r="N2557" s="160"/>
      <c r="O2557" s="32"/>
      <c r="P2557" s="391" t="e">
        <f t="shared" si="48"/>
        <v>#N/A</v>
      </c>
      <c r="Q2557" s="322">
        <v>1.06</v>
      </c>
      <c r="R2557" s="322">
        <f t="shared" si="49"/>
        <v>2.12</v>
      </c>
      <c r="S2557" s="7">
        <v>89</v>
      </c>
      <c r="T2557" s="7">
        <f t="shared" si="50"/>
        <v>178</v>
      </c>
      <c r="U2557" s="386"/>
      <c r="V2557" s="260">
        <v>120</v>
      </c>
      <c r="W2557" s="1136">
        <f t="shared" si="51"/>
        <v>0.40188172043010756</v>
      </c>
    </row>
    <row r="2558" spans="2:23" s="7" customFormat="1" ht="18" customHeight="1">
      <c r="B2558" s="12"/>
      <c r="C2558" s="6" t="s">
        <v>5748</v>
      </c>
      <c r="D2558" s="14" t="s">
        <v>3047</v>
      </c>
      <c r="E2558" s="19" t="s">
        <v>5779</v>
      </c>
      <c r="F2558" s="24"/>
      <c r="G2558" s="22"/>
      <c r="H2558" s="108"/>
      <c r="I2558" s="109"/>
      <c r="J2558" s="8"/>
      <c r="K2558" s="39"/>
      <c r="L2558" s="39"/>
      <c r="M2558" s="117"/>
      <c r="N2558" s="33"/>
      <c r="O2558" s="32"/>
      <c r="P2558" s="391"/>
      <c r="Q2558" s="322"/>
      <c r="R2558" s="322"/>
      <c r="U2558" s="386"/>
      <c r="V2558" s="260"/>
      <c r="W2558" s="1136"/>
    </row>
    <row r="2559" spans="2:23" s="7" customFormat="1" ht="18" customHeight="1">
      <c r="B2559" s="12" t="s">
        <v>300</v>
      </c>
      <c r="C2559" s="6" t="s">
        <v>5748</v>
      </c>
      <c r="D2559" s="14" t="s">
        <v>3047</v>
      </c>
      <c r="E2559" s="82" t="s">
        <v>5788</v>
      </c>
      <c r="F2559" s="24"/>
      <c r="G2559" s="22" t="s">
        <v>5773</v>
      </c>
      <c r="H2559" s="108"/>
      <c r="I2559" s="109"/>
      <c r="J2559" s="8">
        <v>2</v>
      </c>
      <c r="K2559" s="39">
        <f>ROUNDUP(S2559/0.6/120,2)</f>
        <v>3.4099999999999997</v>
      </c>
      <c r="L2559" s="39">
        <f t="shared" si="47"/>
        <v>6.8199999999999994</v>
      </c>
      <c r="M2559" s="117" t="s">
        <v>323</v>
      </c>
      <c r="N2559" s="160"/>
      <c r="O2559" s="32"/>
      <c r="P2559" s="391" t="e">
        <f t="shared" si="48"/>
        <v>#N/A</v>
      </c>
      <c r="Q2559" s="322">
        <v>2.92</v>
      </c>
      <c r="R2559" s="322">
        <f t="shared" si="49"/>
        <v>5.84</v>
      </c>
      <c r="S2559" s="7">
        <v>245</v>
      </c>
      <c r="T2559" s="7">
        <f t="shared" si="50"/>
        <v>490</v>
      </c>
      <c r="U2559" s="386"/>
      <c r="V2559" s="260">
        <v>120</v>
      </c>
      <c r="W2559" s="1136">
        <f t="shared" si="51"/>
        <v>0.40127077223851415</v>
      </c>
    </row>
    <row r="2560" spans="2:23" s="7" customFormat="1" ht="18" customHeight="1">
      <c r="B2560" s="12"/>
      <c r="C2560" s="6" t="s">
        <v>5748</v>
      </c>
      <c r="D2560" s="14" t="s">
        <v>3047</v>
      </c>
      <c r="E2560" s="19" t="s">
        <v>5780</v>
      </c>
      <c r="F2560" s="24"/>
      <c r="G2560" s="22"/>
      <c r="H2560" s="60"/>
      <c r="I2560" s="61"/>
      <c r="J2560" s="60"/>
      <c r="K2560" s="16"/>
      <c r="L2560" s="139"/>
      <c r="M2560" s="33"/>
      <c r="N2560" s="33"/>
      <c r="O2560" s="32"/>
      <c r="P2560" s="6" t="s">
        <v>3</v>
      </c>
      <c r="Q2560" s="358"/>
      <c r="S2560" s="1434"/>
      <c r="U2560" s="120"/>
      <c r="V2560" s="260">
        <v>120</v>
      </c>
    </row>
    <row r="2561" spans="1:23" s="7" customFormat="1" ht="18" customHeight="1">
      <c r="B2561" s="12" t="s">
        <v>300</v>
      </c>
      <c r="C2561" s="6" t="s">
        <v>5748</v>
      </c>
      <c r="D2561" s="14" t="s">
        <v>3047</v>
      </c>
      <c r="E2561" s="82" t="s">
        <v>5768</v>
      </c>
      <c r="F2561" s="24"/>
      <c r="G2561" s="22" t="s">
        <v>5774</v>
      </c>
      <c r="H2561" s="108"/>
      <c r="I2561" s="109"/>
      <c r="J2561" s="8">
        <v>2</v>
      </c>
      <c r="K2561" s="39">
        <f>ROUNDUP(S2561/0.6/120,2)</f>
        <v>4.71</v>
      </c>
      <c r="L2561" s="39">
        <f t="shared" si="47"/>
        <v>9.42</v>
      </c>
      <c r="M2561" s="117" t="s">
        <v>323</v>
      </c>
      <c r="N2561" s="160"/>
      <c r="O2561" s="32"/>
      <c r="P2561" s="391" t="e">
        <f t="shared" si="48"/>
        <v>#N/A</v>
      </c>
      <c r="Q2561" s="322">
        <v>4.04</v>
      </c>
      <c r="R2561" s="322">
        <f t="shared" si="49"/>
        <v>8.08</v>
      </c>
      <c r="S2561" s="7">
        <v>339</v>
      </c>
      <c r="T2561" s="7">
        <f t="shared" si="50"/>
        <v>678</v>
      </c>
      <c r="U2561" s="386"/>
      <c r="V2561" s="260">
        <v>120</v>
      </c>
      <c r="W2561" s="1136">
        <f t="shared" si="51"/>
        <v>0.4002123142250531</v>
      </c>
    </row>
    <row r="2562" spans="1:23" s="7" customFormat="1" ht="18" customHeight="1">
      <c r="B2562" s="12"/>
      <c r="C2562" s="6" t="s">
        <v>5748</v>
      </c>
      <c r="D2562" s="14" t="s">
        <v>3047</v>
      </c>
      <c r="E2562" s="19" t="s">
        <v>5782</v>
      </c>
      <c r="F2562" s="24"/>
      <c r="G2562" s="22"/>
      <c r="H2562" s="108"/>
      <c r="I2562" s="109"/>
      <c r="J2562" s="8"/>
      <c r="K2562" s="39"/>
      <c r="L2562" s="39"/>
      <c r="M2562" s="117"/>
      <c r="N2562" s="33"/>
      <c r="O2562" s="32"/>
      <c r="P2562" s="391"/>
      <c r="Q2562" s="322"/>
      <c r="R2562" s="322"/>
      <c r="U2562" s="386"/>
      <c r="V2562" s="260"/>
      <c r="W2562" s="1136"/>
    </row>
    <row r="2563" spans="1:23" s="7" customFormat="1" ht="18" customHeight="1">
      <c r="B2563" s="12" t="s">
        <v>300</v>
      </c>
      <c r="C2563" s="6" t="s">
        <v>5748</v>
      </c>
      <c r="D2563" s="14" t="s">
        <v>3047</v>
      </c>
      <c r="E2563" s="82" t="s">
        <v>5769</v>
      </c>
      <c r="F2563" s="24"/>
      <c r="G2563" s="22" t="s">
        <v>5781</v>
      </c>
      <c r="H2563" s="108"/>
      <c r="I2563" s="109"/>
      <c r="J2563" s="8">
        <v>2</v>
      </c>
      <c r="K2563" s="39">
        <f>ROUNDUP(S2563/0.6/120,2)</f>
        <v>3.44</v>
      </c>
      <c r="L2563" s="39">
        <f t="shared" si="47"/>
        <v>6.88</v>
      </c>
      <c r="M2563" s="117" t="s">
        <v>323</v>
      </c>
      <c r="N2563" s="160"/>
      <c r="O2563" s="32"/>
      <c r="P2563" s="391" t="e">
        <f t="shared" si="48"/>
        <v>#N/A</v>
      </c>
      <c r="Q2563" s="322">
        <v>2.95</v>
      </c>
      <c r="R2563" s="322">
        <f t="shared" si="49"/>
        <v>5.9</v>
      </c>
      <c r="S2563" s="7">
        <v>247</v>
      </c>
      <c r="T2563" s="7">
        <f t="shared" si="50"/>
        <v>494</v>
      </c>
      <c r="U2563" s="386"/>
      <c r="V2563" s="260">
        <v>120</v>
      </c>
      <c r="W2563" s="1136">
        <f t="shared" si="51"/>
        <v>0.40164728682170542</v>
      </c>
    </row>
    <row r="2564" spans="1:23" s="7" customFormat="1" ht="18" customHeight="1">
      <c r="B2564" s="12"/>
      <c r="C2564" s="6" t="s">
        <v>5748</v>
      </c>
      <c r="D2564" s="14" t="s">
        <v>3047</v>
      </c>
      <c r="E2564" s="19" t="s">
        <v>5805</v>
      </c>
      <c r="F2564" s="24"/>
      <c r="G2564" s="22"/>
      <c r="H2564" s="108"/>
      <c r="I2564" s="109"/>
      <c r="J2564" s="8"/>
      <c r="K2564" s="39"/>
      <c r="L2564" s="39"/>
      <c r="M2564" s="117"/>
      <c r="N2564" s="160"/>
      <c r="O2564" s="32"/>
      <c r="P2564" s="391"/>
      <c r="Q2564" s="322"/>
      <c r="R2564" s="322"/>
      <c r="U2564" s="386"/>
      <c r="V2564" s="260"/>
      <c r="W2564" s="1136"/>
    </row>
    <row r="2565" spans="1:23" s="7" customFormat="1" ht="18" customHeight="1">
      <c r="B2565" s="12" t="s">
        <v>300</v>
      </c>
      <c r="C2565" s="6" t="s">
        <v>5748</v>
      </c>
      <c r="D2565" s="14" t="s">
        <v>3047</v>
      </c>
      <c r="E2565" s="82" t="s">
        <v>5770</v>
      </c>
      <c r="F2565" s="24"/>
      <c r="G2565" s="22" t="s">
        <v>5775</v>
      </c>
      <c r="H2565" s="108"/>
      <c r="I2565" s="109"/>
      <c r="J2565" s="8">
        <v>2</v>
      </c>
      <c r="K2565" s="39">
        <f>ROUNDUP(S2565/0.6/120,2)</f>
        <v>0.96</v>
      </c>
      <c r="L2565" s="39">
        <f t="shared" si="47"/>
        <v>1.92</v>
      </c>
      <c r="M2565" s="117" t="s">
        <v>323</v>
      </c>
      <c r="N2565" s="160"/>
      <c r="O2565" s="32"/>
      <c r="P2565" s="391" t="e">
        <f t="shared" si="48"/>
        <v>#N/A</v>
      </c>
      <c r="Q2565" s="322">
        <v>0.83</v>
      </c>
      <c r="R2565" s="322">
        <f t="shared" si="49"/>
        <v>1.66</v>
      </c>
      <c r="S2565" s="7">
        <v>69</v>
      </c>
      <c r="T2565" s="7">
        <f t="shared" si="50"/>
        <v>138</v>
      </c>
      <c r="U2565" s="386"/>
      <c r="V2565" s="260">
        <v>120</v>
      </c>
      <c r="W2565" s="1136">
        <f t="shared" si="51"/>
        <v>0.40104166666666663</v>
      </c>
    </row>
    <row r="2566" spans="1:23" s="7" customFormat="1" ht="18" customHeight="1">
      <c r="B2566" s="12"/>
      <c r="C2566" s="6" t="s">
        <v>5748</v>
      </c>
      <c r="D2566" s="14" t="s">
        <v>3047</v>
      </c>
      <c r="E2566" s="49"/>
      <c r="F2566" s="102"/>
      <c r="G2566" s="22" t="s">
        <v>316</v>
      </c>
      <c r="H2566" s="8"/>
      <c r="I2566" s="35"/>
      <c r="J2566" s="38">
        <v>1</v>
      </c>
      <c r="K2566" s="39">
        <v>20</v>
      </c>
      <c r="L2566" s="39">
        <f t="shared" si="47"/>
        <v>20</v>
      </c>
      <c r="M2566" s="91"/>
      <c r="N2566" s="33"/>
      <c r="O2566" s="32"/>
      <c r="P2566" s="6" t="s">
        <v>3</v>
      </c>
      <c r="Q2566" s="39">
        <v>20</v>
      </c>
      <c r="R2566" s="322">
        <f t="shared" si="49"/>
        <v>20</v>
      </c>
      <c r="S2566" s="745">
        <f>900+900</f>
        <v>1800</v>
      </c>
      <c r="T2566" s="745">
        <f t="shared" si="50"/>
        <v>1800</v>
      </c>
      <c r="U2566" s="21"/>
      <c r="V2566" s="260">
        <v>120</v>
      </c>
      <c r="W2566" s="1136">
        <f t="shared" si="51"/>
        <v>0.25</v>
      </c>
    </row>
    <row r="2573" spans="1:23">
      <c r="A2573" s="40" t="s">
        <v>5764</v>
      </c>
      <c r="B2573" s="40" t="s">
        <v>5318</v>
      </c>
      <c r="C2573" s="357">
        <v>15</v>
      </c>
    </row>
    <row r="2574" spans="1:23">
      <c r="A2574" s="40" t="s">
        <v>5766</v>
      </c>
      <c r="B2574" s="40" t="s">
        <v>5318</v>
      </c>
      <c r="C2574" s="357">
        <v>15</v>
      </c>
    </row>
    <row r="2575" spans="1:23">
      <c r="A2575" s="40" t="s">
        <v>5825</v>
      </c>
      <c r="B2575" s="40" t="s">
        <v>5318</v>
      </c>
      <c r="C2575" s="357">
        <v>15</v>
      </c>
    </row>
    <row r="2576" spans="1:23">
      <c r="A2576" s="40"/>
      <c r="B2576" s="40"/>
      <c r="C2576" s="357"/>
    </row>
    <row r="2577" spans="1:8">
      <c r="A2577" s="40" t="s">
        <v>5764</v>
      </c>
      <c r="B2577" s="40" t="s">
        <v>5318</v>
      </c>
      <c r="C2577" s="357">
        <v>5</v>
      </c>
    </row>
    <row r="2578" spans="1:8">
      <c r="A2578" s="40" t="s">
        <v>5766</v>
      </c>
      <c r="B2578" s="40" t="s">
        <v>5318</v>
      </c>
      <c r="C2578" s="357">
        <v>5</v>
      </c>
    </row>
    <row r="2579" spans="1:8">
      <c r="A2579" s="40" t="s">
        <v>5770</v>
      </c>
      <c r="B2579" s="40" t="s">
        <v>5775</v>
      </c>
      <c r="C2579" s="357">
        <v>10</v>
      </c>
    </row>
    <row r="2580" spans="1:8">
      <c r="A2580" s="40" t="s">
        <v>5825</v>
      </c>
      <c r="B2580" s="40" t="s">
        <v>5318</v>
      </c>
      <c r="C2580" s="357">
        <v>5</v>
      </c>
    </row>
    <row r="2581" spans="1:8">
      <c r="A2581" s="40" t="s">
        <v>5767</v>
      </c>
      <c r="B2581" s="40" t="s">
        <v>5772</v>
      </c>
      <c r="C2581" s="357">
        <v>2</v>
      </c>
    </row>
    <row r="2584" spans="1:8" ht="25.5">
      <c r="A2584" s="1145" t="s">
        <v>179</v>
      </c>
      <c r="B2584" s="1145" t="s">
        <v>99</v>
      </c>
      <c r="C2584" s="1145" t="s">
        <v>5327</v>
      </c>
      <c r="D2584" s="1405" t="s">
        <v>4535</v>
      </c>
      <c r="E2584" s="1405" t="s">
        <v>5828</v>
      </c>
      <c r="F2584" s="1145" t="s">
        <v>5499</v>
      </c>
      <c r="G2584" s="1339" t="s">
        <v>4375</v>
      </c>
      <c r="H2584" s="1526" t="s">
        <v>4376</v>
      </c>
    </row>
    <row r="2585" spans="1:8">
      <c r="A2585" s="40" t="s">
        <v>5827</v>
      </c>
      <c r="B2585" s="40" t="s">
        <v>5318</v>
      </c>
      <c r="C2585" s="357">
        <v>10</v>
      </c>
      <c r="D2585" s="1113">
        <f>ROUNDUP(F2585/0.6/120,2)</f>
        <v>2.23</v>
      </c>
      <c r="E2585" s="360" t="s">
        <v>5341</v>
      </c>
      <c r="F2585" s="386">
        <v>160</v>
      </c>
      <c r="G2585" s="1527">
        <f>(D2585-(F2585/H2585))/D2585</f>
        <v>0.40209267563527656</v>
      </c>
      <c r="H2585" s="1526">
        <v>120</v>
      </c>
    </row>
    <row r="2586" spans="1:8">
      <c r="A2586" s="40" t="s">
        <v>5827</v>
      </c>
      <c r="B2586" s="40" t="s">
        <v>5328</v>
      </c>
      <c r="C2586" s="357" t="s">
        <v>5569</v>
      </c>
      <c r="D2586" s="1113">
        <f>ROUNDUP(F2586/0.6/120,2)</f>
        <v>3.34</v>
      </c>
      <c r="E2586" s="1412" t="s">
        <v>1893</v>
      </c>
      <c r="F2586" s="386">
        <f>160+80</f>
        <v>240</v>
      </c>
      <c r="G2586" s="1527">
        <f>(D2586-(F2586/H2586))/D2586</f>
        <v>0.40119760479041916</v>
      </c>
      <c r="H2586" s="1526">
        <v>120</v>
      </c>
    </row>
    <row r="2590" spans="1:8" s="352" customFormat="1" ht="12.75">
      <c r="A2590" s="1106" t="s">
        <v>10</v>
      </c>
      <c r="B2590" s="1529"/>
      <c r="C2590" s="355"/>
      <c r="D2590" s="356"/>
      <c r="E2590" s="355"/>
      <c r="F2590" s="1405" t="s">
        <v>4535</v>
      </c>
      <c r="G2590" s="1405" t="s">
        <v>5491</v>
      </c>
    </row>
    <row r="2591" spans="1:8" s="352" customFormat="1" ht="12.75">
      <c r="A2591" s="40" t="s">
        <v>190</v>
      </c>
      <c r="B2591" s="40" t="s">
        <v>5634</v>
      </c>
      <c r="C2591" s="1530">
        <v>50</v>
      </c>
      <c r="D2591" s="356">
        <v>1</v>
      </c>
      <c r="E2591" s="357">
        <f t="shared" ref="E2591:E2596" si="52">D2591*C2591</f>
        <v>50</v>
      </c>
      <c r="F2591" s="1113">
        <v>5.56</v>
      </c>
      <c r="G2591" s="1113">
        <f t="shared" ref="G2591:G2597" si="53">F2591*E2591</f>
        <v>278</v>
      </c>
    </row>
    <row r="2592" spans="1:8" s="352" customFormat="1" ht="12.75">
      <c r="A2592" s="40" t="s">
        <v>207</v>
      </c>
      <c r="B2592" s="40" t="s">
        <v>5634</v>
      </c>
      <c r="C2592" s="1530">
        <v>50</v>
      </c>
      <c r="D2592" s="356">
        <v>1</v>
      </c>
      <c r="E2592" s="357">
        <f t="shared" si="52"/>
        <v>50</v>
      </c>
      <c r="F2592" s="1113">
        <v>4.7300000000000004</v>
      </c>
      <c r="G2592" s="1113">
        <f t="shared" si="53"/>
        <v>236.50000000000003</v>
      </c>
    </row>
    <row r="2593" spans="1:7" s="352" customFormat="1" ht="12.75">
      <c r="A2593" s="40" t="s">
        <v>207</v>
      </c>
      <c r="B2593" s="40" t="s">
        <v>5634</v>
      </c>
      <c r="C2593" s="1530">
        <v>54</v>
      </c>
      <c r="D2593" s="356">
        <v>1</v>
      </c>
      <c r="E2593" s="357">
        <f t="shared" si="52"/>
        <v>54</v>
      </c>
      <c r="F2593" s="1113">
        <v>4.7300000000000004</v>
      </c>
      <c r="G2593" s="1113">
        <f t="shared" si="53"/>
        <v>255.42000000000002</v>
      </c>
    </row>
    <row r="2594" spans="1:7" s="352" customFormat="1" ht="12.75">
      <c r="A2594" s="40" t="s">
        <v>207</v>
      </c>
      <c r="B2594" s="40" t="s">
        <v>5635</v>
      </c>
      <c r="C2594" s="1530">
        <v>50</v>
      </c>
      <c r="D2594" s="356">
        <v>3</v>
      </c>
      <c r="E2594" s="357">
        <f>D2594*C2594</f>
        <v>150</v>
      </c>
      <c r="F2594" s="1113">
        <v>4.7300000000000004</v>
      </c>
      <c r="G2594" s="1113">
        <f>F2594*E2594</f>
        <v>709.50000000000011</v>
      </c>
    </row>
    <row r="2595" spans="1:7" s="352" customFormat="1" ht="12.75">
      <c r="A2595" s="40" t="s">
        <v>207</v>
      </c>
      <c r="B2595" s="40" t="s">
        <v>5644</v>
      </c>
      <c r="C2595" s="1530">
        <v>50</v>
      </c>
      <c r="D2595" s="356">
        <v>4</v>
      </c>
      <c r="E2595" s="357">
        <f t="shared" si="52"/>
        <v>200</v>
      </c>
      <c r="F2595" s="1113">
        <v>4.7300000000000004</v>
      </c>
      <c r="G2595" s="1113">
        <f t="shared" si="53"/>
        <v>946.00000000000011</v>
      </c>
    </row>
    <row r="2596" spans="1:7" s="352" customFormat="1" ht="12.75">
      <c r="A2596" s="40" t="s">
        <v>207</v>
      </c>
      <c r="B2596" s="40" t="s">
        <v>5636</v>
      </c>
      <c r="C2596" s="1530">
        <v>50</v>
      </c>
      <c r="D2596" s="356">
        <v>2</v>
      </c>
      <c r="E2596" s="357">
        <f t="shared" si="52"/>
        <v>100</v>
      </c>
      <c r="F2596" s="1113">
        <v>4.7300000000000004</v>
      </c>
      <c r="G2596" s="1113">
        <f t="shared" si="53"/>
        <v>473.00000000000006</v>
      </c>
    </row>
    <row r="2597" spans="1:7" s="352" customFormat="1" ht="12.75">
      <c r="A2597" s="40"/>
      <c r="B2597" s="40" t="s">
        <v>316</v>
      </c>
      <c r="C2597" s="357"/>
      <c r="D2597" s="1107"/>
      <c r="E2597" s="353">
        <v>1</v>
      </c>
      <c r="F2597" s="1113">
        <v>25</v>
      </c>
      <c r="G2597" s="1113">
        <f t="shared" si="53"/>
        <v>25</v>
      </c>
    </row>
    <row r="2598" spans="1:7" s="352" customFormat="1" ht="12.75">
      <c r="A2598" s="40"/>
      <c r="B2598" s="1531" t="s">
        <v>324</v>
      </c>
      <c r="C2598" s="353" t="s">
        <v>252</v>
      </c>
      <c r="D2598" s="356"/>
      <c r="E2598" s="355"/>
      <c r="F2598" s="385">
        <v>1850</v>
      </c>
      <c r="G2598" s="385">
        <v>1850</v>
      </c>
    </row>
    <row r="2599" spans="1:7" s="352" customFormat="1" ht="12.75">
      <c r="A2599" s="40"/>
      <c r="B2599" s="1531"/>
      <c r="C2599" s="353"/>
      <c r="D2599" s="356"/>
      <c r="E2599" s="355"/>
      <c r="F2599" s="1532" t="s">
        <v>5833</v>
      </c>
      <c r="G2599" s="1532">
        <f>SUM(G2591:G2598)</f>
        <v>4773.42</v>
      </c>
    </row>
    <row r="2603" spans="1:7" ht="14.25">
      <c r="A2603" s="1389" t="s">
        <v>5840</v>
      </c>
    </row>
    <row r="2604" spans="1:7" s="337" customFormat="1" ht="14.25">
      <c r="A2604" s="351" t="s">
        <v>261</v>
      </c>
      <c r="B2604" s="1395" t="s">
        <v>342</v>
      </c>
      <c r="C2604" s="1390" t="s">
        <v>5260</v>
      </c>
      <c r="D2604" s="1223" t="s">
        <v>4375</v>
      </c>
      <c r="E2604" s="1391" t="s">
        <v>4376</v>
      </c>
    </row>
    <row r="2605" spans="1:7" s="337" customFormat="1" ht="24" customHeight="1">
      <c r="A2605" s="363" t="s">
        <v>5842</v>
      </c>
      <c r="B2605" s="364">
        <v>3.88</v>
      </c>
      <c r="C2605" s="1392">
        <f>310+30</f>
        <v>340</v>
      </c>
      <c r="D2605" s="1393">
        <f>(B2605-(C2605/E2605))/B2605</f>
        <v>0.26975945017182124</v>
      </c>
      <c r="E2605" s="1394">
        <v>120</v>
      </c>
    </row>
    <row r="2606" spans="1:7" s="337" customFormat="1" ht="24" customHeight="1">
      <c r="A2606" s="363" t="s">
        <v>5841</v>
      </c>
      <c r="B2606" s="364">
        <v>5.73</v>
      </c>
      <c r="C2606" s="1392">
        <f>520+30</f>
        <v>550</v>
      </c>
      <c r="D2606" s="1393">
        <f>(B2606-(C2606/E2606))/B2606</f>
        <v>0.20011634671320547</v>
      </c>
      <c r="E2606" s="1394">
        <v>120</v>
      </c>
    </row>
    <row r="2609" spans="1:6">
      <c r="A2609" s="1338" t="s">
        <v>5844</v>
      </c>
      <c r="C2609" s="194" t="s">
        <v>5137</v>
      </c>
      <c r="D2609" s="1151" t="s">
        <v>4375</v>
      </c>
      <c r="E2609" s="1151" t="s">
        <v>4376</v>
      </c>
    </row>
    <row r="2610" spans="1:6" ht="27">
      <c r="A2610" s="1145" t="s">
        <v>5134</v>
      </c>
      <c r="B2610" s="1185" t="s">
        <v>4535</v>
      </c>
      <c r="C2610" s="1390" t="s">
        <v>5354</v>
      </c>
      <c r="D2610" s="1339"/>
      <c r="E2610" s="1339"/>
    </row>
    <row r="2611" spans="1:6" ht="25.5">
      <c r="A2611" s="1344" t="s">
        <v>5845</v>
      </c>
      <c r="B2611" s="360">
        <f>ROUNDUP(C2611/0.8/120,2)</f>
        <v>20.94</v>
      </c>
      <c r="C2611" s="158">
        <f>1610+400</f>
        <v>2010</v>
      </c>
      <c r="D2611" s="1343">
        <f>(((B2611*E2611)-C2611)/(B2611*E2611))</f>
        <v>0.20009551098376319</v>
      </c>
      <c r="E2611" s="162">
        <v>120</v>
      </c>
    </row>
    <row r="2612" spans="1:6" ht="25.5">
      <c r="A2612" s="1344" t="s">
        <v>5846</v>
      </c>
      <c r="B2612" s="360">
        <f>ROUNDUP(C2612/0.8/120,2)</f>
        <v>17.09</v>
      </c>
      <c r="C2612" s="158">
        <f>1610+30</f>
        <v>1640</v>
      </c>
      <c r="D2612" s="1341">
        <f>(((B2612*E2612)-C2612)/(B2612*E2612))</f>
        <v>0.20031207333723433</v>
      </c>
      <c r="E2612" s="1342">
        <v>120</v>
      </c>
    </row>
    <row r="2616" spans="1:6">
      <c r="A2616" s="1536" t="s">
        <v>261</v>
      </c>
      <c r="B2616" s="1537" t="s">
        <v>169</v>
      </c>
      <c r="C2616" s="1537" t="s">
        <v>36</v>
      </c>
      <c r="D2616" s="1537" t="s">
        <v>37</v>
      </c>
      <c r="E2616" s="1405" t="s">
        <v>4535</v>
      </c>
    </row>
    <row r="2617" spans="1:6">
      <c r="A2617" s="1372" t="s">
        <v>5848</v>
      </c>
      <c r="B2617" s="1538" t="s">
        <v>5849</v>
      </c>
      <c r="C2617" s="1111" t="s">
        <v>5850</v>
      </c>
      <c r="D2617" s="1539">
        <v>46</v>
      </c>
      <c r="E2617" s="1275">
        <v>17.09</v>
      </c>
    </row>
    <row r="2620" spans="1:6">
      <c r="A2620" s="1338" t="s">
        <v>5854</v>
      </c>
      <c r="C2620" s="194" t="s">
        <v>5137</v>
      </c>
      <c r="D2620" s="1151" t="s">
        <v>4375</v>
      </c>
      <c r="E2620" s="1151" t="s">
        <v>4376</v>
      </c>
    </row>
    <row r="2621" spans="1:6" ht="27">
      <c r="A2621" s="1145" t="s">
        <v>5134</v>
      </c>
      <c r="B2621" s="1185" t="s">
        <v>4535</v>
      </c>
      <c r="C2621" s="1185" t="s">
        <v>5874</v>
      </c>
      <c r="D2621" s="1390" t="s">
        <v>5354</v>
      </c>
      <c r="E2621" s="1339"/>
      <c r="F2621" s="1339"/>
    </row>
    <row r="2622" spans="1:6" ht="25.5">
      <c r="A2622" s="1344" t="s">
        <v>5855</v>
      </c>
      <c r="B2622" s="360">
        <f>ROUNDUP(D2622/0.8/120,2)</f>
        <v>21.150000000000002</v>
      </c>
      <c r="C2622" s="360"/>
      <c r="D2622" s="158">
        <f>1630+400</f>
        <v>2030</v>
      </c>
      <c r="E2622" s="1343">
        <f>(((B2622*F2622)-D2622)/(B2622*F2622))</f>
        <v>0.20015760441292371</v>
      </c>
      <c r="F2622" s="162">
        <v>120</v>
      </c>
    </row>
    <row r="2623" spans="1:6" ht="25.5">
      <c r="A2623" s="1344" t="s">
        <v>5856</v>
      </c>
      <c r="B2623" s="360">
        <f>ROUNDUP(D2623/0.8/120,2)</f>
        <v>17.3</v>
      </c>
      <c r="C2623" s="360"/>
      <c r="D2623" s="158">
        <f>1630+30</f>
        <v>1660</v>
      </c>
      <c r="E2623" s="1341">
        <f>(((B2623*F2623)-D2623)/(B2623*F2623))</f>
        <v>0.20038535645472061</v>
      </c>
      <c r="F2623" s="1342">
        <v>120</v>
      </c>
    </row>
    <row r="2624" spans="1:6">
      <c r="A2624" s="1344"/>
      <c r="B2624" s="360"/>
      <c r="C2624" s="360"/>
      <c r="D2624" s="158"/>
      <c r="E2624" s="1341"/>
      <c r="F2624" s="1342"/>
    </row>
    <row r="2625" spans="1:6" ht="25.5">
      <c r="A2625" s="1344" t="s">
        <v>5873</v>
      </c>
      <c r="B2625" s="360">
        <f>ROUNDUP(D2625/0.8/120,2)</f>
        <v>20.630000000000003</v>
      </c>
      <c r="C2625" s="360"/>
      <c r="D2625" s="158">
        <v>1980</v>
      </c>
      <c r="E2625" s="1341">
        <f>(((B2625*F2625)-D2625)/(B2625*F2625))</f>
        <v>0.20019389238972382</v>
      </c>
      <c r="F2625" s="1342">
        <v>120</v>
      </c>
    </row>
    <row r="2626" spans="1:6" ht="25.5">
      <c r="A2626" s="1344" t="s">
        <v>5857</v>
      </c>
      <c r="B2626" s="360">
        <f>ROUNDUP(D2626/0.8/120,2)</f>
        <v>18.860000000000003</v>
      </c>
      <c r="C2626" s="360" t="s">
        <v>5875</v>
      </c>
      <c r="D2626" s="158">
        <f>1780+30</f>
        <v>1810</v>
      </c>
      <c r="E2626" s="1341">
        <f>(((B2626*F2626)-D2626)/(B2626*F2626))</f>
        <v>0.20024743725698135</v>
      </c>
      <c r="F2626" s="1342">
        <v>120</v>
      </c>
    </row>
    <row r="2627" spans="1:6" ht="25.5">
      <c r="A2627" s="1344" t="s">
        <v>5858</v>
      </c>
      <c r="B2627" s="360">
        <f>ROUNDUP(D2627/0.8/120,2)</f>
        <v>17.82</v>
      </c>
      <c r="C2627" s="360" t="s">
        <v>5875</v>
      </c>
      <c r="D2627" s="158">
        <f>1680+30</f>
        <v>1710</v>
      </c>
      <c r="E2627" s="1341">
        <f>(((B2627*F2627)-D2627)/(B2627*F2627))</f>
        <v>0.20033670033670037</v>
      </c>
      <c r="F2627" s="1342">
        <v>120</v>
      </c>
    </row>
    <row r="2631" spans="1:6">
      <c r="A2631" s="1540" t="s">
        <v>5864</v>
      </c>
    </row>
    <row r="2632" spans="1:6" ht="17.25">
      <c r="A2632" s="1460"/>
    </row>
    <row r="2633" spans="1:6" ht="17.25">
      <c r="A2633" s="1460" t="s">
        <v>5865</v>
      </c>
    </row>
    <row r="2634" spans="1:6" ht="17.25">
      <c r="A2634" s="1460" t="s">
        <v>5866</v>
      </c>
    </row>
    <row r="2635" spans="1:6" ht="17.25">
      <c r="A2635" s="1460" t="s">
        <v>5867</v>
      </c>
    </row>
    <row r="2636" spans="1:6" ht="17.25">
      <c r="A2636" s="1460"/>
    </row>
    <row r="2637" spans="1:6" ht="17.25">
      <c r="A2637" s="1460" t="s">
        <v>5868</v>
      </c>
    </row>
    <row r="2638" spans="1:6" ht="17.25">
      <c r="A2638" s="1460" t="s">
        <v>5869</v>
      </c>
    </row>
    <row r="2639" spans="1:6" ht="17.25">
      <c r="A2639" s="1460" t="s">
        <v>5870</v>
      </c>
    </row>
    <row r="2640" spans="1:6" ht="17.25">
      <c r="A2640" s="1460"/>
    </row>
    <row r="2641" spans="1:6" ht="17.25">
      <c r="A2641" s="1460" t="s">
        <v>5871</v>
      </c>
    </row>
    <row r="2642" spans="1:6" ht="17.25">
      <c r="A2642" s="1460" t="s">
        <v>5872</v>
      </c>
    </row>
    <row r="2643" spans="1:6" ht="17.25">
      <c r="A2643" s="1460" t="s">
        <v>5870</v>
      </c>
    </row>
    <row r="2646" spans="1:6">
      <c r="A2646" s="1338" t="s">
        <v>5854</v>
      </c>
      <c r="C2646" s="194" t="s">
        <v>5137</v>
      </c>
      <c r="D2646" s="1151" t="s">
        <v>4375</v>
      </c>
      <c r="E2646" s="1151" t="s">
        <v>4376</v>
      </c>
    </row>
    <row r="2647" spans="1:6" ht="27">
      <c r="A2647" s="1145" t="s">
        <v>5134</v>
      </c>
      <c r="B2647" s="1185" t="s">
        <v>4535</v>
      </c>
      <c r="C2647" s="1185" t="s">
        <v>5874</v>
      </c>
      <c r="D2647" s="1390" t="s">
        <v>5354</v>
      </c>
      <c r="E2647" s="1339"/>
      <c r="F2647" s="1339"/>
    </row>
    <row r="2648" spans="1:6" ht="38.25">
      <c r="A2648" s="1344" t="s">
        <v>5876</v>
      </c>
      <c r="B2648" s="360">
        <f>ROUNDUP(D2648/0.8/120,2)</f>
        <v>13.65</v>
      </c>
      <c r="C2648" s="360"/>
      <c r="D2648" s="158">
        <f>910+400</f>
        <v>1310</v>
      </c>
      <c r="E2648" s="1343">
        <f>(((B2648*F2648)-D2648)/(B2648*F2648))</f>
        <v>0.20024420024420025</v>
      </c>
      <c r="F2648" s="162">
        <v>120</v>
      </c>
    </row>
    <row r="2649" spans="1:6" ht="38.25">
      <c r="A2649" s="1344" t="s">
        <v>5877</v>
      </c>
      <c r="B2649" s="360">
        <f>ROUNDUP(D2649/0.8/120,2)</f>
        <v>9.7999999999999989</v>
      </c>
      <c r="C2649" s="360"/>
      <c r="D2649" s="158">
        <f>910+30</f>
        <v>940</v>
      </c>
      <c r="E2649" s="1341">
        <f>(((B2649*F2649)-D2649)/(B2649*F2649))</f>
        <v>0.20068027210884337</v>
      </c>
      <c r="F2649" s="1342">
        <v>120</v>
      </c>
    </row>
    <row r="2650" spans="1:6">
      <c r="A2650" s="1344"/>
      <c r="B2650" s="360"/>
      <c r="C2650" s="360"/>
      <c r="D2650" s="158"/>
      <c r="E2650" s="1341"/>
      <c r="F2650" s="1342"/>
    </row>
    <row r="2651" spans="1:6" ht="25.5">
      <c r="A2651" s="1344" t="s">
        <v>5873</v>
      </c>
      <c r="B2651" s="360">
        <f>ROUNDUP(D2651/0.8/120,2)</f>
        <v>20.630000000000003</v>
      </c>
      <c r="C2651" s="360"/>
      <c r="D2651" s="158">
        <v>1980</v>
      </c>
      <c r="E2651" s="1341">
        <f>(((B2651*F2651)-D2651)/(B2651*F2651))</f>
        <v>0.20019389238972382</v>
      </c>
      <c r="F2651" s="1342">
        <v>120</v>
      </c>
    </row>
    <row r="2652" spans="1:6" ht="25.5">
      <c r="A2652" s="1344" t="s">
        <v>5857</v>
      </c>
      <c r="B2652" s="360">
        <f>ROUNDUP(D2652/0.8/120,2)</f>
        <v>18.860000000000003</v>
      </c>
      <c r="C2652" s="360" t="s">
        <v>5875</v>
      </c>
      <c r="D2652" s="158">
        <f>1780+30</f>
        <v>1810</v>
      </c>
      <c r="E2652" s="1341">
        <f>(((B2652*F2652)-D2652)/(B2652*F2652))</f>
        <v>0.20024743725698135</v>
      </c>
      <c r="F2652" s="1342">
        <v>120</v>
      </c>
    </row>
    <row r="2653" spans="1:6" ht="25.5">
      <c r="A2653" s="1344" t="s">
        <v>5858</v>
      </c>
      <c r="B2653" s="360">
        <f>ROUNDUP(D2653/0.8/120,2)</f>
        <v>17.82</v>
      </c>
      <c r="C2653" s="360" t="s">
        <v>5875</v>
      </c>
      <c r="D2653" s="158">
        <f>1680+30</f>
        <v>1710</v>
      </c>
      <c r="E2653" s="1341">
        <f>(((B2653*F2653)-D2653)/(B2653*F2653))</f>
        <v>0.20033670033670037</v>
      </c>
      <c r="F2653" s="1342">
        <v>120</v>
      </c>
    </row>
    <row r="2655" spans="1:6">
      <c r="A2655" s="1559" t="s">
        <v>5898</v>
      </c>
    </row>
    <row r="2657" spans="1:8" ht="25.5">
      <c r="A2657" s="1145" t="s">
        <v>179</v>
      </c>
      <c r="B2657" s="1145" t="s">
        <v>99</v>
      </c>
      <c r="C2657" s="1145" t="s">
        <v>5327</v>
      </c>
      <c r="D2657" s="1405" t="s">
        <v>4535</v>
      </c>
      <c r="E2657" s="1405" t="s">
        <v>5899</v>
      </c>
      <c r="F2657" s="1145" t="s">
        <v>5499</v>
      </c>
      <c r="G2657" s="1339" t="s">
        <v>4375</v>
      </c>
      <c r="H2657" s="1526" t="s">
        <v>4376</v>
      </c>
    </row>
    <row r="2658" spans="1:8" s="352" customFormat="1">
      <c r="A2658" s="40" t="s">
        <v>5678</v>
      </c>
      <c r="B2658" s="40" t="s">
        <v>5708</v>
      </c>
      <c r="C2658" s="357">
        <v>10</v>
      </c>
      <c r="D2658" s="1113">
        <f t="shared" ref="D2658:D2675" si="54">ROUNDUP(F2658/0.6/120,2)</f>
        <v>0.6</v>
      </c>
      <c r="E2658" s="1412" t="s">
        <v>5733</v>
      </c>
      <c r="F2658" s="386">
        <v>43</v>
      </c>
      <c r="G2658" s="1527">
        <f t="shared" ref="G2658:G2665" si="55">(D2658-(F2658/H2658))/D2658</f>
        <v>0.40277777777777773</v>
      </c>
      <c r="H2658" s="1526">
        <v>120</v>
      </c>
    </row>
    <row r="2659" spans="1:8" s="352" customFormat="1">
      <c r="A2659" s="40" t="s">
        <v>5678</v>
      </c>
      <c r="B2659" s="40" t="s">
        <v>5328</v>
      </c>
      <c r="C2659" s="357" t="s">
        <v>5569</v>
      </c>
      <c r="D2659" s="1113">
        <f t="shared" si="54"/>
        <v>1.71</v>
      </c>
      <c r="E2659" s="1412" t="s">
        <v>1893</v>
      </c>
      <c r="F2659" s="386">
        <f>43+80</f>
        <v>123</v>
      </c>
      <c r="G2659" s="1527">
        <f t="shared" si="55"/>
        <v>0.40058479532163749</v>
      </c>
      <c r="H2659" s="1526">
        <v>120</v>
      </c>
    </row>
    <row r="2660" spans="1:8" s="352" customFormat="1">
      <c r="A2660" s="1312" t="s">
        <v>5743</v>
      </c>
      <c r="B2660" s="40" t="s">
        <v>5708</v>
      </c>
      <c r="C2660" s="357">
        <v>10</v>
      </c>
      <c r="D2660" s="1113">
        <f t="shared" si="54"/>
        <v>0.6</v>
      </c>
      <c r="E2660" s="1412" t="s">
        <v>5586</v>
      </c>
      <c r="F2660" s="386">
        <v>43</v>
      </c>
      <c r="G2660" s="1527">
        <f t="shared" si="55"/>
        <v>0.40277777777777773</v>
      </c>
      <c r="H2660" s="1526">
        <v>120</v>
      </c>
    </row>
    <row r="2661" spans="1:8" s="352" customFormat="1">
      <c r="A2661" s="1115" t="s">
        <v>5731</v>
      </c>
      <c r="B2661" s="40" t="s">
        <v>5328</v>
      </c>
      <c r="C2661" s="357" t="s">
        <v>5569</v>
      </c>
      <c r="D2661" s="1113">
        <f t="shared" si="54"/>
        <v>1.71</v>
      </c>
      <c r="E2661" s="1412" t="s">
        <v>1893</v>
      </c>
      <c r="F2661" s="386">
        <f>43+80</f>
        <v>123</v>
      </c>
      <c r="G2661" s="1527">
        <f t="shared" si="55"/>
        <v>0.40058479532163749</v>
      </c>
      <c r="H2661" s="1526">
        <v>120</v>
      </c>
    </row>
    <row r="2662" spans="1:8" s="352" customFormat="1">
      <c r="A2662" s="40" t="s">
        <v>5679</v>
      </c>
      <c r="B2662" s="40" t="s">
        <v>5708</v>
      </c>
      <c r="C2662" s="357">
        <v>10</v>
      </c>
      <c r="D2662" s="1113">
        <f t="shared" si="54"/>
        <v>0.7</v>
      </c>
      <c r="E2662" s="1412" t="s">
        <v>5342</v>
      </c>
      <c r="F2662" s="386">
        <v>50</v>
      </c>
      <c r="G2662" s="1527">
        <f t="shared" si="55"/>
        <v>0.40476190476190471</v>
      </c>
      <c r="H2662" s="1526">
        <v>120</v>
      </c>
    </row>
    <row r="2663" spans="1:8" s="352" customFormat="1">
      <c r="A2663" s="40" t="s">
        <v>5679</v>
      </c>
      <c r="B2663" s="40" t="s">
        <v>5328</v>
      </c>
      <c r="C2663" s="357" t="s">
        <v>5569</v>
      </c>
      <c r="D2663" s="1113">
        <f t="shared" si="54"/>
        <v>1.81</v>
      </c>
      <c r="E2663" s="1412" t="s">
        <v>1893</v>
      </c>
      <c r="F2663" s="386">
        <f>50+80</f>
        <v>130</v>
      </c>
      <c r="G2663" s="1527">
        <f t="shared" si="55"/>
        <v>0.4014732965009209</v>
      </c>
      <c r="H2663" s="1526">
        <v>120</v>
      </c>
    </row>
    <row r="2664" spans="1:8">
      <c r="A2664" s="40" t="s">
        <v>5764</v>
      </c>
      <c r="B2664" s="40" t="s">
        <v>5318</v>
      </c>
      <c r="C2664" s="357">
        <v>10</v>
      </c>
      <c r="D2664" s="1113">
        <f t="shared" si="54"/>
        <v>1.98</v>
      </c>
      <c r="E2664" s="360" t="s">
        <v>5817</v>
      </c>
      <c r="F2664" s="1560">
        <v>142</v>
      </c>
      <c r="G2664" s="1527">
        <f t="shared" si="55"/>
        <v>0.40235690235690236</v>
      </c>
      <c r="H2664" s="1526">
        <v>120</v>
      </c>
    </row>
    <row r="2665" spans="1:8">
      <c r="A2665" s="40" t="s">
        <v>5764</v>
      </c>
      <c r="B2665" s="40" t="s">
        <v>5328</v>
      </c>
      <c r="C2665" s="357" t="s">
        <v>5569</v>
      </c>
      <c r="D2665" s="1113">
        <f t="shared" si="54"/>
        <v>3.09</v>
      </c>
      <c r="E2665" s="1412" t="s">
        <v>1893</v>
      </c>
      <c r="F2665" s="1560">
        <f>142+80</f>
        <v>222</v>
      </c>
      <c r="G2665" s="1527">
        <f t="shared" si="55"/>
        <v>0.40129449838187697</v>
      </c>
      <c r="H2665" s="1526">
        <v>120</v>
      </c>
    </row>
    <row r="2666" spans="1:8">
      <c r="A2666" s="40" t="s">
        <v>5825</v>
      </c>
      <c r="B2666" s="40" t="s">
        <v>5318</v>
      </c>
      <c r="C2666" s="357">
        <v>10</v>
      </c>
      <c r="D2666" s="1113">
        <f t="shared" si="54"/>
        <v>2.23</v>
      </c>
      <c r="E2666" s="360" t="s">
        <v>5900</v>
      </c>
      <c r="F2666" s="1560">
        <v>160</v>
      </c>
      <c r="G2666" s="1527">
        <f t="shared" ref="G2666:G2675" si="56">(D2666-(F2666/H2666))/D2666</f>
        <v>0.40209267563527656</v>
      </c>
      <c r="H2666" s="1526">
        <v>120</v>
      </c>
    </row>
    <row r="2667" spans="1:8">
      <c r="A2667" s="40" t="s">
        <v>5825</v>
      </c>
      <c r="B2667" s="40" t="s">
        <v>5328</v>
      </c>
      <c r="C2667" s="357" t="s">
        <v>5569</v>
      </c>
      <c r="D2667" s="1113">
        <f t="shared" si="54"/>
        <v>3.34</v>
      </c>
      <c r="E2667" s="1412" t="s">
        <v>1893</v>
      </c>
      <c r="F2667" s="1560">
        <f>160+80</f>
        <v>240</v>
      </c>
      <c r="G2667" s="1527">
        <f t="shared" si="56"/>
        <v>0.40119760479041916</v>
      </c>
      <c r="H2667" s="1526">
        <v>120</v>
      </c>
    </row>
    <row r="2668" spans="1:8">
      <c r="A2668" s="40" t="s">
        <v>5893</v>
      </c>
      <c r="B2668" s="40" t="s">
        <v>5708</v>
      </c>
      <c r="C2668" s="357">
        <v>10</v>
      </c>
      <c r="D2668" s="1113">
        <f t="shared" si="54"/>
        <v>0.89</v>
      </c>
      <c r="E2668" s="360" t="s">
        <v>5342</v>
      </c>
      <c r="F2668" s="1560">
        <v>64</v>
      </c>
      <c r="G2668" s="1527">
        <f t="shared" si="56"/>
        <v>0.40074906367041202</v>
      </c>
      <c r="H2668" s="1526">
        <v>120</v>
      </c>
    </row>
    <row r="2669" spans="1:8">
      <c r="A2669" s="40" t="s">
        <v>5893</v>
      </c>
      <c r="B2669" s="40" t="s">
        <v>5328</v>
      </c>
      <c r="C2669" s="357" t="s">
        <v>5569</v>
      </c>
      <c r="D2669" s="1113">
        <f t="shared" si="54"/>
        <v>2.1399999999999997</v>
      </c>
      <c r="E2669" s="1412" t="s">
        <v>1893</v>
      </c>
      <c r="F2669" s="1560">
        <f>64+90</f>
        <v>154</v>
      </c>
      <c r="G2669" s="1527">
        <f t="shared" si="56"/>
        <v>0.40031152647975066</v>
      </c>
      <c r="H2669" s="1526">
        <v>120</v>
      </c>
    </row>
    <row r="2670" spans="1:8">
      <c r="A2670" s="40" t="s">
        <v>5895</v>
      </c>
      <c r="B2670" s="40" t="s">
        <v>5318</v>
      </c>
      <c r="C2670" s="357">
        <v>10</v>
      </c>
      <c r="D2670" s="1113">
        <f t="shared" si="54"/>
        <v>1.48</v>
      </c>
      <c r="E2670" s="360" t="s">
        <v>5542</v>
      </c>
      <c r="F2670" s="1560">
        <v>106</v>
      </c>
      <c r="G2670" s="1527">
        <f t="shared" si="56"/>
        <v>0.40315315315315314</v>
      </c>
      <c r="H2670" s="1526">
        <v>120</v>
      </c>
    </row>
    <row r="2671" spans="1:8">
      <c r="A2671" s="40" t="s">
        <v>5895</v>
      </c>
      <c r="B2671" s="40" t="s">
        <v>5328</v>
      </c>
      <c r="C2671" s="357" t="s">
        <v>5569</v>
      </c>
      <c r="D2671" s="1113">
        <f t="shared" si="54"/>
        <v>2.73</v>
      </c>
      <c r="E2671" s="1412" t="s">
        <v>1893</v>
      </c>
      <c r="F2671" s="1560">
        <f>106+90</f>
        <v>196</v>
      </c>
      <c r="G2671" s="1527">
        <f t="shared" si="56"/>
        <v>0.40170940170940173</v>
      </c>
      <c r="H2671" s="1526">
        <v>120</v>
      </c>
    </row>
    <row r="2672" spans="1:8">
      <c r="A2672" s="40" t="s">
        <v>5896</v>
      </c>
      <c r="B2672" s="40" t="s">
        <v>5318</v>
      </c>
      <c r="C2672" s="357">
        <v>10</v>
      </c>
      <c r="D2672" s="1113">
        <f t="shared" si="54"/>
        <v>1.64</v>
      </c>
      <c r="E2672" s="360" t="s">
        <v>5814</v>
      </c>
      <c r="F2672" s="1560">
        <v>118</v>
      </c>
      <c r="G2672" s="1527">
        <f t="shared" si="56"/>
        <v>0.40040650406504064</v>
      </c>
      <c r="H2672" s="1526">
        <v>120</v>
      </c>
    </row>
    <row r="2673" spans="1:8">
      <c r="A2673" s="40" t="s">
        <v>5896</v>
      </c>
      <c r="B2673" s="40" t="s">
        <v>5328</v>
      </c>
      <c r="C2673" s="357" t="s">
        <v>5569</v>
      </c>
      <c r="D2673" s="1113">
        <f t="shared" si="54"/>
        <v>2.8899999999999997</v>
      </c>
      <c r="E2673" s="1412" t="s">
        <v>1893</v>
      </c>
      <c r="F2673" s="1560">
        <f>118+90</f>
        <v>208</v>
      </c>
      <c r="G2673" s="1527">
        <f t="shared" si="56"/>
        <v>0.40023068050749705</v>
      </c>
      <c r="H2673" s="1526">
        <v>120</v>
      </c>
    </row>
    <row r="2674" spans="1:8">
      <c r="A2674" s="40" t="s">
        <v>5897</v>
      </c>
      <c r="B2674" s="40" t="s">
        <v>5318</v>
      </c>
      <c r="C2674" s="357">
        <v>10</v>
      </c>
      <c r="D2674" s="1113">
        <f t="shared" si="54"/>
        <v>2.5499999999999998</v>
      </c>
      <c r="E2674" s="360" t="s">
        <v>5542</v>
      </c>
      <c r="F2674" s="1560">
        <v>183</v>
      </c>
      <c r="G2674" s="1527">
        <f t="shared" si="56"/>
        <v>0.40196078431372551</v>
      </c>
      <c r="H2674" s="1526">
        <v>120</v>
      </c>
    </row>
    <row r="2675" spans="1:8">
      <c r="A2675" s="40" t="s">
        <v>5897</v>
      </c>
      <c r="B2675" s="40" t="s">
        <v>5328</v>
      </c>
      <c r="C2675" s="357" t="s">
        <v>5569</v>
      </c>
      <c r="D2675" s="1113">
        <f t="shared" si="54"/>
        <v>3.8</v>
      </c>
      <c r="E2675" s="1412" t="s">
        <v>1893</v>
      </c>
      <c r="F2675" s="1560">
        <f>183+90</f>
        <v>273</v>
      </c>
      <c r="G2675" s="1527">
        <f t="shared" si="56"/>
        <v>0.40131578947368418</v>
      </c>
      <c r="H2675" s="1526">
        <v>120</v>
      </c>
    </row>
    <row r="2678" spans="1:8">
      <c r="A2678" s="1338" t="s">
        <v>5912</v>
      </c>
      <c r="C2678" s="194" t="s">
        <v>5137</v>
      </c>
      <c r="D2678" s="1151" t="s">
        <v>4375</v>
      </c>
      <c r="E2678" s="1151" t="s">
        <v>4376</v>
      </c>
    </row>
    <row r="2679" spans="1:8" ht="27">
      <c r="A2679" s="1145" t="s">
        <v>5134</v>
      </c>
      <c r="B2679" s="1145" t="s">
        <v>5916</v>
      </c>
      <c r="C2679" s="1185" t="s">
        <v>4535</v>
      </c>
      <c r="D2679" s="1185" t="s">
        <v>5874</v>
      </c>
      <c r="E2679" s="1390" t="s">
        <v>5354</v>
      </c>
      <c r="F2679" s="1339"/>
      <c r="G2679" s="1339"/>
    </row>
    <row r="2680" spans="1:8" ht="38.25">
      <c r="A2680" s="1344" t="s">
        <v>5919</v>
      </c>
      <c r="B2680" s="1344" t="s">
        <v>5920</v>
      </c>
      <c r="C2680" s="360">
        <f>ROUNDUP(E2680/0.8/120,2)</f>
        <v>57.5</v>
      </c>
      <c r="D2680" s="360"/>
      <c r="E2680" s="158">
        <f>5120+400</f>
        <v>5520</v>
      </c>
      <c r="F2680" s="1343">
        <f>(((C2680*G2680)-E2680)/(C2680*G2680))</f>
        <v>0.2</v>
      </c>
      <c r="G2680" s="162">
        <v>120</v>
      </c>
    </row>
    <row r="2681" spans="1:8" ht="38.25">
      <c r="A2681" s="1344" t="s">
        <v>5921</v>
      </c>
      <c r="B2681" s="1344" t="s">
        <v>5920</v>
      </c>
      <c r="C2681" s="360">
        <f>ROUNDUP(E2681/0.8/120,2)</f>
        <v>53.65</v>
      </c>
      <c r="D2681" s="360"/>
      <c r="E2681" s="158">
        <f>5120+30</f>
        <v>5150</v>
      </c>
      <c r="F2681" s="1341">
        <f>(((C2681*G2681)-E2681)/(C2681*G2681))</f>
        <v>0.20006213109661386</v>
      </c>
      <c r="G2681" s="1342">
        <v>120</v>
      </c>
    </row>
    <row r="2682" spans="1:8">
      <c r="A2682" s="1344"/>
      <c r="B2682" s="1344"/>
      <c r="C2682" s="360"/>
      <c r="D2682" s="360"/>
      <c r="E2682" s="158"/>
      <c r="F2682" s="1562"/>
      <c r="G2682" s="162"/>
    </row>
    <row r="2683" spans="1:8" ht="25.5">
      <c r="A2683" s="1344" t="s">
        <v>5913</v>
      </c>
      <c r="B2683" s="1344" t="s">
        <v>5917</v>
      </c>
      <c r="C2683" s="360">
        <f>ROUNDUP(E2683/0.8/120,2)</f>
        <v>13.65</v>
      </c>
      <c r="D2683" s="360"/>
      <c r="E2683" s="158">
        <f>910+400</f>
        <v>1310</v>
      </c>
      <c r="F2683" s="1343">
        <f>(((C2683*G2683)-E2683)/(C2683*G2683))</f>
        <v>0.20024420024420025</v>
      </c>
      <c r="G2683" s="162">
        <v>120</v>
      </c>
    </row>
    <row r="2684" spans="1:8" ht="25.5">
      <c r="A2684" s="1344" t="s">
        <v>5914</v>
      </c>
      <c r="B2684" s="1344" t="s">
        <v>5917</v>
      </c>
      <c r="C2684" s="360">
        <f>ROUNDUP(E2684/0.8/120,2)</f>
        <v>9.7999999999999989</v>
      </c>
      <c r="D2684" s="360"/>
      <c r="E2684" s="158">
        <f>910+30</f>
        <v>940</v>
      </c>
      <c r="F2684" s="1341">
        <f>(((C2684*G2684)-E2684)/(C2684*G2684))</f>
        <v>0.20068027210884337</v>
      </c>
      <c r="G2684" s="1342">
        <v>120</v>
      </c>
    </row>
    <row r="2685" spans="1:8">
      <c r="A2685" s="1344"/>
      <c r="B2685" s="1344"/>
      <c r="C2685" s="360"/>
      <c r="D2685" s="360"/>
      <c r="E2685" s="158"/>
      <c r="F2685" s="1562"/>
      <c r="G2685" s="162"/>
    </row>
    <row r="2686" spans="1:8" ht="38.25">
      <c r="A2686" s="1344" t="s">
        <v>5915</v>
      </c>
      <c r="B2686" s="1344" t="s">
        <v>5918</v>
      </c>
      <c r="C2686" s="360">
        <f>ROUNDUP(E2686/0.8/120,2)</f>
        <v>14.59</v>
      </c>
      <c r="D2686" s="360"/>
      <c r="E2686" s="158">
        <f>1000+400</f>
        <v>1400</v>
      </c>
      <c r="F2686" s="1343">
        <f>(((C2686*G2686)-E2686)/(C2686*G2686))</f>
        <v>0.20036554717843269</v>
      </c>
      <c r="G2686" s="162">
        <v>120</v>
      </c>
    </row>
    <row r="2687" spans="1:8" ht="38.25">
      <c r="A2687" s="1344" t="s">
        <v>5922</v>
      </c>
      <c r="B2687" s="1344" t="s">
        <v>5918</v>
      </c>
      <c r="C2687" s="360">
        <f>ROUNDUP(E2687/0.8/120,2)</f>
        <v>10.73</v>
      </c>
      <c r="D2687" s="360"/>
      <c r="E2687" s="158">
        <f>1000+30</f>
        <v>1030</v>
      </c>
      <c r="F2687" s="1341">
        <f>(((C2687*G2687)-E2687)/(C2687*G2687))</f>
        <v>0.20006213109661394</v>
      </c>
      <c r="G2687" s="1342">
        <v>120</v>
      </c>
    </row>
    <row r="2690" spans="1:3">
      <c r="A2690" t="s">
        <v>5933</v>
      </c>
    </row>
    <row r="2691" spans="1:3">
      <c r="A2691" s="1568" t="s">
        <v>5936</v>
      </c>
      <c r="B2691" s="1312" t="s">
        <v>5934</v>
      </c>
      <c r="C2691" s="1312" t="s">
        <v>5935</v>
      </c>
    </row>
    <row r="2692" spans="1:3">
      <c r="A2692" s="1115">
        <v>21034</v>
      </c>
      <c r="B2692" s="1567">
        <v>161</v>
      </c>
      <c r="C2692" s="1567">
        <f t="shared" ref="C2692:C2702" si="57">B2692*2</f>
        <v>322</v>
      </c>
    </row>
    <row r="2693" spans="1:3">
      <c r="A2693" s="1115">
        <v>21079</v>
      </c>
      <c r="B2693" s="1567">
        <v>112</v>
      </c>
      <c r="C2693" s="1567">
        <f t="shared" si="57"/>
        <v>224</v>
      </c>
    </row>
    <row r="2694" spans="1:3">
      <c r="A2694" s="1115">
        <v>24121</v>
      </c>
      <c r="B2694" s="1567">
        <v>105</v>
      </c>
      <c r="C2694" s="1567">
        <f t="shared" si="57"/>
        <v>210</v>
      </c>
    </row>
    <row r="2695" spans="1:3">
      <c r="A2695" s="1115">
        <v>2709</v>
      </c>
      <c r="B2695" s="1567">
        <v>188</v>
      </c>
      <c r="C2695" s="1567">
        <f t="shared" si="57"/>
        <v>376</v>
      </c>
    </row>
    <row r="2696" spans="1:3">
      <c r="A2696" s="1115">
        <v>22435</v>
      </c>
      <c r="B2696" s="1567">
        <v>230</v>
      </c>
      <c r="C2696" s="1567">
        <f t="shared" si="57"/>
        <v>460</v>
      </c>
    </row>
    <row r="2697" spans="1:3">
      <c r="A2697" s="1115">
        <v>21332</v>
      </c>
      <c r="B2697" s="1567">
        <v>139</v>
      </c>
      <c r="C2697" s="1567">
        <f t="shared" si="57"/>
        <v>278</v>
      </c>
    </row>
    <row r="2698" spans="1:3">
      <c r="A2698" s="1115">
        <v>22090</v>
      </c>
      <c r="B2698" s="1567">
        <v>95</v>
      </c>
      <c r="C2698" s="1567">
        <f t="shared" si="57"/>
        <v>190</v>
      </c>
    </row>
    <row r="2699" spans="1:3">
      <c r="A2699" s="1115">
        <v>24131</v>
      </c>
      <c r="B2699" s="1567">
        <v>100</v>
      </c>
      <c r="C2699" s="1567">
        <f t="shared" si="57"/>
        <v>200</v>
      </c>
    </row>
    <row r="2700" spans="1:3">
      <c r="A2700" s="1115">
        <v>22425</v>
      </c>
      <c r="B2700" s="1567">
        <v>207</v>
      </c>
      <c r="C2700" s="1567">
        <f t="shared" si="57"/>
        <v>414</v>
      </c>
    </row>
    <row r="2701" spans="1:3">
      <c r="A2701" s="1115">
        <v>22073</v>
      </c>
      <c r="B2701" s="1567">
        <v>112</v>
      </c>
      <c r="C2701" s="1567">
        <f t="shared" si="57"/>
        <v>224</v>
      </c>
    </row>
    <row r="2702" spans="1:3">
      <c r="A2702" s="1115">
        <v>22060</v>
      </c>
      <c r="B2702" s="1567">
        <v>199</v>
      </c>
      <c r="C2702" s="1567">
        <f t="shared" si="57"/>
        <v>398</v>
      </c>
    </row>
    <row r="2703" spans="1:3">
      <c r="A2703" s="1115"/>
      <c r="B2703" s="1567"/>
      <c r="C2703" s="1567"/>
    </row>
    <row r="2704" spans="1:3">
      <c r="A2704" s="1115" t="s">
        <v>5925</v>
      </c>
      <c r="B2704" s="1567">
        <v>188</v>
      </c>
      <c r="C2704" s="1567">
        <f t="shared" ref="C2704:C2711" si="58">B2704*2</f>
        <v>376</v>
      </c>
    </row>
    <row r="2705" spans="1:3">
      <c r="A2705" s="1115" t="s">
        <v>5926</v>
      </c>
      <c r="B2705" s="1567">
        <v>223</v>
      </c>
      <c r="C2705" s="1567">
        <f t="shared" si="58"/>
        <v>446</v>
      </c>
    </row>
    <row r="2706" spans="1:3">
      <c r="A2706" s="1115" t="s">
        <v>5927</v>
      </c>
      <c r="B2706" s="1567">
        <v>129</v>
      </c>
      <c r="C2706" s="1567">
        <f t="shared" si="58"/>
        <v>258</v>
      </c>
    </row>
    <row r="2707" spans="1:3">
      <c r="A2707" s="1115" t="s">
        <v>5928</v>
      </c>
      <c r="B2707" s="1567">
        <v>183</v>
      </c>
      <c r="C2707" s="1567">
        <f t="shared" si="58"/>
        <v>366</v>
      </c>
    </row>
    <row r="2708" spans="1:3">
      <c r="A2708" s="1115" t="s">
        <v>5929</v>
      </c>
      <c r="B2708" s="1567">
        <v>193</v>
      </c>
      <c r="C2708" s="1567">
        <f t="shared" si="58"/>
        <v>386</v>
      </c>
    </row>
    <row r="2709" spans="1:3">
      <c r="A2709" s="1115" t="s">
        <v>5930</v>
      </c>
      <c r="B2709" s="1567">
        <v>178</v>
      </c>
      <c r="C2709" s="1567">
        <f t="shared" si="58"/>
        <v>356</v>
      </c>
    </row>
    <row r="2710" spans="1:3">
      <c r="A2710" s="1115" t="s">
        <v>5931</v>
      </c>
      <c r="B2710" s="1567">
        <v>200</v>
      </c>
      <c r="C2710" s="1567">
        <f t="shared" si="58"/>
        <v>400</v>
      </c>
    </row>
    <row r="2711" spans="1:3">
      <c r="A2711" s="1115" t="s">
        <v>5932</v>
      </c>
      <c r="B2711" s="1567">
        <v>276</v>
      </c>
      <c r="C2711" s="1567">
        <f t="shared" si="58"/>
        <v>552</v>
      </c>
    </row>
    <row r="2712" spans="1:3">
      <c r="A2712" s="1115"/>
      <c r="B2712" s="1567"/>
      <c r="C2712" s="1567"/>
    </row>
    <row r="2713" spans="1:3">
      <c r="A2713" s="1115">
        <v>22483</v>
      </c>
      <c r="B2713" s="1567">
        <v>330</v>
      </c>
      <c r="C2713" s="1567">
        <f>B2713*2</f>
        <v>660</v>
      </c>
    </row>
    <row r="2714" spans="1:3">
      <c r="A2714" s="1115">
        <v>22690</v>
      </c>
      <c r="B2714" s="1567">
        <v>215</v>
      </c>
      <c r="C2714" s="1567">
        <f>B2714*2</f>
        <v>430</v>
      </c>
    </row>
    <row r="2715" spans="1:3">
      <c r="A2715" s="1115">
        <v>22692</v>
      </c>
      <c r="B2715" s="1567">
        <v>219</v>
      </c>
      <c r="C2715" s="1567">
        <f>B2715*2</f>
        <v>438</v>
      </c>
    </row>
    <row r="2716" spans="1:3">
      <c r="A2716" s="1115">
        <v>22819</v>
      </c>
      <c r="B2716" s="1567">
        <v>170</v>
      </c>
      <c r="C2716" s="1567">
        <f>B2716*2</f>
        <v>340</v>
      </c>
    </row>
    <row r="2719" spans="1:3">
      <c r="A2719" s="1312" t="s">
        <v>5944</v>
      </c>
      <c r="B2719" s="1115" t="s">
        <v>5934</v>
      </c>
      <c r="C2719" s="1115" t="s">
        <v>5945</v>
      </c>
    </row>
    <row r="2720" spans="1:3">
      <c r="A2720" s="1115" t="s">
        <v>5937</v>
      </c>
      <c r="B2720" s="1115">
        <v>75</v>
      </c>
      <c r="C2720" s="1115">
        <f>B2720*2</f>
        <v>150</v>
      </c>
    </row>
    <row r="2721" spans="1:5">
      <c r="A2721" s="1115" t="s">
        <v>5938</v>
      </c>
      <c r="B2721" s="1115">
        <v>100</v>
      </c>
      <c r="C2721" s="1115">
        <f>B2721*2</f>
        <v>200</v>
      </c>
    </row>
    <row r="2722" spans="1:5">
      <c r="A2722" s="1115" t="s">
        <v>5939</v>
      </c>
      <c r="B2722" s="1115">
        <v>140</v>
      </c>
      <c r="C2722" s="1115">
        <f>B2722*2</f>
        <v>280</v>
      </c>
    </row>
    <row r="2723" spans="1:5">
      <c r="A2723" s="1115" t="s">
        <v>5940</v>
      </c>
      <c r="B2723" s="1115">
        <v>165</v>
      </c>
      <c r="C2723" s="1115">
        <f>B2723*2</f>
        <v>330</v>
      </c>
    </row>
    <row r="2724" spans="1:5">
      <c r="A2724" s="1243"/>
      <c r="B2724" s="1243"/>
      <c r="C2724" s="1243"/>
    </row>
    <row r="2725" spans="1:5">
      <c r="A2725" s="1243"/>
      <c r="B2725" s="1243"/>
      <c r="C2725" s="1243"/>
    </row>
    <row r="2726" spans="1:5">
      <c r="A2726" s="1312" t="s">
        <v>5946</v>
      </c>
      <c r="B2726" s="1115" t="s">
        <v>5934</v>
      </c>
      <c r="C2726" s="1115" t="s">
        <v>5945</v>
      </c>
    </row>
    <row r="2727" spans="1:5">
      <c r="A2727" s="1115">
        <v>69025</v>
      </c>
      <c r="B2727" s="1115"/>
      <c r="C2727" s="1115"/>
    </row>
    <row r="2728" spans="1:5">
      <c r="A2728" s="1569" t="s">
        <v>5943</v>
      </c>
      <c r="B2728" s="1115">
        <v>87</v>
      </c>
      <c r="C2728" s="1115">
        <f>B2728*2</f>
        <v>174</v>
      </c>
    </row>
    <row r="2729" spans="1:5">
      <c r="A2729" s="1115">
        <v>67003</v>
      </c>
      <c r="B2729" s="1115"/>
      <c r="C2729" s="1115"/>
    </row>
    <row r="2730" spans="1:5">
      <c r="A2730" s="1115" t="s">
        <v>5941</v>
      </c>
      <c r="B2730" s="1115">
        <v>126</v>
      </c>
      <c r="C2730" s="1115">
        <f>B2730*2</f>
        <v>252</v>
      </c>
    </row>
    <row r="2731" spans="1:5">
      <c r="A2731" s="1115" t="s">
        <v>5942</v>
      </c>
      <c r="B2731" s="1115">
        <v>123</v>
      </c>
      <c r="C2731" s="1115">
        <f>B2731*2</f>
        <v>246</v>
      </c>
    </row>
    <row r="2734" spans="1:5" ht="14.25">
      <c r="A2734" s="1389" t="s">
        <v>5947</v>
      </c>
    </row>
    <row r="2735" spans="1:5" s="337" customFormat="1" ht="14.25">
      <c r="A2735" s="351" t="s">
        <v>261</v>
      </c>
      <c r="B2735" s="1395" t="s">
        <v>342</v>
      </c>
      <c r="C2735" s="1390" t="s">
        <v>5260</v>
      </c>
      <c r="D2735" s="1223" t="s">
        <v>4375</v>
      </c>
      <c r="E2735" s="1391" t="s">
        <v>4376</v>
      </c>
    </row>
    <row r="2736" spans="1:5" s="337" customFormat="1" ht="24" customHeight="1">
      <c r="A2736" s="363" t="s">
        <v>5948</v>
      </c>
      <c r="B2736" s="364">
        <f>ROUNDUP(C2736/0.8/120,2)</f>
        <v>4.38</v>
      </c>
      <c r="C2736" s="1392">
        <f>390+30</f>
        <v>420</v>
      </c>
      <c r="D2736" s="1393">
        <f>(B2736-(C2736/E2736))/B2736</f>
        <v>0.20091324200913241</v>
      </c>
      <c r="E2736" s="1394">
        <v>120</v>
      </c>
    </row>
    <row r="2737" spans="1:8" s="337" customFormat="1" ht="24" customHeight="1">
      <c r="A2737" s="363" t="s">
        <v>207</v>
      </c>
      <c r="B2737" s="364">
        <f>ROUNDUP(C2737/0.8/120,2)</f>
        <v>4.0699999999999994</v>
      </c>
      <c r="C2737" s="1392">
        <f>360+30</f>
        <v>390</v>
      </c>
      <c r="D2737" s="1393">
        <f>(B2737-(C2737/E2737))/B2737</f>
        <v>0.20147420147420136</v>
      </c>
      <c r="E2737" s="1394">
        <v>120</v>
      </c>
    </row>
    <row r="2738" spans="1:8" s="337" customFormat="1" ht="24" customHeight="1">
      <c r="A2738" s="363" t="s">
        <v>6</v>
      </c>
      <c r="B2738" s="364">
        <v>5</v>
      </c>
      <c r="C2738" s="1392">
        <f>420+30</f>
        <v>450</v>
      </c>
      <c r="D2738" s="1393">
        <f>(B2738-(C2738/E2738))/B2738</f>
        <v>0.25</v>
      </c>
      <c r="E2738" s="1394">
        <v>120</v>
      </c>
    </row>
    <row r="2739" spans="1:8" s="337" customFormat="1" ht="24" customHeight="1">
      <c r="A2739" s="363" t="s">
        <v>5949</v>
      </c>
      <c r="B2739" s="364">
        <f>ROUNDUP(C2739/0.8/120,2)</f>
        <v>5.1099999999999994</v>
      </c>
      <c r="C2739" s="1392">
        <f>460+30</f>
        <v>490</v>
      </c>
      <c r="D2739" s="1393">
        <f>(B2739-(C2739/E2739))/B2739</f>
        <v>0.20091324200913238</v>
      </c>
      <c r="E2739" s="1394">
        <v>120</v>
      </c>
    </row>
    <row r="2743" spans="1:8" ht="14.25">
      <c r="A2743" s="1389" t="s">
        <v>5950</v>
      </c>
    </row>
    <row r="2744" spans="1:8" s="337" customFormat="1" ht="14.25">
      <c r="A2744" s="351" t="s">
        <v>261</v>
      </c>
      <c r="B2744" s="1395" t="s">
        <v>342</v>
      </c>
      <c r="C2744" s="1390" t="s">
        <v>5951</v>
      </c>
      <c r="D2744" s="1223" t="s">
        <v>4375</v>
      </c>
      <c r="E2744" s="1391" t="s">
        <v>4376</v>
      </c>
    </row>
    <row r="2745" spans="1:8" s="337" customFormat="1" ht="24" customHeight="1">
      <c r="A2745" s="363" t="s">
        <v>5952</v>
      </c>
      <c r="B2745" s="364">
        <v>5</v>
      </c>
      <c r="C2745" s="1392">
        <f>420+15</f>
        <v>435</v>
      </c>
      <c r="D2745" s="1393">
        <f>(B2745-(C2745/E2745))/B2745</f>
        <v>0.27500000000000002</v>
      </c>
      <c r="E2745" s="1394">
        <v>120</v>
      </c>
    </row>
    <row r="2746" spans="1:8" s="337" customFormat="1" ht="24" customHeight="1">
      <c r="A2746" s="363" t="s">
        <v>5953</v>
      </c>
      <c r="B2746" s="364">
        <v>4.2300000000000004</v>
      </c>
      <c r="C2746" s="1392">
        <f>350+15</f>
        <v>365</v>
      </c>
      <c r="D2746" s="1393">
        <f>(B2746-(C2746/E2746))/B2746</f>
        <v>0.28092986603624914</v>
      </c>
      <c r="E2746" s="1394">
        <v>120</v>
      </c>
    </row>
    <row r="2751" spans="1:8" ht="25.5">
      <c r="A2751" s="1145" t="s">
        <v>179</v>
      </c>
      <c r="B2751" s="1145" t="s">
        <v>99</v>
      </c>
      <c r="C2751" s="1145" t="s">
        <v>5327</v>
      </c>
      <c r="D2751" s="1405" t="s">
        <v>4535</v>
      </c>
      <c r="E2751" s="1405" t="s">
        <v>5956</v>
      </c>
      <c r="F2751" s="1145" t="s">
        <v>5499</v>
      </c>
      <c r="G2751" s="1571" t="s">
        <v>4375</v>
      </c>
      <c r="H2751" s="1526" t="s">
        <v>4376</v>
      </c>
    </row>
    <row r="2752" spans="1:8">
      <c r="A2752" s="40" t="s">
        <v>5954</v>
      </c>
      <c r="B2752" s="40" t="s">
        <v>5318</v>
      </c>
      <c r="C2752" s="357">
        <v>10</v>
      </c>
      <c r="D2752" s="1113">
        <f>ROUNDUP(F2752/0.6/120,2)</f>
        <v>2.5499999999999998</v>
      </c>
      <c r="E2752" s="360" t="s">
        <v>5542</v>
      </c>
      <c r="F2752" s="1560">
        <v>183</v>
      </c>
      <c r="G2752" s="1572">
        <f>(D2752-(F2752/H2752))/D2752</f>
        <v>0.40196078431372551</v>
      </c>
      <c r="H2752" s="1526">
        <v>120</v>
      </c>
    </row>
    <row r="2753" spans="1:8">
      <c r="A2753" s="40" t="s">
        <v>5897</v>
      </c>
      <c r="B2753" s="40" t="s">
        <v>5960</v>
      </c>
      <c r="C2753" s="357" t="s">
        <v>5569</v>
      </c>
      <c r="D2753" s="1113">
        <f>ROUNDUP(F2753/0.6/120,2)</f>
        <v>3.8</v>
      </c>
      <c r="E2753" s="1412" t="s">
        <v>1893</v>
      </c>
      <c r="F2753" s="1560">
        <f>183+90</f>
        <v>273</v>
      </c>
      <c r="G2753" s="1572">
        <f>(D2753-(F2753/H2753))/D2753</f>
        <v>0.40131578947368418</v>
      </c>
      <c r="H2753" s="1526">
        <v>120</v>
      </c>
    </row>
    <row r="2754" spans="1:8">
      <c r="A2754" s="40" t="s">
        <v>5954</v>
      </c>
      <c r="B2754" s="40" t="s">
        <v>5961</v>
      </c>
      <c r="C2754" s="357" t="s">
        <v>5955</v>
      </c>
      <c r="D2754" s="1113">
        <f>ROUNDUP(F2754/0.6/120,2)</f>
        <v>3.5199999999999996</v>
      </c>
      <c r="E2754" s="1412" t="s">
        <v>1893</v>
      </c>
      <c r="F2754" s="1560">
        <v>253</v>
      </c>
      <c r="G2754" s="1572">
        <f>(D2754-(F2754/H2754))/D2754</f>
        <v>0.40104166666666657</v>
      </c>
      <c r="H2754" s="1526">
        <v>120</v>
      </c>
    </row>
    <row r="2755" spans="1:8">
      <c r="A2755" s="40"/>
      <c r="B2755" s="40"/>
      <c r="C2755" s="357"/>
      <c r="D2755" s="1113"/>
      <c r="E2755" s="1412"/>
      <c r="F2755" s="1560"/>
      <c r="G2755" s="1570"/>
      <c r="H2755" s="194"/>
    </row>
    <row r="2756" spans="1:8" s="352" customFormat="1">
      <c r="A2756" s="40" t="s">
        <v>5957</v>
      </c>
      <c r="B2756" s="40" t="s">
        <v>5318</v>
      </c>
      <c r="C2756" s="357">
        <v>10</v>
      </c>
      <c r="D2756" s="1113">
        <f>ROUNDUP(F2756/0.6/120,2)</f>
        <v>2.4499999999999997</v>
      </c>
      <c r="E2756" s="1412" t="s">
        <v>5586</v>
      </c>
      <c r="F2756" s="386">
        <v>176</v>
      </c>
      <c r="G2756" s="1189">
        <f>(D2756-(F2756/H2756))/D2756</f>
        <v>0.40136054421768708</v>
      </c>
      <c r="H2756" s="194">
        <v>120</v>
      </c>
    </row>
    <row r="2757" spans="1:8" s="352" customFormat="1">
      <c r="A2757" s="40" t="s">
        <v>5680</v>
      </c>
      <c r="B2757" s="40" t="s">
        <v>5960</v>
      </c>
      <c r="C2757" s="357" t="s">
        <v>5569</v>
      </c>
      <c r="D2757" s="1113">
        <f>ROUNDUP(F2757/0.6/120,2)</f>
        <v>3.6999999999999997</v>
      </c>
      <c r="E2757" s="1412" t="s">
        <v>1893</v>
      </c>
      <c r="F2757" s="386">
        <f>176+90</f>
        <v>266</v>
      </c>
      <c r="G2757" s="1189">
        <f>(D2757-(F2757/H2757))/D2757</f>
        <v>0.4009009009009008</v>
      </c>
      <c r="H2757" s="194">
        <v>120</v>
      </c>
    </row>
    <row r="2758" spans="1:8">
      <c r="A2758" s="40" t="s">
        <v>5680</v>
      </c>
      <c r="B2758" s="40" t="s">
        <v>5961</v>
      </c>
      <c r="C2758" s="357" t="s">
        <v>5955</v>
      </c>
      <c r="D2758" s="1113">
        <f>ROUNDUP(F2758/0.6/120,2)</f>
        <v>3.5599999999999996</v>
      </c>
      <c r="E2758" s="1412" t="s">
        <v>1893</v>
      </c>
      <c r="F2758" s="1560">
        <v>256</v>
      </c>
      <c r="G2758" s="1572">
        <f>(D2758-(F2758/H2758))/D2758</f>
        <v>0.40074906367041191</v>
      </c>
      <c r="H2758" s="1526">
        <v>120</v>
      </c>
    </row>
    <row r="2759" spans="1:8">
      <c r="A2759" s="40"/>
      <c r="B2759" s="40"/>
      <c r="C2759" s="357"/>
      <c r="D2759" s="1113"/>
      <c r="E2759" s="1412"/>
      <c r="F2759" s="1560"/>
      <c r="G2759" s="1572"/>
      <c r="H2759" s="1526"/>
    </row>
    <row r="2760" spans="1:8">
      <c r="A2760" s="40" t="s">
        <v>5958</v>
      </c>
      <c r="B2760" s="40" t="s">
        <v>5318</v>
      </c>
      <c r="C2760" s="357">
        <v>10</v>
      </c>
      <c r="D2760" s="1113">
        <f>ROUNDUP(F2760/0.6/120,2)</f>
        <v>1.98</v>
      </c>
      <c r="E2760" s="360" t="s">
        <v>2158</v>
      </c>
      <c r="F2760" s="1560">
        <v>142</v>
      </c>
      <c r="G2760" s="1572">
        <f>(D2760-(F2760/H2760))/D2760</f>
        <v>0.40235690235690236</v>
      </c>
      <c r="H2760" s="1526">
        <v>120</v>
      </c>
    </row>
    <row r="2761" spans="1:8">
      <c r="A2761" s="40" t="s">
        <v>5764</v>
      </c>
      <c r="B2761" s="40" t="s">
        <v>5960</v>
      </c>
      <c r="C2761" s="357" t="s">
        <v>5569</v>
      </c>
      <c r="D2761" s="1113">
        <f>ROUNDUP(F2761/0.6/120,2)</f>
        <v>3.09</v>
      </c>
      <c r="E2761" s="1412" t="s">
        <v>1893</v>
      </c>
      <c r="F2761" s="1560">
        <f>142+80</f>
        <v>222</v>
      </c>
      <c r="G2761" s="1572">
        <f>(D2761-(F2761/H2761))/D2761</f>
        <v>0.40129449838187697</v>
      </c>
      <c r="H2761" s="1526">
        <v>120</v>
      </c>
    </row>
    <row r="2762" spans="1:8">
      <c r="A2762" s="40" t="s">
        <v>5764</v>
      </c>
      <c r="B2762" s="40" t="s">
        <v>5961</v>
      </c>
      <c r="C2762" s="357" t="s">
        <v>5955</v>
      </c>
      <c r="D2762" s="1113">
        <f>ROUNDUP(F2762/0.6/120,2)</f>
        <v>2.9499999999999997</v>
      </c>
      <c r="E2762" s="1412" t="s">
        <v>1893</v>
      </c>
      <c r="F2762" s="1560">
        <v>212</v>
      </c>
      <c r="G2762" s="1572">
        <f>(D2762-(F2762/H2762))/D2762</f>
        <v>0.40112994350282483</v>
      </c>
      <c r="H2762" s="1526">
        <v>120</v>
      </c>
    </row>
    <row r="2763" spans="1:8">
      <c r="A2763" s="40"/>
      <c r="B2763" s="40"/>
      <c r="C2763" s="357"/>
      <c r="D2763" s="1113"/>
      <c r="E2763" s="1412"/>
      <c r="F2763" s="1560"/>
      <c r="G2763" s="1572"/>
      <c r="H2763" s="1526"/>
    </row>
    <row r="2764" spans="1:8">
      <c r="A2764" s="40" t="s">
        <v>5997</v>
      </c>
      <c r="B2764" s="40" t="s">
        <v>5962</v>
      </c>
      <c r="C2764" s="357" t="s">
        <v>5959</v>
      </c>
      <c r="D2764" s="1113">
        <v>65</v>
      </c>
      <c r="E2764" s="360" t="s">
        <v>1893</v>
      </c>
      <c r="F2764" s="1560">
        <v>6000</v>
      </c>
      <c r="G2764" s="1572">
        <f>(D2764-(F2764/H2764))/D2764</f>
        <v>0.23076923076923078</v>
      </c>
      <c r="H2764" s="1526">
        <v>120</v>
      </c>
    </row>
    <row r="2765" spans="1:8">
      <c r="A2765" s="40" t="s">
        <v>5997</v>
      </c>
      <c r="B2765" s="40" t="s">
        <v>5318</v>
      </c>
      <c r="C2765" s="357" t="s">
        <v>5955</v>
      </c>
      <c r="D2765" s="1113">
        <f>ROUNDUP(F2765/0.6/120,2)</f>
        <v>2.5</v>
      </c>
      <c r="E2765" s="360" t="s">
        <v>1893</v>
      </c>
      <c r="F2765" s="1560">
        <v>180</v>
      </c>
      <c r="G2765" s="1572">
        <f>(D2765-(F2765/H2765))/D2765</f>
        <v>0.4</v>
      </c>
      <c r="H2765" s="1526">
        <v>120</v>
      </c>
    </row>
    <row r="2766" spans="1:8">
      <c r="A2766" s="40" t="s">
        <v>5997</v>
      </c>
      <c r="B2766" s="40" t="s">
        <v>5961</v>
      </c>
      <c r="C2766" s="357" t="s">
        <v>5955</v>
      </c>
      <c r="D2766" s="1113">
        <f>ROUNDUP(F2766/0.6/120,2)</f>
        <v>3.48</v>
      </c>
      <c r="E2766" s="1412" t="s">
        <v>1893</v>
      </c>
      <c r="F2766" s="1560">
        <v>250</v>
      </c>
      <c r="G2766" s="1572">
        <f>(D2766-(F2766/H2766))/D2766</f>
        <v>0.40134099616858232</v>
      </c>
      <c r="H2766" s="1526">
        <v>120</v>
      </c>
    </row>
    <row r="2770" spans="1:6" ht="15.75">
      <c r="A2770" s="76" t="s">
        <v>6000</v>
      </c>
      <c r="B2770" s="1145" t="s">
        <v>179</v>
      </c>
      <c r="C2770" s="1145" t="s">
        <v>99</v>
      </c>
      <c r="D2770" s="1145" t="s">
        <v>37</v>
      </c>
      <c r="E2770" s="1405" t="s">
        <v>4535</v>
      </c>
      <c r="F2770" s="1405" t="s">
        <v>5491</v>
      </c>
    </row>
    <row r="2771" spans="1:6" ht="15.75">
      <c r="A2771" s="76"/>
      <c r="B2771" s="1145"/>
      <c r="C2771" s="1145"/>
      <c r="D2771" s="1145"/>
      <c r="E2771" s="1586" t="s">
        <v>5</v>
      </c>
      <c r="F2771" s="1405"/>
    </row>
    <row r="2772" spans="1:6" ht="15.75">
      <c r="A2772" s="28" t="s">
        <v>6001</v>
      </c>
      <c r="B2772" s="22" t="s">
        <v>5957</v>
      </c>
      <c r="C2772" s="22" t="s">
        <v>5961</v>
      </c>
      <c r="D2772" s="94">
        <v>10</v>
      </c>
      <c r="E2772" s="137">
        <v>3.56</v>
      </c>
      <c r="F2772" s="137">
        <f>E2772*D2772</f>
        <v>35.6</v>
      </c>
    </row>
    <row r="2773" spans="1:6" ht="15.75">
      <c r="A2773" s="28" t="s">
        <v>6001</v>
      </c>
      <c r="B2773" s="22"/>
      <c r="C2773" s="22"/>
      <c r="D2773" s="27"/>
      <c r="E2773" s="1583"/>
      <c r="F2773" s="1584"/>
    </row>
    <row r="2774" spans="1:6" ht="15.75">
      <c r="A2774" s="28" t="s">
        <v>6001</v>
      </c>
      <c r="B2774" s="22" t="s">
        <v>5764</v>
      </c>
      <c r="C2774" s="22" t="s">
        <v>5961</v>
      </c>
      <c r="D2774" s="94">
        <v>20</v>
      </c>
      <c r="E2774" s="137">
        <v>2.9499999999999997</v>
      </c>
      <c r="F2774" s="137">
        <f>E2774*D2774</f>
        <v>58.999999999999993</v>
      </c>
    </row>
    <row r="2775" spans="1:6" ht="15.75">
      <c r="A2775" s="28" t="s">
        <v>6001</v>
      </c>
      <c r="B2775" s="22"/>
      <c r="C2775" s="49"/>
      <c r="D2775" s="27"/>
      <c r="E2775" s="1585"/>
      <c r="F2775" s="1584"/>
    </row>
    <row r="2776" spans="1:6" ht="15.75">
      <c r="A2776" s="28" t="s">
        <v>6001</v>
      </c>
      <c r="B2776" s="22" t="s">
        <v>5954</v>
      </c>
      <c r="C2776" s="22" t="s">
        <v>5961</v>
      </c>
      <c r="D2776" s="94">
        <v>10</v>
      </c>
      <c r="E2776" s="137">
        <v>3.5199999999999996</v>
      </c>
      <c r="F2776" s="137">
        <f>E2776*D2776</f>
        <v>35.199999999999996</v>
      </c>
    </row>
    <row r="2777" spans="1:6" ht="15.75">
      <c r="A2777" s="28" t="s">
        <v>6001</v>
      </c>
      <c r="B2777" s="40" t="s">
        <v>5997</v>
      </c>
      <c r="C2777" s="22" t="s">
        <v>5961</v>
      </c>
      <c r="D2777" s="94">
        <v>20</v>
      </c>
      <c r="E2777" s="137">
        <v>3.48</v>
      </c>
      <c r="F2777" s="137">
        <f>E2777*D2777</f>
        <v>69.599999999999994</v>
      </c>
    </row>
    <row r="2778" spans="1:6" ht="15.75">
      <c r="A2778" s="28" t="s">
        <v>6001</v>
      </c>
      <c r="B2778" s="22"/>
      <c r="C2778" s="22" t="s">
        <v>5998</v>
      </c>
      <c r="D2778" s="1582">
        <v>4</v>
      </c>
      <c r="E2778" s="137">
        <v>65</v>
      </c>
      <c r="F2778" s="137">
        <f>E2778*D2778</f>
        <v>260</v>
      </c>
    </row>
    <row r="2779" spans="1:6" ht="15.75">
      <c r="A2779" s="28" t="s">
        <v>6001</v>
      </c>
      <c r="B2779" s="22"/>
      <c r="C2779" s="22" t="s">
        <v>316</v>
      </c>
      <c r="D2779" s="1582">
        <v>1</v>
      </c>
      <c r="E2779" s="137">
        <v>12</v>
      </c>
      <c r="F2779" s="137">
        <f>E2779*D2779</f>
        <v>12</v>
      </c>
    </row>
    <row r="2780" spans="1:6" ht="15.75">
      <c r="A2780" s="76" t="s">
        <v>6000</v>
      </c>
      <c r="B2780" s="1145" t="s">
        <v>179</v>
      </c>
      <c r="C2780" s="1145" t="s">
        <v>99</v>
      </c>
      <c r="D2780" s="1145" t="s">
        <v>37</v>
      </c>
      <c r="E2780" s="1405" t="s">
        <v>4535</v>
      </c>
      <c r="F2780" s="1405" t="s">
        <v>5491</v>
      </c>
    </row>
    <row r="2781" spans="1:6" ht="15.75">
      <c r="A2781" s="28" t="s">
        <v>6002</v>
      </c>
      <c r="B2781" s="22"/>
      <c r="C2781" s="22"/>
      <c r="D2781" s="94"/>
      <c r="E2781" s="1586" t="s">
        <v>5</v>
      </c>
      <c r="F2781" s="137"/>
    </row>
    <row r="2782" spans="1:6" ht="15.75">
      <c r="A2782" s="28" t="s">
        <v>6002</v>
      </c>
      <c r="B2782" s="22" t="s">
        <v>5957</v>
      </c>
      <c r="C2782" s="22" t="s">
        <v>5961</v>
      </c>
      <c r="D2782" s="94">
        <v>50</v>
      </c>
      <c r="E2782" s="137">
        <v>3.56</v>
      </c>
      <c r="F2782" s="137">
        <f>E2782*D2782</f>
        <v>178</v>
      </c>
    </row>
    <row r="2783" spans="1:6" ht="15.75">
      <c r="A2783" s="28" t="s">
        <v>6002</v>
      </c>
      <c r="B2783" s="22"/>
      <c r="C2783" s="22"/>
      <c r="D2783" s="27"/>
      <c r="E2783" s="1583"/>
      <c r="F2783" s="1584"/>
    </row>
    <row r="2784" spans="1:6" ht="15.75">
      <c r="A2784" s="28" t="s">
        <v>6002</v>
      </c>
      <c r="B2784" s="22" t="s">
        <v>5764</v>
      </c>
      <c r="C2784" s="22" t="s">
        <v>5961</v>
      </c>
      <c r="D2784" s="94">
        <v>80</v>
      </c>
      <c r="E2784" s="137">
        <v>2.9499999999999997</v>
      </c>
      <c r="F2784" s="137">
        <f>E2784*D2784</f>
        <v>235.99999999999997</v>
      </c>
    </row>
    <row r="2785" spans="1:6" ht="15.75">
      <c r="A2785" s="28" t="s">
        <v>6002</v>
      </c>
      <c r="B2785" s="22"/>
      <c r="C2785" s="49"/>
      <c r="D2785" s="27"/>
      <c r="E2785" s="1585"/>
      <c r="F2785" s="1584"/>
    </row>
    <row r="2786" spans="1:6" ht="15.75">
      <c r="A2786" s="28" t="s">
        <v>6002</v>
      </c>
      <c r="B2786" s="22" t="s">
        <v>5954</v>
      </c>
      <c r="C2786" s="22" t="s">
        <v>5961</v>
      </c>
      <c r="D2786" s="94">
        <v>50</v>
      </c>
      <c r="E2786" s="137">
        <v>3.5199999999999996</v>
      </c>
      <c r="F2786" s="137">
        <f>E2786*D2786</f>
        <v>175.99999999999997</v>
      </c>
    </row>
    <row r="2787" spans="1:6" ht="15.75">
      <c r="A2787" s="28" t="s">
        <v>6002</v>
      </c>
      <c r="B2787" s="40" t="s">
        <v>5997</v>
      </c>
      <c r="C2787" s="22" t="s">
        <v>5961</v>
      </c>
      <c r="D2787" s="94">
        <v>180</v>
      </c>
      <c r="E2787" s="137">
        <v>3.48</v>
      </c>
      <c r="F2787" s="137">
        <f>E2787*D2787</f>
        <v>626.4</v>
      </c>
    </row>
    <row r="2790" spans="1:6">
      <c r="B2790" s="1145" t="s">
        <v>179</v>
      </c>
      <c r="C2790" s="1145" t="s">
        <v>99</v>
      </c>
      <c r="D2790" s="1145" t="s">
        <v>37</v>
      </c>
      <c r="E2790" s="1405" t="s">
        <v>4535</v>
      </c>
      <c r="F2790" s="1405" t="s">
        <v>5491</v>
      </c>
    </row>
    <row r="2791" spans="1:6" ht="15">
      <c r="B2791" s="1145"/>
      <c r="C2791" s="1145"/>
      <c r="D2791" s="1145"/>
      <c r="E2791" s="1586" t="s">
        <v>5</v>
      </c>
      <c r="F2791" s="1405"/>
    </row>
    <row r="2792" spans="1:6" ht="15">
      <c r="A2792" s="6" t="s">
        <v>6003</v>
      </c>
      <c r="B2792" s="1106" t="s">
        <v>5997</v>
      </c>
      <c r="C2792" s="40" t="s">
        <v>5318</v>
      </c>
      <c r="D2792" s="357">
        <v>20</v>
      </c>
      <c r="E2792" s="1113">
        <v>2.5</v>
      </c>
      <c r="F2792" s="1113">
        <f>E2792*D2792</f>
        <v>50</v>
      </c>
    </row>
    <row r="2793" spans="1:6" ht="15">
      <c r="A2793" s="6" t="s">
        <v>6003</v>
      </c>
      <c r="B2793" s="1106" t="s">
        <v>5997</v>
      </c>
      <c r="C2793" s="40" t="s">
        <v>5964</v>
      </c>
      <c r="D2793" s="357">
        <v>20</v>
      </c>
      <c r="E2793" s="1113">
        <v>3.48</v>
      </c>
      <c r="F2793" s="1113">
        <f>E2793*D2793</f>
        <v>69.599999999999994</v>
      </c>
    </row>
    <row r="2794" spans="1:6" ht="15">
      <c r="A2794" s="6"/>
      <c r="B2794" s="1106"/>
      <c r="C2794" s="40"/>
      <c r="D2794" s="357"/>
      <c r="E2794" s="1113"/>
      <c r="F2794" s="1113"/>
    </row>
    <row r="2795" spans="1:6" ht="15">
      <c r="A2795" s="6" t="s">
        <v>6003</v>
      </c>
      <c r="B2795" s="1106" t="s">
        <v>6004</v>
      </c>
      <c r="C2795" s="40"/>
      <c r="D2795" s="357"/>
      <c r="E2795" s="1587" t="s">
        <v>102</v>
      </c>
      <c r="F2795" s="1113"/>
    </row>
    <row r="2796" spans="1:6" ht="15">
      <c r="A2796" s="6" t="s">
        <v>6003</v>
      </c>
      <c r="B2796" s="1106" t="s">
        <v>5997</v>
      </c>
      <c r="C2796" s="40" t="s">
        <v>5318</v>
      </c>
      <c r="D2796" s="353">
        <v>1</v>
      </c>
      <c r="E2796" s="1113">
        <v>65</v>
      </c>
      <c r="F2796" s="1113">
        <f>E2796*D2796</f>
        <v>65</v>
      </c>
    </row>
    <row r="2797" spans="1:6" ht="15">
      <c r="A2797" s="6" t="s">
        <v>6003</v>
      </c>
      <c r="B2797" s="1106" t="s">
        <v>5997</v>
      </c>
      <c r="C2797" s="40" t="s">
        <v>5964</v>
      </c>
      <c r="D2797" s="353">
        <v>1</v>
      </c>
      <c r="E2797" s="1113">
        <v>65</v>
      </c>
      <c r="F2797" s="1113">
        <f>E2797*D2797</f>
        <v>65</v>
      </c>
    </row>
    <row r="2802" spans="1:7">
      <c r="A2802" s="1145" t="s">
        <v>179</v>
      </c>
      <c r="B2802" s="1145" t="s">
        <v>169</v>
      </c>
      <c r="C2802" s="1145" t="s">
        <v>99</v>
      </c>
      <c r="D2802" s="354" t="s">
        <v>245</v>
      </c>
      <c r="E2802" s="354" t="s">
        <v>270</v>
      </c>
      <c r="F2802" s="354" t="s">
        <v>271</v>
      </c>
      <c r="G2802" s="1405" t="s">
        <v>4535</v>
      </c>
    </row>
    <row r="2803" spans="1:7">
      <c r="A2803" s="40">
        <v>14552</v>
      </c>
      <c r="B2803" s="41">
        <v>10</v>
      </c>
      <c r="C2803" s="40" t="s">
        <v>6009</v>
      </c>
      <c r="D2803" s="355">
        <v>30</v>
      </c>
      <c r="E2803" s="356">
        <v>2</v>
      </c>
      <c r="F2803" s="357">
        <f>D2803*E2803</f>
        <v>60</v>
      </c>
      <c r="G2803" s="1113">
        <v>0.77</v>
      </c>
    </row>
    <row r="2804" spans="1:7">
      <c r="A2804" s="40">
        <v>14552</v>
      </c>
      <c r="B2804" s="41">
        <v>10</v>
      </c>
      <c r="C2804" s="40" t="s">
        <v>6008</v>
      </c>
      <c r="D2804" s="355">
        <v>30</v>
      </c>
      <c r="E2804" s="356">
        <v>2</v>
      </c>
      <c r="F2804" s="357">
        <f>D2804*E2804</f>
        <v>60</v>
      </c>
      <c r="G2804" s="1113">
        <v>0.77</v>
      </c>
    </row>
    <row r="2805" spans="1:7">
      <c r="A2805" s="40"/>
      <c r="B2805" s="1195"/>
      <c r="C2805" s="165" t="s">
        <v>316</v>
      </c>
      <c r="D2805" s="357"/>
      <c r="E2805" s="1107"/>
      <c r="F2805" s="353">
        <v>1</v>
      </c>
      <c r="G2805" s="1113">
        <v>12</v>
      </c>
    </row>
    <row r="2811" spans="1:7">
      <c r="A2811" s="1588" t="s">
        <v>6012</v>
      </c>
    </row>
    <row r="2812" spans="1:7">
      <c r="A2812" s="1589" t="s">
        <v>6013</v>
      </c>
    </row>
    <row r="2813" spans="1:7">
      <c r="A2813" s="1589" t="s">
        <v>6014</v>
      </c>
    </row>
    <row r="2814" spans="1:7">
      <c r="A2814" s="1589" t="s">
        <v>6015</v>
      </c>
    </row>
    <row r="2815" spans="1:7">
      <c r="A2815" s="1589" t="s">
        <v>6016</v>
      </c>
    </row>
    <row r="2816" spans="1:7">
      <c r="A2816" s="1589" t="s">
        <v>6017</v>
      </c>
    </row>
    <row r="2817" spans="1:1">
      <c r="A2817" s="1589"/>
    </row>
    <row r="2818" spans="1:1">
      <c r="A2818" s="1590" t="s">
        <v>6018</v>
      </c>
    </row>
    <row r="2819" spans="1:1">
      <c r="A2819" s="1589" t="s">
        <v>6019</v>
      </c>
    </row>
    <row r="2820" spans="1:1">
      <c r="A2820" s="1589" t="s">
        <v>6020</v>
      </c>
    </row>
    <row r="2821" spans="1:1">
      <c r="A2821" s="1589" t="s">
        <v>6021</v>
      </c>
    </row>
    <row r="2822" spans="1:1">
      <c r="A2822" s="1589" t="s">
        <v>6022</v>
      </c>
    </row>
    <row r="2823" spans="1:1">
      <c r="A2823" s="1589"/>
    </row>
    <row r="2824" spans="1:1">
      <c r="A2824" s="1590" t="s">
        <v>6023</v>
      </c>
    </row>
    <row r="2825" spans="1:1">
      <c r="A2825" s="1589" t="s">
        <v>6024</v>
      </c>
    </row>
    <row r="2826" spans="1:1">
      <c r="A2826" s="1589" t="s">
        <v>6011</v>
      </c>
    </row>
    <row r="2827" spans="1:1">
      <c r="A2827" s="1589" t="s">
        <v>6025</v>
      </c>
    </row>
    <row r="2828" spans="1:1">
      <c r="A2828" s="1589" t="s">
        <v>6026</v>
      </c>
    </row>
    <row r="2832" spans="1:1">
      <c r="A2832" t="s">
        <v>6032</v>
      </c>
    </row>
    <row r="2833" spans="1:18" s="1163" customFormat="1" ht="17.100000000000001" customHeight="1">
      <c r="A2833" s="1871" t="s">
        <v>5402</v>
      </c>
      <c r="B2833" s="1872" t="s">
        <v>6027</v>
      </c>
      <c r="C2833" s="1591" t="s">
        <v>6078</v>
      </c>
      <c r="D2833" s="1591"/>
      <c r="E2833" s="1591"/>
      <c r="F2833" s="1591"/>
      <c r="G2833" s="1873" t="s">
        <v>6028</v>
      </c>
      <c r="H2833" s="1602"/>
      <c r="I2833" s="1602"/>
      <c r="J2833" s="1874" t="s">
        <v>6029</v>
      </c>
      <c r="K2833" s="1874" t="s">
        <v>4063</v>
      </c>
      <c r="L2833" s="1869" t="s">
        <v>5403</v>
      </c>
      <c r="M2833" s="1870" t="s">
        <v>375</v>
      </c>
    </row>
    <row r="2834" spans="1:18" s="1163" customFormat="1" ht="17.100000000000001" customHeight="1">
      <c r="A2834" s="1871"/>
      <c r="B2834" s="1872"/>
      <c r="C2834" s="1593" t="s">
        <v>6079</v>
      </c>
      <c r="D2834" s="1593" t="s">
        <v>6080</v>
      </c>
      <c r="E2834" s="1593" t="s">
        <v>6081</v>
      </c>
      <c r="F2834" s="1593" t="s">
        <v>6082</v>
      </c>
      <c r="G2834" s="1873"/>
      <c r="H2834" s="1603" t="s">
        <v>6030</v>
      </c>
      <c r="I2834" s="1603" t="s">
        <v>6031</v>
      </c>
      <c r="J2834" s="1874"/>
      <c r="K2834" s="1874"/>
      <c r="L2834" s="1869"/>
      <c r="M2834" s="1870"/>
    </row>
    <row r="2835" spans="1:18" s="1163" customFormat="1" ht="17.100000000000001" customHeight="1">
      <c r="A2835" s="1599" t="s">
        <v>6083</v>
      </c>
      <c r="B2835" s="1592"/>
      <c r="C2835" s="1593"/>
      <c r="D2835" s="1593"/>
      <c r="E2835" s="1593"/>
      <c r="F2835" s="1593"/>
      <c r="G2835" s="1601"/>
      <c r="H2835" s="1603"/>
      <c r="I2835" s="1603"/>
      <c r="J2835" s="1603"/>
      <c r="K2835" s="1603"/>
      <c r="L2835" s="1604"/>
      <c r="M2835" s="1598"/>
    </row>
    <row r="2836" spans="1:18" s="1163" customFormat="1" ht="17.100000000000001" customHeight="1">
      <c r="A2836" s="1594" t="s">
        <v>6033</v>
      </c>
      <c r="B2836" s="1594" t="s">
        <v>6034</v>
      </c>
      <c r="C2836" s="1595">
        <v>42.836327999999995</v>
      </c>
      <c r="D2836" s="1595">
        <v>41.996399999999994</v>
      </c>
      <c r="E2836" s="1595">
        <v>38.636687999999999</v>
      </c>
      <c r="F2836" s="1595">
        <v>36.956831999999999</v>
      </c>
      <c r="G2836" s="1605">
        <v>5.8</v>
      </c>
      <c r="H2836" s="1605"/>
      <c r="I2836" s="1605"/>
      <c r="J2836" s="1605">
        <v>406</v>
      </c>
      <c r="K2836" s="1605">
        <v>34.799999999999997</v>
      </c>
      <c r="L2836" s="1605">
        <v>116.10000000000001</v>
      </c>
      <c r="M2836" s="1611" t="s">
        <v>6035</v>
      </c>
    </row>
    <row r="2837" spans="1:18" s="1163" customFormat="1" ht="17.100000000000001" customHeight="1">
      <c r="A2837" s="1596" t="s">
        <v>6036</v>
      </c>
      <c r="B2837" s="1589" t="s">
        <v>6037</v>
      </c>
      <c r="C2837" s="1595">
        <v>43.138502999999993</v>
      </c>
      <c r="D2837" s="1595">
        <v>42.292649999999995</v>
      </c>
      <c r="E2837" s="1595">
        <v>38.909237999999995</v>
      </c>
      <c r="F2837" s="1595">
        <v>37.217531999999999</v>
      </c>
      <c r="G2837" s="1606">
        <v>5.8</v>
      </c>
      <c r="H2837" s="1606">
        <v>5.8</v>
      </c>
      <c r="I2837" s="1606">
        <v>34.799999999999997</v>
      </c>
      <c r="J2837" s="1606">
        <v>348</v>
      </c>
      <c r="K2837" s="1606">
        <v>34.799999999999997</v>
      </c>
      <c r="L2837" s="1607">
        <v>117.10000000000001</v>
      </c>
      <c r="M2837" s="1612" t="s">
        <v>6038</v>
      </c>
    </row>
    <row r="2838" spans="1:18" s="1163" customFormat="1" ht="17.100000000000001" customHeight="1">
      <c r="A2838" s="1597" t="s">
        <v>6039</v>
      </c>
      <c r="B2838" s="1589" t="s">
        <v>6040</v>
      </c>
      <c r="C2838" s="1595">
        <v>17.143394999999998</v>
      </c>
      <c r="D2838" s="1595">
        <v>15.503591999999999</v>
      </c>
      <c r="E2838" s="1595">
        <v>15.205446</v>
      </c>
      <c r="F2838" s="1595">
        <v>14.907299999999999</v>
      </c>
      <c r="G2838" s="1608">
        <v>5.2</v>
      </c>
      <c r="H2838" s="1609">
        <v>873.6</v>
      </c>
      <c r="I2838" s="1609">
        <v>93.6</v>
      </c>
      <c r="J2838" s="1609">
        <v>873.6</v>
      </c>
      <c r="K2838" s="1609">
        <v>93.6</v>
      </c>
      <c r="L2838" s="1610">
        <v>39</v>
      </c>
      <c r="M2838" s="1613" t="s">
        <v>6041</v>
      </c>
    </row>
    <row r="2839" spans="1:18" s="1163" customFormat="1" ht="17.100000000000001" customHeight="1">
      <c r="A2839" s="1596" t="s">
        <v>6042</v>
      </c>
      <c r="B2839" s="1589"/>
      <c r="C2839" s="1595">
        <v>14.020919999999998</v>
      </c>
      <c r="D2839" s="1595">
        <v>12.852510000000001</v>
      </c>
      <c r="E2839" s="1595">
        <v>11.917781999999999</v>
      </c>
      <c r="F2839" s="1595">
        <v>11.800941</v>
      </c>
      <c r="G2839" s="1606"/>
      <c r="H2839" s="1606"/>
      <c r="I2839" s="1606"/>
      <c r="J2839" s="1606">
        <v>1500</v>
      </c>
      <c r="K2839" s="1606">
        <v>146</v>
      </c>
      <c r="L2839" s="1607">
        <v>28</v>
      </c>
      <c r="M2839" s="1612" t="s">
        <v>5406</v>
      </c>
    </row>
    <row r="2840" spans="1:18" s="1163" customFormat="1" ht="17.100000000000001" customHeight="1">
      <c r="A2840" s="1594" t="s">
        <v>6043</v>
      </c>
      <c r="B2840" s="1594"/>
      <c r="C2840" s="1595">
        <v>57.473684999999996</v>
      </c>
      <c r="D2840" s="1595">
        <v>56.346749999999993</v>
      </c>
      <c r="E2840" s="1595">
        <v>51.839009999999995</v>
      </c>
      <c r="F2840" s="1595">
        <v>49.585139999999996</v>
      </c>
      <c r="G2840" s="1605"/>
      <c r="H2840" s="1605"/>
      <c r="I2840" s="1605"/>
      <c r="J2840" s="1605">
        <v>300</v>
      </c>
      <c r="K2840" s="1605">
        <v>31.2</v>
      </c>
      <c r="L2840" s="1605">
        <v>149</v>
      </c>
      <c r="M2840" s="1611" t="s">
        <v>6044</v>
      </c>
    </row>
    <row r="2841" spans="1:18" s="1163" customFormat="1" ht="17.100000000000001" customHeight="1">
      <c r="A2841" s="1596" t="s">
        <v>6045</v>
      </c>
      <c r="B2841" s="1589" t="s">
        <v>6046</v>
      </c>
      <c r="C2841" s="1595">
        <v>42.026499000000008</v>
      </c>
      <c r="D2841" s="1595">
        <v>41.202450000000006</v>
      </c>
      <c r="E2841" s="1595">
        <v>37.906254000000004</v>
      </c>
      <c r="F2841" s="1595">
        <v>36.258156000000007</v>
      </c>
      <c r="G2841" s="1606">
        <v>5.8</v>
      </c>
      <c r="H2841" s="1606">
        <v>5.8</v>
      </c>
      <c r="I2841" s="1606">
        <v>34.799999999999997</v>
      </c>
      <c r="J2841" s="1606">
        <v>394.4</v>
      </c>
      <c r="K2841" s="1606">
        <v>34.799999999999997</v>
      </c>
      <c r="L2841" s="1607">
        <v>114.7</v>
      </c>
      <c r="M2841" s="1612" t="s">
        <v>6038</v>
      </c>
    </row>
    <row r="2842" spans="1:18" s="1163" customFormat="1" ht="17.100000000000001" customHeight="1">
      <c r="A2842" s="1596" t="s">
        <v>6047</v>
      </c>
      <c r="B2842" s="1589" t="s">
        <v>6048</v>
      </c>
      <c r="C2842" s="1595">
        <v>43.573634999999996</v>
      </c>
      <c r="D2842" s="1595">
        <v>42.719249999999995</v>
      </c>
      <c r="E2842" s="1595">
        <v>39.30171</v>
      </c>
      <c r="F2842" s="1595">
        <v>37.592939999999999</v>
      </c>
      <c r="G2842" s="1606">
        <v>5.8</v>
      </c>
      <c r="H2842" s="1606">
        <v>5.8</v>
      </c>
      <c r="I2842" s="1606">
        <v>34.799999999999997</v>
      </c>
      <c r="J2842" s="1606">
        <v>417.6</v>
      </c>
      <c r="K2842" s="1606">
        <v>34.799999999999997</v>
      </c>
      <c r="L2842" s="1607">
        <v>121.60000000000001</v>
      </c>
      <c r="M2842" s="1612" t="s">
        <v>5406</v>
      </c>
    </row>
    <row r="2843" spans="1:18" s="1163" customFormat="1" ht="17.100000000000001" customHeight="1">
      <c r="A2843" s="1596" t="s">
        <v>6049</v>
      </c>
      <c r="B2843" s="1589" t="s">
        <v>6050</v>
      </c>
      <c r="C2843" s="1595">
        <v>45.144945000000007</v>
      </c>
      <c r="D2843" s="1595">
        <v>44.259750000000004</v>
      </c>
      <c r="E2843" s="1595">
        <v>40.718970000000006</v>
      </c>
      <c r="F2843" s="1595">
        <v>38.948580000000007</v>
      </c>
      <c r="G2843" s="1606">
        <v>5.2</v>
      </c>
      <c r="H2843" s="1606">
        <v>5.2</v>
      </c>
      <c r="I2843" s="1606">
        <v>31.2</v>
      </c>
      <c r="J2843" s="1606">
        <v>280.8</v>
      </c>
      <c r="K2843" s="1606">
        <v>31.2</v>
      </c>
      <c r="L2843" s="1607">
        <v>128.4</v>
      </c>
      <c r="M2843" s="1612" t="s">
        <v>6035</v>
      </c>
    </row>
    <row r="2844" spans="1:18" s="1163" customFormat="1" ht="17.100000000000001" customHeight="1">
      <c r="A2844" s="1596" t="s">
        <v>6051</v>
      </c>
      <c r="B2844" s="1589" t="s">
        <v>6052</v>
      </c>
      <c r="C2844" s="1595">
        <v>56.240811000000001</v>
      </c>
      <c r="D2844" s="1595">
        <v>55.13805</v>
      </c>
      <c r="E2844" s="1595">
        <v>50.727006000000003</v>
      </c>
      <c r="F2844" s="1595">
        <v>48.521484000000001</v>
      </c>
      <c r="G2844" s="1606">
        <v>5</v>
      </c>
      <c r="H2844" s="1606">
        <v>5</v>
      </c>
      <c r="I2844" s="1606">
        <v>30</v>
      </c>
      <c r="J2844" s="1606">
        <v>180</v>
      </c>
      <c r="K2844" s="1606">
        <v>30</v>
      </c>
      <c r="L2844" s="1607">
        <v>160.80000000000001</v>
      </c>
      <c r="M2844" s="1612" t="s">
        <v>6035</v>
      </c>
    </row>
    <row r="2845" spans="1:18" s="1163" customFormat="1" ht="17.100000000000001" customHeight="1">
      <c r="A2845" s="1596" t="s">
        <v>6053</v>
      </c>
      <c r="B2845" s="1589" t="s">
        <v>6054</v>
      </c>
      <c r="C2845" s="1595">
        <v>10.05354</v>
      </c>
      <c r="D2845" s="1595">
        <v>9.2157450000000019</v>
      </c>
      <c r="E2845" s="1595">
        <v>8.5455090000000009</v>
      </c>
      <c r="F2845" s="1595">
        <v>8.4617295000000006</v>
      </c>
      <c r="G2845" s="1608">
        <v>6.1</v>
      </c>
      <c r="H2845" s="1609">
        <v>1708</v>
      </c>
      <c r="I2845" s="1609">
        <v>183</v>
      </c>
      <c r="J2845" s="1609">
        <v>1708</v>
      </c>
      <c r="K2845" s="1609">
        <v>183</v>
      </c>
      <c r="L2845" s="1610">
        <v>20</v>
      </c>
      <c r="M2845" s="1613" t="s">
        <v>5406</v>
      </c>
    </row>
    <row r="2846" spans="1:18" s="1163" customFormat="1" ht="17.100000000000001" customHeight="1">
      <c r="A2846" s="1596" t="s">
        <v>6055</v>
      </c>
      <c r="B2846" s="1589" t="s">
        <v>6056</v>
      </c>
      <c r="C2846" s="1595">
        <v>11.432879999999997</v>
      </c>
      <c r="D2846" s="1595">
        <v>10.480139999999999</v>
      </c>
      <c r="E2846" s="1595">
        <v>9.717947999999998</v>
      </c>
      <c r="F2846" s="1595">
        <v>9.6226739999999982</v>
      </c>
      <c r="G2846" s="1606">
        <v>6.1</v>
      </c>
      <c r="H2846" s="1606">
        <v>1610.4</v>
      </c>
      <c r="I2846" s="1606">
        <v>146.4</v>
      </c>
      <c r="J2846" s="1606">
        <v>1610.4</v>
      </c>
      <c r="K2846" s="1606">
        <v>146.4</v>
      </c>
      <c r="L2846" s="1607">
        <v>22.200000000000003</v>
      </c>
      <c r="M2846" s="1612" t="s">
        <v>5406</v>
      </c>
    </row>
    <row r="2847" spans="1:18" s="1163" customFormat="1" ht="17.100000000000001" customHeight="1">
      <c r="A2847" s="1600" t="s">
        <v>6084</v>
      </c>
      <c r="B2847" s="1589"/>
      <c r="C2847" s="1589"/>
      <c r="D2847" s="1589"/>
      <c r="E2847" s="1589"/>
      <c r="F2847" s="1589"/>
      <c r="G2847" s="1606"/>
      <c r="H2847" s="1606"/>
      <c r="I2847" s="1606"/>
      <c r="J2847" s="1606"/>
      <c r="K2847" s="1606"/>
      <c r="L2847" s="1606"/>
      <c r="M2847" s="1612"/>
      <c r="N2847" s="1164"/>
      <c r="O2847" s="1164"/>
      <c r="P2847" s="1164"/>
      <c r="Q2847" s="1164"/>
      <c r="R2847" s="1164"/>
    </row>
    <row r="2848" spans="1:18" s="1163" customFormat="1" ht="17.100000000000001" customHeight="1">
      <c r="A2848" s="1594" t="s">
        <v>6057</v>
      </c>
      <c r="B2848" s="1594" t="s">
        <v>6058</v>
      </c>
      <c r="C2848" s="1595">
        <v>11.390219999999999</v>
      </c>
      <c r="D2848" s="1595">
        <v>10.441034999999999</v>
      </c>
      <c r="E2848" s="1595">
        <v>9.6816870000000002</v>
      </c>
      <c r="F2848" s="1595">
        <v>9.5867684999999998</v>
      </c>
      <c r="G2848" s="1605">
        <v>6.1</v>
      </c>
      <c r="H2848" s="1605"/>
      <c r="I2848" s="1605"/>
      <c r="J2848" s="1605">
        <v>1976.4</v>
      </c>
      <c r="K2848" s="1605">
        <v>219.6</v>
      </c>
      <c r="L2848" s="1605">
        <v>22</v>
      </c>
      <c r="M2848" s="1611" t="s">
        <v>5406</v>
      </c>
    </row>
    <row r="2849" spans="1:19" s="1164" customFormat="1" ht="12.75">
      <c r="A2849" s="1594" t="s">
        <v>6059</v>
      </c>
      <c r="B2849" s="1594"/>
      <c r="C2849" s="1595">
        <v>23.439299999999996</v>
      </c>
      <c r="D2849" s="1595">
        <v>21.197279999999999</v>
      </c>
      <c r="E2849" s="1595">
        <v>20.789639999999999</v>
      </c>
      <c r="F2849" s="1595">
        <v>20.381999999999998</v>
      </c>
      <c r="G2849" s="1605">
        <v>5.9</v>
      </c>
      <c r="H2849" s="1605">
        <v>354</v>
      </c>
      <c r="I2849" s="1605">
        <v>70.8</v>
      </c>
      <c r="J2849" s="1605">
        <v>354</v>
      </c>
      <c r="K2849" s="1605">
        <v>70.8</v>
      </c>
      <c r="L2849" s="1605">
        <v>56</v>
      </c>
      <c r="M2849" s="1612" t="s">
        <v>5406</v>
      </c>
      <c r="N2849" s="1163"/>
      <c r="O2849" s="1163"/>
      <c r="P2849" s="1163"/>
      <c r="Q2849" s="1163"/>
      <c r="R2849" s="1163"/>
    </row>
    <row r="2850" spans="1:19" s="1163" customFormat="1" ht="17.100000000000001" customHeight="1">
      <c r="A2850" s="1594" t="s">
        <v>6060</v>
      </c>
      <c r="B2850" s="1594"/>
      <c r="C2850" s="1595">
        <v>10.650779999999999</v>
      </c>
      <c r="D2850" s="1595">
        <v>9.7632150000000006</v>
      </c>
      <c r="E2850" s="1595">
        <v>9.0531629999999996</v>
      </c>
      <c r="F2850" s="1595">
        <v>8.9644065000000008</v>
      </c>
      <c r="G2850" s="1605"/>
      <c r="H2850" s="1606">
        <v>1903.2</v>
      </c>
      <c r="I2850" s="1606">
        <v>146.4</v>
      </c>
      <c r="J2850" s="1606">
        <v>1903.2</v>
      </c>
      <c r="K2850" s="1606">
        <v>146.4</v>
      </c>
      <c r="L2850" s="1605">
        <v>21</v>
      </c>
      <c r="M2850" s="1611" t="s">
        <v>6061</v>
      </c>
    </row>
    <row r="2851" spans="1:19" s="1163" customFormat="1" ht="17.100000000000001" customHeight="1">
      <c r="A2851" s="1596" t="s">
        <v>6062</v>
      </c>
      <c r="B2851" s="1589" t="s">
        <v>6063</v>
      </c>
      <c r="C2851" s="1595">
        <v>9.306989999999999</v>
      </c>
      <c r="D2851" s="1595">
        <v>8.6301179999999995</v>
      </c>
      <c r="E2851" s="1595">
        <v>8.5455089999999991</v>
      </c>
      <c r="F2851" s="1595">
        <v>8.3000000000000007</v>
      </c>
      <c r="G2851" s="1606">
        <v>0</v>
      </c>
      <c r="H2851" s="1606">
        <v>1700</v>
      </c>
      <c r="I2851" s="1606">
        <v>316</v>
      </c>
      <c r="J2851" s="1606">
        <v>1700</v>
      </c>
      <c r="K2851" s="1606">
        <v>316</v>
      </c>
      <c r="L2851" s="1607">
        <v>17.400000000000002</v>
      </c>
      <c r="M2851" s="1612" t="s">
        <v>6064</v>
      </c>
    </row>
    <row r="2852" spans="1:19" s="1163" customFormat="1" ht="17.100000000000001" customHeight="1">
      <c r="A2852" s="1596" t="s">
        <v>6065</v>
      </c>
      <c r="B2852" s="1589" t="s">
        <v>6066</v>
      </c>
      <c r="C2852" s="1595">
        <v>11.873699999999999</v>
      </c>
      <c r="D2852" s="1595">
        <v>10.884225000000001</v>
      </c>
      <c r="E2852" s="1595">
        <v>10.092645000000001</v>
      </c>
      <c r="F2852" s="1595">
        <v>9.9936974999999997</v>
      </c>
      <c r="G2852" s="1606">
        <v>6.1</v>
      </c>
      <c r="H2852" s="1606">
        <v>1610.4</v>
      </c>
      <c r="I2852" s="1606">
        <v>146.4</v>
      </c>
      <c r="J2852" s="1606">
        <v>1610.4</v>
      </c>
      <c r="K2852" s="1606">
        <v>146.4</v>
      </c>
      <c r="L2852" s="1607">
        <v>23</v>
      </c>
      <c r="M2852" s="1612" t="s">
        <v>5406</v>
      </c>
    </row>
    <row r="2853" spans="1:19" s="1163" customFormat="1" ht="17.100000000000001" customHeight="1">
      <c r="A2853" s="1596" t="s">
        <v>6067</v>
      </c>
      <c r="B2853" s="1589" t="s">
        <v>6068</v>
      </c>
      <c r="C2853" s="1595">
        <v>26.54637</v>
      </c>
      <c r="D2853" s="1595">
        <v>24.007152000000001</v>
      </c>
      <c r="E2853" s="1595">
        <v>23.545476000000001</v>
      </c>
      <c r="F2853" s="1595">
        <v>23.0838</v>
      </c>
      <c r="G2853" s="1606">
        <v>5</v>
      </c>
      <c r="H2853" s="1606">
        <v>500</v>
      </c>
      <c r="I2853" s="1606">
        <v>60</v>
      </c>
      <c r="J2853" s="1606">
        <v>500</v>
      </c>
      <c r="K2853" s="1606">
        <v>60</v>
      </c>
      <c r="L2853" s="1607">
        <v>64.2</v>
      </c>
      <c r="M2853" s="1612" t="s">
        <v>6069</v>
      </c>
    </row>
    <row r="2854" spans="1:19" s="1163" customFormat="1" ht="17.100000000000001" customHeight="1">
      <c r="A2854" s="1596" t="s">
        <v>6070</v>
      </c>
      <c r="B2854" s="1589" t="s">
        <v>6071</v>
      </c>
      <c r="C2854" s="1595">
        <v>26.179019999999998</v>
      </c>
      <c r="D2854" s="1595">
        <v>25.431047999999997</v>
      </c>
      <c r="E2854" s="1595">
        <v>24.932399999999998</v>
      </c>
      <c r="F2854" s="1595">
        <v>24.433751999999998</v>
      </c>
      <c r="G2854" s="1606">
        <v>5.2</v>
      </c>
      <c r="H2854" s="1606">
        <v>5.2</v>
      </c>
      <c r="I2854" s="1606">
        <v>62.4</v>
      </c>
      <c r="J2854" s="1606">
        <v>478.4</v>
      </c>
      <c r="K2854" s="1606">
        <v>62.4</v>
      </c>
      <c r="L2854" s="1607">
        <v>70.2</v>
      </c>
      <c r="M2854" s="1612" t="s">
        <v>5406</v>
      </c>
    </row>
    <row r="2855" spans="1:19" s="1163" customFormat="1" ht="17.100000000000001" customHeight="1">
      <c r="A2855" s="1596" t="s">
        <v>6072</v>
      </c>
      <c r="B2855" s="1589" t="s">
        <v>6073</v>
      </c>
      <c r="C2855" s="1595">
        <v>43.452765000000007</v>
      </c>
      <c r="D2855" s="1595">
        <v>42.600750000000005</v>
      </c>
      <c r="E2855" s="1595">
        <v>39.192690000000006</v>
      </c>
      <c r="F2855" s="1595">
        <v>37.488660000000003</v>
      </c>
      <c r="G2855" s="1606">
        <v>5</v>
      </c>
      <c r="H2855" s="1606">
        <v>300</v>
      </c>
      <c r="I2855" s="1606">
        <v>30</v>
      </c>
      <c r="J2855" s="1606">
        <v>300</v>
      </c>
      <c r="K2855" s="1606">
        <v>30</v>
      </c>
      <c r="L2855" s="1607">
        <v>112.30000000000001</v>
      </c>
      <c r="M2855" s="1612" t="s">
        <v>5406</v>
      </c>
    </row>
    <row r="2856" spans="1:19" s="1163" customFormat="1" ht="17.100000000000001" customHeight="1">
      <c r="A2856" s="1596" t="s">
        <v>6074</v>
      </c>
      <c r="B2856" s="1589" t="s">
        <v>6075</v>
      </c>
      <c r="C2856" s="1595">
        <v>34.341300000000004</v>
      </c>
      <c r="D2856" s="1595">
        <v>33.360120000000002</v>
      </c>
      <c r="E2856" s="1595">
        <v>32.706000000000003</v>
      </c>
      <c r="F2856" s="1595">
        <v>32.051880000000004</v>
      </c>
      <c r="G2856" s="1606">
        <v>5.2</v>
      </c>
      <c r="H2856" s="1606">
        <v>5.2</v>
      </c>
      <c r="I2856" s="1606">
        <v>31.2</v>
      </c>
      <c r="J2856" s="1606">
        <v>364</v>
      </c>
      <c r="K2856" s="1606">
        <v>31.2</v>
      </c>
      <c r="L2856" s="1607">
        <v>93.7</v>
      </c>
      <c r="M2856" s="1612" t="s">
        <v>5406</v>
      </c>
    </row>
    <row r="2857" spans="1:19" s="1163" customFormat="1" ht="17.100000000000001" customHeight="1">
      <c r="A2857" s="1594" t="s">
        <v>6076</v>
      </c>
      <c r="B2857" s="1594" t="s">
        <v>6077</v>
      </c>
      <c r="C2857" s="1595">
        <v>35.311578000000004</v>
      </c>
      <c r="D2857" s="1595">
        <v>33.776292000000005</v>
      </c>
      <c r="E2857" s="1595">
        <v>32</v>
      </c>
      <c r="F2857" s="1595">
        <v>31.5</v>
      </c>
      <c r="G2857" s="1605">
        <v>5.9</v>
      </c>
      <c r="H2857" s="1605"/>
      <c r="I2857" s="1605"/>
      <c r="J2857" s="1605">
        <v>365.8</v>
      </c>
      <c r="K2857" s="1605">
        <v>35.4</v>
      </c>
      <c r="L2857" s="1605">
        <v>106.3</v>
      </c>
      <c r="M2857" s="1611" t="s">
        <v>5406</v>
      </c>
    </row>
    <row r="2858" spans="1:19" s="1163" customFormat="1" ht="17.100000000000001" customHeight="1"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</row>
    <row r="2859" spans="1:19" s="1163" customFormat="1" ht="17.100000000000001" customHeight="1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</row>
    <row r="2860" spans="1:19">
      <c r="A2860" s="1145" t="s">
        <v>179</v>
      </c>
      <c r="B2860" s="1145" t="s">
        <v>99</v>
      </c>
      <c r="C2860" s="354" t="s">
        <v>271</v>
      </c>
      <c r="D2860" s="1405" t="s">
        <v>4535</v>
      </c>
    </row>
    <row r="2861" spans="1:19">
      <c r="A2861" s="40" t="s">
        <v>5957</v>
      </c>
      <c r="B2861" s="40" t="s">
        <v>5961</v>
      </c>
      <c r="C2861" s="357">
        <v>6</v>
      </c>
      <c r="D2861" s="1113">
        <v>3.56</v>
      </c>
    </row>
    <row r="2862" spans="1:19">
      <c r="A2862" s="40" t="s">
        <v>5957</v>
      </c>
      <c r="B2862" s="40" t="s">
        <v>5318</v>
      </c>
      <c r="C2862" s="357">
        <v>6</v>
      </c>
      <c r="D2862" s="1113">
        <v>2.4499999999999997</v>
      </c>
    </row>
    <row r="2863" spans="1:19">
      <c r="A2863" s="40" t="s">
        <v>5958</v>
      </c>
      <c r="B2863" s="40" t="s">
        <v>5961</v>
      </c>
      <c r="C2863" s="357">
        <v>6</v>
      </c>
      <c r="D2863" s="1113">
        <v>2.9499999999999997</v>
      </c>
    </row>
    <row r="2864" spans="1:19">
      <c r="A2864" s="40" t="s">
        <v>5764</v>
      </c>
      <c r="B2864" s="40" t="s">
        <v>5318</v>
      </c>
      <c r="C2864" s="357">
        <v>6</v>
      </c>
      <c r="D2864" s="1113">
        <v>1.98</v>
      </c>
    </row>
    <row r="2865" spans="1:8">
      <c r="A2865" s="40" t="s">
        <v>5954</v>
      </c>
      <c r="B2865" s="40" t="s">
        <v>5961</v>
      </c>
      <c r="C2865" s="357">
        <v>6</v>
      </c>
      <c r="D2865" s="1113">
        <v>3.5199999999999996</v>
      </c>
    </row>
    <row r="2866" spans="1:8">
      <c r="A2866" s="40" t="s">
        <v>5954</v>
      </c>
      <c r="B2866" s="40" t="s">
        <v>5318</v>
      </c>
      <c r="C2866" s="357">
        <v>6</v>
      </c>
      <c r="D2866" s="1113">
        <v>2.5499999999999998</v>
      </c>
    </row>
    <row r="2867" spans="1:8">
      <c r="A2867" s="40" t="s">
        <v>5997</v>
      </c>
      <c r="B2867" s="40" t="s">
        <v>5961</v>
      </c>
      <c r="C2867" s="357">
        <v>6</v>
      </c>
      <c r="D2867" s="1113">
        <v>3.48</v>
      </c>
    </row>
    <row r="2868" spans="1:8">
      <c r="A2868" s="40" t="s">
        <v>5997</v>
      </c>
      <c r="B2868" s="40" t="s">
        <v>5318</v>
      </c>
      <c r="C2868" s="357">
        <v>6</v>
      </c>
      <c r="D2868" s="1113">
        <v>2.5</v>
      </c>
    </row>
    <row r="2873" spans="1:8" s="1617" customFormat="1" ht="18">
      <c r="A2873" s="1247" t="s">
        <v>6091</v>
      </c>
      <c r="B2873" s="1248" t="s">
        <v>4786</v>
      </c>
      <c r="C2873" s="1248" t="s">
        <v>4787</v>
      </c>
      <c r="D2873" s="1616" t="s">
        <v>452</v>
      </c>
    </row>
    <row r="2874" spans="1:8" s="1349" customFormat="1" ht="18.75" customHeight="1">
      <c r="A2874" s="1251" t="s">
        <v>6088</v>
      </c>
      <c r="B2874" s="1252">
        <v>45678</v>
      </c>
      <c r="C2874" s="1252">
        <v>45708</v>
      </c>
      <c r="D2874" s="1619">
        <v>2434.8200000000002</v>
      </c>
    </row>
    <row r="2875" spans="1:8" s="1349" customFormat="1" ht="18.75" customHeight="1">
      <c r="A2875" s="1251" t="s">
        <v>6089</v>
      </c>
      <c r="B2875" s="1252">
        <v>45741</v>
      </c>
      <c r="C2875" s="1252">
        <v>45771</v>
      </c>
      <c r="D2875" s="1619">
        <v>323.10000000000002</v>
      </c>
    </row>
    <row r="2876" spans="1:8" s="1349" customFormat="1" ht="18.75" customHeight="1">
      <c r="A2876" s="1251" t="s">
        <v>6090</v>
      </c>
      <c r="B2876" s="1252">
        <v>45744</v>
      </c>
      <c r="C2876" s="1252">
        <v>45774</v>
      </c>
      <c r="D2876" s="1619">
        <v>25.5</v>
      </c>
    </row>
    <row r="2877" spans="1:8" ht="18">
      <c r="C2877" s="1618" t="s">
        <v>6092</v>
      </c>
      <c r="D2877" s="1620">
        <f>SUM(D2874:D2876)</f>
        <v>2783.42</v>
      </c>
    </row>
    <row r="2879" spans="1:8" ht="15">
      <c r="A2879" s="1404" t="s">
        <v>6093</v>
      </c>
      <c r="B2879" s="1404"/>
      <c r="C2879" s="1404"/>
      <c r="D2879" s="1404"/>
      <c r="E2879" s="1404"/>
      <c r="F2879" s="1404"/>
    </row>
    <row r="2880" spans="1:8" ht="25.5">
      <c r="A2880" s="1145" t="s">
        <v>179</v>
      </c>
      <c r="B2880" s="1145" t="s">
        <v>99</v>
      </c>
      <c r="C2880" s="1145" t="s">
        <v>5327</v>
      </c>
      <c r="D2880" s="1405" t="s">
        <v>4535</v>
      </c>
      <c r="E2880" s="1405" t="s">
        <v>6097</v>
      </c>
      <c r="F2880" s="1462" t="s">
        <v>5499</v>
      </c>
      <c r="G2880" s="1151" t="s">
        <v>4375</v>
      </c>
      <c r="H2880" s="194" t="s">
        <v>4376</v>
      </c>
    </row>
    <row r="2881" spans="1:10">
      <c r="A2881" s="40" t="s">
        <v>6094</v>
      </c>
      <c r="B2881" s="40" t="s">
        <v>5318</v>
      </c>
      <c r="C2881" s="357">
        <v>10</v>
      </c>
      <c r="D2881" s="385">
        <f>ROUNDUP(F2881/0.6/120,2)</f>
        <v>1.59</v>
      </c>
      <c r="E2881" s="360" t="s">
        <v>2158</v>
      </c>
      <c r="F2881" s="1408">
        <v>114</v>
      </c>
      <c r="G2881" s="1189">
        <f>(D2881-(F2881/H2881))/D2881</f>
        <v>0.40251572327044033</v>
      </c>
      <c r="H2881" s="194">
        <v>120</v>
      </c>
    </row>
    <row r="2882" spans="1:10">
      <c r="A2882" s="40" t="s">
        <v>6094</v>
      </c>
      <c r="B2882" s="40" t="s">
        <v>5328</v>
      </c>
      <c r="C2882" s="357" t="s">
        <v>5569</v>
      </c>
      <c r="D2882" s="385">
        <f>ROUNDUP(F2882/0.6/120,2)</f>
        <v>2.84</v>
      </c>
      <c r="E2882" s="360" t="s">
        <v>6096</v>
      </c>
      <c r="F2882" s="1408">
        <f>114+90</f>
        <v>204</v>
      </c>
      <c r="G2882" s="1189">
        <f>(D2882-(F2882/H2882))/D2882</f>
        <v>0.40140845070422532</v>
      </c>
      <c r="H2882" s="194">
        <v>120</v>
      </c>
    </row>
    <row r="2883" spans="1:10">
      <c r="A2883" s="40" t="s">
        <v>6095</v>
      </c>
      <c r="B2883" s="40" t="s">
        <v>5318</v>
      </c>
      <c r="C2883" s="357">
        <v>10</v>
      </c>
      <c r="D2883" s="385">
        <f>ROUNDUP(F2883/0.6/120,2)</f>
        <v>2.8699999999999997</v>
      </c>
      <c r="E2883" s="360" t="s">
        <v>6098</v>
      </c>
      <c r="F2883" s="1408">
        <v>206</v>
      </c>
      <c r="G2883" s="1189">
        <f>(D2883-(F2883/H2883))/D2883</f>
        <v>0.40185830429732866</v>
      </c>
      <c r="H2883" s="194">
        <v>120</v>
      </c>
    </row>
    <row r="2884" spans="1:10">
      <c r="A2884" s="40" t="s">
        <v>6095</v>
      </c>
      <c r="B2884" s="40" t="s">
        <v>5328</v>
      </c>
      <c r="C2884" s="357" t="s">
        <v>5569</v>
      </c>
      <c r="D2884" s="385">
        <f>ROUNDUP(F2884/0.6/120,2)</f>
        <v>3.98</v>
      </c>
      <c r="E2884" s="360" t="s">
        <v>6096</v>
      </c>
      <c r="F2884" s="1408">
        <f>206+80</f>
        <v>286</v>
      </c>
      <c r="G2884" s="1189">
        <f>(D2884-(F2884/H2884))/D2884</f>
        <v>0.40117252931323283</v>
      </c>
      <c r="H2884" s="194">
        <v>120</v>
      </c>
    </row>
    <row r="2887" spans="1:10" ht="15">
      <c r="A2887" s="1404" t="s">
        <v>6121</v>
      </c>
    </row>
    <row r="2888" spans="1:10" s="1628" customFormat="1" ht="15.75">
      <c r="A2888" s="1621" t="s">
        <v>6100</v>
      </c>
      <c r="B2888" s="1621" t="s">
        <v>6101</v>
      </c>
      <c r="C2888" s="1622" t="s">
        <v>6102</v>
      </c>
      <c r="D2888" s="1623" t="s">
        <v>6103</v>
      </c>
      <c r="E2888" s="1624" t="s">
        <v>6122</v>
      </c>
      <c r="F2888" s="1462" t="s">
        <v>5499</v>
      </c>
      <c r="G2888" s="1151" t="s">
        <v>4375</v>
      </c>
      <c r="H2888" s="194" t="s">
        <v>4376</v>
      </c>
      <c r="I2888" s="891"/>
      <c r="J2888" s="1627"/>
    </row>
    <row r="2889" spans="1:10" s="1628" customFormat="1" ht="15.75">
      <c r="A2889" s="1629" t="s">
        <v>6104</v>
      </c>
      <c r="B2889" s="1630">
        <v>25</v>
      </c>
      <c r="C2889" s="1629" t="s">
        <v>6105</v>
      </c>
      <c r="D2889" s="1631">
        <v>50</v>
      </c>
      <c r="E2889" s="1637">
        <f t="shared" ref="E2889:E2901" si="59">ROUNDUP(F2889/0.55/120,2)</f>
        <v>1.68</v>
      </c>
      <c r="F2889" s="1638">
        <v>110.6</v>
      </c>
      <c r="G2889" s="1625">
        <f t="shared" ref="G2889:G2901" si="60">(((E2889*H2889)-F2889)/(E2889*H2889))</f>
        <v>0.4513888888888889</v>
      </c>
      <c r="H2889" s="1626">
        <v>120</v>
      </c>
      <c r="I2889" s="1632" t="s">
        <v>6106</v>
      </c>
    </row>
    <row r="2890" spans="1:10" s="1628" customFormat="1" ht="15.75">
      <c r="A2890" s="1629" t="s">
        <v>6104</v>
      </c>
      <c r="B2890" s="1630">
        <v>50</v>
      </c>
      <c r="C2890" s="1629" t="s">
        <v>6105</v>
      </c>
      <c r="D2890" s="1631">
        <v>50</v>
      </c>
      <c r="E2890" s="1637">
        <f t="shared" si="59"/>
        <v>3.35</v>
      </c>
      <c r="F2890" s="1638">
        <v>221.1</v>
      </c>
      <c r="G2890" s="1625">
        <f t="shared" si="60"/>
        <v>0.45</v>
      </c>
      <c r="H2890" s="1626">
        <v>120</v>
      </c>
      <c r="I2890" s="1632" t="s">
        <v>6107</v>
      </c>
    </row>
    <row r="2891" spans="1:10" s="1628" customFormat="1" ht="15.75">
      <c r="A2891" s="1629" t="s">
        <v>6108</v>
      </c>
      <c r="B2891" s="1630">
        <v>25</v>
      </c>
      <c r="C2891" s="1629" t="s">
        <v>6105</v>
      </c>
      <c r="D2891" s="1631">
        <v>50</v>
      </c>
      <c r="E2891" s="1637">
        <f t="shared" si="59"/>
        <v>1.68</v>
      </c>
      <c r="F2891" s="1638">
        <v>110.6</v>
      </c>
      <c r="G2891" s="1625">
        <f t="shared" si="60"/>
        <v>0.4513888888888889</v>
      </c>
      <c r="H2891" s="1626">
        <v>120</v>
      </c>
      <c r="I2891" s="1632" t="s">
        <v>6106</v>
      </c>
    </row>
    <row r="2892" spans="1:10" s="1628" customFormat="1" ht="15.75">
      <c r="A2892" s="1629" t="s">
        <v>6108</v>
      </c>
      <c r="B2892" s="1630">
        <v>50</v>
      </c>
      <c r="C2892" s="1629" t="s">
        <v>6105</v>
      </c>
      <c r="D2892" s="1631">
        <v>50</v>
      </c>
      <c r="E2892" s="1637">
        <f t="shared" si="59"/>
        <v>3.35</v>
      </c>
      <c r="F2892" s="1638">
        <v>221.1</v>
      </c>
      <c r="G2892" s="1625">
        <f t="shared" si="60"/>
        <v>0.45</v>
      </c>
      <c r="H2892" s="1626">
        <v>120</v>
      </c>
      <c r="I2892" s="1632" t="s">
        <v>6107</v>
      </c>
    </row>
    <row r="2893" spans="1:10" s="1628" customFormat="1" ht="15.75">
      <c r="A2893" s="1288" t="s">
        <v>6109</v>
      </c>
      <c r="B2893" s="1292">
        <v>10</v>
      </c>
      <c r="C2893" s="897" t="s">
        <v>6174</v>
      </c>
      <c r="D2893" s="1631">
        <v>30</v>
      </c>
      <c r="E2893" s="1637">
        <f t="shared" si="59"/>
        <v>0.99</v>
      </c>
      <c r="F2893" s="1638">
        <v>65</v>
      </c>
      <c r="G2893" s="1625">
        <f t="shared" si="60"/>
        <v>0.45286195286195285</v>
      </c>
      <c r="H2893" s="1626">
        <v>120</v>
      </c>
      <c r="I2893" s="1633" t="s">
        <v>6111</v>
      </c>
    </row>
    <row r="2894" spans="1:10" s="1628" customFormat="1" ht="15.75">
      <c r="A2894" s="1288" t="s">
        <v>6109</v>
      </c>
      <c r="B2894" s="1292">
        <v>15</v>
      </c>
      <c r="C2894" s="897" t="s">
        <v>6110</v>
      </c>
      <c r="D2894" s="1631">
        <v>30</v>
      </c>
      <c r="E2894" s="1637">
        <f t="shared" si="59"/>
        <v>1.1399999999999999</v>
      </c>
      <c r="F2894" s="1638">
        <v>75</v>
      </c>
      <c r="G2894" s="1625">
        <f t="shared" si="60"/>
        <v>0.45175438596491219</v>
      </c>
      <c r="H2894" s="1626">
        <v>120</v>
      </c>
      <c r="I2894" s="1633" t="s">
        <v>6112</v>
      </c>
    </row>
    <row r="2895" spans="1:10" s="1628" customFormat="1" ht="15.75">
      <c r="A2895" s="1288" t="s">
        <v>6109</v>
      </c>
      <c r="B2895" s="1292">
        <v>20</v>
      </c>
      <c r="C2895" s="897" t="s">
        <v>6110</v>
      </c>
      <c r="D2895" s="1631">
        <v>30</v>
      </c>
      <c r="E2895" s="1637">
        <f t="shared" si="59"/>
        <v>1.37</v>
      </c>
      <c r="F2895" s="1638">
        <v>90</v>
      </c>
      <c r="G2895" s="1625">
        <f t="shared" si="60"/>
        <v>0.45255474452554745</v>
      </c>
      <c r="H2895" s="1626">
        <v>120</v>
      </c>
      <c r="I2895" s="1633" t="s">
        <v>6113</v>
      </c>
    </row>
    <row r="2896" spans="1:10" s="1628" customFormat="1" ht="15.75">
      <c r="A2896" s="1288" t="s">
        <v>6109</v>
      </c>
      <c r="B2896" s="1292">
        <v>30</v>
      </c>
      <c r="C2896" s="897" t="s">
        <v>6110</v>
      </c>
      <c r="D2896" s="1631">
        <v>30</v>
      </c>
      <c r="E2896" s="1637">
        <f t="shared" si="59"/>
        <v>1.82</v>
      </c>
      <c r="F2896" s="1638">
        <v>120</v>
      </c>
      <c r="G2896" s="1625">
        <f t="shared" si="60"/>
        <v>0.45054945054945056</v>
      </c>
      <c r="H2896" s="1626">
        <v>120</v>
      </c>
      <c r="I2896" s="1633" t="s">
        <v>6114</v>
      </c>
    </row>
    <row r="2897" spans="1:9" s="1628" customFormat="1" ht="15.75">
      <c r="A2897" s="1288" t="s">
        <v>6109</v>
      </c>
      <c r="B2897" s="1634">
        <v>7.5</v>
      </c>
      <c r="C2897" s="897" t="s">
        <v>6110</v>
      </c>
      <c r="D2897" s="1631">
        <v>30</v>
      </c>
      <c r="E2897" s="1637">
        <f t="shared" si="59"/>
        <v>1.1399999999999999</v>
      </c>
      <c r="F2897" s="1638">
        <v>75</v>
      </c>
      <c r="G2897" s="1625">
        <f t="shared" si="60"/>
        <v>0.45175438596491219</v>
      </c>
      <c r="H2897" s="1626">
        <v>120</v>
      </c>
      <c r="I2897" s="1633" t="s">
        <v>6115</v>
      </c>
    </row>
    <row r="2898" spans="1:9" s="1628" customFormat="1" ht="15.75">
      <c r="A2898" s="1288" t="s">
        <v>6109</v>
      </c>
      <c r="B2898" s="1635">
        <v>10</v>
      </c>
      <c r="C2898" s="897" t="s">
        <v>6110</v>
      </c>
      <c r="D2898" s="1631">
        <v>30</v>
      </c>
      <c r="E2898" s="1637">
        <f t="shared" si="59"/>
        <v>1.37</v>
      </c>
      <c r="F2898" s="1638">
        <v>90</v>
      </c>
      <c r="G2898" s="1625">
        <f t="shared" si="60"/>
        <v>0.45255474452554745</v>
      </c>
      <c r="H2898" s="1626">
        <v>120</v>
      </c>
      <c r="I2898" s="1633" t="s">
        <v>6116</v>
      </c>
    </row>
    <row r="2899" spans="1:9" s="1628" customFormat="1" ht="15.75">
      <c r="A2899" s="1636">
        <v>1420</v>
      </c>
      <c r="B2899" s="1630">
        <v>10</v>
      </c>
      <c r="C2899" s="1629" t="s">
        <v>6117</v>
      </c>
      <c r="D2899" s="1631">
        <v>30</v>
      </c>
      <c r="E2899" s="1637">
        <f t="shared" si="59"/>
        <v>1.04</v>
      </c>
      <c r="F2899" s="1638">
        <v>68</v>
      </c>
      <c r="G2899" s="1625">
        <f t="shared" si="60"/>
        <v>0.45512820512820518</v>
      </c>
      <c r="H2899" s="1626">
        <v>120</v>
      </c>
      <c r="I2899" s="1632" t="s">
        <v>6118</v>
      </c>
    </row>
    <row r="2900" spans="1:9" s="1628" customFormat="1" ht="15.75">
      <c r="A2900" s="1636">
        <v>1420</v>
      </c>
      <c r="B2900" s="1630">
        <v>15</v>
      </c>
      <c r="C2900" s="1629" t="s">
        <v>6117</v>
      </c>
      <c r="D2900" s="1631">
        <v>30</v>
      </c>
      <c r="E2900" s="1637">
        <f t="shared" si="59"/>
        <v>1.1399999999999999</v>
      </c>
      <c r="F2900" s="1638">
        <v>75</v>
      </c>
      <c r="G2900" s="1625">
        <f t="shared" si="60"/>
        <v>0.45175438596491219</v>
      </c>
      <c r="H2900" s="1626">
        <v>120</v>
      </c>
      <c r="I2900" s="1632" t="s">
        <v>6119</v>
      </c>
    </row>
    <row r="2901" spans="1:9" s="1628" customFormat="1" ht="15.75">
      <c r="A2901" s="1636">
        <v>1420</v>
      </c>
      <c r="B2901" s="1630">
        <v>20</v>
      </c>
      <c r="C2901" s="1629" t="s">
        <v>6117</v>
      </c>
      <c r="D2901" s="1631">
        <v>30</v>
      </c>
      <c r="E2901" s="1637">
        <f t="shared" si="59"/>
        <v>1.22</v>
      </c>
      <c r="F2901" s="1638">
        <v>80</v>
      </c>
      <c r="G2901" s="1625">
        <f t="shared" si="60"/>
        <v>0.45355191256830601</v>
      </c>
      <c r="H2901" s="1626">
        <v>120</v>
      </c>
      <c r="I2901" s="1632" t="s">
        <v>6120</v>
      </c>
    </row>
    <row r="2904" spans="1:9">
      <c r="A2904" s="1639"/>
    </row>
    <row r="2905" spans="1:9">
      <c r="A2905" s="1641" t="s">
        <v>179</v>
      </c>
      <c r="B2905" s="1641" t="s">
        <v>6124</v>
      </c>
      <c r="C2905" s="1641" t="s">
        <v>6130</v>
      </c>
      <c r="D2905" s="1641" t="s">
        <v>6128</v>
      </c>
      <c r="E2905" s="1641" t="s">
        <v>6134</v>
      </c>
    </row>
    <row r="2906" spans="1:9">
      <c r="A2906" s="1642" t="s">
        <v>6129</v>
      </c>
      <c r="B2906" s="1642" t="s">
        <v>6125</v>
      </c>
      <c r="C2906" s="1642" t="s">
        <v>6131</v>
      </c>
      <c r="D2906" s="1642" t="s">
        <v>6132</v>
      </c>
      <c r="E2906" s="1642" t="s">
        <v>6136</v>
      </c>
    </row>
    <row r="2907" spans="1:9">
      <c r="A2907" s="1642" t="s">
        <v>6126</v>
      </c>
      <c r="B2907" s="1642" t="s">
        <v>6125</v>
      </c>
      <c r="C2907" s="1642" t="s">
        <v>6131</v>
      </c>
      <c r="D2907" s="1642" t="s">
        <v>6133</v>
      </c>
      <c r="E2907" s="1642" t="s">
        <v>6137</v>
      </c>
    </row>
    <row r="2908" spans="1:9">
      <c r="A2908" s="1642" t="s">
        <v>5897</v>
      </c>
      <c r="B2908" s="1642" t="s">
        <v>6125</v>
      </c>
      <c r="C2908" s="1642" t="s">
        <v>6131</v>
      </c>
      <c r="D2908" s="1642" t="s">
        <v>6132</v>
      </c>
      <c r="E2908" s="1642" t="s">
        <v>6138</v>
      </c>
    </row>
    <row r="2909" spans="1:9">
      <c r="A2909" s="1642" t="s">
        <v>6127</v>
      </c>
      <c r="B2909" s="1642" t="s">
        <v>6125</v>
      </c>
      <c r="C2909" s="1642" t="s">
        <v>6135</v>
      </c>
      <c r="D2909" s="1642" t="s">
        <v>6135</v>
      </c>
      <c r="E2909" s="1642" t="s">
        <v>6135</v>
      </c>
    </row>
    <row r="2910" spans="1:9">
      <c r="A2910" s="1640"/>
    </row>
    <row r="2912" spans="1:9" ht="15">
      <c r="A2912" s="1404" t="s">
        <v>6143</v>
      </c>
      <c r="B2912" s="1404"/>
      <c r="C2912" s="1404"/>
      <c r="D2912" s="1404"/>
      <c r="E2912" s="1404"/>
      <c r="F2912" s="1404"/>
    </row>
    <row r="2913" spans="1:8" s="352" customFormat="1" ht="25.5">
      <c r="A2913" s="1145" t="s">
        <v>179</v>
      </c>
      <c r="B2913" s="1145" t="s">
        <v>99</v>
      </c>
      <c r="C2913" s="1145" t="s">
        <v>5327</v>
      </c>
      <c r="D2913" s="1405" t="s">
        <v>4535</v>
      </c>
      <c r="E2913" s="1405" t="s">
        <v>6142</v>
      </c>
      <c r="F2913" s="1462" t="s">
        <v>5499</v>
      </c>
      <c r="G2913" s="1644" t="s">
        <v>4375</v>
      </c>
      <c r="H2913" s="1645" t="s">
        <v>4376</v>
      </c>
    </row>
    <row r="2914" spans="1:8" s="352" customFormat="1" ht="12.75">
      <c r="A2914" s="1312" t="s">
        <v>6144</v>
      </c>
      <c r="B2914" s="1646" t="s">
        <v>5318</v>
      </c>
      <c r="C2914" s="357">
        <v>10</v>
      </c>
      <c r="D2914" s="385">
        <f t="shared" ref="D2914:D2925" si="61">ROUNDUP(F2914/0.6/120,2)</f>
        <v>1.23</v>
      </c>
      <c r="E2914" s="1647" t="s">
        <v>5729</v>
      </c>
      <c r="F2914" s="1606">
        <v>88</v>
      </c>
      <c r="G2914" s="1189">
        <f t="shared" ref="G2914:G2925" si="62">(D2914-(F2914/H2914))/D2914</f>
        <v>0.40379403794037944</v>
      </c>
      <c r="H2914" s="1645">
        <v>120</v>
      </c>
    </row>
    <row r="2915" spans="1:8" s="352" customFormat="1" ht="12.75">
      <c r="A2915" s="1312" t="s">
        <v>6144</v>
      </c>
      <c r="B2915" s="1646" t="s">
        <v>5328</v>
      </c>
      <c r="C2915" s="357" t="s">
        <v>5569</v>
      </c>
      <c r="D2915" s="385">
        <f t="shared" si="61"/>
        <v>2.34</v>
      </c>
      <c r="E2915" s="1647" t="s">
        <v>1893</v>
      </c>
      <c r="F2915" s="1606">
        <f>88+80</f>
        <v>168</v>
      </c>
      <c r="G2915" s="1189">
        <f t="shared" si="62"/>
        <v>0.40170940170940173</v>
      </c>
      <c r="H2915" s="1645">
        <v>120</v>
      </c>
    </row>
    <row r="2916" spans="1:8" s="352" customFormat="1" ht="12.75">
      <c r="A2916" s="1312" t="s">
        <v>6145</v>
      </c>
      <c r="B2916" s="1646" t="s">
        <v>5318</v>
      </c>
      <c r="C2916" s="357">
        <v>10</v>
      </c>
      <c r="D2916" s="385">
        <f t="shared" si="61"/>
        <v>1.98</v>
      </c>
      <c r="E2916" s="1647" t="s">
        <v>5586</v>
      </c>
      <c r="F2916" s="1606">
        <v>142</v>
      </c>
      <c r="G2916" s="1189">
        <f t="shared" si="62"/>
        <v>0.40235690235690236</v>
      </c>
      <c r="H2916" s="1645">
        <v>120</v>
      </c>
    </row>
    <row r="2917" spans="1:8" s="352" customFormat="1" ht="12.75">
      <c r="A2917" s="1312" t="s">
        <v>6145</v>
      </c>
      <c r="B2917" s="1646" t="s">
        <v>5328</v>
      </c>
      <c r="C2917" s="357" t="s">
        <v>5569</v>
      </c>
      <c r="D2917" s="385">
        <f t="shared" si="61"/>
        <v>3.09</v>
      </c>
      <c r="E2917" s="1647" t="s">
        <v>1893</v>
      </c>
      <c r="F2917" s="1606">
        <f>142+80</f>
        <v>222</v>
      </c>
      <c r="G2917" s="1189">
        <f t="shared" si="62"/>
        <v>0.40129449838187697</v>
      </c>
      <c r="H2917" s="1645">
        <v>120</v>
      </c>
    </row>
    <row r="2918" spans="1:8" s="352" customFormat="1" ht="12.75">
      <c r="A2918" s="1312" t="s">
        <v>6146</v>
      </c>
      <c r="B2918" s="1646" t="s">
        <v>5318</v>
      </c>
      <c r="C2918" s="357">
        <v>10</v>
      </c>
      <c r="D2918" s="385">
        <f t="shared" si="61"/>
        <v>1.62</v>
      </c>
      <c r="E2918" s="1647" t="s">
        <v>5814</v>
      </c>
      <c r="F2918" s="1606">
        <v>116</v>
      </c>
      <c r="G2918" s="1189">
        <f t="shared" si="62"/>
        <v>0.4032921810699589</v>
      </c>
      <c r="H2918" s="1645">
        <v>120</v>
      </c>
    </row>
    <row r="2919" spans="1:8" s="352" customFormat="1" ht="12.75">
      <c r="A2919" s="1312" t="s">
        <v>6146</v>
      </c>
      <c r="B2919" s="1646" t="s">
        <v>5328</v>
      </c>
      <c r="C2919" s="357" t="s">
        <v>5569</v>
      </c>
      <c r="D2919" s="385">
        <f t="shared" si="61"/>
        <v>2.73</v>
      </c>
      <c r="E2919" s="1647" t="s">
        <v>1893</v>
      </c>
      <c r="F2919" s="1606">
        <f>116+80</f>
        <v>196</v>
      </c>
      <c r="G2919" s="1189">
        <f t="shared" si="62"/>
        <v>0.40170940170940173</v>
      </c>
      <c r="H2919" s="1645">
        <v>120</v>
      </c>
    </row>
    <row r="2920" spans="1:8" s="352" customFormat="1" ht="12.75">
      <c r="A2920" s="1312" t="s">
        <v>6147</v>
      </c>
      <c r="B2920" s="1646" t="s">
        <v>5318</v>
      </c>
      <c r="C2920" s="357">
        <v>10</v>
      </c>
      <c r="D2920" s="385">
        <f t="shared" si="61"/>
        <v>3.17</v>
      </c>
      <c r="E2920" s="1647" t="s">
        <v>5341</v>
      </c>
      <c r="F2920" s="1606">
        <v>228</v>
      </c>
      <c r="G2920" s="1189">
        <f t="shared" si="62"/>
        <v>0.40063091482649843</v>
      </c>
      <c r="H2920" s="1645">
        <v>120</v>
      </c>
    </row>
    <row r="2921" spans="1:8" s="352" customFormat="1" ht="12.75">
      <c r="A2921" s="1312" t="s">
        <v>6147</v>
      </c>
      <c r="B2921" s="1646" t="s">
        <v>5328</v>
      </c>
      <c r="C2921" s="357" t="s">
        <v>5569</v>
      </c>
      <c r="D2921" s="385">
        <f t="shared" si="61"/>
        <v>4.42</v>
      </c>
      <c r="E2921" s="1647" t="s">
        <v>1893</v>
      </c>
      <c r="F2921" s="1606">
        <f>228+90</f>
        <v>318</v>
      </c>
      <c r="G2921" s="1189">
        <f t="shared" si="62"/>
        <v>0.40045248868778283</v>
      </c>
      <c r="H2921" s="1645">
        <v>120</v>
      </c>
    </row>
    <row r="2922" spans="1:8" s="352" customFormat="1" ht="12.75">
      <c r="A2922" s="1312" t="s">
        <v>6148</v>
      </c>
      <c r="B2922" s="1646" t="s">
        <v>5318</v>
      </c>
      <c r="C2922" s="357">
        <v>10</v>
      </c>
      <c r="D2922" s="385">
        <f t="shared" si="61"/>
        <v>3.48</v>
      </c>
      <c r="E2922" s="1647" t="s">
        <v>5344</v>
      </c>
      <c r="F2922" s="1606">
        <v>250</v>
      </c>
      <c r="G2922" s="1189">
        <f t="shared" si="62"/>
        <v>0.40134099616858232</v>
      </c>
      <c r="H2922" s="1645">
        <v>120</v>
      </c>
    </row>
    <row r="2923" spans="1:8" s="352" customFormat="1" ht="12.75">
      <c r="A2923" s="1312" t="s">
        <v>6148</v>
      </c>
      <c r="B2923" s="1646" t="s">
        <v>5328</v>
      </c>
      <c r="C2923" s="357" t="s">
        <v>5569</v>
      </c>
      <c r="D2923" s="385">
        <f t="shared" si="61"/>
        <v>4.87</v>
      </c>
      <c r="E2923" s="1647" t="s">
        <v>1893</v>
      </c>
      <c r="F2923" s="1606">
        <f>250+100</f>
        <v>350</v>
      </c>
      <c r="G2923" s="1189">
        <f t="shared" si="62"/>
        <v>0.40109514031485288</v>
      </c>
      <c r="H2923" s="1645">
        <v>120</v>
      </c>
    </row>
    <row r="2924" spans="1:8" s="352" customFormat="1" ht="12.75">
      <c r="A2924" s="1312" t="s">
        <v>6149</v>
      </c>
      <c r="B2924" s="1646" t="s">
        <v>5318</v>
      </c>
      <c r="C2924" s="357">
        <v>10</v>
      </c>
      <c r="D2924" s="385">
        <f t="shared" si="61"/>
        <v>4.24</v>
      </c>
      <c r="E2924" s="1647" t="s">
        <v>5813</v>
      </c>
      <c r="F2924" s="1606">
        <v>305</v>
      </c>
      <c r="G2924" s="1189">
        <f t="shared" si="62"/>
        <v>0.4005503144654089</v>
      </c>
      <c r="H2924" s="1645">
        <v>120</v>
      </c>
    </row>
    <row r="2925" spans="1:8" s="352" customFormat="1" ht="12.75">
      <c r="A2925" s="1312" t="s">
        <v>6149</v>
      </c>
      <c r="B2925" s="1646" t="s">
        <v>5328</v>
      </c>
      <c r="C2925" s="357" t="s">
        <v>5569</v>
      </c>
      <c r="D2925" s="385">
        <f t="shared" si="61"/>
        <v>5.63</v>
      </c>
      <c r="E2925" s="1647" t="s">
        <v>1893</v>
      </c>
      <c r="F2925" s="1606">
        <f>305+100</f>
        <v>405</v>
      </c>
      <c r="G2925" s="1189">
        <f t="shared" si="62"/>
        <v>0.40053285968028418</v>
      </c>
      <c r="H2925" s="1645">
        <v>120</v>
      </c>
    </row>
    <row r="2929" spans="1:4">
      <c r="A2929" s="1145" t="s">
        <v>179</v>
      </c>
      <c r="B2929" s="1145" t="s">
        <v>99</v>
      </c>
      <c r="C2929" s="354" t="s">
        <v>271</v>
      </c>
      <c r="D2929" s="1405" t="s">
        <v>4535</v>
      </c>
    </row>
    <row r="2930" spans="1:4" ht="15">
      <c r="A2930" s="22" t="s">
        <v>5802</v>
      </c>
      <c r="B2930" s="22" t="s">
        <v>5318</v>
      </c>
      <c r="C2930" s="8">
        <v>50</v>
      </c>
      <c r="D2930" s="39">
        <v>1.85</v>
      </c>
    </row>
    <row r="2931" spans="1:4" ht="15">
      <c r="A2931" s="49"/>
      <c r="B2931" s="22" t="s">
        <v>316</v>
      </c>
      <c r="C2931" s="38">
        <v>1</v>
      </c>
      <c r="D2931" s="39">
        <v>12</v>
      </c>
    </row>
    <row r="2935" spans="1:4">
      <c r="A2935" s="1145" t="s">
        <v>179</v>
      </c>
      <c r="B2935" s="1145" t="s">
        <v>99</v>
      </c>
      <c r="C2935" s="354" t="s">
        <v>6154</v>
      </c>
    </row>
    <row r="2936" spans="1:4" ht="15">
      <c r="A2936" s="1312" t="s">
        <v>5957</v>
      </c>
      <c r="B2936" s="22" t="s">
        <v>5961</v>
      </c>
      <c r="C2936" s="8">
        <v>44</v>
      </c>
    </row>
    <row r="2937" spans="1:4" ht="15">
      <c r="A2937" s="1612" t="s">
        <v>6099</v>
      </c>
      <c r="B2937" s="22" t="s">
        <v>5961</v>
      </c>
      <c r="C2937" s="8">
        <v>85</v>
      </c>
    </row>
    <row r="2938" spans="1:4" ht="15">
      <c r="A2938" s="1115" t="s">
        <v>5954</v>
      </c>
      <c r="B2938" s="22" t="s">
        <v>5961</v>
      </c>
      <c r="C2938" s="8">
        <v>44</v>
      </c>
    </row>
    <row r="2939" spans="1:4" ht="15">
      <c r="A2939" s="1612" t="s">
        <v>6141</v>
      </c>
      <c r="B2939" s="22" t="s">
        <v>5961</v>
      </c>
      <c r="C2939" s="1643">
        <v>145</v>
      </c>
    </row>
    <row r="2940" spans="1:4" ht="15">
      <c r="A2940" s="1115" t="s">
        <v>5957</v>
      </c>
      <c r="B2940" s="22" t="s">
        <v>5318</v>
      </c>
      <c r="C2940" s="8">
        <v>194</v>
      </c>
    </row>
    <row r="2941" spans="1:4" ht="15">
      <c r="A2941" s="1612" t="s">
        <v>6099</v>
      </c>
      <c r="B2941" s="22" t="s">
        <v>5318</v>
      </c>
      <c r="C2941" s="8">
        <v>390</v>
      </c>
    </row>
    <row r="2942" spans="1:4" ht="15">
      <c r="A2942" s="1115" t="s">
        <v>5954</v>
      </c>
      <c r="B2942" s="22" t="s">
        <v>5318</v>
      </c>
      <c r="C2942" s="8">
        <v>166</v>
      </c>
    </row>
    <row r="2943" spans="1:4" ht="15">
      <c r="A2943" s="1612" t="s">
        <v>6141</v>
      </c>
      <c r="B2943" s="22" t="s">
        <v>5318</v>
      </c>
      <c r="C2943" s="8">
        <v>527</v>
      </c>
    </row>
    <row r="2945" spans="1:9">
      <c r="A2945" s="1145" t="s">
        <v>179</v>
      </c>
      <c r="B2945" s="1145" t="s">
        <v>6124</v>
      </c>
      <c r="C2945" s="1145" t="s">
        <v>6153</v>
      </c>
      <c r="D2945" s="1145" t="s">
        <v>6164</v>
      </c>
    </row>
    <row r="2946" spans="1:9">
      <c r="A2946" s="40" t="s">
        <v>5680</v>
      </c>
      <c r="B2946" s="40" t="s">
        <v>6125</v>
      </c>
      <c r="C2946" s="211" t="s">
        <v>6165</v>
      </c>
      <c r="D2946" s="1312" t="s">
        <v>6167</v>
      </c>
    </row>
    <row r="2947" spans="1:9">
      <c r="A2947" s="386" t="s">
        <v>6126</v>
      </c>
      <c r="B2947" s="40" t="s">
        <v>6125</v>
      </c>
      <c r="C2947" s="211" t="s">
        <v>6155</v>
      </c>
      <c r="D2947" s="1312" t="s">
        <v>6167</v>
      </c>
    </row>
    <row r="2948" spans="1:9">
      <c r="A2948" s="40" t="s">
        <v>5897</v>
      </c>
      <c r="B2948" s="40" t="s">
        <v>6125</v>
      </c>
      <c r="C2948" s="211" t="s">
        <v>6156</v>
      </c>
      <c r="D2948" s="1312" t="s">
        <v>6167</v>
      </c>
    </row>
    <row r="2949" spans="1:9">
      <c r="A2949" s="386" t="s">
        <v>6157</v>
      </c>
      <c r="B2949" s="40" t="s">
        <v>6125</v>
      </c>
      <c r="C2949" s="211" t="s">
        <v>6158</v>
      </c>
      <c r="D2949" s="1312" t="s">
        <v>6166</v>
      </c>
    </row>
    <row r="2950" spans="1:9">
      <c r="A2950" s="40" t="s">
        <v>5680</v>
      </c>
      <c r="B2950" s="40" t="s">
        <v>6159</v>
      </c>
      <c r="C2950" s="211" t="s">
        <v>6160</v>
      </c>
      <c r="D2950" s="1312" t="s">
        <v>6167</v>
      </c>
    </row>
    <row r="2951" spans="1:9">
      <c r="A2951" s="386" t="s">
        <v>6126</v>
      </c>
      <c r="B2951" s="40" t="s">
        <v>6159</v>
      </c>
      <c r="C2951" s="211" t="s">
        <v>6161</v>
      </c>
      <c r="D2951" s="1312" t="s">
        <v>6167</v>
      </c>
    </row>
    <row r="2952" spans="1:9">
      <c r="A2952" s="40" t="s">
        <v>5897</v>
      </c>
      <c r="B2952" s="40" t="s">
        <v>6159</v>
      </c>
      <c r="C2952" s="211" t="s">
        <v>6162</v>
      </c>
      <c r="D2952" s="1312" t="s">
        <v>6167</v>
      </c>
    </row>
    <row r="2953" spans="1:9">
      <c r="A2953" s="386" t="s">
        <v>6157</v>
      </c>
      <c r="B2953" s="40" t="s">
        <v>6159</v>
      </c>
      <c r="C2953" s="211" t="s">
        <v>6163</v>
      </c>
      <c r="D2953" s="1312" t="s">
        <v>6168</v>
      </c>
    </row>
    <row r="2954" spans="1:9">
      <c r="A2954" s="330"/>
    </row>
    <row r="2956" spans="1:9" ht="13.5" customHeight="1">
      <c r="A2956" s="1236" t="s">
        <v>6191</v>
      </c>
    </row>
    <row r="2957" spans="1:9" ht="13.5" customHeight="1">
      <c r="A2957" s="354" t="s">
        <v>266</v>
      </c>
      <c r="B2957" s="354" t="s">
        <v>169</v>
      </c>
      <c r="C2957" s="354" t="s">
        <v>5199</v>
      </c>
      <c r="D2957" s="1375" t="s">
        <v>5200</v>
      </c>
      <c r="E2957" s="1375" t="s">
        <v>5201</v>
      </c>
      <c r="F2957" s="1151" t="s">
        <v>5202</v>
      </c>
      <c r="G2957" s="1151" t="s">
        <v>5203</v>
      </c>
      <c r="H2957" s="1151" t="s">
        <v>4376</v>
      </c>
    </row>
    <row r="2958" spans="1:9" ht="13.5" customHeight="1">
      <c r="A2958" s="1115" t="s">
        <v>5207</v>
      </c>
      <c r="B2958" s="1115" t="s">
        <v>3061</v>
      </c>
      <c r="C2958" s="1111" t="s">
        <v>5204</v>
      </c>
      <c r="D2958" s="1376">
        <f>ROUNDUP(F2958/0.79/120,2)</f>
        <v>27.220000000000002</v>
      </c>
      <c r="E2958" s="1376" t="s">
        <v>5205</v>
      </c>
      <c r="F2958" s="1377">
        <f>2280+300</f>
        <v>2580</v>
      </c>
      <c r="G2958" s="1378">
        <f>(D2958-(F2958/H2958))/D2958</f>
        <v>0.21013960323291705</v>
      </c>
      <c r="H2958">
        <v>120</v>
      </c>
      <c r="I2958" s="194"/>
    </row>
    <row r="2959" spans="1:9" ht="13.5" customHeight="1">
      <c r="A2959" s="1115" t="s">
        <v>5207</v>
      </c>
      <c r="B2959" s="1115" t="s">
        <v>3061</v>
      </c>
      <c r="C2959" s="1111" t="s">
        <v>5212</v>
      </c>
      <c r="D2959" s="1376">
        <v>24</v>
      </c>
      <c r="E2959" s="1376"/>
      <c r="F2959" s="1377">
        <v>2280</v>
      </c>
      <c r="G2959" s="1378">
        <f>(D2959-(F2959/H2959))/D2959</f>
        <v>0.20833333333333334</v>
      </c>
      <c r="H2959">
        <v>120</v>
      </c>
      <c r="I2959" s="1379"/>
    </row>
    <row r="2962" spans="1:8">
      <c r="A2962" s="1338" t="s">
        <v>6197</v>
      </c>
      <c r="C2962" s="194" t="s">
        <v>5137</v>
      </c>
      <c r="D2962" s="1151" t="s">
        <v>4375</v>
      </c>
      <c r="E2962" s="1151" t="s">
        <v>4376</v>
      </c>
    </row>
    <row r="2963" spans="1:8" ht="27">
      <c r="A2963" s="1145" t="s">
        <v>5134</v>
      </c>
      <c r="B2963" s="1145" t="s">
        <v>5916</v>
      </c>
      <c r="C2963" s="1185" t="s">
        <v>4535</v>
      </c>
      <c r="D2963" s="1185" t="s">
        <v>5874</v>
      </c>
      <c r="E2963" s="1390" t="s">
        <v>5354</v>
      </c>
      <c r="F2963" s="1339"/>
      <c r="G2963" s="1339"/>
    </row>
    <row r="2964" spans="1:8" ht="38.25">
      <c r="A2964" s="1344" t="s">
        <v>6198</v>
      </c>
      <c r="B2964" s="1344" t="s">
        <v>6200</v>
      </c>
      <c r="C2964" s="360">
        <f>ROUNDUP(E2964/0.8/120,2)</f>
        <v>18.75</v>
      </c>
      <c r="D2964" s="360"/>
      <c r="E2964" s="158">
        <f>1400+400</f>
        <v>1800</v>
      </c>
      <c r="F2964" s="1343">
        <f>(((C2964*G2964)-E2964)/(C2964*G2964))</f>
        <v>0.2</v>
      </c>
      <c r="G2964" s="162">
        <v>120</v>
      </c>
    </row>
    <row r="2965" spans="1:8" ht="38.25">
      <c r="A2965" s="1344" t="s">
        <v>6199</v>
      </c>
      <c r="B2965" s="1344" t="s">
        <v>6200</v>
      </c>
      <c r="C2965" s="360">
        <f>ROUNDUP(E2965/0.8/120,2)</f>
        <v>14.9</v>
      </c>
      <c r="D2965" s="360"/>
      <c r="E2965" s="158">
        <f>1400+30</f>
        <v>1430</v>
      </c>
      <c r="F2965" s="1341">
        <f>(((C2965*G2965)-E2965)/(C2965*G2965))</f>
        <v>0.20022371364653244</v>
      </c>
      <c r="G2965" s="1342">
        <v>120</v>
      </c>
    </row>
    <row r="2969" spans="1:8">
      <c r="A2969" t="s">
        <v>6211</v>
      </c>
    </row>
    <row r="2970" spans="1:8">
      <c r="A2970" s="1183" t="s">
        <v>82</v>
      </c>
      <c r="B2970" s="1184" t="s">
        <v>35</v>
      </c>
      <c r="C2970" s="1184" t="s">
        <v>245</v>
      </c>
      <c r="D2970" s="1184" t="s">
        <v>6201</v>
      </c>
      <c r="E2970" s="1184" t="s">
        <v>4139</v>
      </c>
      <c r="F2970" s="194" t="s">
        <v>248</v>
      </c>
      <c r="G2970" s="1151" t="s">
        <v>4375</v>
      </c>
      <c r="H2970" s="194" t="s">
        <v>6210</v>
      </c>
    </row>
    <row r="2971" spans="1:8" s="352" customFormat="1">
      <c r="A2971" s="40" t="s">
        <v>6208</v>
      </c>
      <c r="B2971" s="41" t="s">
        <v>6207</v>
      </c>
      <c r="C2971" s="211" t="s">
        <v>6202</v>
      </c>
      <c r="D2971" s="211" t="s">
        <v>6202</v>
      </c>
      <c r="E2971" s="1655">
        <f>ROUNDUP(F2971/0.6/130,2)</f>
        <v>3.4299999999999997</v>
      </c>
      <c r="F2971" s="194">
        <v>267</v>
      </c>
      <c r="G2971" s="1189">
        <f>(E2971-(F2971/H2971))/E2971</f>
        <v>0.3513119533527696</v>
      </c>
      <c r="H2971" s="194">
        <v>120</v>
      </c>
    </row>
    <row r="2972" spans="1:8" s="352" customFormat="1">
      <c r="A2972" s="40" t="s">
        <v>6209</v>
      </c>
      <c r="B2972" s="41" t="s">
        <v>6207</v>
      </c>
      <c r="C2972" s="211" t="s">
        <v>6202</v>
      </c>
      <c r="D2972" s="211" t="s">
        <v>6202</v>
      </c>
      <c r="E2972" s="1655">
        <f>ROUNDUP(F2972/0.6/130,2)</f>
        <v>3.67</v>
      </c>
      <c r="F2972" s="194">
        <v>286</v>
      </c>
      <c r="G2972" s="1189">
        <f>(E2972-(F2972/H2972))/E2972</f>
        <v>0.35059037238873753</v>
      </c>
      <c r="H2972" s="194">
        <v>120</v>
      </c>
    </row>
    <row r="2973" spans="1:8">
      <c r="A2973" s="1656" t="s">
        <v>6203</v>
      </c>
    </row>
    <row r="2974" spans="1:8">
      <c r="A2974" s="1656" t="s">
        <v>6204</v>
      </c>
    </row>
    <row r="2975" spans="1:8">
      <c r="A2975" s="330" t="s">
        <v>6205</v>
      </c>
    </row>
    <row r="2976" spans="1:8">
      <c r="A2976" s="1656" t="s">
        <v>6206</v>
      </c>
    </row>
    <row r="2979" spans="1:7">
      <c r="A2979" s="1338" t="s">
        <v>6213</v>
      </c>
      <c r="C2979" s="194" t="s">
        <v>5137</v>
      </c>
      <c r="D2979" s="1151" t="s">
        <v>4375</v>
      </c>
      <c r="E2979" s="1151" t="s">
        <v>4376</v>
      </c>
    </row>
    <row r="2980" spans="1:7" ht="27">
      <c r="A2980" s="1145" t="s">
        <v>5134</v>
      </c>
      <c r="B2980" s="1185" t="s">
        <v>4535</v>
      </c>
      <c r="C2980" s="1390" t="s">
        <v>5354</v>
      </c>
      <c r="D2980" s="1339"/>
      <c r="E2980" s="1339"/>
    </row>
    <row r="2981" spans="1:7" s="393" customFormat="1" ht="26.1" customHeight="1">
      <c r="A2981" s="363" t="s">
        <v>5359</v>
      </c>
      <c r="B2981" s="1415" t="s">
        <v>5357</v>
      </c>
      <c r="C2981" s="1390"/>
      <c r="D2981" s="1223"/>
      <c r="E2981" s="1391"/>
    </row>
    <row r="2982" spans="1:7" s="400" customFormat="1" ht="24" customHeight="1">
      <c r="A2982" s="363" t="s">
        <v>5358</v>
      </c>
      <c r="B2982" s="360">
        <f>ROUNDUP(C2982/0.8/120,2)</f>
        <v>31.57</v>
      </c>
      <c r="C2982" s="363">
        <f>3000+30</f>
        <v>3030</v>
      </c>
      <c r="D2982" s="1393">
        <f>(B2982-(C2982/E2982))/B2982</f>
        <v>0.20019005384859045</v>
      </c>
      <c r="E2982" s="1394">
        <v>120</v>
      </c>
    </row>
    <row r="2983" spans="1:7" s="393" customFormat="1" ht="26.1" customHeight="1">
      <c r="A2983" s="363" t="s">
        <v>6214</v>
      </c>
      <c r="B2983" s="1415" t="s">
        <v>6216</v>
      </c>
      <c r="C2983" s="1390"/>
      <c r="D2983" s="1223"/>
      <c r="E2983" s="1391"/>
    </row>
    <row r="2984" spans="1:7" s="400" customFormat="1" ht="24" customHeight="1">
      <c r="A2984" s="363" t="s">
        <v>6215</v>
      </c>
      <c r="B2984" s="360">
        <f>ROUNDUP(C2984/0.8/120,2)</f>
        <v>24.28</v>
      </c>
      <c r="C2984" s="363">
        <f>2300+30</f>
        <v>2330</v>
      </c>
      <c r="D2984" s="1393">
        <f>(B2984-(C2984/E2984))/B2984</f>
        <v>0.2003020318506315</v>
      </c>
      <c r="E2984" s="1394">
        <v>120</v>
      </c>
    </row>
    <row r="2987" spans="1:7">
      <c r="A2987" s="1666" t="s">
        <v>6221</v>
      </c>
    </row>
    <row r="2988" spans="1:7" s="1628" customFormat="1" ht="31.5">
      <c r="A2988" s="1621" t="s">
        <v>6100</v>
      </c>
      <c r="B2988" s="1621" t="s">
        <v>6101</v>
      </c>
      <c r="C2988" s="1623" t="s">
        <v>6103</v>
      </c>
      <c r="D2988" s="1657" t="s">
        <v>6222</v>
      </c>
      <c r="E2988" s="1658" t="s">
        <v>6223</v>
      </c>
      <c r="F2988" s="1659" t="s">
        <v>6217</v>
      </c>
      <c r="G2988" s="1627" t="s">
        <v>6218</v>
      </c>
    </row>
    <row r="2989" spans="1:7" s="1628" customFormat="1" ht="15.75">
      <c r="A2989" s="1663" t="s">
        <v>6219</v>
      </c>
      <c r="B2989" s="1661">
        <v>4</v>
      </c>
      <c r="C2989" s="1664">
        <v>30</v>
      </c>
      <c r="D2989" s="1660">
        <f t="shared" ref="D2989:D2997" si="63">ROUNDUP(E2989/0.5/120,2)</f>
        <v>0.21000000000000002</v>
      </c>
      <c r="E2989" s="1665">
        <v>12.1333</v>
      </c>
      <c r="F2989" s="1625">
        <f t="shared" ref="F2989:F2997" si="64">(((D2989*G2989)-E2989)/(D2989*G2989))</f>
        <v>0.5185198412698413</v>
      </c>
      <c r="G2989" s="1626">
        <v>120</v>
      </c>
    </row>
    <row r="2990" spans="1:7" s="1628" customFormat="1" ht="15.75">
      <c r="A2990" s="1663" t="s">
        <v>6219</v>
      </c>
      <c r="B2990" s="1661">
        <v>6</v>
      </c>
      <c r="C2990" s="1664">
        <v>30</v>
      </c>
      <c r="D2990" s="1660">
        <f t="shared" si="63"/>
        <v>0.22</v>
      </c>
      <c r="E2990" s="1665">
        <v>12.7</v>
      </c>
      <c r="F2990" s="1625">
        <f t="shared" si="64"/>
        <v>0.51893939393939392</v>
      </c>
      <c r="G2990" s="1626">
        <v>120</v>
      </c>
    </row>
    <row r="2991" spans="1:7" s="1628" customFormat="1" ht="15.75">
      <c r="A2991" s="1663" t="s">
        <v>6219</v>
      </c>
      <c r="B2991" s="1661">
        <v>9</v>
      </c>
      <c r="C2991" s="1664">
        <v>30</v>
      </c>
      <c r="D2991" s="1660">
        <f t="shared" si="63"/>
        <v>0.27</v>
      </c>
      <c r="E2991" s="1665">
        <v>16.166599999999999</v>
      </c>
      <c r="F2991" s="1625">
        <f t="shared" si="64"/>
        <v>0.50103086419753096</v>
      </c>
      <c r="G2991" s="1626">
        <v>120</v>
      </c>
    </row>
    <row r="2992" spans="1:7" s="1628" customFormat="1" ht="15.75">
      <c r="A2992" s="1663" t="s">
        <v>6219</v>
      </c>
      <c r="B2992" s="1661">
        <v>12</v>
      </c>
      <c r="C2992" s="1664">
        <v>30</v>
      </c>
      <c r="D2992" s="1660">
        <f t="shared" si="63"/>
        <v>0.34</v>
      </c>
      <c r="E2992" s="1665">
        <v>20.2333</v>
      </c>
      <c r="F2992" s="1625">
        <f t="shared" si="64"/>
        <v>0.50408578431372553</v>
      </c>
      <c r="G2992" s="1626">
        <v>120</v>
      </c>
    </row>
    <row r="2993" spans="1:7" s="1628" customFormat="1" ht="15.75">
      <c r="A2993" s="1663" t="s">
        <v>6219</v>
      </c>
      <c r="B2993" s="1661">
        <v>15</v>
      </c>
      <c r="C2993" s="1664">
        <v>30</v>
      </c>
      <c r="D2993" s="1660">
        <f t="shared" si="63"/>
        <v>0.41000000000000003</v>
      </c>
      <c r="E2993" s="1665">
        <v>24.2666</v>
      </c>
      <c r="F2993" s="1625">
        <f t="shared" si="64"/>
        <v>0.50677642276422763</v>
      </c>
      <c r="G2993" s="1626">
        <v>120</v>
      </c>
    </row>
    <row r="2994" spans="1:7" s="1628" customFormat="1" ht="15.75">
      <c r="A2994" s="1663" t="s">
        <v>6219</v>
      </c>
      <c r="B2994" s="1661">
        <v>18</v>
      </c>
      <c r="C2994" s="1664">
        <v>30</v>
      </c>
      <c r="D2994" s="1660">
        <f t="shared" si="63"/>
        <v>0.48</v>
      </c>
      <c r="E2994" s="1665">
        <v>28.3</v>
      </c>
      <c r="F2994" s="1625">
        <f t="shared" si="64"/>
        <v>0.50868055555555547</v>
      </c>
      <c r="G2994" s="1626">
        <v>120</v>
      </c>
    </row>
    <row r="2995" spans="1:7" s="1628" customFormat="1" ht="15.75">
      <c r="A2995" s="1663" t="s">
        <v>6219</v>
      </c>
      <c r="B2995" s="1661">
        <v>24</v>
      </c>
      <c r="C2995" s="1664">
        <v>30</v>
      </c>
      <c r="D2995" s="1660">
        <f t="shared" si="63"/>
        <v>0.61</v>
      </c>
      <c r="E2995" s="1665">
        <v>36.566600000000001</v>
      </c>
      <c r="F2995" s="1625">
        <f t="shared" si="64"/>
        <v>0.50045628415300547</v>
      </c>
      <c r="G2995" s="1626">
        <v>120</v>
      </c>
    </row>
    <row r="2996" spans="1:7" s="1628" customFormat="1" ht="15.75">
      <c r="A2996" s="1663" t="s">
        <v>6219</v>
      </c>
      <c r="B2996" s="1661">
        <v>36</v>
      </c>
      <c r="C2996" s="1664">
        <v>30</v>
      </c>
      <c r="D2996" s="1660">
        <f t="shared" si="63"/>
        <v>1.02</v>
      </c>
      <c r="E2996" s="1665">
        <v>60.833300000000001</v>
      </c>
      <c r="F2996" s="1625">
        <f t="shared" si="64"/>
        <v>0.50299591503267971</v>
      </c>
      <c r="G2996" s="1626">
        <v>120</v>
      </c>
    </row>
    <row r="2997" spans="1:7" s="1628" customFormat="1" ht="15.75">
      <c r="A2997" s="1663" t="s">
        <v>6219</v>
      </c>
      <c r="B2997" s="1661">
        <v>50</v>
      </c>
      <c r="C2997" s="1664">
        <v>30</v>
      </c>
      <c r="D2997" s="1660">
        <f t="shared" si="63"/>
        <v>1.48</v>
      </c>
      <c r="E2997" s="1665">
        <v>88.366600000000005</v>
      </c>
      <c r="F2997" s="1625">
        <f t="shared" si="64"/>
        <v>0.5024403153153153</v>
      </c>
      <c r="G2997" s="1626">
        <v>120</v>
      </c>
    </row>
    <row r="2998" spans="1:7" s="1628" customFormat="1" ht="15.75">
      <c r="A2998" s="1663"/>
      <c r="B2998" s="1661"/>
      <c r="C2998" s="1664"/>
      <c r="D2998" s="1660"/>
      <c r="E2998" s="1665"/>
      <c r="F2998" s="1625"/>
      <c r="G2998" s="1626"/>
    </row>
    <row r="2999" spans="1:7" s="1662" customFormat="1" ht="15.75">
      <c r="A2999" s="1663" t="s">
        <v>6220</v>
      </c>
      <c r="B2999" s="1661">
        <v>4</v>
      </c>
      <c r="C2999" s="1664">
        <v>30</v>
      </c>
      <c r="D2999" s="1660">
        <f t="shared" ref="D2999:D3007" si="65">ROUNDUP(E2999/0.5/120,2)</f>
        <v>0.17</v>
      </c>
      <c r="E2999" s="1665">
        <v>9.7333333333333325</v>
      </c>
      <c r="F2999" s="1625">
        <f t="shared" ref="F2999:F3007" si="66">(((D2999*G2999)-E2999)/(D2999*G2999))</f>
        <v>0.52287581699346419</v>
      </c>
      <c r="G2999" s="1626">
        <v>120</v>
      </c>
    </row>
    <row r="3000" spans="1:7" s="1662" customFormat="1" ht="15.75">
      <c r="A3000" s="1481" t="s">
        <v>6220</v>
      </c>
      <c r="B3000" s="1661">
        <v>6</v>
      </c>
      <c r="C3000" s="1664">
        <v>30</v>
      </c>
      <c r="D3000" s="1660">
        <f t="shared" si="65"/>
        <v>0.19</v>
      </c>
      <c r="E3000" s="1665">
        <v>11.033333333333333</v>
      </c>
      <c r="F3000" s="1625">
        <f t="shared" si="66"/>
        <v>0.51608187134502925</v>
      </c>
      <c r="G3000" s="1626">
        <v>120</v>
      </c>
    </row>
    <row r="3001" spans="1:7" s="1662" customFormat="1" ht="15.75">
      <c r="A3001" s="1481" t="s">
        <v>6220</v>
      </c>
      <c r="B3001" s="1661">
        <v>9</v>
      </c>
      <c r="C3001" s="1664">
        <v>30</v>
      </c>
      <c r="D3001" s="1660">
        <f t="shared" si="65"/>
        <v>0.23</v>
      </c>
      <c r="E3001" s="1665">
        <v>13.8</v>
      </c>
      <c r="F3001" s="1625">
        <f t="shared" si="66"/>
        <v>0.5</v>
      </c>
      <c r="G3001" s="1626">
        <v>120</v>
      </c>
    </row>
    <row r="3002" spans="1:7" s="1662" customFormat="1" ht="15.75">
      <c r="A3002" s="1481" t="s">
        <v>6220</v>
      </c>
      <c r="B3002" s="1661">
        <v>12</v>
      </c>
      <c r="C3002" s="1664">
        <v>30</v>
      </c>
      <c r="D3002" s="1660">
        <f t="shared" si="65"/>
        <v>0.3</v>
      </c>
      <c r="E3002" s="1665">
        <v>17.766666666666666</v>
      </c>
      <c r="F3002" s="1625">
        <f t="shared" si="66"/>
        <v>0.50648148148148153</v>
      </c>
      <c r="G3002" s="1626">
        <v>120</v>
      </c>
    </row>
    <row r="3003" spans="1:7" s="1662" customFormat="1" ht="15.75">
      <c r="A3003" s="1481" t="s">
        <v>6220</v>
      </c>
      <c r="B3003" s="1661">
        <v>15</v>
      </c>
      <c r="C3003" s="1664">
        <v>30</v>
      </c>
      <c r="D3003" s="1660">
        <f t="shared" si="65"/>
        <v>0.36</v>
      </c>
      <c r="E3003" s="1665">
        <v>21.6</v>
      </c>
      <c r="F3003" s="1625">
        <f t="shared" si="66"/>
        <v>0.49999999999999994</v>
      </c>
      <c r="G3003" s="1626">
        <v>120</v>
      </c>
    </row>
    <row r="3004" spans="1:7" s="1662" customFormat="1" ht="15.75">
      <c r="A3004" s="1481" t="s">
        <v>6220</v>
      </c>
      <c r="B3004" s="1661">
        <v>18</v>
      </c>
      <c r="C3004" s="1664">
        <v>30</v>
      </c>
      <c r="D3004" s="1660">
        <f t="shared" si="65"/>
        <v>0.45</v>
      </c>
      <c r="E3004" s="1665">
        <v>26.666666666666668</v>
      </c>
      <c r="F3004" s="1625">
        <f t="shared" si="66"/>
        <v>0.50617283950617287</v>
      </c>
      <c r="G3004" s="1626">
        <v>120</v>
      </c>
    </row>
    <row r="3005" spans="1:7" s="1662" customFormat="1" ht="15.75">
      <c r="A3005" s="1481" t="s">
        <v>6220</v>
      </c>
      <c r="B3005" s="1661">
        <v>24</v>
      </c>
      <c r="C3005" s="1664">
        <v>30</v>
      </c>
      <c r="D3005" s="1660">
        <f t="shared" si="65"/>
        <v>0.56000000000000005</v>
      </c>
      <c r="E3005" s="1665">
        <v>33.033333333333331</v>
      </c>
      <c r="F3005" s="1625">
        <f t="shared" si="66"/>
        <v>0.50843253968253976</v>
      </c>
      <c r="G3005" s="1626">
        <v>120</v>
      </c>
    </row>
    <row r="3006" spans="1:7" s="1662" customFormat="1" ht="15.75">
      <c r="A3006" s="1481" t="s">
        <v>6220</v>
      </c>
      <c r="B3006" s="1661">
        <v>36</v>
      </c>
      <c r="C3006" s="1664">
        <v>30</v>
      </c>
      <c r="D3006" s="1660">
        <f t="shared" si="65"/>
        <v>0.88</v>
      </c>
      <c r="E3006" s="1665">
        <v>52.5</v>
      </c>
      <c r="F3006" s="1625">
        <f t="shared" si="66"/>
        <v>0.50284090909090906</v>
      </c>
      <c r="G3006" s="1626">
        <v>120</v>
      </c>
    </row>
    <row r="3007" spans="1:7" s="1662" customFormat="1" ht="15.75">
      <c r="A3007" s="1481" t="s">
        <v>6220</v>
      </c>
      <c r="B3007" s="1661">
        <v>50</v>
      </c>
      <c r="C3007" s="1664">
        <v>30</v>
      </c>
      <c r="D3007" s="1660">
        <f t="shared" si="65"/>
        <v>1.17</v>
      </c>
      <c r="E3007" s="1665">
        <v>69.900000000000006</v>
      </c>
      <c r="F3007" s="1625">
        <f t="shared" si="66"/>
        <v>0.50213675213675202</v>
      </c>
      <c r="G3007" s="1626">
        <v>120</v>
      </c>
    </row>
    <row r="3010" spans="1:7">
      <c r="A3010" s="1338" t="s">
        <v>6233</v>
      </c>
      <c r="C3010" s="194" t="s">
        <v>5137</v>
      </c>
      <c r="D3010" s="1151" t="s">
        <v>4375</v>
      </c>
      <c r="E3010" s="1151" t="s">
        <v>4376</v>
      </c>
    </row>
    <row r="3011" spans="1:7" ht="27">
      <c r="A3011" s="1145" t="s">
        <v>5134</v>
      </c>
      <c r="B3011" s="1145" t="s">
        <v>5916</v>
      </c>
      <c r="C3011" s="1185" t="s">
        <v>4535</v>
      </c>
      <c r="D3011" s="1185" t="s">
        <v>5874</v>
      </c>
      <c r="E3011" s="1390" t="s">
        <v>5354</v>
      </c>
      <c r="F3011" s="1339"/>
      <c r="G3011" s="1339"/>
    </row>
    <row r="3012" spans="1:7" ht="38.25">
      <c r="A3012" s="1344" t="s">
        <v>6234</v>
      </c>
      <c r="B3012" s="1344" t="s">
        <v>6235</v>
      </c>
      <c r="C3012" s="360">
        <f>ROUNDUP(E3012/0.8/120,2)</f>
        <v>13.44</v>
      </c>
      <c r="D3012" s="360"/>
      <c r="E3012" s="158">
        <f>890+400</f>
        <v>1290</v>
      </c>
      <c r="F3012" s="1343">
        <f>(((C3012*G3012)-E3012)/(C3012*G3012))</f>
        <v>0.20014880952380951</v>
      </c>
      <c r="G3012" s="162">
        <v>120</v>
      </c>
    </row>
    <row r="3013" spans="1:7" ht="38.25">
      <c r="A3013" s="1344" t="s">
        <v>6236</v>
      </c>
      <c r="B3013" s="1344" t="s">
        <v>6235</v>
      </c>
      <c r="C3013" s="360">
        <f>ROUNDUP(E3013/0.8/120,2)</f>
        <v>9.59</v>
      </c>
      <c r="D3013" s="360"/>
      <c r="E3013" s="158">
        <f>890+30</f>
        <v>920</v>
      </c>
      <c r="F3013" s="1341">
        <f>(((C3013*G3013)-E3013)/(C3013*G3013))</f>
        <v>0.20055613486270418</v>
      </c>
      <c r="G3013" s="1342">
        <v>120</v>
      </c>
    </row>
    <row r="3016" spans="1:7">
      <c r="A3016" s="1145" t="s">
        <v>179</v>
      </c>
      <c r="B3016" s="1145" t="s">
        <v>169</v>
      </c>
      <c r="C3016" s="1145" t="s">
        <v>99</v>
      </c>
      <c r="D3016" s="354" t="s">
        <v>245</v>
      </c>
      <c r="E3016" s="354" t="s">
        <v>270</v>
      </c>
      <c r="F3016" s="354" t="s">
        <v>271</v>
      </c>
      <c r="G3016" s="1405" t="s">
        <v>4535</v>
      </c>
    </row>
    <row r="3017" spans="1:7">
      <c r="A3017" s="40" t="s">
        <v>6241</v>
      </c>
      <c r="B3017" s="1673" t="s">
        <v>351</v>
      </c>
      <c r="C3017" s="40" t="s">
        <v>6242</v>
      </c>
      <c r="D3017" s="355">
        <v>50</v>
      </c>
      <c r="E3017" s="356">
        <v>3</v>
      </c>
      <c r="F3017" s="357">
        <f>D3017*E3017</f>
        <v>150</v>
      </c>
      <c r="G3017" s="1113">
        <v>0.5</v>
      </c>
    </row>
    <row r="3018" spans="1:7">
      <c r="A3018" s="40" t="s">
        <v>6241</v>
      </c>
      <c r="B3018" s="1673" t="s">
        <v>351</v>
      </c>
      <c r="C3018" s="40" t="s">
        <v>6243</v>
      </c>
      <c r="D3018" s="355">
        <v>50</v>
      </c>
      <c r="E3018" s="356">
        <v>4</v>
      </c>
      <c r="F3018" s="357">
        <f>D3018*E3018</f>
        <v>200</v>
      </c>
      <c r="G3018" s="1113">
        <v>0.5</v>
      </c>
    </row>
    <row r="3019" spans="1:7">
      <c r="A3019" s="40" t="s">
        <v>6241</v>
      </c>
      <c r="B3019" s="1673" t="s">
        <v>351</v>
      </c>
      <c r="C3019" s="40" t="s">
        <v>6244</v>
      </c>
      <c r="D3019" s="355">
        <v>50</v>
      </c>
      <c r="E3019" s="356">
        <v>4</v>
      </c>
      <c r="F3019" s="357">
        <f>D3019*E3019</f>
        <v>200</v>
      </c>
      <c r="G3019" s="1113">
        <v>0.5</v>
      </c>
    </row>
    <row r="3020" spans="1:7">
      <c r="A3020" s="40"/>
      <c r="B3020" s="1195"/>
      <c r="C3020" s="40" t="s">
        <v>316</v>
      </c>
      <c r="D3020" s="357"/>
      <c r="E3020" s="1107"/>
      <c r="F3020" s="353">
        <v>1</v>
      </c>
      <c r="G3020" s="1113">
        <v>12</v>
      </c>
    </row>
    <row r="3024" spans="1:7">
      <c r="A3024" s="1145" t="s">
        <v>179</v>
      </c>
      <c r="B3024" s="1145" t="s">
        <v>35</v>
      </c>
      <c r="C3024" s="1145" t="s">
        <v>99</v>
      </c>
      <c r="D3024" s="354" t="s">
        <v>245</v>
      </c>
      <c r="E3024" s="354" t="s">
        <v>270</v>
      </c>
      <c r="F3024" s="354" t="s">
        <v>271</v>
      </c>
      <c r="G3024" s="1405" t="s">
        <v>4535</v>
      </c>
    </row>
    <row r="3025" spans="1:8">
      <c r="A3025" s="40" t="s">
        <v>4934</v>
      </c>
      <c r="B3025" s="165">
        <v>25</v>
      </c>
      <c r="C3025" s="165" t="s">
        <v>350</v>
      </c>
      <c r="D3025" s="357">
        <v>30</v>
      </c>
      <c r="E3025" s="1107">
        <v>10</v>
      </c>
      <c r="F3025" s="357">
        <f>D3025*E3025</f>
        <v>300</v>
      </c>
      <c r="G3025" s="1113">
        <v>0.72</v>
      </c>
    </row>
    <row r="3026" spans="1:8">
      <c r="A3026" s="40" t="s">
        <v>4934</v>
      </c>
      <c r="B3026" s="165">
        <v>6</v>
      </c>
      <c r="C3026" s="165" t="s">
        <v>350</v>
      </c>
      <c r="D3026" s="357">
        <v>30</v>
      </c>
      <c r="E3026" s="1107">
        <v>5</v>
      </c>
      <c r="F3026" s="357">
        <f>D3026*E3026</f>
        <v>150</v>
      </c>
      <c r="G3026" s="1113">
        <v>0.34</v>
      </c>
    </row>
    <row r="3027" spans="1:8">
      <c r="A3027" s="40"/>
      <c r="B3027" s="1195"/>
      <c r="C3027" s="40" t="s">
        <v>316</v>
      </c>
      <c r="D3027" s="357"/>
      <c r="E3027" s="1107"/>
      <c r="F3027" s="353">
        <v>1</v>
      </c>
      <c r="G3027" s="1113">
        <v>12</v>
      </c>
    </row>
    <row r="3031" spans="1:8">
      <c r="A3031" s="1145" t="s">
        <v>6252</v>
      </c>
      <c r="B3031" s="1145" t="s">
        <v>179</v>
      </c>
      <c r="C3031" s="1145" t="s">
        <v>36</v>
      </c>
      <c r="D3031" s="1145" t="s">
        <v>37</v>
      </c>
      <c r="E3031" s="1405" t="s">
        <v>4535</v>
      </c>
      <c r="F3031" s="1405" t="s">
        <v>321</v>
      </c>
    </row>
    <row r="3032" spans="1:8">
      <c r="A3032" s="4" t="s">
        <v>6247</v>
      </c>
      <c r="B3032" s="40" t="s">
        <v>190</v>
      </c>
      <c r="C3032" s="1111" t="s">
        <v>6248</v>
      </c>
      <c r="D3032" s="43">
        <v>10</v>
      </c>
      <c r="E3032" s="1113">
        <v>5.28</v>
      </c>
      <c r="F3032" s="360" t="s">
        <v>322</v>
      </c>
    </row>
    <row r="3033" spans="1:8">
      <c r="A3033" s="4" t="s">
        <v>6247</v>
      </c>
      <c r="B3033" s="40"/>
      <c r="C3033" s="40" t="s">
        <v>4329</v>
      </c>
      <c r="D3033" s="353">
        <v>1</v>
      </c>
      <c r="E3033" s="1113">
        <v>15</v>
      </c>
      <c r="F3033" s="360"/>
    </row>
    <row r="3034" spans="1:8">
      <c r="A3034" s="4" t="s">
        <v>6250</v>
      </c>
      <c r="B3034" s="40" t="s">
        <v>190</v>
      </c>
      <c r="C3034" s="1111" t="s">
        <v>6249</v>
      </c>
      <c r="D3034" s="43">
        <v>10</v>
      </c>
      <c r="E3034" s="1113">
        <v>5.28</v>
      </c>
      <c r="F3034" s="360" t="s">
        <v>322</v>
      </c>
    </row>
    <row r="3035" spans="1:8">
      <c r="A3035" s="4" t="s">
        <v>6250</v>
      </c>
      <c r="B3035" s="40"/>
      <c r="C3035" s="40" t="s">
        <v>4329</v>
      </c>
      <c r="D3035" s="353">
        <v>1</v>
      </c>
      <c r="E3035" s="1113">
        <v>15</v>
      </c>
      <c r="F3035" s="360"/>
    </row>
    <row r="3036" spans="1:8">
      <c r="A3036" s="4" t="s">
        <v>6250</v>
      </c>
      <c r="B3036" s="40"/>
      <c r="C3036" s="40" t="s">
        <v>316</v>
      </c>
      <c r="D3036" s="353">
        <v>1</v>
      </c>
      <c r="E3036" s="1113">
        <v>15</v>
      </c>
      <c r="F3036" s="360"/>
    </row>
    <row r="3039" spans="1:8" ht="15">
      <c r="A3039" s="1404" t="s">
        <v>6253</v>
      </c>
      <c r="B3039" s="1404"/>
      <c r="C3039" s="1404"/>
      <c r="D3039" s="1404"/>
      <c r="E3039" s="1404"/>
      <c r="F3039" s="1404"/>
    </row>
    <row r="3040" spans="1:8" s="352" customFormat="1" ht="25.5">
      <c r="A3040" s="1145" t="s">
        <v>179</v>
      </c>
      <c r="B3040" s="1145" t="s">
        <v>99</v>
      </c>
      <c r="C3040" s="1145" t="s">
        <v>5327</v>
      </c>
      <c r="D3040" s="1405" t="s">
        <v>4535</v>
      </c>
      <c r="E3040" s="1405" t="s">
        <v>6254</v>
      </c>
      <c r="F3040" s="1462" t="s">
        <v>5499</v>
      </c>
      <c r="G3040" s="1644" t="s">
        <v>4375</v>
      </c>
      <c r="H3040" s="1645" t="s">
        <v>4376</v>
      </c>
    </row>
    <row r="3041" spans="1:13" s="352" customFormat="1" ht="12.75">
      <c r="A3041" s="1312" t="s">
        <v>5600</v>
      </c>
      <c r="B3041" s="1646" t="s">
        <v>5318</v>
      </c>
      <c r="C3041" s="357">
        <v>10</v>
      </c>
      <c r="D3041" s="385">
        <f t="shared" ref="D3041:D3042" si="67">ROUNDUP(F3041/0.6/120,2)</f>
        <v>2.8899999999999997</v>
      </c>
      <c r="E3041" s="1647" t="s">
        <v>5586</v>
      </c>
      <c r="F3041" s="1606">
        <v>208</v>
      </c>
      <c r="G3041" s="1189">
        <f t="shared" ref="G3041:G3042" si="68">(D3041-(F3041/H3041))/D3041</f>
        <v>0.40023068050749705</v>
      </c>
      <c r="H3041" s="1645">
        <v>120</v>
      </c>
    </row>
    <row r="3042" spans="1:13" s="352" customFormat="1" ht="12.75">
      <c r="A3042" s="1312" t="s">
        <v>5600</v>
      </c>
      <c r="B3042" s="1646" t="s">
        <v>5328</v>
      </c>
      <c r="C3042" s="357" t="s">
        <v>5569</v>
      </c>
      <c r="D3042" s="385">
        <f t="shared" si="67"/>
        <v>4.2799999999999994</v>
      </c>
      <c r="E3042" s="1647" t="s">
        <v>1893</v>
      </c>
      <c r="F3042" s="1606">
        <f>208+100</f>
        <v>308</v>
      </c>
      <c r="G3042" s="1189">
        <f t="shared" si="68"/>
        <v>0.40031152647975066</v>
      </c>
      <c r="H3042" s="1645">
        <v>120</v>
      </c>
    </row>
    <row r="3045" spans="1:13" s="1410" customFormat="1" ht="12.75">
      <c r="A3045" s="1410" t="s">
        <v>6256</v>
      </c>
    </row>
    <row r="3046" spans="1:13" s="1163" customFormat="1" ht="17.100000000000001" customHeight="1">
      <c r="A3046" s="1876" t="s">
        <v>5402</v>
      </c>
      <c r="B3046" s="1872" t="s">
        <v>6027</v>
      </c>
      <c r="C3046" s="1591" t="s">
        <v>6285</v>
      </c>
      <c r="D3046" s="1591"/>
      <c r="E3046" s="1591"/>
      <c r="F3046" s="1591"/>
      <c r="G3046" s="1872" t="s">
        <v>6028</v>
      </c>
      <c r="H3046" s="1676"/>
      <c r="I3046" s="1676"/>
      <c r="J3046" s="1877" t="s">
        <v>6029</v>
      </c>
      <c r="K3046" s="1877" t="s">
        <v>4063</v>
      </c>
      <c r="L3046" s="1875" t="s">
        <v>5403</v>
      </c>
      <c r="M3046" s="1876" t="s">
        <v>375</v>
      </c>
    </row>
    <row r="3047" spans="1:13" s="1163" customFormat="1" ht="17.100000000000001" customHeight="1">
      <c r="A3047" s="1876"/>
      <c r="B3047" s="1872"/>
      <c r="C3047" s="1593" t="s">
        <v>5407</v>
      </c>
      <c r="D3047" s="1593" t="s">
        <v>5408</v>
      </c>
      <c r="E3047" s="1593" t="s">
        <v>5409</v>
      </c>
      <c r="F3047" s="1593" t="s">
        <v>5410</v>
      </c>
      <c r="G3047" s="1872"/>
      <c r="H3047" s="1677" t="s">
        <v>6030</v>
      </c>
      <c r="I3047" s="1677" t="s">
        <v>6031</v>
      </c>
      <c r="J3047" s="1877"/>
      <c r="K3047" s="1877"/>
      <c r="L3047" s="1875"/>
      <c r="M3047" s="1876"/>
    </row>
    <row r="3048" spans="1:13" s="1163" customFormat="1" ht="17.100000000000001" customHeight="1">
      <c r="A3048" s="1596" t="s">
        <v>6257</v>
      </c>
      <c r="B3048" s="1589" t="s">
        <v>6258</v>
      </c>
      <c r="C3048" s="1595">
        <v>23.480182500000002</v>
      </c>
      <c r="D3048" s="1595">
        <v>21.234252000000001</v>
      </c>
      <c r="E3048" s="1595">
        <v>20.825901000000002</v>
      </c>
      <c r="F3048" s="1595">
        <v>20.417550000000002</v>
      </c>
      <c r="G3048" s="1589">
        <v>5.2</v>
      </c>
      <c r="H3048" s="1589">
        <v>644.79999999999995</v>
      </c>
      <c r="I3048" s="1589">
        <v>62.4</v>
      </c>
      <c r="J3048" s="1115">
        <v>644.79999999999995</v>
      </c>
      <c r="K3048" s="1115">
        <v>62.4</v>
      </c>
      <c r="L3048" s="1678">
        <v>50.900000000000006</v>
      </c>
      <c r="M3048" s="1589" t="s">
        <v>5406</v>
      </c>
    </row>
    <row r="3049" spans="1:13" s="1163" customFormat="1" ht="17.100000000000001" customHeight="1">
      <c r="A3049" s="1596" t="s">
        <v>6259</v>
      </c>
      <c r="B3049" s="1589" t="s">
        <v>6260</v>
      </c>
      <c r="C3049" s="1595">
        <v>53.170713000000006</v>
      </c>
      <c r="D3049" s="1595">
        <v>52.128150000000005</v>
      </c>
      <c r="E3049" s="1595">
        <v>47.957898000000007</v>
      </c>
      <c r="F3049" s="1595">
        <v>45.872772000000005</v>
      </c>
      <c r="G3049" s="1589">
        <v>6.1</v>
      </c>
      <c r="H3049" s="1589">
        <v>305</v>
      </c>
      <c r="I3049" s="1589">
        <v>36.6</v>
      </c>
      <c r="J3049" s="1115">
        <v>305</v>
      </c>
      <c r="K3049" s="1115">
        <v>36.6</v>
      </c>
      <c r="L3049" s="1678">
        <v>138.30000000000001</v>
      </c>
      <c r="M3049" s="1589" t="s">
        <v>5406</v>
      </c>
    </row>
    <row r="3050" spans="1:13" s="1163" customFormat="1" ht="17.100000000000001" customHeight="1">
      <c r="A3050" s="1596" t="s">
        <v>6261</v>
      </c>
      <c r="B3050" s="1589" t="s">
        <v>6262</v>
      </c>
      <c r="C3050" s="1595">
        <v>45.193293000000004</v>
      </c>
      <c r="D3050" s="1595">
        <v>44.30715</v>
      </c>
      <c r="E3050" s="1595">
        <v>40.762578000000005</v>
      </c>
      <c r="F3050" s="1595">
        <v>38.990292000000004</v>
      </c>
      <c r="G3050" s="1589">
        <v>5.2</v>
      </c>
      <c r="H3050" s="1589">
        <v>5.2</v>
      </c>
      <c r="I3050" s="1589">
        <v>31.2</v>
      </c>
      <c r="J3050" s="1115">
        <v>280.8</v>
      </c>
      <c r="K3050" s="1115">
        <v>31.2</v>
      </c>
      <c r="L3050" s="1678">
        <v>128.5</v>
      </c>
      <c r="M3050" s="1589" t="s">
        <v>6041</v>
      </c>
    </row>
    <row r="3051" spans="1:13" s="1163" customFormat="1" ht="17.100000000000001" customHeight="1">
      <c r="A3051" s="1594" t="s">
        <v>6057</v>
      </c>
      <c r="B3051" s="1594" t="s">
        <v>6058</v>
      </c>
      <c r="C3051" s="1595">
        <v>11.390219999999999</v>
      </c>
      <c r="D3051" s="1595">
        <v>10.441034999999999</v>
      </c>
      <c r="E3051" s="1595">
        <v>9.6816870000000002</v>
      </c>
      <c r="F3051" s="1595">
        <v>9.5867684999999998</v>
      </c>
      <c r="G3051" s="1594">
        <v>6.1</v>
      </c>
      <c r="H3051" s="1594"/>
      <c r="I3051" s="1594"/>
      <c r="J3051" s="1159">
        <v>1976.4</v>
      </c>
      <c r="K3051" s="1159">
        <v>219.6</v>
      </c>
      <c r="L3051" s="1594">
        <v>22</v>
      </c>
      <c r="M3051" s="1594" t="s">
        <v>5406</v>
      </c>
    </row>
    <row r="3052" spans="1:13" s="1163" customFormat="1" ht="17.100000000000001" customHeight="1">
      <c r="A3052" s="1596" t="s">
        <v>6263</v>
      </c>
      <c r="B3052" s="1589" t="s">
        <v>6264</v>
      </c>
      <c r="C3052" s="1595">
        <v>7.8719550000000016</v>
      </c>
      <c r="D3052" s="1595">
        <v>7.0847595000000005</v>
      </c>
      <c r="E3052" s="1595">
        <v>6.539778000000001</v>
      </c>
      <c r="F3052" s="1595">
        <v>6.3581175000000014</v>
      </c>
      <c r="G3052" s="1589">
        <v>6.1</v>
      </c>
      <c r="H3052" s="1589">
        <v>3416</v>
      </c>
      <c r="I3052" s="1589">
        <v>292.8</v>
      </c>
      <c r="J3052" s="1115">
        <v>3416</v>
      </c>
      <c r="K3052" s="1115">
        <v>292.8</v>
      </c>
      <c r="L3052" s="1678">
        <v>13</v>
      </c>
      <c r="M3052" s="1589" t="s">
        <v>5406</v>
      </c>
    </row>
    <row r="3053" spans="1:13" s="1163" customFormat="1" ht="17.100000000000001" customHeight="1">
      <c r="A3053" s="1597" t="s">
        <v>6265</v>
      </c>
      <c r="B3053" s="1589" t="s">
        <v>6266</v>
      </c>
      <c r="C3053" s="1595">
        <v>38.835531000000003</v>
      </c>
      <c r="D3053" s="1595">
        <v>38.07405</v>
      </c>
      <c r="E3053" s="1595">
        <v>35.028126</v>
      </c>
      <c r="F3053" s="1595">
        <v>33.505164000000001</v>
      </c>
      <c r="G3053" s="1679">
        <v>5.2</v>
      </c>
      <c r="H3053" s="1680">
        <v>395.2</v>
      </c>
      <c r="I3053" s="1680">
        <v>31.2</v>
      </c>
      <c r="J3053" s="1681">
        <v>395.2</v>
      </c>
      <c r="K3053" s="1681">
        <v>31.2</v>
      </c>
      <c r="L3053" s="1682">
        <v>104.80000000000001</v>
      </c>
      <c r="M3053" s="1683" t="s">
        <v>5406</v>
      </c>
    </row>
    <row r="3054" spans="1:13" s="1163" customFormat="1" ht="17.100000000000001" customHeight="1">
      <c r="A3054" s="1594" t="s">
        <v>6267</v>
      </c>
      <c r="B3054" s="1594" t="s">
        <v>6268</v>
      </c>
      <c r="C3054" s="1595">
        <v>11.34756</v>
      </c>
      <c r="D3054" s="1595">
        <v>10.401930000000002</v>
      </c>
      <c r="E3054" s="1595">
        <v>9.6454260000000005</v>
      </c>
      <c r="F3054" s="1595">
        <v>9.5508630000000014</v>
      </c>
      <c r="G3054" s="1594">
        <v>6.1</v>
      </c>
      <c r="H3054" s="1594"/>
      <c r="I3054" s="1594"/>
      <c r="J3054" s="1159">
        <v>1464</v>
      </c>
      <c r="K3054" s="1159">
        <v>146.4</v>
      </c>
      <c r="L3054" s="1594">
        <v>21.5</v>
      </c>
      <c r="M3054" s="1594" t="s">
        <v>6269</v>
      </c>
    </row>
    <row r="3055" spans="1:13" s="1163" customFormat="1" ht="17.100000000000001" customHeight="1">
      <c r="A3055" s="1596" t="s">
        <v>6270</v>
      </c>
      <c r="B3055" s="1589" t="s">
        <v>6271</v>
      </c>
      <c r="C3055" s="1595">
        <v>31.106250000000003</v>
      </c>
      <c r="D3055" s="1595">
        <v>30.217500000000001</v>
      </c>
      <c r="E3055" s="1595">
        <v>29.625</v>
      </c>
      <c r="F3055" s="1595">
        <v>29.032499999999999</v>
      </c>
      <c r="G3055" s="1589">
        <v>5.2</v>
      </c>
      <c r="H3055" s="1589">
        <v>5.2</v>
      </c>
      <c r="I3055" s="1589">
        <v>31.2</v>
      </c>
      <c r="J3055" s="1115">
        <v>478.4</v>
      </c>
      <c r="K3055" s="1115">
        <v>31.2</v>
      </c>
      <c r="L3055" s="1678">
        <v>85.2</v>
      </c>
      <c r="M3055" s="1589" t="s">
        <v>6038</v>
      </c>
    </row>
    <row r="3056" spans="1:13" s="1163" customFormat="1" ht="17.100000000000001" customHeight="1">
      <c r="A3056" s="1596" t="s">
        <v>6062</v>
      </c>
      <c r="B3056" s="1589" t="s">
        <v>6063</v>
      </c>
      <c r="C3056" s="1595">
        <v>9.306989999999999</v>
      </c>
      <c r="D3056" s="1595">
        <v>8.6301179999999995</v>
      </c>
      <c r="E3056" s="1595">
        <v>8.5455089999999991</v>
      </c>
      <c r="F3056" s="1595">
        <v>8.3000000000000007</v>
      </c>
      <c r="G3056" s="1589"/>
      <c r="H3056" s="1589">
        <v>1700</v>
      </c>
      <c r="I3056" s="1589">
        <v>316</v>
      </c>
      <c r="J3056" s="1115">
        <v>1700</v>
      </c>
      <c r="K3056" s="1115">
        <v>316</v>
      </c>
      <c r="L3056" s="1678">
        <v>17.400000000000002</v>
      </c>
      <c r="M3056" s="1589" t="s">
        <v>6064</v>
      </c>
    </row>
    <row r="3057" spans="1:13" s="1163" customFormat="1" ht="17.100000000000001" customHeight="1">
      <c r="A3057" s="1596" t="s">
        <v>6272</v>
      </c>
      <c r="B3057" s="1589" t="s">
        <v>6273</v>
      </c>
      <c r="C3057" s="1595">
        <v>46.305297000000003</v>
      </c>
      <c r="D3057" s="1595">
        <v>45.397350000000003</v>
      </c>
      <c r="E3057" s="1595">
        <v>41.765562000000003</v>
      </c>
      <c r="F3057" s="1595">
        <v>39.949668000000003</v>
      </c>
      <c r="G3057" s="1589">
        <v>6.1</v>
      </c>
      <c r="H3057" s="1589">
        <v>6.1</v>
      </c>
      <c r="I3057" s="1589">
        <v>36.6</v>
      </c>
      <c r="J3057" s="1115">
        <v>378.2</v>
      </c>
      <c r="K3057" s="1115">
        <v>36.6</v>
      </c>
      <c r="L3057" s="1678">
        <v>125.80000000000001</v>
      </c>
      <c r="M3057" s="1589" t="s">
        <v>6035</v>
      </c>
    </row>
    <row r="3058" spans="1:13" s="1163" customFormat="1" ht="17.100000000000001" customHeight="1">
      <c r="A3058" s="1596" t="s">
        <v>6274</v>
      </c>
      <c r="B3058" s="1589" t="s">
        <v>6275</v>
      </c>
      <c r="C3058" s="1595">
        <v>14.902560000000001</v>
      </c>
      <c r="D3058" s="1595">
        <v>13.660680000000003</v>
      </c>
      <c r="E3058" s="1595">
        <v>12.667176000000001</v>
      </c>
      <c r="F3058" s="1595">
        <v>12.542988000000001</v>
      </c>
      <c r="G3058" s="1589">
        <v>6.1</v>
      </c>
      <c r="H3058" s="1589">
        <v>1207.8</v>
      </c>
      <c r="I3058" s="1589">
        <v>109.8</v>
      </c>
      <c r="J3058" s="1115">
        <v>1207.8</v>
      </c>
      <c r="K3058" s="1115">
        <v>109.8</v>
      </c>
      <c r="L3058" s="1678">
        <v>30</v>
      </c>
      <c r="M3058" s="1589" t="s">
        <v>5406</v>
      </c>
    </row>
    <row r="3059" spans="1:13" s="1163" customFormat="1" ht="17.100000000000001" customHeight="1">
      <c r="A3059" s="1596" t="s">
        <v>6065</v>
      </c>
      <c r="B3059" s="1589" t="s">
        <v>6066</v>
      </c>
      <c r="C3059" s="1595">
        <v>11.873699999999999</v>
      </c>
      <c r="D3059" s="1595">
        <v>10.884225000000001</v>
      </c>
      <c r="E3059" s="1595">
        <v>10.092645000000001</v>
      </c>
      <c r="F3059" s="1595">
        <v>9.9936974999999997</v>
      </c>
      <c r="G3059" s="1589">
        <v>6.1</v>
      </c>
      <c r="H3059" s="1589">
        <v>1610.4</v>
      </c>
      <c r="I3059" s="1589">
        <v>146.4</v>
      </c>
      <c r="J3059" s="1115">
        <v>1610.4</v>
      </c>
      <c r="K3059" s="1115">
        <v>146.4</v>
      </c>
      <c r="L3059" s="1678">
        <v>23</v>
      </c>
      <c r="M3059" s="1589" t="s">
        <v>5406</v>
      </c>
    </row>
    <row r="3060" spans="1:13" s="1163" customFormat="1" ht="17.100000000000001" customHeight="1">
      <c r="A3060" s="1596" t="s">
        <v>4078</v>
      </c>
      <c r="B3060" s="1589" t="s">
        <v>6276</v>
      </c>
      <c r="C3060" s="1684">
        <v>4.75</v>
      </c>
      <c r="D3060" s="1684">
        <v>3.47</v>
      </c>
      <c r="E3060" s="1684">
        <v>3.39</v>
      </c>
      <c r="F3060" s="1684">
        <v>3.25</v>
      </c>
      <c r="G3060" s="1589"/>
      <c r="H3060" s="1589">
        <v>40</v>
      </c>
      <c r="I3060" s="1589">
        <v>633</v>
      </c>
      <c r="J3060" s="1115">
        <v>3660</v>
      </c>
      <c r="K3060" s="1115">
        <v>633</v>
      </c>
      <c r="L3060" s="1678">
        <v>8.7000000000000011</v>
      </c>
      <c r="M3060" s="1589" t="s">
        <v>6277</v>
      </c>
    </row>
    <row r="3061" spans="1:13" s="1163" customFormat="1" ht="17.100000000000001" customHeight="1">
      <c r="A3061" s="1596" t="s">
        <v>6278</v>
      </c>
      <c r="B3061" s="1589" t="s">
        <v>6279</v>
      </c>
      <c r="C3061" s="1595">
        <v>6.4238849999999994</v>
      </c>
      <c r="D3061" s="1595">
        <v>5.7814964999999994</v>
      </c>
      <c r="E3061" s="1595">
        <v>5.3367659999999999</v>
      </c>
      <c r="F3061" s="1595">
        <v>5.1885224999999995</v>
      </c>
      <c r="G3061" s="1589">
        <v>6.1</v>
      </c>
      <c r="H3061" s="1589">
        <v>4965.3999999999996</v>
      </c>
      <c r="I3061" s="1589">
        <v>402.6</v>
      </c>
      <c r="J3061" s="1115">
        <v>4965.3999999999996</v>
      </c>
      <c r="K3061" s="1115">
        <v>402.6</v>
      </c>
      <c r="L3061" s="1678">
        <v>8.3000000000000007</v>
      </c>
      <c r="M3061" s="1589" t="s">
        <v>5406</v>
      </c>
    </row>
    <row r="3062" spans="1:13" s="1163" customFormat="1" ht="17.100000000000001" customHeight="1">
      <c r="A3062" s="1596" t="s">
        <v>6280</v>
      </c>
      <c r="B3062" s="1589" t="s">
        <v>6281</v>
      </c>
      <c r="C3062" s="1685">
        <v>3.48</v>
      </c>
      <c r="D3062" s="1685">
        <v>2.3198999999999996</v>
      </c>
      <c r="E3062" s="1685">
        <v>2.1673299999999998</v>
      </c>
      <c r="F3062" s="1685">
        <v>2.09</v>
      </c>
      <c r="G3062" s="1589"/>
      <c r="H3062" s="1589">
        <v>5400</v>
      </c>
      <c r="I3062" s="1589">
        <v>950</v>
      </c>
      <c r="J3062" s="1115">
        <v>5400</v>
      </c>
      <c r="K3062" s="1115">
        <v>950</v>
      </c>
      <c r="L3062" s="1678">
        <v>5.6000000000000005</v>
      </c>
      <c r="M3062" s="1589" t="s">
        <v>6282</v>
      </c>
    </row>
    <row r="3063" spans="1:13" s="1163" customFormat="1" ht="17.100000000000001" customHeight="1">
      <c r="A3063" s="1596" t="s">
        <v>6283</v>
      </c>
      <c r="B3063" s="1589" t="s">
        <v>6284</v>
      </c>
      <c r="C3063" s="1595">
        <v>5.3609400000000003</v>
      </c>
      <c r="D3063" s="1595">
        <v>4.824846</v>
      </c>
      <c r="E3063" s="1595">
        <v>4.4537040000000001</v>
      </c>
      <c r="F3063" s="1595">
        <v>4.3299900000000004</v>
      </c>
      <c r="G3063" s="1589">
        <v>5</v>
      </c>
      <c r="H3063" s="1589">
        <v>35</v>
      </c>
      <c r="I3063" s="1589">
        <v>420</v>
      </c>
      <c r="J3063" s="1115">
        <v>5180</v>
      </c>
      <c r="K3063" s="1115">
        <v>420</v>
      </c>
      <c r="L3063" s="1678">
        <v>6.6000000000000005</v>
      </c>
      <c r="M3063" s="1589" t="s">
        <v>5406</v>
      </c>
    </row>
    <row r="3064" spans="1:13" s="1410" customFormat="1" ht="12.75"/>
    <row r="3065" spans="1:13" s="1410" customFormat="1" ht="12.75"/>
    <row r="3066" spans="1:13" s="1410" customFormat="1" ht="12.75"/>
    <row r="3067" spans="1:13" s="1410" customFormat="1" ht="12.75">
      <c r="A3067" s="1410" t="s">
        <v>6288</v>
      </c>
    </row>
    <row r="3068" spans="1:13" s="337" customFormat="1" ht="14.25">
      <c r="A3068" s="351" t="s">
        <v>261</v>
      </c>
      <c r="B3068" s="1395" t="s">
        <v>342</v>
      </c>
      <c r="C3068" s="1390" t="s">
        <v>5260</v>
      </c>
      <c r="D3068" s="1223" t="s">
        <v>4375</v>
      </c>
      <c r="E3068" s="1391" t="s">
        <v>4376</v>
      </c>
    </row>
    <row r="3069" spans="1:13" s="1243" customFormat="1" ht="13.5" customHeight="1">
      <c r="A3069" s="1686" t="s">
        <v>6286</v>
      </c>
      <c r="B3069" s="1231">
        <f t="shared" ref="B3069:B3070" si="69">ROUNDUP(C3069/0.75/120,2)</f>
        <v>8.34</v>
      </c>
      <c r="C3069" s="1687">
        <f>720+30</f>
        <v>750</v>
      </c>
      <c r="D3069" s="1393">
        <f t="shared" ref="D3069:D3070" si="70">(B3069-(C3069/E3069))/B3069</f>
        <v>0.25059952038369304</v>
      </c>
      <c r="E3069" s="1688">
        <v>120</v>
      </c>
    </row>
    <row r="3070" spans="1:13" s="1243" customFormat="1" ht="13.5" customHeight="1">
      <c r="A3070" s="1689" t="s">
        <v>6287</v>
      </c>
      <c r="B3070" s="1231">
        <f t="shared" si="69"/>
        <v>11.56</v>
      </c>
      <c r="C3070" s="1687">
        <f>1010+30</f>
        <v>1040</v>
      </c>
      <c r="D3070" s="1393">
        <f t="shared" si="70"/>
        <v>0.25028835063437149</v>
      </c>
      <c r="E3070" s="1688">
        <v>120</v>
      </c>
    </row>
    <row r="3072" spans="1:13">
      <c r="A3072" s="1536" t="s">
        <v>261</v>
      </c>
      <c r="B3072" s="1537" t="s">
        <v>171</v>
      </c>
      <c r="C3072" s="1694" t="s">
        <v>342</v>
      </c>
      <c r="D3072" s="1405" t="s">
        <v>6296</v>
      </c>
      <c r="E3072" s="1390" t="s">
        <v>5260</v>
      </c>
      <c r="F3072" s="1223" t="s">
        <v>4375</v>
      </c>
      <c r="G3072" s="1391" t="s">
        <v>4376</v>
      </c>
    </row>
    <row r="3073" spans="1:9" s="1690" customFormat="1" ht="13.5" customHeight="1">
      <c r="A3073" s="1689" t="s">
        <v>207</v>
      </c>
      <c r="B3073" s="1687" t="s">
        <v>6293</v>
      </c>
      <c r="C3073" s="1231">
        <f>ROUNDUP(E3073/0.8/120,2)</f>
        <v>4.0699999999999994</v>
      </c>
      <c r="D3073" s="1231" t="s">
        <v>6297</v>
      </c>
      <c r="E3073" s="1691">
        <f>360+30</f>
        <v>390</v>
      </c>
      <c r="F3073" s="1393">
        <f>(C3073-(E3073/G3073))/C3073</f>
        <v>0.20147420147420136</v>
      </c>
      <c r="G3073" s="1688">
        <v>120</v>
      </c>
      <c r="H3073" s="1692" t="s">
        <v>6289</v>
      </c>
      <c r="I3073" s="1692"/>
    </row>
    <row r="3074" spans="1:9" s="1690" customFormat="1" ht="13.5" customHeight="1">
      <c r="A3074" s="1689" t="s">
        <v>190</v>
      </c>
      <c r="B3074" s="1687" t="s">
        <v>6294</v>
      </c>
      <c r="C3074" s="1231">
        <f>ROUNDUP(E3074/0.75/120,2)</f>
        <v>5</v>
      </c>
      <c r="D3074" s="1231" t="s">
        <v>6299</v>
      </c>
      <c r="E3074" s="1691">
        <f>420+30</f>
        <v>450</v>
      </c>
      <c r="F3074" s="1393">
        <f>(C3074-(E3074/G3074))/C3074</f>
        <v>0.25</v>
      </c>
      <c r="G3074" s="1688">
        <v>120</v>
      </c>
      <c r="H3074" s="1692" t="s">
        <v>6290</v>
      </c>
      <c r="I3074" s="1693" t="s">
        <v>6291</v>
      </c>
    </row>
    <row r="3075" spans="1:9" s="1690" customFormat="1" ht="13.5" customHeight="1">
      <c r="A3075" s="1689" t="s">
        <v>6292</v>
      </c>
      <c r="B3075" s="1687" t="s">
        <v>6295</v>
      </c>
      <c r="C3075" s="1231">
        <f>ROUNDUP(E3075/0.8/120,2)</f>
        <v>6.05</v>
      </c>
      <c r="D3075" s="1231" t="s">
        <v>6298</v>
      </c>
      <c r="E3075" s="1691">
        <f>550+30</f>
        <v>580</v>
      </c>
      <c r="F3075" s="1393">
        <f>(C3075-(E3075/G3075))/C3075</f>
        <v>0.20110192837465568</v>
      </c>
      <c r="G3075" s="1688">
        <v>120</v>
      </c>
    </row>
    <row r="3078" spans="1:9">
      <c r="A3078" s="1338" t="s">
        <v>6302</v>
      </c>
      <c r="C3078" s="194" t="s">
        <v>5137</v>
      </c>
      <c r="D3078" s="1151" t="s">
        <v>4375</v>
      </c>
      <c r="E3078" s="1151" t="s">
        <v>4376</v>
      </c>
    </row>
    <row r="3079" spans="1:9">
      <c r="A3079" s="1145" t="s">
        <v>5134</v>
      </c>
      <c r="B3079" s="1185" t="s">
        <v>4535</v>
      </c>
      <c r="C3079" s="365" t="s">
        <v>6301</v>
      </c>
      <c r="D3079" s="1339"/>
      <c r="E3079" s="1339"/>
    </row>
    <row r="3080" spans="1:9" ht="25.5">
      <c r="A3080" s="1344" t="s">
        <v>5477</v>
      </c>
      <c r="B3080" s="360">
        <f>ROUNDUP(C3080/0.8/120,2)</f>
        <v>18.96</v>
      </c>
      <c r="C3080" s="158">
        <f>1420+400</f>
        <v>1820</v>
      </c>
      <c r="D3080" s="1343">
        <f>(((B3080*E3080)-C3080)/(B3080*E3080))</f>
        <v>0.2000703234880451</v>
      </c>
      <c r="E3080" s="162">
        <v>120</v>
      </c>
    </row>
    <row r="3081" spans="1:9" ht="29.25">
      <c r="A3081" s="1340" t="s">
        <v>5470</v>
      </c>
      <c r="B3081" s="360">
        <f>ROUNDUP(C3081/0.8/120,2)</f>
        <v>15.11</v>
      </c>
      <c r="C3081" s="158">
        <f>1420+30</f>
        <v>1450</v>
      </c>
      <c r="D3081" s="1341">
        <f>(((B3081*E3081)-C3081)/(B3081*E3081))</f>
        <v>0.20030884623869394</v>
      </c>
      <c r="E3081" s="1342">
        <v>120</v>
      </c>
    </row>
    <row r="3083" spans="1:9" s="337" customFormat="1" ht="14.25">
      <c r="A3083" s="351" t="s">
        <v>261</v>
      </c>
      <c r="B3083" s="1395" t="s">
        <v>342</v>
      </c>
      <c r="C3083" s="1390" t="s">
        <v>5260</v>
      </c>
      <c r="D3083" s="1223" t="s">
        <v>4375</v>
      </c>
      <c r="E3083" s="1391" t="s">
        <v>4376</v>
      </c>
    </row>
    <row r="3084" spans="1:9" s="1243" customFormat="1" ht="29.25" customHeight="1">
      <c r="A3084" s="1695" t="s">
        <v>6303</v>
      </c>
      <c r="B3084" s="1415" t="s">
        <v>6305</v>
      </c>
      <c r="C3084" s="1687">
        <v>310</v>
      </c>
      <c r="D3084" s="1393" t="e">
        <f t="shared" ref="D3084" si="71">(B3084-(C3084/E3084))/B3084</f>
        <v>#VALUE!</v>
      </c>
      <c r="E3084" s="1688">
        <v>120</v>
      </c>
    </row>
    <row r="3085" spans="1:9" s="1243" customFormat="1" ht="33" customHeight="1">
      <c r="A3085" s="1695" t="s">
        <v>6304</v>
      </c>
      <c r="B3085" s="1231">
        <v>3.88</v>
      </c>
      <c r="C3085" s="1687">
        <v>310</v>
      </c>
      <c r="D3085" s="1393">
        <f t="shared" ref="D3085" si="72">(B3085-(C3085/E3085))/B3085</f>
        <v>0.33419243986254288</v>
      </c>
      <c r="E3085" s="1688">
        <v>120</v>
      </c>
    </row>
    <row r="3089" spans="1:6">
      <c r="A3089" s="1338" t="s">
        <v>6306</v>
      </c>
      <c r="D3089" s="194" t="s">
        <v>5137</v>
      </c>
      <c r="E3089" s="1151" t="s">
        <v>4375</v>
      </c>
      <c r="F3089" s="1151" t="s">
        <v>4376</v>
      </c>
    </row>
    <row r="3090" spans="1:6">
      <c r="A3090" s="1145" t="s">
        <v>5134</v>
      </c>
      <c r="B3090" s="1185" t="s">
        <v>4535</v>
      </c>
      <c r="C3090" s="1185" t="s">
        <v>6307</v>
      </c>
      <c r="D3090" s="365" t="s">
        <v>6301</v>
      </c>
      <c r="E3090" s="1339"/>
      <c r="F3090" s="1339"/>
    </row>
    <row r="3091" spans="1:6" ht="25.5">
      <c r="A3091" s="1344" t="s">
        <v>6309</v>
      </c>
      <c r="B3091" s="360">
        <f t="shared" ref="B3091:B3096" si="73">ROUNDUP(D3091/0.8/120,2)</f>
        <v>9.59</v>
      </c>
      <c r="C3091" s="1696" t="s">
        <v>6308</v>
      </c>
      <c r="D3091" s="158">
        <f>890+30</f>
        <v>920</v>
      </c>
      <c r="E3091" s="1343">
        <f t="shared" ref="E3091:E3096" si="74">(((B3091*F3091)-D3091)/(B3091*F3091))</f>
        <v>0.20055613486270418</v>
      </c>
      <c r="F3091" s="162">
        <v>120</v>
      </c>
    </row>
    <row r="3092" spans="1:6" ht="25.5">
      <c r="A3092" s="1344" t="s">
        <v>6310</v>
      </c>
      <c r="B3092" s="360">
        <f t="shared" si="73"/>
        <v>7.09</v>
      </c>
      <c r="C3092" s="1696" t="s">
        <v>6308</v>
      </c>
      <c r="D3092" s="158">
        <f>650+30</f>
        <v>680</v>
      </c>
      <c r="E3092" s="1343">
        <f t="shared" si="74"/>
        <v>0.20075223319228958</v>
      </c>
      <c r="F3092" s="162">
        <v>120</v>
      </c>
    </row>
    <row r="3093" spans="1:6" ht="25.5">
      <c r="A3093" s="1344" t="s">
        <v>6311</v>
      </c>
      <c r="B3093" s="360">
        <f t="shared" si="73"/>
        <v>9.59</v>
      </c>
      <c r="C3093" s="1696" t="s">
        <v>6308</v>
      </c>
      <c r="D3093" s="158">
        <f>890+30</f>
        <v>920</v>
      </c>
      <c r="E3093" s="1343">
        <f t="shared" si="74"/>
        <v>0.20055613486270418</v>
      </c>
      <c r="F3093" s="162">
        <v>120</v>
      </c>
    </row>
    <row r="3094" spans="1:6" ht="25.5">
      <c r="A3094" s="1344" t="s">
        <v>6312</v>
      </c>
      <c r="B3094" s="360">
        <f t="shared" si="73"/>
        <v>10.73</v>
      </c>
      <c r="C3094" s="1696" t="s">
        <v>6308</v>
      </c>
      <c r="D3094" s="158">
        <f>1000+30</f>
        <v>1030</v>
      </c>
      <c r="E3094" s="1343">
        <f t="shared" si="74"/>
        <v>0.20006213109661394</v>
      </c>
      <c r="F3094" s="162">
        <v>120</v>
      </c>
    </row>
    <row r="3095" spans="1:6" ht="25.5">
      <c r="A3095" s="1344" t="s">
        <v>6313</v>
      </c>
      <c r="B3095" s="360">
        <f t="shared" si="73"/>
        <v>12.09</v>
      </c>
      <c r="C3095" s="1696" t="s">
        <v>6308</v>
      </c>
      <c r="D3095" s="158">
        <f>1130+30</f>
        <v>1160</v>
      </c>
      <c r="E3095" s="1343">
        <f t="shared" si="74"/>
        <v>0.20044113592500687</v>
      </c>
      <c r="F3095" s="162">
        <v>120</v>
      </c>
    </row>
    <row r="3096" spans="1:6" ht="25.5">
      <c r="A3096" s="1344" t="s">
        <v>6314</v>
      </c>
      <c r="B3096" s="360">
        <f t="shared" si="73"/>
        <v>5.5299999999999994</v>
      </c>
      <c r="C3096" s="1696" t="s">
        <v>6315</v>
      </c>
      <c r="D3096" s="158">
        <f>500+30</f>
        <v>530</v>
      </c>
      <c r="E3096" s="1343">
        <f t="shared" si="74"/>
        <v>0.20132610006027715</v>
      </c>
      <c r="F3096" s="162">
        <v>120</v>
      </c>
    </row>
    <row r="3100" spans="1:6" s="352" customFormat="1" ht="12.75">
      <c r="A3100" s="1536" t="s">
        <v>261</v>
      </c>
      <c r="B3100" s="1537" t="s">
        <v>171</v>
      </c>
      <c r="C3100" s="1145" t="s">
        <v>36</v>
      </c>
      <c r="D3100" s="1145" t="s">
        <v>37</v>
      </c>
      <c r="E3100" s="1405" t="s">
        <v>4535</v>
      </c>
      <c r="F3100" s="1405" t="s">
        <v>5491</v>
      </c>
    </row>
    <row r="3101" spans="1:6" s="352" customFormat="1" ht="12.75">
      <c r="A3101" s="40" t="s">
        <v>3342</v>
      </c>
      <c r="B3101" s="1195">
        <v>132</v>
      </c>
      <c r="C3101" s="40" t="s">
        <v>6317</v>
      </c>
      <c r="D3101" s="357">
        <v>4</v>
      </c>
      <c r="E3101" s="1113">
        <v>5.53</v>
      </c>
      <c r="F3101" s="1113">
        <f t="shared" ref="F3101:F3106" si="75">E3101*D3101</f>
        <v>22.12</v>
      </c>
    </row>
    <row r="3102" spans="1:6" s="352" customFormat="1" ht="12.75">
      <c r="A3102" s="1344" t="s">
        <v>6318</v>
      </c>
      <c r="B3102" s="1700" t="s">
        <v>6319</v>
      </c>
      <c r="C3102" s="40" t="s">
        <v>6323</v>
      </c>
      <c r="D3102" s="357">
        <v>4</v>
      </c>
      <c r="E3102" s="1113">
        <v>16.29</v>
      </c>
      <c r="F3102" s="1113">
        <f t="shared" si="75"/>
        <v>65.16</v>
      </c>
    </row>
    <row r="3103" spans="1:6" s="352" customFormat="1" ht="12.75">
      <c r="A3103" s="1701" t="s">
        <v>6321</v>
      </c>
      <c r="B3103" s="1702" t="s">
        <v>6327</v>
      </c>
      <c r="C3103" s="40" t="s">
        <v>6322</v>
      </c>
      <c r="D3103" s="357">
        <v>2</v>
      </c>
      <c r="E3103" s="1113">
        <v>10.73</v>
      </c>
      <c r="F3103" s="1113">
        <f t="shared" si="75"/>
        <v>21.46</v>
      </c>
    </row>
    <row r="3104" spans="1:6" s="352" customFormat="1" ht="12.75">
      <c r="A3104" s="1701" t="s">
        <v>4816</v>
      </c>
      <c r="B3104" s="1702" t="s">
        <v>6328</v>
      </c>
      <c r="C3104" s="40" t="s">
        <v>6326</v>
      </c>
      <c r="D3104" s="357">
        <v>2</v>
      </c>
      <c r="E3104" s="1113">
        <v>7.09</v>
      </c>
      <c r="F3104" s="1113">
        <f t="shared" si="75"/>
        <v>14.18</v>
      </c>
    </row>
    <row r="3105" spans="1:10" s="352" customFormat="1" ht="12.75">
      <c r="A3105" s="40"/>
      <c r="B3105" s="1703"/>
      <c r="C3105" s="40" t="s">
        <v>4329</v>
      </c>
      <c r="D3105" s="353">
        <v>3</v>
      </c>
      <c r="E3105" s="1113">
        <v>15</v>
      </c>
      <c r="F3105" s="1113">
        <f t="shared" si="75"/>
        <v>45</v>
      </c>
    </row>
    <row r="3106" spans="1:10" s="352" customFormat="1" ht="12.75">
      <c r="A3106" s="40"/>
      <c r="B3106" s="1703"/>
      <c r="C3106" s="40" t="s">
        <v>316</v>
      </c>
      <c r="D3106" s="353">
        <v>1</v>
      </c>
      <c r="E3106" s="1113">
        <v>15</v>
      </c>
      <c r="F3106" s="1113">
        <f t="shared" si="75"/>
        <v>15</v>
      </c>
    </row>
    <row r="3107" spans="1:10" s="352" customFormat="1" ht="12"/>
    <row r="3108" spans="1:10" s="352" customFormat="1" ht="12"/>
    <row r="3109" spans="1:10" s="352" customFormat="1" ht="12"/>
    <row r="3111" spans="1:10">
      <c r="A3111" s="1145" t="s">
        <v>179</v>
      </c>
      <c r="B3111" s="1145" t="s">
        <v>35</v>
      </c>
      <c r="C3111" s="1145" t="s">
        <v>99</v>
      </c>
      <c r="D3111" s="354" t="s">
        <v>245</v>
      </c>
      <c r="E3111" s="354" t="s">
        <v>270</v>
      </c>
      <c r="F3111" s="354" t="s">
        <v>271</v>
      </c>
      <c r="G3111" s="1405" t="s">
        <v>4535</v>
      </c>
    </row>
    <row r="3112" spans="1:10">
      <c r="A3112" s="40">
        <v>14552</v>
      </c>
      <c r="B3112" s="41">
        <v>25</v>
      </c>
      <c r="C3112" s="40" t="s">
        <v>319</v>
      </c>
      <c r="D3112" s="355">
        <v>30</v>
      </c>
      <c r="E3112" s="356">
        <v>1</v>
      </c>
      <c r="F3112" s="357">
        <f>D3112*E3112</f>
        <v>30</v>
      </c>
      <c r="G3112" s="1113">
        <v>1.34</v>
      </c>
    </row>
    <row r="3113" spans="1:10">
      <c r="A3113" s="40">
        <v>14552</v>
      </c>
      <c r="B3113" s="41">
        <v>25</v>
      </c>
      <c r="C3113" s="40" t="s">
        <v>6333</v>
      </c>
      <c r="D3113" s="355">
        <v>30</v>
      </c>
      <c r="E3113" s="356">
        <v>1</v>
      </c>
      <c r="F3113" s="357">
        <f>D3113*E3113</f>
        <v>30</v>
      </c>
      <c r="G3113" s="1113">
        <v>1.34</v>
      </c>
    </row>
    <row r="3114" spans="1:10">
      <c r="A3114" s="40">
        <v>14552</v>
      </c>
      <c r="B3114" s="41">
        <v>25</v>
      </c>
      <c r="C3114" s="40" t="s">
        <v>6334</v>
      </c>
      <c r="D3114" s="355">
        <v>30</v>
      </c>
      <c r="E3114" s="356">
        <v>1</v>
      </c>
      <c r="F3114" s="357">
        <f>D3114*E3114</f>
        <v>30</v>
      </c>
      <c r="G3114" s="1113">
        <v>1.34</v>
      </c>
    </row>
    <row r="3115" spans="1:10">
      <c r="A3115" s="40"/>
      <c r="B3115" s="1195"/>
      <c r="C3115" s="165" t="s">
        <v>316</v>
      </c>
      <c r="D3115" s="357"/>
      <c r="E3115" s="1107"/>
      <c r="F3115" s="353">
        <v>1</v>
      </c>
      <c r="G3115" s="1113">
        <v>12</v>
      </c>
    </row>
    <row r="3118" spans="1:10">
      <c r="A3118" t="s">
        <v>6356</v>
      </c>
    </row>
    <row r="3119" spans="1:10">
      <c r="A3119" s="1145" t="s">
        <v>179</v>
      </c>
      <c r="B3119" s="1145" t="s">
        <v>35</v>
      </c>
      <c r="C3119" s="1145" t="s">
        <v>99</v>
      </c>
      <c r="D3119" s="354" t="s">
        <v>245</v>
      </c>
      <c r="E3119" s="354" t="s">
        <v>270</v>
      </c>
      <c r="F3119" s="354" t="s">
        <v>271</v>
      </c>
      <c r="G3119" s="1405" t="s">
        <v>4535</v>
      </c>
      <c r="H3119" s="365" t="s">
        <v>6301</v>
      </c>
      <c r="I3119" s="1339"/>
      <c r="J3119" s="1339"/>
    </row>
    <row r="3120" spans="1:10" ht="15">
      <c r="A3120" s="22" t="s">
        <v>6335</v>
      </c>
      <c r="B3120" s="24">
        <v>7</v>
      </c>
      <c r="C3120" s="22" t="s">
        <v>4795</v>
      </c>
      <c r="D3120" s="108">
        <v>30</v>
      </c>
      <c r="E3120" s="109">
        <v>1</v>
      </c>
      <c r="F3120" s="60">
        <f>D3120*E3120</f>
        <v>30</v>
      </c>
      <c r="G3120" s="23">
        <v>0.69</v>
      </c>
      <c r="H3120" s="158">
        <v>41</v>
      </c>
      <c r="I3120" s="1343">
        <f>(((G3120*J3120)-H3120)/(G3120*J3120))</f>
        <v>0.50483091787439616</v>
      </c>
      <c r="J3120" s="162">
        <v>120</v>
      </c>
    </row>
    <row r="3121" spans="1:10" ht="15">
      <c r="A3121" s="22" t="s">
        <v>6336</v>
      </c>
      <c r="B3121" s="24">
        <v>7</v>
      </c>
      <c r="C3121" s="22" t="s">
        <v>4795</v>
      </c>
      <c r="D3121" s="108">
        <v>30</v>
      </c>
      <c r="E3121" s="109">
        <v>275</v>
      </c>
      <c r="F3121" s="60">
        <f>D3121*E3121</f>
        <v>8250</v>
      </c>
      <c r="G3121" s="23">
        <v>0.56999999999999995</v>
      </c>
      <c r="H3121" s="158">
        <v>41</v>
      </c>
      <c r="I3121" s="1343">
        <f>(((G3121*J3121)-H3121)/(G3121*J3121))</f>
        <v>0.40058479532163738</v>
      </c>
      <c r="J3121" s="162">
        <v>120</v>
      </c>
    </row>
    <row r="3127" spans="1:10">
      <c r="A3127" s="1145" t="s">
        <v>179</v>
      </c>
      <c r="B3127" s="1145" t="s">
        <v>99</v>
      </c>
      <c r="C3127" s="354" t="s">
        <v>245</v>
      </c>
      <c r="D3127" s="354" t="s">
        <v>270</v>
      </c>
      <c r="E3127" s="354" t="s">
        <v>271</v>
      </c>
      <c r="F3127" s="1405" t="s">
        <v>4535</v>
      </c>
    </row>
    <row r="3128" spans="1:10" ht="15">
      <c r="A3128" s="22" t="s">
        <v>190</v>
      </c>
      <c r="B3128" s="396" t="s">
        <v>4746</v>
      </c>
      <c r="C3128" s="8">
        <v>50</v>
      </c>
      <c r="D3128" s="35">
        <v>2</v>
      </c>
      <c r="E3128" s="108">
        <f>C3128*D3128</f>
        <v>100</v>
      </c>
      <c r="F3128" s="39">
        <v>5.28</v>
      </c>
    </row>
    <row r="3129" spans="1:10" ht="15">
      <c r="A3129" s="22" t="s">
        <v>190</v>
      </c>
      <c r="B3129" s="396" t="s">
        <v>6330</v>
      </c>
      <c r="C3129" s="8">
        <v>50</v>
      </c>
      <c r="D3129" s="35">
        <v>1</v>
      </c>
      <c r="E3129" s="108">
        <f>C3129*D3129</f>
        <v>50</v>
      </c>
      <c r="F3129" s="39">
        <v>5.28</v>
      </c>
    </row>
    <row r="3130" spans="1:10" ht="15">
      <c r="A3130" s="22" t="s">
        <v>190</v>
      </c>
      <c r="B3130" s="396" t="s">
        <v>6337</v>
      </c>
      <c r="C3130" s="8"/>
      <c r="D3130" s="35"/>
      <c r="E3130" s="108">
        <v>5</v>
      </c>
      <c r="F3130" s="39">
        <v>5.28</v>
      </c>
    </row>
    <row r="3131" spans="1:10" ht="15">
      <c r="A3131" s="22" t="s">
        <v>190</v>
      </c>
      <c r="B3131" s="396" t="s">
        <v>6338</v>
      </c>
      <c r="C3131" s="8"/>
      <c r="D3131" s="35"/>
      <c r="E3131" s="108">
        <v>5</v>
      </c>
      <c r="F3131" s="39">
        <v>5.28</v>
      </c>
    </row>
    <row r="3132" spans="1:10" ht="15">
      <c r="A3132" s="22" t="s">
        <v>190</v>
      </c>
      <c r="B3132" s="396" t="s">
        <v>6339</v>
      </c>
      <c r="C3132" s="8"/>
      <c r="D3132" s="35"/>
      <c r="E3132" s="108">
        <v>20</v>
      </c>
      <c r="F3132" s="39">
        <v>5.28</v>
      </c>
    </row>
    <row r="3133" spans="1:10" ht="15">
      <c r="A3133" s="22" t="s">
        <v>190</v>
      </c>
      <c r="B3133" s="396" t="s">
        <v>6331</v>
      </c>
      <c r="C3133" s="8">
        <v>41</v>
      </c>
      <c r="D3133" s="35">
        <v>1</v>
      </c>
      <c r="E3133" s="108">
        <f>C3133*D3133</f>
        <v>41</v>
      </c>
      <c r="F3133" s="39">
        <v>5.28</v>
      </c>
    </row>
    <row r="3134" spans="1:10" ht="15">
      <c r="A3134" s="22" t="s">
        <v>190</v>
      </c>
      <c r="B3134" s="396" t="s">
        <v>6331</v>
      </c>
      <c r="C3134" s="8">
        <v>50</v>
      </c>
      <c r="D3134" s="35">
        <v>1</v>
      </c>
      <c r="E3134" s="108">
        <f>C3134*D3134</f>
        <v>50</v>
      </c>
      <c r="F3134" s="39">
        <v>5.28</v>
      </c>
    </row>
    <row r="3135" spans="1:10" ht="15">
      <c r="A3135" s="22"/>
      <c r="B3135" s="22" t="s">
        <v>4329</v>
      </c>
      <c r="C3135" s="8"/>
      <c r="D3135" s="35"/>
      <c r="E3135" s="38">
        <v>3</v>
      </c>
      <c r="F3135" s="39">
        <v>15</v>
      </c>
    </row>
    <row r="3136" spans="1:10" ht="15">
      <c r="A3136" s="22"/>
      <c r="B3136" s="22" t="s">
        <v>316</v>
      </c>
      <c r="C3136" s="8"/>
      <c r="D3136" s="35"/>
      <c r="E3136" s="38">
        <v>1</v>
      </c>
      <c r="F3136" s="39">
        <v>25</v>
      </c>
    </row>
    <row r="3141" spans="1:9">
      <c r="A3141" s="1145" t="s">
        <v>179</v>
      </c>
      <c r="B3141" s="1145" t="s">
        <v>99</v>
      </c>
      <c r="C3141" s="354" t="s">
        <v>245</v>
      </c>
      <c r="D3141" s="354" t="s">
        <v>270</v>
      </c>
      <c r="E3141" s="354" t="s">
        <v>271</v>
      </c>
      <c r="F3141" s="1405" t="s">
        <v>4535</v>
      </c>
    </row>
    <row r="3142" spans="1:9">
      <c r="A3142" s="40" t="s">
        <v>190</v>
      </c>
      <c r="B3142" s="1111" t="s">
        <v>4746</v>
      </c>
      <c r="C3142" s="357"/>
      <c r="D3142" s="1107"/>
      <c r="E3142" s="355">
        <v>8</v>
      </c>
      <c r="F3142" s="1113">
        <v>5.28</v>
      </c>
    </row>
    <row r="3143" spans="1:9">
      <c r="A3143" s="40"/>
      <c r="B3143" s="40" t="s">
        <v>4329</v>
      </c>
      <c r="C3143" s="357"/>
      <c r="D3143" s="1107"/>
      <c r="E3143" s="353">
        <v>1</v>
      </c>
      <c r="F3143" s="1113">
        <v>15</v>
      </c>
    </row>
    <row r="3144" spans="1:9">
      <c r="A3144" s="40"/>
      <c r="B3144" s="40" t="s">
        <v>316</v>
      </c>
      <c r="C3144" s="357"/>
      <c r="D3144" s="1107"/>
      <c r="E3144" s="353">
        <v>1</v>
      </c>
      <c r="F3144" s="1113">
        <v>15</v>
      </c>
    </row>
    <row r="3149" spans="1:9">
      <c r="A3149" s="1145" t="s">
        <v>6348</v>
      </c>
      <c r="B3149" s="1145" t="s">
        <v>179</v>
      </c>
      <c r="C3149" s="1145" t="s">
        <v>169</v>
      </c>
      <c r="D3149" s="1145" t="s">
        <v>36</v>
      </c>
      <c r="E3149" s="354" t="s">
        <v>245</v>
      </c>
      <c r="F3149" s="354" t="s">
        <v>270</v>
      </c>
      <c r="G3149" s="354" t="s">
        <v>271</v>
      </c>
      <c r="H3149" s="1405" t="s">
        <v>4535</v>
      </c>
      <c r="I3149" s="1405" t="s">
        <v>6349</v>
      </c>
    </row>
    <row r="3150" spans="1:9" ht="15.75">
      <c r="A3150" s="6" t="s">
        <v>6346</v>
      </c>
      <c r="B3150" s="1710" t="s">
        <v>4847</v>
      </c>
      <c r="C3150" s="107"/>
      <c r="D3150" s="22"/>
      <c r="E3150" s="108"/>
      <c r="F3150" s="109"/>
      <c r="G3150" s="108"/>
      <c r="H3150" s="29" t="s">
        <v>5</v>
      </c>
      <c r="I3150" s="29"/>
    </row>
    <row r="3151" spans="1:9" ht="15">
      <c r="A3151" s="6" t="s">
        <v>6346</v>
      </c>
      <c r="B3151" s="22" t="s">
        <v>5516</v>
      </c>
      <c r="C3151" s="107" t="s">
        <v>3340</v>
      </c>
      <c r="D3151" s="22" t="s">
        <v>6344</v>
      </c>
      <c r="E3151" s="18"/>
      <c r="F3151" s="61"/>
      <c r="G3151" s="18">
        <v>10</v>
      </c>
      <c r="H3151" s="39">
        <v>18.96</v>
      </c>
      <c r="I3151" s="29" t="s">
        <v>6350</v>
      </c>
    </row>
    <row r="3152" spans="1:9" ht="15">
      <c r="A3152" s="6" t="s">
        <v>6346</v>
      </c>
      <c r="B3152" s="22" t="s">
        <v>5516</v>
      </c>
      <c r="C3152" s="107" t="s">
        <v>3340</v>
      </c>
      <c r="D3152" s="82" t="s">
        <v>6345</v>
      </c>
      <c r="E3152" s="18"/>
      <c r="F3152" s="61"/>
      <c r="G3152" s="18">
        <v>3</v>
      </c>
      <c r="H3152" s="39">
        <v>18.96</v>
      </c>
      <c r="I3152" s="29" t="s">
        <v>6351</v>
      </c>
    </row>
    <row r="3153" spans="1:10" ht="15.75">
      <c r="A3153" s="179"/>
      <c r="B3153" s="217"/>
      <c r="C3153" s="182"/>
      <c r="D3153" s="309"/>
      <c r="E3153" s="184"/>
      <c r="F3153" s="185"/>
      <c r="G3153" s="183"/>
      <c r="H3153" s="192"/>
      <c r="I3153" s="1711"/>
    </row>
    <row r="3154" spans="1:10" ht="15.75">
      <c r="A3154" s="6" t="s">
        <v>6347</v>
      </c>
      <c r="B3154" s="1710" t="s">
        <v>4809</v>
      </c>
      <c r="C3154" s="107"/>
      <c r="D3154" s="22"/>
      <c r="E3154" s="108"/>
      <c r="F3154" s="109"/>
      <c r="G3154" s="108"/>
      <c r="H3154" s="29"/>
      <c r="I3154" s="158"/>
    </row>
    <row r="3155" spans="1:10" ht="15">
      <c r="A3155" s="6" t="s">
        <v>6347</v>
      </c>
      <c r="B3155" s="22" t="s">
        <v>4808</v>
      </c>
      <c r="C3155" s="107">
        <v>140</v>
      </c>
      <c r="D3155" s="396" t="s">
        <v>4483</v>
      </c>
      <c r="E3155" s="108">
        <v>50</v>
      </c>
      <c r="F3155" s="109">
        <v>4</v>
      </c>
      <c r="G3155" s="18">
        <f>E3155*F3155</f>
        <v>200</v>
      </c>
      <c r="H3155" s="39">
        <v>14.64</v>
      </c>
      <c r="I3155" s="1712" t="s">
        <v>6352</v>
      </c>
    </row>
    <row r="3156" spans="1:10" ht="15.75">
      <c r="A3156" s="6" t="s">
        <v>6347</v>
      </c>
      <c r="B3156" s="1710" t="s">
        <v>6343</v>
      </c>
      <c r="C3156" s="107"/>
      <c r="D3156" s="22"/>
      <c r="E3156" s="108"/>
      <c r="F3156" s="109"/>
      <c r="G3156" s="108"/>
      <c r="H3156" s="29"/>
      <c r="I3156" s="158"/>
    </row>
    <row r="3157" spans="1:10" ht="15">
      <c r="A3157" s="6" t="s">
        <v>6347</v>
      </c>
      <c r="B3157" s="22" t="s">
        <v>5747</v>
      </c>
      <c r="C3157" s="107">
        <v>152</v>
      </c>
      <c r="D3157" s="22" t="s">
        <v>380</v>
      </c>
      <c r="E3157" s="125"/>
      <c r="F3157" s="406"/>
      <c r="G3157" s="8">
        <v>40</v>
      </c>
      <c r="H3157" s="39">
        <v>3.88</v>
      </c>
      <c r="I3157" s="1712" t="s">
        <v>6353</v>
      </c>
    </row>
    <row r="3158" spans="1:10" ht="15">
      <c r="A3158" s="6" t="s">
        <v>6347</v>
      </c>
      <c r="B3158" s="49"/>
      <c r="C3158" s="102"/>
      <c r="D3158" s="22" t="s">
        <v>4329</v>
      </c>
      <c r="E3158" s="38"/>
      <c r="F3158" s="35"/>
      <c r="G3158" s="38">
        <v>1</v>
      </c>
      <c r="H3158" s="39">
        <v>12</v>
      </c>
      <c r="I3158" s="158"/>
    </row>
    <row r="3159" spans="1:10" ht="15">
      <c r="A3159" s="6" t="s">
        <v>6347</v>
      </c>
      <c r="B3159" s="49"/>
      <c r="C3159" s="102"/>
      <c r="D3159" s="22" t="s">
        <v>316</v>
      </c>
      <c r="E3159" s="38"/>
      <c r="F3159" s="35"/>
      <c r="G3159" s="38">
        <v>1</v>
      </c>
      <c r="H3159" s="39">
        <v>20</v>
      </c>
      <c r="I3159" s="158"/>
    </row>
    <row r="3161" spans="1:10">
      <c r="A3161" t="s">
        <v>6357</v>
      </c>
    </row>
    <row r="3162" spans="1:10">
      <c r="A3162" s="1145" t="s">
        <v>179</v>
      </c>
      <c r="B3162" s="1145" t="s">
        <v>35</v>
      </c>
      <c r="C3162" s="1145" t="s">
        <v>99</v>
      </c>
      <c r="D3162" s="354" t="s">
        <v>245</v>
      </c>
      <c r="E3162" s="354" t="s">
        <v>270</v>
      </c>
      <c r="F3162" s="354" t="s">
        <v>271</v>
      </c>
      <c r="G3162" s="1405" t="s">
        <v>4535</v>
      </c>
      <c r="H3162" s="365" t="s">
        <v>6301</v>
      </c>
      <c r="I3162" s="1339"/>
      <c r="J3162" s="1339"/>
    </row>
    <row r="3163" spans="1:10" ht="15">
      <c r="A3163" s="22" t="s">
        <v>6335</v>
      </c>
      <c r="B3163" s="24">
        <v>12</v>
      </c>
      <c r="C3163" s="22" t="s">
        <v>4795</v>
      </c>
      <c r="D3163" s="108">
        <v>30</v>
      </c>
      <c r="E3163" s="109">
        <v>1</v>
      </c>
      <c r="F3163" s="60">
        <f>D3163*E3163</f>
        <v>30</v>
      </c>
      <c r="G3163" s="23">
        <v>0.85</v>
      </c>
      <c r="H3163" s="158">
        <v>51</v>
      </c>
      <c r="I3163" s="1343">
        <f>(((G3163*J3163)-H3163)/(G3163*J3163))</f>
        <v>0.5</v>
      </c>
      <c r="J3163" s="162">
        <v>120</v>
      </c>
    </row>
    <row r="3164" spans="1:10" ht="15">
      <c r="A3164" s="22" t="s">
        <v>6336</v>
      </c>
      <c r="B3164" s="24">
        <v>12</v>
      </c>
      <c r="C3164" s="22" t="s">
        <v>4795</v>
      </c>
      <c r="D3164" s="108">
        <v>30</v>
      </c>
      <c r="E3164" s="109">
        <v>70</v>
      </c>
      <c r="F3164" s="60">
        <f>D3164*E3164</f>
        <v>2100</v>
      </c>
      <c r="G3164" s="23">
        <v>0.71</v>
      </c>
      <c r="H3164" s="158">
        <v>51</v>
      </c>
      <c r="I3164" s="1343">
        <f>(((G3164*J3164)-H3164)/(G3164*J3164))</f>
        <v>0.40140845070422526</v>
      </c>
      <c r="J3164" s="162">
        <v>120</v>
      </c>
    </row>
    <row r="3168" spans="1:10">
      <c r="A3168" t="s">
        <v>6358</v>
      </c>
    </row>
    <row r="3169" spans="1:9" s="1164" customFormat="1" ht="12.75">
      <c r="A3169" s="1129" t="s">
        <v>179</v>
      </c>
      <c r="B3169" s="1129" t="s">
        <v>99</v>
      </c>
      <c r="C3169" s="354" t="s">
        <v>245</v>
      </c>
      <c r="D3169" s="354" t="s">
        <v>270</v>
      </c>
      <c r="E3169" s="354" t="s">
        <v>271</v>
      </c>
      <c r="F3169" s="1405" t="s">
        <v>4535</v>
      </c>
      <c r="G3169" s="1715" t="s">
        <v>6361</v>
      </c>
      <c r="H3169" s="1713"/>
      <c r="I3169" s="1713"/>
    </row>
    <row r="3170" spans="1:9" s="1164" customFormat="1" ht="12.75">
      <c r="A3170" s="1115" t="s">
        <v>6359</v>
      </c>
      <c r="B3170" s="1115" t="s">
        <v>212</v>
      </c>
      <c r="C3170" s="1274">
        <v>58</v>
      </c>
      <c r="D3170" s="1276">
        <v>15</v>
      </c>
      <c r="E3170" s="1274">
        <f>C3170*D3170</f>
        <v>870</v>
      </c>
      <c r="F3170" s="1275">
        <v>6.67</v>
      </c>
      <c r="G3170" s="1164">
        <f>640+15</f>
        <v>655</v>
      </c>
      <c r="H3170" s="1714">
        <f>(((F3170*I3170)-G3170)/(F3170*I3170))</f>
        <v>0.18165917041479257</v>
      </c>
      <c r="I3170" s="1497">
        <v>120</v>
      </c>
    </row>
    <row r="3171" spans="1:9" s="1164" customFormat="1" ht="12.75">
      <c r="A3171" s="1115" t="s">
        <v>6360</v>
      </c>
      <c r="B3171" s="1115" t="s">
        <v>212</v>
      </c>
      <c r="C3171" s="1274">
        <v>58</v>
      </c>
      <c r="D3171" s="1276">
        <v>20</v>
      </c>
      <c r="E3171" s="1274">
        <f>C3171*D3171</f>
        <v>1160</v>
      </c>
      <c r="F3171" s="1275">
        <v>6.31</v>
      </c>
      <c r="G3171" s="1716">
        <v>590</v>
      </c>
      <c r="H3171" s="1714">
        <f>(((F3171*I3171)-G3171)/(F3171*I3171))</f>
        <v>0.22081352350765973</v>
      </c>
      <c r="I3171" s="1497">
        <v>120</v>
      </c>
    </row>
    <row r="3172" spans="1:9" s="1164" customFormat="1" ht="12.75"/>
    <row r="3173" spans="1:9" s="1164" customFormat="1" ht="12.75"/>
    <row r="3175" spans="1:9">
      <c r="A3175" s="1145" t="s">
        <v>179</v>
      </c>
      <c r="B3175" s="1145" t="s">
        <v>35</v>
      </c>
      <c r="C3175" s="1145" t="s">
        <v>99</v>
      </c>
      <c r="D3175" s="354" t="s">
        <v>245</v>
      </c>
      <c r="E3175" s="354" t="s">
        <v>270</v>
      </c>
      <c r="F3175" s="354" t="s">
        <v>271</v>
      </c>
      <c r="G3175" s="1405" t="s">
        <v>4535</v>
      </c>
    </row>
    <row r="3176" spans="1:9">
      <c r="A3176" s="40">
        <v>3534</v>
      </c>
      <c r="B3176" s="165">
        <v>40</v>
      </c>
      <c r="C3176" s="40" t="s">
        <v>4345</v>
      </c>
      <c r="D3176" s="357">
        <v>30</v>
      </c>
      <c r="E3176" s="1107">
        <v>2</v>
      </c>
      <c r="F3176" s="355">
        <f>D3176*E3176</f>
        <v>60</v>
      </c>
      <c r="G3176" s="1112">
        <v>1.61</v>
      </c>
    </row>
    <row r="3177" spans="1:9">
      <c r="A3177" s="40"/>
      <c r="B3177" s="1195"/>
      <c r="C3177" s="165" t="s">
        <v>316</v>
      </c>
      <c r="D3177" s="357"/>
      <c r="E3177" s="1107"/>
      <c r="F3177" s="353">
        <v>1</v>
      </c>
      <c r="G3177" s="1113">
        <v>12</v>
      </c>
    </row>
    <row r="3181" spans="1:9">
      <c r="A3181" s="1145" t="s">
        <v>179</v>
      </c>
      <c r="B3181" s="1129" t="s">
        <v>99</v>
      </c>
      <c r="C3181" s="1129" t="s">
        <v>37</v>
      </c>
      <c r="D3181" s="1405" t="s">
        <v>4535</v>
      </c>
    </row>
    <row r="3182" spans="1:9">
      <c r="A3182" s="1115" t="s">
        <v>5600</v>
      </c>
      <c r="B3182" s="40" t="s">
        <v>5318</v>
      </c>
      <c r="C3182" s="357">
        <v>10</v>
      </c>
      <c r="D3182" s="1113">
        <v>3.23</v>
      </c>
    </row>
    <row r="3183" spans="1:9">
      <c r="A3183" s="40"/>
      <c r="B3183" s="40" t="s">
        <v>316</v>
      </c>
      <c r="C3183" s="353">
        <v>1</v>
      </c>
      <c r="D3183" s="1113">
        <v>12</v>
      </c>
    </row>
    <row r="3186" spans="1:8" ht="15">
      <c r="A3186" s="1404" t="s">
        <v>6369</v>
      </c>
      <c r="B3186" s="1404"/>
      <c r="C3186" s="1404"/>
      <c r="D3186" s="1404"/>
      <c r="E3186" s="1404"/>
      <c r="F3186" s="1404"/>
    </row>
    <row r="3187" spans="1:8" s="352" customFormat="1" ht="12.75">
      <c r="A3187" s="1145" t="s">
        <v>179</v>
      </c>
      <c r="B3187" s="1145" t="s">
        <v>99</v>
      </c>
      <c r="C3187" s="1145" t="s">
        <v>5327</v>
      </c>
      <c r="D3187" s="1405" t="s">
        <v>4535</v>
      </c>
      <c r="E3187" s="1405" t="s">
        <v>6372</v>
      </c>
      <c r="F3187" s="1462" t="s">
        <v>5499</v>
      </c>
      <c r="G3187" s="1644" t="s">
        <v>4375</v>
      </c>
      <c r="H3187" s="1645" t="s">
        <v>4376</v>
      </c>
    </row>
    <row r="3188" spans="1:8" s="352" customFormat="1" ht="12.75">
      <c r="A3188" s="1312" t="s">
        <v>6370</v>
      </c>
      <c r="B3188" s="1646" t="s">
        <v>5830</v>
      </c>
      <c r="C3188" s="357">
        <v>10</v>
      </c>
      <c r="D3188" s="385">
        <f t="shared" ref="D3188" si="76">ROUNDUP(F3188/0.6/120,2)</f>
        <v>6</v>
      </c>
      <c r="E3188" s="1647" t="s">
        <v>6371</v>
      </c>
      <c r="F3188" s="1606">
        <v>432</v>
      </c>
      <c r="G3188" s="1189">
        <f t="shared" ref="G3188" si="77">(D3188-(F3188/H3188))/D3188</f>
        <v>0.39999999999999997</v>
      </c>
      <c r="H3188" s="1645">
        <v>120</v>
      </c>
    </row>
    <row r="3189" spans="1:8" s="352" customFormat="1" ht="12.75">
      <c r="A3189" s="1312" t="s">
        <v>6373</v>
      </c>
      <c r="B3189" s="1646" t="s">
        <v>5830</v>
      </c>
      <c r="C3189" s="357">
        <v>10</v>
      </c>
      <c r="D3189" s="385">
        <f t="shared" ref="D3189:D3191" si="78">ROUNDUP(F3189/0.6/120,2)</f>
        <v>5.96</v>
      </c>
      <c r="E3189" s="1647" t="s">
        <v>6376</v>
      </c>
      <c r="F3189" s="1606">
        <v>429</v>
      </c>
      <c r="G3189" s="1189">
        <f t="shared" ref="G3189:G3191" si="79">(D3189-(F3189/H3189))/D3189</f>
        <v>0.40016778523489932</v>
      </c>
      <c r="H3189" s="1645">
        <v>120</v>
      </c>
    </row>
    <row r="3190" spans="1:8" s="352" customFormat="1" ht="12.75">
      <c r="A3190" s="1312" t="s">
        <v>6374</v>
      </c>
      <c r="B3190" s="1646" t="s">
        <v>5830</v>
      </c>
      <c r="C3190" s="357">
        <v>10</v>
      </c>
      <c r="D3190" s="385">
        <f t="shared" si="78"/>
        <v>3.8</v>
      </c>
      <c r="E3190" s="1647" t="s">
        <v>6377</v>
      </c>
      <c r="F3190" s="1606">
        <v>273</v>
      </c>
      <c r="G3190" s="1189">
        <f t="shared" si="79"/>
        <v>0.40131578947368418</v>
      </c>
      <c r="H3190" s="1645">
        <v>120</v>
      </c>
    </row>
    <row r="3191" spans="1:8" s="352" customFormat="1" ht="12.75">
      <c r="A3191" s="1312" t="s">
        <v>6375</v>
      </c>
      <c r="B3191" s="1646" t="s">
        <v>5830</v>
      </c>
      <c r="C3191" s="357">
        <v>10</v>
      </c>
      <c r="D3191" s="385">
        <f t="shared" si="78"/>
        <v>1.78</v>
      </c>
      <c r="E3191" s="1647" t="s">
        <v>6378</v>
      </c>
      <c r="F3191" s="1606">
        <v>128</v>
      </c>
      <c r="G3191" s="1189">
        <f t="shared" si="79"/>
        <v>0.40074906367041202</v>
      </c>
      <c r="H3191" s="1645">
        <v>120</v>
      </c>
    </row>
    <row r="3195" spans="1:8">
      <c r="A3195" s="1338" t="s">
        <v>6384</v>
      </c>
      <c r="D3195" s="194" t="s">
        <v>5137</v>
      </c>
      <c r="E3195" s="1151" t="s">
        <v>4375</v>
      </c>
      <c r="F3195" s="1151" t="s">
        <v>4376</v>
      </c>
    </row>
    <row r="3196" spans="1:8">
      <c r="A3196" s="1145" t="s">
        <v>5134</v>
      </c>
      <c r="B3196" s="1185" t="s">
        <v>4535</v>
      </c>
      <c r="C3196" s="1185" t="s">
        <v>6307</v>
      </c>
      <c r="D3196" s="365" t="s">
        <v>6301</v>
      </c>
      <c r="E3196" s="1339"/>
      <c r="F3196" s="1339"/>
    </row>
    <row r="3197" spans="1:8" ht="25.5">
      <c r="A3197" s="1344" t="s">
        <v>6385</v>
      </c>
      <c r="B3197" s="360">
        <f t="shared" ref="B3197" si="80">ROUNDUP(D3197/0.8/120,2)</f>
        <v>8.75</v>
      </c>
      <c r="C3197" s="1696" t="s">
        <v>6386</v>
      </c>
      <c r="D3197" s="158">
        <f>810+30</f>
        <v>840</v>
      </c>
      <c r="E3197" s="1343">
        <f t="shared" ref="E3197" si="81">(((B3197*F3197)-D3197)/(B3197*F3197))</f>
        <v>0.2</v>
      </c>
      <c r="F3197" s="162">
        <v>120</v>
      </c>
    </row>
    <row r="3201" spans="1:7" ht="12" customHeight="1"/>
    <row r="3202" spans="1:7" s="352" customFormat="1" ht="12.75">
      <c r="A3202" s="1145" t="s">
        <v>179</v>
      </c>
      <c r="B3202" s="1145" t="s">
        <v>35</v>
      </c>
      <c r="C3202" s="1145" t="s">
        <v>99</v>
      </c>
      <c r="D3202" s="354" t="s">
        <v>245</v>
      </c>
      <c r="E3202" s="354" t="s">
        <v>270</v>
      </c>
      <c r="F3202" s="354" t="s">
        <v>271</v>
      </c>
      <c r="G3202" s="1405" t="s">
        <v>4535</v>
      </c>
    </row>
    <row r="3203" spans="1:7" s="352" customFormat="1" ht="12.75">
      <c r="A3203" s="40">
        <v>14552</v>
      </c>
      <c r="B3203" s="41">
        <v>10</v>
      </c>
      <c r="C3203" s="40" t="s">
        <v>6387</v>
      </c>
      <c r="D3203" s="355">
        <v>30</v>
      </c>
      <c r="E3203" s="356">
        <v>37</v>
      </c>
      <c r="F3203" s="357">
        <f>D3203*E3203</f>
        <v>1110</v>
      </c>
      <c r="G3203" s="1113">
        <v>0.77</v>
      </c>
    </row>
    <row r="3204" spans="1:7" s="352" customFormat="1" ht="12.75">
      <c r="A3204" s="40">
        <v>14552</v>
      </c>
      <c r="B3204" s="41">
        <v>10</v>
      </c>
      <c r="C3204" s="40" t="s">
        <v>6008</v>
      </c>
      <c r="D3204" s="355">
        <v>30</v>
      </c>
      <c r="E3204" s="356">
        <v>6</v>
      </c>
      <c r="F3204" s="357">
        <f>D3204*E3204</f>
        <v>180</v>
      </c>
      <c r="G3204" s="1113">
        <v>0.77</v>
      </c>
    </row>
    <row r="3205" spans="1:7" s="352" customFormat="1" ht="12.75">
      <c r="A3205" s="40"/>
      <c r="B3205" s="1195"/>
      <c r="C3205" s="165" t="s">
        <v>316</v>
      </c>
      <c r="D3205" s="357"/>
      <c r="E3205" s="1107"/>
      <c r="F3205" s="353">
        <v>1</v>
      </c>
      <c r="G3205" s="1113">
        <v>12</v>
      </c>
    </row>
    <row r="3206" spans="1:7" s="352" customFormat="1" ht="12"/>
    <row r="3207" spans="1:7" s="352" customFormat="1" ht="12"/>
    <row r="3208" spans="1:7" s="352" customFormat="1" ht="12.75">
      <c r="A3208" s="1145" t="s">
        <v>179</v>
      </c>
      <c r="B3208" s="1145" t="s">
        <v>35</v>
      </c>
      <c r="C3208" s="1145" t="s">
        <v>99</v>
      </c>
      <c r="D3208" s="354" t="s">
        <v>245</v>
      </c>
      <c r="E3208" s="354" t="s">
        <v>270</v>
      </c>
      <c r="F3208" s="354" t="s">
        <v>271</v>
      </c>
      <c r="G3208" s="1405" t="s">
        <v>4535</v>
      </c>
    </row>
    <row r="3209" spans="1:7">
      <c r="A3209" s="40">
        <v>14552</v>
      </c>
      <c r="B3209" s="41">
        <v>38</v>
      </c>
      <c r="C3209" s="40" t="s">
        <v>28</v>
      </c>
      <c r="D3209" s="355">
        <v>30</v>
      </c>
      <c r="E3209" s="356">
        <v>12</v>
      </c>
      <c r="F3209" s="357">
        <f>D3209*E3209</f>
        <v>360</v>
      </c>
      <c r="G3209" s="1113">
        <v>1.95</v>
      </c>
    </row>
    <row r="3210" spans="1:7">
      <c r="A3210" s="40">
        <v>14552</v>
      </c>
      <c r="B3210" s="41">
        <v>12</v>
      </c>
      <c r="C3210" s="40" t="s">
        <v>28</v>
      </c>
      <c r="D3210" s="355">
        <v>30</v>
      </c>
      <c r="E3210" s="356">
        <v>71</v>
      </c>
      <c r="F3210" s="357">
        <f>D3210*E3210</f>
        <v>2130</v>
      </c>
      <c r="G3210" s="1113">
        <v>0.71</v>
      </c>
    </row>
    <row r="3213" spans="1:7">
      <c r="A3213" s="1145" t="s">
        <v>179</v>
      </c>
      <c r="B3213" s="1145" t="s">
        <v>35</v>
      </c>
      <c r="C3213" s="1145" t="s">
        <v>99</v>
      </c>
      <c r="D3213" s="354" t="s">
        <v>245</v>
      </c>
      <c r="E3213" s="354" t="s">
        <v>270</v>
      </c>
      <c r="F3213" s="354" t="s">
        <v>271</v>
      </c>
      <c r="G3213" s="1405" t="s">
        <v>4535</v>
      </c>
    </row>
    <row r="3214" spans="1:7">
      <c r="A3214" s="375" t="s">
        <v>1976</v>
      </c>
      <c r="B3214" s="165"/>
      <c r="C3214" s="165"/>
      <c r="D3214" s="355"/>
      <c r="E3214" s="355"/>
      <c r="F3214" s="355"/>
      <c r="G3214" s="45" t="s">
        <v>5</v>
      </c>
    </row>
    <row r="3215" spans="1:7">
      <c r="A3215" s="40">
        <v>12701</v>
      </c>
      <c r="B3215" s="41">
        <v>9</v>
      </c>
      <c r="C3215" s="40" t="s">
        <v>6412</v>
      </c>
      <c r="D3215" s="355">
        <v>10</v>
      </c>
      <c r="E3215" s="356">
        <v>2</v>
      </c>
      <c r="F3215" s="357">
        <f t="shared" ref="F3215:F3232" si="82">D3215*E3215</f>
        <v>20</v>
      </c>
      <c r="G3215" s="1112">
        <v>1.05</v>
      </c>
    </row>
    <row r="3216" spans="1:7">
      <c r="A3216" s="40">
        <v>12701</v>
      </c>
      <c r="B3216" s="41">
        <v>12</v>
      </c>
      <c r="C3216" s="40" t="s">
        <v>6412</v>
      </c>
      <c r="D3216" s="355">
        <v>10</v>
      </c>
      <c r="E3216" s="356">
        <v>2</v>
      </c>
      <c r="F3216" s="357">
        <f t="shared" si="82"/>
        <v>20</v>
      </c>
      <c r="G3216" s="1112">
        <v>1.19</v>
      </c>
    </row>
    <row r="3217" spans="1:7">
      <c r="A3217" s="40">
        <v>12701</v>
      </c>
      <c r="B3217" s="41">
        <v>19</v>
      </c>
      <c r="C3217" s="40" t="s">
        <v>6412</v>
      </c>
      <c r="D3217" s="355">
        <v>10</v>
      </c>
      <c r="E3217" s="356">
        <v>2</v>
      </c>
      <c r="F3217" s="357">
        <f t="shared" si="82"/>
        <v>20</v>
      </c>
      <c r="G3217" s="1112">
        <v>1.53</v>
      </c>
    </row>
    <row r="3218" spans="1:7">
      <c r="A3218" s="40">
        <v>12701</v>
      </c>
      <c r="B3218" s="41">
        <v>25</v>
      </c>
      <c r="C3218" s="40" t="s">
        <v>6413</v>
      </c>
      <c r="D3218" s="355">
        <v>10</v>
      </c>
      <c r="E3218" s="356">
        <v>1</v>
      </c>
      <c r="F3218" s="357">
        <f t="shared" si="82"/>
        <v>10</v>
      </c>
      <c r="G3218" s="1112">
        <v>1.87</v>
      </c>
    </row>
    <row r="3219" spans="1:7">
      <c r="A3219" s="40">
        <v>12701</v>
      </c>
      <c r="B3219" s="41">
        <v>25</v>
      </c>
      <c r="C3219" s="40" t="s">
        <v>6414</v>
      </c>
      <c r="D3219" s="355">
        <v>10</v>
      </c>
      <c r="E3219" s="356">
        <v>1</v>
      </c>
      <c r="F3219" s="357">
        <f t="shared" si="82"/>
        <v>10</v>
      </c>
      <c r="G3219" s="1112">
        <v>1.87</v>
      </c>
    </row>
    <row r="3220" spans="1:7">
      <c r="A3220" s="40">
        <v>12701</v>
      </c>
      <c r="B3220" s="41">
        <v>9</v>
      </c>
      <c r="C3220" s="40" t="s">
        <v>6415</v>
      </c>
      <c r="D3220" s="355">
        <v>10</v>
      </c>
      <c r="E3220" s="356">
        <v>3</v>
      </c>
      <c r="F3220" s="357">
        <f t="shared" si="82"/>
        <v>30</v>
      </c>
      <c r="G3220" s="1112">
        <v>1.05</v>
      </c>
    </row>
    <row r="3221" spans="1:7">
      <c r="A3221" s="40">
        <v>12701</v>
      </c>
      <c r="B3221" s="41">
        <v>12</v>
      </c>
      <c r="C3221" s="40" t="s">
        <v>6415</v>
      </c>
      <c r="D3221" s="355">
        <v>10</v>
      </c>
      <c r="E3221" s="356">
        <v>3</v>
      </c>
      <c r="F3221" s="357">
        <f t="shared" si="82"/>
        <v>30</v>
      </c>
      <c r="G3221" s="1112">
        <v>1.19</v>
      </c>
    </row>
    <row r="3222" spans="1:7">
      <c r="A3222" s="40">
        <v>12701</v>
      </c>
      <c r="B3222" s="41">
        <v>19</v>
      </c>
      <c r="C3222" s="40" t="s">
        <v>6415</v>
      </c>
      <c r="D3222" s="355">
        <v>10</v>
      </c>
      <c r="E3222" s="356">
        <v>1</v>
      </c>
      <c r="F3222" s="357">
        <f t="shared" si="82"/>
        <v>10</v>
      </c>
      <c r="G3222" s="1112">
        <v>1.53</v>
      </c>
    </row>
    <row r="3223" spans="1:7">
      <c r="A3223" s="40">
        <v>12701</v>
      </c>
      <c r="B3223" s="41">
        <v>25</v>
      </c>
      <c r="C3223" s="40" t="s">
        <v>6415</v>
      </c>
      <c r="D3223" s="355">
        <v>10</v>
      </c>
      <c r="E3223" s="356">
        <v>2</v>
      </c>
      <c r="F3223" s="357">
        <f t="shared" si="82"/>
        <v>20</v>
      </c>
      <c r="G3223" s="1112">
        <v>1.87</v>
      </c>
    </row>
    <row r="3224" spans="1:7">
      <c r="A3224" s="40">
        <v>12701</v>
      </c>
      <c r="B3224" s="41">
        <v>9</v>
      </c>
      <c r="C3224" s="40" t="s">
        <v>6416</v>
      </c>
      <c r="D3224" s="355">
        <v>10</v>
      </c>
      <c r="E3224" s="356">
        <v>1</v>
      </c>
      <c r="F3224" s="357">
        <f t="shared" si="82"/>
        <v>10</v>
      </c>
      <c r="G3224" s="1112">
        <v>1.05</v>
      </c>
    </row>
    <row r="3225" spans="1:7">
      <c r="A3225" s="40">
        <v>12701</v>
      </c>
      <c r="B3225" s="41">
        <v>12</v>
      </c>
      <c r="C3225" s="40" t="s">
        <v>6416</v>
      </c>
      <c r="D3225" s="355">
        <v>10</v>
      </c>
      <c r="E3225" s="356">
        <v>1</v>
      </c>
      <c r="F3225" s="357">
        <f t="shared" si="82"/>
        <v>10</v>
      </c>
      <c r="G3225" s="1112">
        <v>1.19</v>
      </c>
    </row>
    <row r="3226" spans="1:7">
      <c r="A3226" s="40">
        <v>12701</v>
      </c>
      <c r="B3226" s="41">
        <v>19</v>
      </c>
      <c r="C3226" s="40" t="s">
        <v>6416</v>
      </c>
      <c r="D3226" s="355">
        <v>10</v>
      </c>
      <c r="E3226" s="356">
        <v>1</v>
      </c>
      <c r="F3226" s="357">
        <f t="shared" si="82"/>
        <v>10</v>
      </c>
      <c r="G3226" s="1112">
        <v>1.53</v>
      </c>
    </row>
    <row r="3227" spans="1:7">
      <c r="A3227" s="40">
        <v>12701</v>
      </c>
      <c r="B3227" s="41">
        <v>25</v>
      </c>
      <c r="C3227" s="40" t="s">
        <v>6416</v>
      </c>
      <c r="D3227" s="355">
        <v>10</v>
      </c>
      <c r="E3227" s="356">
        <v>1</v>
      </c>
      <c r="F3227" s="357">
        <f t="shared" si="82"/>
        <v>10</v>
      </c>
      <c r="G3227" s="1112">
        <v>1.87</v>
      </c>
    </row>
    <row r="3228" spans="1:7">
      <c r="A3228" s="40">
        <v>12701</v>
      </c>
      <c r="B3228" s="41">
        <v>25</v>
      </c>
      <c r="C3228" s="40" t="s">
        <v>6417</v>
      </c>
      <c r="D3228" s="355">
        <v>10</v>
      </c>
      <c r="E3228" s="356">
        <v>1</v>
      </c>
      <c r="F3228" s="357">
        <f t="shared" si="82"/>
        <v>10</v>
      </c>
      <c r="G3228" s="1112">
        <v>1.87</v>
      </c>
    </row>
    <row r="3229" spans="1:7">
      <c r="A3229" s="40">
        <v>12701</v>
      </c>
      <c r="B3229" s="41">
        <v>25</v>
      </c>
      <c r="C3229" s="40" t="s">
        <v>6418</v>
      </c>
      <c r="D3229" s="355">
        <v>10</v>
      </c>
      <c r="E3229" s="356">
        <v>1</v>
      </c>
      <c r="F3229" s="357">
        <f t="shared" si="82"/>
        <v>10</v>
      </c>
      <c r="G3229" s="1112">
        <v>1.87</v>
      </c>
    </row>
    <row r="3230" spans="1:7">
      <c r="A3230" s="40">
        <v>12701</v>
      </c>
      <c r="B3230" s="41">
        <v>25</v>
      </c>
      <c r="C3230" s="40" t="s">
        <v>6419</v>
      </c>
      <c r="D3230" s="355">
        <v>10</v>
      </c>
      <c r="E3230" s="356">
        <v>1</v>
      </c>
      <c r="F3230" s="357">
        <f t="shared" si="82"/>
        <v>10</v>
      </c>
      <c r="G3230" s="1112">
        <v>1.87</v>
      </c>
    </row>
    <row r="3231" spans="1:7">
      <c r="A3231" s="40">
        <v>12701</v>
      </c>
      <c r="B3231" s="41">
        <v>25</v>
      </c>
      <c r="C3231" s="40" t="s">
        <v>6420</v>
      </c>
      <c r="D3231" s="355">
        <v>10</v>
      </c>
      <c r="E3231" s="356">
        <v>1</v>
      </c>
      <c r="F3231" s="357">
        <f t="shared" si="82"/>
        <v>10</v>
      </c>
      <c r="G3231" s="1112">
        <v>1.87</v>
      </c>
    </row>
    <row r="3232" spans="1:7">
      <c r="A3232" s="40">
        <v>12701</v>
      </c>
      <c r="B3232" s="41">
        <v>25</v>
      </c>
      <c r="C3232" s="40" t="s">
        <v>6421</v>
      </c>
      <c r="D3232" s="355">
        <v>10</v>
      </c>
      <c r="E3232" s="356">
        <v>1</v>
      </c>
      <c r="F3232" s="357">
        <f t="shared" si="82"/>
        <v>10</v>
      </c>
      <c r="G3232" s="1112">
        <v>1.87</v>
      </c>
    </row>
    <row r="3233" spans="1:7">
      <c r="A3233" s="1106" t="s">
        <v>2244</v>
      </c>
      <c r="B3233" s="41"/>
      <c r="C3233" s="40"/>
      <c r="D3233" s="357"/>
      <c r="E3233" s="1107"/>
      <c r="F3233" s="357"/>
      <c r="G3233" s="45" t="s">
        <v>5</v>
      </c>
    </row>
    <row r="3234" spans="1:7">
      <c r="A3234" s="40">
        <v>11700</v>
      </c>
      <c r="B3234" s="165">
        <v>9</v>
      </c>
      <c r="C3234" s="40" t="s">
        <v>6422</v>
      </c>
      <c r="D3234" s="357">
        <v>10</v>
      </c>
      <c r="E3234" s="1107">
        <v>2</v>
      </c>
      <c r="F3234" s="355">
        <f t="shared" ref="F3234:F3262" si="83">D3234*E3234</f>
        <v>20</v>
      </c>
      <c r="G3234" s="1112">
        <v>2.0299999999999998</v>
      </c>
    </row>
    <row r="3235" spans="1:7">
      <c r="A3235" s="40">
        <v>11700</v>
      </c>
      <c r="B3235" s="165">
        <v>12</v>
      </c>
      <c r="C3235" s="40" t="s">
        <v>6422</v>
      </c>
      <c r="D3235" s="357">
        <v>10</v>
      </c>
      <c r="E3235" s="1107">
        <v>2</v>
      </c>
      <c r="F3235" s="355">
        <f t="shared" si="83"/>
        <v>20</v>
      </c>
      <c r="G3235" s="1112">
        <v>2.19</v>
      </c>
    </row>
    <row r="3236" spans="1:7">
      <c r="A3236" s="40">
        <v>11700</v>
      </c>
      <c r="B3236" s="165">
        <v>18</v>
      </c>
      <c r="C3236" s="40" t="s">
        <v>6422</v>
      </c>
      <c r="D3236" s="357">
        <v>10</v>
      </c>
      <c r="E3236" s="1107">
        <v>2</v>
      </c>
      <c r="F3236" s="355">
        <f t="shared" si="83"/>
        <v>20</v>
      </c>
      <c r="G3236" s="1112">
        <v>2.84</v>
      </c>
    </row>
    <row r="3237" spans="1:7">
      <c r="A3237" s="40">
        <v>11700</v>
      </c>
      <c r="B3237" s="165">
        <v>9</v>
      </c>
      <c r="C3237" s="40" t="s">
        <v>6423</v>
      </c>
      <c r="D3237" s="357">
        <v>10</v>
      </c>
      <c r="E3237" s="1107">
        <v>1</v>
      </c>
      <c r="F3237" s="355">
        <f t="shared" si="83"/>
        <v>10</v>
      </c>
      <c r="G3237" s="1112">
        <v>2.0299999999999998</v>
      </c>
    </row>
    <row r="3238" spans="1:7">
      <c r="A3238" s="40">
        <v>11700</v>
      </c>
      <c r="B3238" s="165">
        <v>12</v>
      </c>
      <c r="C3238" s="40" t="s">
        <v>6423</v>
      </c>
      <c r="D3238" s="357">
        <v>10</v>
      </c>
      <c r="E3238" s="1107">
        <v>1</v>
      </c>
      <c r="F3238" s="355">
        <f t="shared" si="83"/>
        <v>10</v>
      </c>
      <c r="G3238" s="1112">
        <v>2.19</v>
      </c>
    </row>
    <row r="3239" spans="1:7">
      <c r="A3239" s="40">
        <v>11700</v>
      </c>
      <c r="B3239" s="165">
        <v>18</v>
      </c>
      <c r="C3239" s="40" t="s">
        <v>6423</v>
      </c>
      <c r="D3239" s="357">
        <v>10</v>
      </c>
      <c r="E3239" s="1107">
        <v>1</v>
      </c>
      <c r="F3239" s="355">
        <f t="shared" si="83"/>
        <v>10</v>
      </c>
      <c r="G3239" s="1112">
        <v>2.84</v>
      </c>
    </row>
    <row r="3240" spans="1:7">
      <c r="A3240" s="40">
        <v>11700</v>
      </c>
      <c r="B3240" s="165">
        <v>24</v>
      </c>
      <c r="C3240" s="40" t="s">
        <v>6423</v>
      </c>
      <c r="D3240" s="357">
        <v>10</v>
      </c>
      <c r="E3240" s="1107">
        <v>1</v>
      </c>
      <c r="F3240" s="355">
        <f t="shared" si="83"/>
        <v>10</v>
      </c>
      <c r="G3240" s="1112">
        <v>3.5199999999999996</v>
      </c>
    </row>
    <row r="3241" spans="1:7">
      <c r="A3241" s="40">
        <v>11700</v>
      </c>
      <c r="B3241" s="165">
        <v>36</v>
      </c>
      <c r="C3241" s="40" t="s">
        <v>6423</v>
      </c>
      <c r="D3241" s="357">
        <v>10</v>
      </c>
      <c r="E3241" s="1107">
        <v>1</v>
      </c>
      <c r="F3241" s="355">
        <f t="shared" si="83"/>
        <v>10</v>
      </c>
      <c r="G3241" s="1112">
        <v>5.85</v>
      </c>
    </row>
    <row r="3242" spans="1:7">
      <c r="A3242" s="40">
        <v>11700</v>
      </c>
      <c r="B3242" s="165">
        <v>9</v>
      </c>
      <c r="C3242" s="40" t="s">
        <v>6424</v>
      </c>
      <c r="D3242" s="357">
        <v>10</v>
      </c>
      <c r="E3242" s="1107">
        <v>1</v>
      </c>
      <c r="F3242" s="355">
        <f t="shared" si="83"/>
        <v>10</v>
      </c>
      <c r="G3242" s="1112">
        <v>2.0299999999999998</v>
      </c>
    </row>
    <row r="3243" spans="1:7">
      <c r="A3243" s="40">
        <v>11700</v>
      </c>
      <c r="B3243" s="165">
        <v>12</v>
      </c>
      <c r="C3243" s="40" t="s">
        <v>6424</v>
      </c>
      <c r="D3243" s="357">
        <v>10</v>
      </c>
      <c r="E3243" s="1107">
        <v>1</v>
      </c>
      <c r="F3243" s="355">
        <f t="shared" si="83"/>
        <v>10</v>
      </c>
      <c r="G3243" s="1112">
        <v>2.19</v>
      </c>
    </row>
    <row r="3244" spans="1:7">
      <c r="A3244" s="40">
        <v>11700</v>
      </c>
      <c r="B3244" s="165">
        <v>18</v>
      </c>
      <c r="C3244" s="40" t="s">
        <v>6424</v>
      </c>
      <c r="D3244" s="357">
        <v>10</v>
      </c>
      <c r="E3244" s="1107">
        <v>1</v>
      </c>
      <c r="F3244" s="355">
        <f t="shared" si="83"/>
        <v>10</v>
      </c>
      <c r="G3244" s="1112">
        <v>2.84</v>
      </c>
    </row>
    <row r="3245" spans="1:7">
      <c r="A3245" s="40">
        <v>11700</v>
      </c>
      <c r="B3245" s="165">
        <v>24</v>
      </c>
      <c r="C3245" s="40" t="s">
        <v>6424</v>
      </c>
      <c r="D3245" s="357">
        <v>10</v>
      </c>
      <c r="E3245" s="1107">
        <v>1</v>
      </c>
      <c r="F3245" s="355">
        <f t="shared" si="83"/>
        <v>10</v>
      </c>
      <c r="G3245" s="1112">
        <v>3.5199999999999996</v>
      </c>
    </row>
    <row r="3246" spans="1:7">
      <c r="A3246" s="40">
        <v>11700</v>
      </c>
      <c r="B3246" s="165">
        <v>9</v>
      </c>
      <c r="C3246" s="40" t="s">
        <v>6425</v>
      </c>
      <c r="D3246" s="357">
        <v>10</v>
      </c>
      <c r="E3246" s="1107">
        <v>1</v>
      </c>
      <c r="F3246" s="355">
        <f t="shared" si="83"/>
        <v>10</v>
      </c>
      <c r="G3246" s="1112">
        <v>2.0299999999999998</v>
      </c>
    </row>
    <row r="3247" spans="1:7">
      <c r="A3247" s="40">
        <v>11700</v>
      </c>
      <c r="B3247" s="165">
        <v>12</v>
      </c>
      <c r="C3247" s="40" t="s">
        <v>6425</v>
      </c>
      <c r="D3247" s="357">
        <v>10</v>
      </c>
      <c r="E3247" s="1107">
        <v>1</v>
      </c>
      <c r="F3247" s="355">
        <f t="shared" si="83"/>
        <v>10</v>
      </c>
      <c r="G3247" s="1112">
        <v>2.19</v>
      </c>
    </row>
    <row r="3248" spans="1:7">
      <c r="A3248" s="40">
        <v>11700</v>
      </c>
      <c r="B3248" s="165">
        <v>18</v>
      </c>
      <c r="C3248" s="40" t="s">
        <v>6425</v>
      </c>
      <c r="D3248" s="357">
        <v>10</v>
      </c>
      <c r="E3248" s="1107">
        <v>1</v>
      </c>
      <c r="F3248" s="355">
        <f t="shared" si="83"/>
        <v>10</v>
      </c>
      <c r="G3248" s="1112">
        <v>2.84</v>
      </c>
    </row>
    <row r="3249" spans="1:7">
      <c r="A3249" s="40">
        <v>11700</v>
      </c>
      <c r="B3249" s="165">
        <v>24</v>
      </c>
      <c r="C3249" s="40" t="s">
        <v>6425</v>
      </c>
      <c r="D3249" s="357">
        <v>10</v>
      </c>
      <c r="E3249" s="1107">
        <v>1</v>
      </c>
      <c r="F3249" s="355">
        <f t="shared" si="83"/>
        <v>10</v>
      </c>
      <c r="G3249" s="1112">
        <v>3.5199999999999996</v>
      </c>
    </row>
    <row r="3250" spans="1:7">
      <c r="A3250" s="40">
        <v>11700</v>
      </c>
      <c r="B3250" s="165">
        <v>9</v>
      </c>
      <c r="C3250" s="40" t="s">
        <v>6426</v>
      </c>
      <c r="D3250" s="357">
        <v>10</v>
      </c>
      <c r="E3250" s="1107">
        <v>2</v>
      </c>
      <c r="F3250" s="355">
        <f t="shared" si="83"/>
        <v>20</v>
      </c>
      <c r="G3250" s="1112">
        <v>2.0299999999999998</v>
      </c>
    </row>
    <row r="3251" spans="1:7">
      <c r="A3251" s="40">
        <v>11700</v>
      </c>
      <c r="B3251" s="165">
        <v>12</v>
      </c>
      <c r="C3251" s="40" t="s">
        <v>6426</v>
      </c>
      <c r="D3251" s="357">
        <v>10</v>
      </c>
      <c r="E3251" s="1107">
        <v>2</v>
      </c>
      <c r="F3251" s="355">
        <f t="shared" si="83"/>
        <v>20</v>
      </c>
      <c r="G3251" s="1112">
        <v>2.19</v>
      </c>
    </row>
    <row r="3252" spans="1:7">
      <c r="A3252" s="40">
        <v>11700</v>
      </c>
      <c r="B3252" s="165">
        <v>18</v>
      </c>
      <c r="C3252" s="40" t="s">
        <v>6426</v>
      </c>
      <c r="D3252" s="357">
        <v>10</v>
      </c>
      <c r="E3252" s="1107">
        <v>1</v>
      </c>
      <c r="F3252" s="355">
        <f t="shared" si="83"/>
        <v>10</v>
      </c>
      <c r="G3252" s="1112">
        <v>2.84</v>
      </c>
    </row>
    <row r="3253" spans="1:7">
      <c r="A3253" s="40">
        <v>11700</v>
      </c>
      <c r="B3253" s="165">
        <v>24</v>
      </c>
      <c r="C3253" s="40" t="s">
        <v>6426</v>
      </c>
      <c r="D3253" s="357">
        <v>10</v>
      </c>
      <c r="E3253" s="1107">
        <v>2</v>
      </c>
      <c r="F3253" s="355">
        <f t="shared" si="83"/>
        <v>20</v>
      </c>
      <c r="G3253" s="1112">
        <v>3.5199999999999996</v>
      </c>
    </row>
    <row r="3254" spans="1:7">
      <c r="A3254" s="40">
        <v>11700</v>
      </c>
      <c r="B3254" s="165">
        <v>9</v>
      </c>
      <c r="C3254" s="40" t="s">
        <v>6427</v>
      </c>
      <c r="D3254" s="357">
        <v>10</v>
      </c>
      <c r="E3254" s="1107">
        <v>1</v>
      </c>
      <c r="F3254" s="355">
        <f t="shared" si="83"/>
        <v>10</v>
      </c>
      <c r="G3254" s="1112">
        <v>2.0299999999999998</v>
      </c>
    </row>
    <row r="3255" spans="1:7">
      <c r="A3255" s="40">
        <v>11700</v>
      </c>
      <c r="B3255" s="165">
        <v>12</v>
      </c>
      <c r="C3255" s="40" t="s">
        <v>6427</v>
      </c>
      <c r="D3255" s="357">
        <v>10</v>
      </c>
      <c r="E3255" s="1107">
        <v>1</v>
      </c>
      <c r="F3255" s="355">
        <f t="shared" si="83"/>
        <v>10</v>
      </c>
      <c r="G3255" s="1112">
        <v>2.19</v>
      </c>
    </row>
    <row r="3256" spans="1:7">
      <c r="A3256" s="40">
        <v>11700</v>
      </c>
      <c r="B3256" s="165">
        <v>18</v>
      </c>
      <c r="C3256" s="40" t="s">
        <v>6427</v>
      </c>
      <c r="D3256" s="357">
        <v>10</v>
      </c>
      <c r="E3256" s="1107">
        <v>1</v>
      </c>
      <c r="F3256" s="355">
        <f t="shared" si="83"/>
        <v>10</v>
      </c>
      <c r="G3256" s="1112">
        <v>2.84</v>
      </c>
    </row>
    <row r="3257" spans="1:7">
      <c r="A3257" s="40">
        <v>11700</v>
      </c>
      <c r="B3257" s="165">
        <v>24</v>
      </c>
      <c r="C3257" s="40" t="s">
        <v>6427</v>
      </c>
      <c r="D3257" s="357">
        <v>10</v>
      </c>
      <c r="E3257" s="1107">
        <v>1</v>
      </c>
      <c r="F3257" s="355">
        <f t="shared" si="83"/>
        <v>10</v>
      </c>
      <c r="G3257" s="1112">
        <v>3.5199999999999996</v>
      </c>
    </row>
    <row r="3258" spans="1:7">
      <c r="A3258" s="40">
        <v>11700</v>
      </c>
      <c r="B3258" s="165">
        <v>9</v>
      </c>
      <c r="C3258" s="40" t="s">
        <v>6428</v>
      </c>
      <c r="D3258" s="357">
        <v>10</v>
      </c>
      <c r="E3258" s="1107">
        <v>1</v>
      </c>
      <c r="F3258" s="355">
        <f t="shared" si="83"/>
        <v>10</v>
      </c>
      <c r="G3258" s="1112">
        <v>2.0299999999999998</v>
      </c>
    </row>
    <row r="3259" spans="1:7">
      <c r="A3259" s="40">
        <v>11700</v>
      </c>
      <c r="B3259" s="165">
        <v>12</v>
      </c>
      <c r="C3259" s="40" t="s">
        <v>6428</v>
      </c>
      <c r="D3259" s="357">
        <v>10</v>
      </c>
      <c r="E3259" s="1107">
        <v>1</v>
      </c>
      <c r="F3259" s="355">
        <f t="shared" si="83"/>
        <v>10</v>
      </c>
      <c r="G3259" s="1112">
        <v>2.19</v>
      </c>
    </row>
    <row r="3260" spans="1:7">
      <c r="A3260" s="40">
        <v>11700</v>
      </c>
      <c r="B3260" s="165">
        <v>18</v>
      </c>
      <c r="C3260" s="40" t="s">
        <v>6428</v>
      </c>
      <c r="D3260" s="357">
        <v>10</v>
      </c>
      <c r="E3260" s="1107">
        <v>1</v>
      </c>
      <c r="F3260" s="355">
        <f t="shared" si="83"/>
        <v>10</v>
      </c>
      <c r="G3260" s="1112">
        <v>2.84</v>
      </c>
    </row>
    <row r="3261" spans="1:7">
      <c r="A3261" s="40">
        <v>11700</v>
      </c>
      <c r="B3261" s="165">
        <v>24</v>
      </c>
      <c r="C3261" s="40" t="s">
        <v>6428</v>
      </c>
      <c r="D3261" s="357">
        <v>10</v>
      </c>
      <c r="E3261" s="1107">
        <v>1</v>
      </c>
      <c r="F3261" s="355">
        <f t="shared" si="83"/>
        <v>10</v>
      </c>
      <c r="G3261" s="1112">
        <v>3.5199999999999996</v>
      </c>
    </row>
    <row r="3262" spans="1:7">
      <c r="A3262" s="40">
        <v>11700</v>
      </c>
      <c r="B3262" s="165">
        <v>36</v>
      </c>
      <c r="C3262" s="40" t="s">
        <v>6428</v>
      </c>
      <c r="D3262" s="357">
        <v>10</v>
      </c>
      <c r="E3262" s="1107">
        <v>1</v>
      </c>
      <c r="F3262" s="355">
        <f t="shared" si="83"/>
        <v>10</v>
      </c>
      <c r="G3262" s="1112">
        <v>5.85</v>
      </c>
    </row>
    <row r="3263" spans="1:7">
      <c r="A3263" s="40"/>
      <c r="B3263" s="1195"/>
      <c r="C3263" s="165" t="s">
        <v>316</v>
      </c>
      <c r="D3263" s="357"/>
      <c r="E3263" s="1107"/>
      <c r="F3263" s="353">
        <v>1</v>
      </c>
      <c r="G3263" s="1113">
        <v>12</v>
      </c>
    </row>
    <row r="3267" spans="1:120" ht="13.5" customHeight="1">
      <c r="A3267" s="1236" t="s">
        <v>6429</v>
      </c>
    </row>
    <row r="3268" spans="1:120" ht="13.5" customHeight="1">
      <c r="A3268" s="354" t="s">
        <v>266</v>
      </c>
      <c r="B3268" s="354" t="s">
        <v>6431</v>
      </c>
      <c r="C3268" s="1375" t="s">
        <v>5200</v>
      </c>
      <c r="D3268" s="1375" t="s">
        <v>5201</v>
      </c>
      <c r="E3268" s="1151" t="s">
        <v>5202</v>
      </c>
      <c r="F3268" s="1151" t="s">
        <v>5203</v>
      </c>
      <c r="G3268" s="1151" t="s">
        <v>4376</v>
      </c>
    </row>
    <row r="3269" spans="1:120" ht="13.5" customHeight="1">
      <c r="A3269" s="1115" t="s">
        <v>6430</v>
      </c>
      <c r="B3269" s="1111" t="s">
        <v>6432</v>
      </c>
      <c r="C3269" s="1376">
        <f>ROUNDUP(E3269/0.8/135,2)</f>
        <v>16.21</v>
      </c>
      <c r="D3269" s="1376" t="s">
        <v>5205</v>
      </c>
      <c r="E3269" s="1377">
        <v>1750</v>
      </c>
      <c r="F3269" s="1378">
        <f>(C3269-(E3269/G3269))/C3269</f>
        <v>0.20031073639957045</v>
      </c>
      <c r="G3269">
        <v>135</v>
      </c>
      <c r="H3269" s="194"/>
    </row>
    <row r="3270" spans="1:120" ht="13.5" customHeight="1">
      <c r="A3270" s="1115" t="s">
        <v>6433</v>
      </c>
      <c r="B3270" s="1111" t="s">
        <v>6432</v>
      </c>
      <c r="C3270" s="1376">
        <f>ROUNDUP(E3270/0.8/135,2)</f>
        <v>15.75</v>
      </c>
      <c r="D3270" s="1376"/>
      <c r="E3270" s="1377">
        <v>1700</v>
      </c>
      <c r="F3270" s="1378">
        <f>(C3270-(E3270/G3270))/C3270</f>
        <v>0.20047031158142264</v>
      </c>
      <c r="G3270">
        <v>135</v>
      </c>
      <c r="H3270" s="1379"/>
    </row>
    <row r="3273" spans="1:120">
      <c r="A3273" t="s">
        <v>6438</v>
      </c>
    </row>
    <row r="3274" spans="1:120" ht="25.5">
      <c r="A3274" s="1471" t="s">
        <v>260</v>
      </c>
      <c r="B3274" s="1358" t="s">
        <v>169</v>
      </c>
      <c r="C3274" s="1472" t="s">
        <v>6434</v>
      </c>
      <c r="D3274" s="1359" t="s">
        <v>282</v>
      </c>
      <c r="E3274" s="1360" t="s">
        <v>327</v>
      </c>
      <c r="F3274" s="1360" t="s">
        <v>244</v>
      </c>
      <c r="G3274" s="1361" t="s">
        <v>4377</v>
      </c>
      <c r="H3274" t="s">
        <v>6439</v>
      </c>
      <c r="I3274" s="1727" t="s">
        <v>4375</v>
      </c>
      <c r="J3274" s="1391" t="s">
        <v>4376</v>
      </c>
    </row>
    <row r="3275" spans="1:120" s="1164" customFormat="1" ht="15" customHeight="1">
      <c r="A3275" s="1157" t="s">
        <v>6435</v>
      </c>
      <c r="B3275" s="1728">
        <v>4</v>
      </c>
      <c r="C3275" s="1166">
        <v>15</v>
      </c>
      <c r="D3275" s="1159" t="s">
        <v>288</v>
      </c>
      <c r="E3275" s="1594" t="s">
        <v>6436</v>
      </c>
      <c r="F3275" s="1594" t="s">
        <v>6437</v>
      </c>
      <c r="G3275" s="1160">
        <f t="shared" ref="G3275:G3283" si="84">ROUNDUP(H3275/0.3/120,2)</f>
        <v>0.86</v>
      </c>
      <c r="H3275" s="1729">
        <v>30.666599999999999</v>
      </c>
      <c r="I3275" s="1508">
        <f>(G3275-(H3275/J3275))/G3275</f>
        <v>0.70284302325581394</v>
      </c>
      <c r="J3275" s="1394">
        <v>120</v>
      </c>
      <c r="K3275" s="1163"/>
      <c r="L3275" s="1163"/>
      <c r="M3275" s="1163"/>
      <c r="N3275" s="1163"/>
      <c r="O3275" s="1163"/>
      <c r="P3275" s="1163"/>
      <c r="Q3275" s="1163"/>
      <c r="R3275" s="1163"/>
      <c r="S3275" s="1163"/>
      <c r="T3275" s="1163"/>
      <c r="U3275" s="1163"/>
      <c r="V3275" s="1163"/>
      <c r="W3275" s="1163"/>
      <c r="X3275" s="1163"/>
      <c r="Y3275" s="1163"/>
      <c r="Z3275" s="1163"/>
      <c r="AA3275" s="1163"/>
      <c r="AB3275" s="1163"/>
      <c r="AC3275" s="1163"/>
      <c r="AD3275" s="1163"/>
      <c r="AE3275" s="1163"/>
      <c r="AF3275" s="1163"/>
      <c r="AG3275" s="1163"/>
      <c r="AH3275" s="1163"/>
      <c r="AI3275" s="1163"/>
      <c r="AJ3275" s="1163"/>
      <c r="AK3275" s="1163"/>
      <c r="AL3275" s="1163"/>
      <c r="AM3275" s="1163"/>
      <c r="AN3275" s="1163"/>
      <c r="AO3275" s="1163"/>
      <c r="AP3275" s="1163"/>
      <c r="AQ3275" s="1163"/>
      <c r="AR3275" s="1163"/>
      <c r="AS3275" s="1163"/>
      <c r="AT3275" s="1163"/>
      <c r="AU3275" s="1163"/>
      <c r="AV3275" s="1163"/>
      <c r="AW3275" s="1163"/>
      <c r="AX3275" s="1163"/>
      <c r="AY3275" s="1163"/>
      <c r="AZ3275" s="1163"/>
      <c r="BA3275" s="1163"/>
      <c r="BB3275" s="1163"/>
      <c r="BC3275" s="1163"/>
      <c r="BD3275" s="1163"/>
      <c r="BE3275" s="1163"/>
      <c r="BF3275" s="1163"/>
      <c r="BG3275" s="1163"/>
      <c r="BH3275" s="1163"/>
      <c r="BI3275" s="1163"/>
      <c r="BJ3275" s="1163"/>
      <c r="BK3275" s="1163"/>
      <c r="BL3275" s="1163"/>
      <c r="BM3275" s="1163"/>
      <c r="BN3275" s="1163"/>
      <c r="BO3275" s="1163"/>
      <c r="BP3275" s="1163"/>
      <c r="BQ3275" s="1163"/>
      <c r="BR3275" s="1163"/>
      <c r="BS3275" s="1163"/>
      <c r="BT3275" s="1163"/>
      <c r="BU3275" s="1163"/>
      <c r="BV3275" s="1163"/>
      <c r="BW3275" s="1163"/>
      <c r="BX3275" s="1163"/>
      <c r="BY3275" s="1163"/>
      <c r="BZ3275" s="1163"/>
      <c r="CA3275" s="1163"/>
      <c r="CB3275" s="1163"/>
      <c r="CC3275" s="1163"/>
      <c r="CD3275" s="1163"/>
      <c r="CE3275" s="1163"/>
      <c r="CF3275" s="1163"/>
      <c r="CG3275" s="1163"/>
      <c r="CH3275" s="1163"/>
      <c r="CI3275" s="1163"/>
      <c r="CJ3275" s="1163"/>
      <c r="CK3275" s="1163"/>
      <c r="CL3275" s="1163"/>
      <c r="CM3275" s="1163"/>
      <c r="CN3275" s="1163"/>
      <c r="CO3275" s="1163"/>
      <c r="CP3275" s="1163"/>
      <c r="CQ3275" s="1163"/>
      <c r="CR3275" s="1163"/>
      <c r="CS3275" s="1163"/>
      <c r="CT3275" s="1163"/>
      <c r="CU3275" s="1163"/>
      <c r="CV3275" s="1163"/>
      <c r="CW3275" s="1163"/>
      <c r="CX3275" s="1163"/>
      <c r="CY3275" s="1163"/>
      <c r="CZ3275" s="1163"/>
      <c r="DA3275" s="1163"/>
      <c r="DB3275" s="1163"/>
      <c r="DC3275" s="1163"/>
      <c r="DD3275" s="1163"/>
      <c r="DE3275" s="1163"/>
      <c r="DF3275" s="1163"/>
      <c r="DG3275" s="1163"/>
      <c r="DH3275" s="1163"/>
      <c r="DI3275" s="1163"/>
      <c r="DJ3275" s="1163"/>
      <c r="DK3275" s="1163"/>
      <c r="DL3275" s="1163"/>
      <c r="DM3275" s="1163"/>
      <c r="DN3275" s="1163"/>
      <c r="DO3275" s="1163"/>
      <c r="DP3275" s="1163"/>
    </row>
    <row r="3276" spans="1:120" s="1164" customFormat="1" ht="15" customHeight="1">
      <c r="A3276" s="1157" t="s">
        <v>6435</v>
      </c>
      <c r="B3276" s="1728">
        <v>6</v>
      </c>
      <c r="C3276" s="1166">
        <v>15</v>
      </c>
      <c r="D3276" s="1159" t="s">
        <v>288</v>
      </c>
      <c r="E3276" s="1594" t="s">
        <v>6436</v>
      </c>
      <c r="F3276" s="1594" t="s">
        <v>6437</v>
      </c>
      <c r="G3276" s="1160">
        <f t="shared" si="84"/>
        <v>1</v>
      </c>
      <c r="H3276" s="1729">
        <v>35.733330000000002</v>
      </c>
      <c r="I3276" s="1508">
        <f>(G3276-(H3276/J3276))/G3276</f>
        <v>0.70222224999999994</v>
      </c>
      <c r="J3276" s="1394">
        <v>120</v>
      </c>
      <c r="K3276" s="1163"/>
      <c r="L3276" s="1163"/>
      <c r="M3276" s="1163"/>
      <c r="N3276" s="1163"/>
      <c r="O3276" s="1163"/>
      <c r="P3276" s="1163"/>
      <c r="Q3276" s="1163"/>
      <c r="R3276" s="1163"/>
      <c r="S3276" s="1163"/>
      <c r="T3276" s="1163"/>
      <c r="U3276" s="1163"/>
      <c r="V3276" s="1163"/>
      <c r="W3276" s="1163"/>
      <c r="X3276" s="1163"/>
      <c r="Y3276" s="1163"/>
      <c r="Z3276" s="1163"/>
      <c r="AA3276" s="1163"/>
      <c r="AB3276" s="1163"/>
      <c r="AC3276" s="1163"/>
      <c r="AD3276" s="1163"/>
      <c r="AE3276" s="1163"/>
      <c r="AF3276" s="1163"/>
      <c r="AG3276" s="1163"/>
      <c r="AH3276" s="1163"/>
      <c r="AI3276" s="1163"/>
      <c r="AJ3276" s="1163"/>
      <c r="AK3276" s="1163"/>
      <c r="AL3276" s="1163"/>
      <c r="AM3276" s="1163"/>
      <c r="AN3276" s="1163"/>
      <c r="AO3276" s="1163"/>
      <c r="AP3276" s="1163"/>
      <c r="AQ3276" s="1163"/>
      <c r="AR3276" s="1163"/>
      <c r="AS3276" s="1163"/>
      <c r="AT3276" s="1163"/>
      <c r="AU3276" s="1163"/>
      <c r="AV3276" s="1163"/>
      <c r="AW3276" s="1163"/>
      <c r="AX3276" s="1163"/>
      <c r="AY3276" s="1163"/>
      <c r="AZ3276" s="1163"/>
      <c r="BA3276" s="1163"/>
      <c r="BB3276" s="1163"/>
      <c r="BC3276" s="1163"/>
      <c r="BD3276" s="1163"/>
      <c r="BE3276" s="1163"/>
      <c r="BF3276" s="1163"/>
      <c r="BG3276" s="1163"/>
      <c r="BH3276" s="1163"/>
      <c r="BI3276" s="1163"/>
      <c r="BJ3276" s="1163"/>
      <c r="BK3276" s="1163"/>
      <c r="BL3276" s="1163"/>
      <c r="BM3276" s="1163"/>
      <c r="BN3276" s="1163"/>
      <c r="BO3276" s="1163"/>
      <c r="BP3276" s="1163"/>
      <c r="BQ3276" s="1163"/>
      <c r="BR3276" s="1163"/>
      <c r="BS3276" s="1163"/>
      <c r="BT3276" s="1163"/>
      <c r="BU3276" s="1163"/>
      <c r="BV3276" s="1163"/>
      <c r="BW3276" s="1163"/>
      <c r="BX3276" s="1163"/>
      <c r="BY3276" s="1163"/>
      <c r="BZ3276" s="1163"/>
      <c r="CA3276" s="1163"/>
      <c r="CB3276" s="1163"/>
      <c r="CC3276" s="1163"/>
      <c r="CD3276" s="1163"/>
      <c r="CE3276" s="1163"/>
      <c r="CF3276" s="1163"/>
      <c r="CG3276" s="1163"/>
      <c r="CH3276" s="1163"/>
      <c r="CI3276" s="1163"/>
      <c r="CJ3276" s="1163"/>
      <c r="CK3276" s="1163"/>
      <c r="CL3276" s="1163"/>
      <c r="CM3276" s="1163"/>
      <c r="CN3276" s="1163"/>
      <c r="CO3276" s="1163"/>
      <c r="CP3276" s="1163"/>
      <c r="CQ3276" s="1163"/>
      <c r="CR3276" s="1163"/>
      <c r="CS3276" s="1163"/>
      <c r="CT3276" s="1163"/>
      <c r="CU3276" s="1163"/>
      <c r="CV3276" s="1163"/>
      <c r="CW3276" s="1163"/>
      <c r="CX3276" s="1163"/>
      <c r="CY3276" s="1163"/>
      <c r="CZ3276" s="1163"/>
      <c r="DA3276" s="1163"/>
      <c r="DB3276" s="1163"/>
      <c r="DC3276" s="1163"/>
      <c r="DD3276" s="1163"/>
      <c r="DE3276" s="1163"/>
      <c r="DF3276" s="1163"/>
      <c r="DG3276" s="1163"/>
      <c r="DH3276" s="1163"/>
      <c r="DI3276" s="1163"/>
      <c r="DJ3276" s="1163"/>
      <c r="DK3276" s="1163"/>
      <c r="DL3276" s="1163"/>
      <c r="DM3276" s="1163"/>
      <c r="DN3276" s="1163"/>
      <c r="DO3276" s="1163"/>
      <c r="DP3276" s="1163"/>
    </row>
    <row r="3277" spans="1:120" s="1164" customFormat="1" ht="15" customHeight="1">
      <c r="A3277" s="1157" t="s">
        <v>6435</v>
      </c>
      <c r="B3277" s="1728">
        <v>9</v>
      </c>
      <c r="C3277" s="1166">
        <v>15</v>
      </c>
      <c r="D3277" s="1159" t="s">
        <v>288</v>
      </c>
      <c r="E3277" s="1594" t="s">
        <v>6436</v>
      </c>
      <c r="F3277" s="1594" t="s">
        <v>6437</v>
      </c>
      <c r="G3277" s="1160">
        <f t="shared" si="84"/>
        <v>1.42</v>
      </c>
      <c r="H3277" s="1729">
        <v>50.933300000000003</v>
      </c>
      <c r="I3277" s="1508">
        <f>(G3277-(H3277/J3277))/G3277</f>
        <v>0.70109565727699519</v>
      </c>
      <c r="J3277" s="1394">
        <v>120</v>
      </c>
      <c r="K3277" s="1163"/>
      <c r="L3277" s="1163"/>
      <c r="M3277" s="1163"/>
      <c r="N3277" s="1163"/>
      <c r="O3277" s="1163"/>
      <c r="P3277" s="1163"/>
      <c r="Q3277" s="1163"/>
      <c r="R3277" s="1163"/>
      <c r="S3277" s="1163"/>
      <c r="T3277" s="1163"/>
      <c r="U3277" s="1163"/>
      <c r="V3277" s="1163"/>
      <c r="W3277" s="1163"/>
      <c r="X3277" s="1163"/>
      <c r="Y3277" s="1163"/>
      <c r="Z3277" s="1163"/>
      <c r="AA3277" s="1163"/>
      <c r="AB3277" s="1163"/>
      <c r="AC3277" s="1163"/>
      <c r="AD3277" s="1163"/>
      <c r="AE3277" s="1163"/>
      <c r="AF3277" s="1163"/>
      <c r="AG3277" s="1163"/>
      <c r="AH3277" s="1163"/>
      <c r="AI3277" s="1163"/>
      <c r="AJ3277" s="1163"/>
      <c r="AK3277" s="1163"/>
      <c r="AL3277" s="1163"/>
      <c r="AM3277" s="1163"/>
      <c r="AN3277" s="1163"/>
      <c r="AO3277" s="1163"/>
      <c r="AP3277" s="1163"/>
      <c r="AQ3277" s="1163"/>
      <c r="AR3277" s="1163"/>
      <c r="AS3277" s="1163"/>
      <c r="AT3277" s="1163"/>
      <c r="AU3277" s="1163"/>
      <c r="AV3277" s="1163"/>
      <c r="AW3277" s="1163"/>
      <c r="AX3277" s="1163"/>
      <c r="AY3277" s="1163"/>
      <c r="AZ3277" s="1163"/>
      <c r="BA3277" s="1163"/>
      <c r="BB3277" s="1163"/>
      <c r="BC3277" s="1163"/>
      <c r="BD3277" s="1163"/>
      <c r="BE3277" s="1163"/>
      <c r="BF3277" s="1163"/>
      <c r="BG3277" s="1163"/>
      <c r="BH3277" s="1163"/>
      <c r="BI3277" s="1163"/>
      <c r="BJ3277" s="1163"/>
      <c r="BK3277" s="1163"/>
      <c r="BL3277" s="1163"/>
      <c r="BM3277" s="1163"/>
      <c r="BN3277" s="1163"/>
      <c r="BO3277" s="1163"/>
      <c r="BP3277" s="1163"/>
      <c r="BQ3277" s="1163"/>
      <c r="BR3277" s="1163"/>
      <c r="BS3277" s="1163"/>
      <c r="BT3277" s="1163"/>
      <c r="BU3277" s="1163"/>
      <c r="BV3277" s="1163"/>
      <c r="BW3277" s="1163"/>
      <c r="BX3277" s="1163"/>
      <c r="BY3277" s="1163"/>
      <c r="BZ3277" s="1163"/>
      <c r="CA3277" s="1163"/>
      <c r="CB3277" s="1163"/>
      <c r="CC3277" s="1163"/>
      <c r="CD3277" s="1163"/>
      <c r="CE3277" s="1163"/>
      <c r="CF3277" s="1163"/>
      <c r="CG3277" s="1163"/>
      <c r="CH3277" s="1163"/>
      <c r="CI3277" s="1163"/>
      <c r="CJ3277" s="1163"/>
      <c r="CK3277" s="1163"/>
      <c r="CL3277" s="1163"/>
      <c r="CM3277" s="1163"/>
      <c r="CN3277" s="1163"/>
      <c r="CO3277" s="1163"/>
      <c r="CP3277" s="1163"/>
      <c r="CQ3277" s="1163"/>
      <c r="CR3277" s="1163"/>
      <c r="CS3277" s="1163"/>
      <c r="CT3277" s="1163"/>
      <c r="CU3277" s="1163"/>
      <c r="CV3277" s="1163"/>
      <c r="CW3277" s="1163"/>
      <c r="CX3277" s="1163"/>
      <c r="CY3277" s="1163"/>
      <c r="CZ3277" s="1163"/>
      <c r="DA3277" s="1163"/>
      <c r="DB3277" s="1163"/>
      <c r="DC3277" s="1163"/>
      <c r="DD3277" s="1163"/>
      <c r="DE3277" s="1163"/>
      <c r="DF3277" s="1163"/>
      <c r="DG3277" s="1163"/>
      <c r="DH3277" s="1163"/>
      <c r="DI3277" s="1163"/>
      <c r="DJ3277" s="1163"/>
      <c r="DK3277" s="1163"/>
      <c r="DL3277" s="1163"/>
      <c r="DM3277" s="1163"/>
      <c r="DN3277" s="1163"/>
      <c r="DO3277" s="1163"/>
      <c r="DP3277" s="1163"/>
    </row>
    <row r="3278" spans="1:120" s="1164" customFormat="1" ht="15" customHeight="1">
      <c r="A3278" s="1157" t="s">
        <v>6435</v>
      </c>
      <c r="B3278" s="1728">
        <v>12</v>
      </c>
      <c r="C3278" s="1166">
        <v>15</v>
      </c>
      <c r="D3278" s="1159" t="s">
        <v>288</v>
      </c>
      <c r="E3278" s="1594" t="s">
        <v>6436</v>
      </c>
      <c r="F3278" s="1594" t="s">
        <v>6437</v>
      </c>
      <c r="G3278" s="1160">
        <f t="shared" si="84"/>
        <v>1.76</v>
      </c>
      <c r="H3278" s="1729">
        <v>63.266599999999997</v>
      </c>
      <c r="I3278" s="1508">
        <f t="shared" ref="I3278:I3283" si="85">(G3278-(H3278/J3278))/G3278</f>
        <v>0.700442234848485</v>
      </c>
      <c r="J3278" s="1394">
        <v>120</v>
      </c>
      <c r="K3278" s="1163"/>
      <c r="L3278" s="1163"/>
      <c r="M3278" s="1163"/>
      <c r="N3278" s="1163"/>
      <c r="O3278" s="1163"/>
      <c r="P3278" s="1163"/>
      <c r="Q3278" s="1163"/>
      <c r="R3278" s="1163"/>
      <c r="S3278" s="1163"/>
      <c r="T3278" s="1163"/>
      <c r="U3278" s="1163"/>
      <c r="V3278" s="1163"/>
      <c r="W3278" s="1163"/>
      <c r="X3278" s="1163"/>
      <c r="Y3278" s="1163"/>
      <c r="Z3278" s="1163"/>
      <c r="AA3278" s="1163"/>
      <c r="AB3278" s="1163"/>
      <c r="AC3278" s="1163"/>
      <c r="AD3278" s="1163"/>
      <c r="AE3278" s="1163"/>
      <c r="AF3278" s="1163"/>
      <c r="AG3278" s="1163"/>
      <c r="AH3278" s="1163"/>
      <c r="AI3278" s="1163"/>
      <c r="AJ3278" s="1163"/>
      <c r="AK3278" s="1163"/>
      <c r="AL3278" s="1163"/>
      <c r="AM3278" s="1163"/>
      <c r="AN3278" s="1163"/>
      <c r="AO3278" s="1163"/>
      <c r="AP3278" s="1163"/>
      <c r="AQ3278" s="1163"/>
      <c r="AR3278" s="1163"/>
      <c r="AS3278" s="1163"/>
      <c r="AT3278" s="1163"/>
      <c r="AU3278" s="1163"/>
      <c r="AV3278" s="1163"/>
      <c r="AW3278" s="1163"/>
      <c r="AX3278" s="1163"/>
      <c r="AY3278" s="1163"/>
      <c r="AZ3278" s="1163"/>
      <c r="BA3278" s="1163"/>
      <c r="BB3278" s="1163"/>
      <c r="BC3278" s="1163"/>
      <c r="BD3278" s="1163"/>
      <c r="BE3278" s="1163"/>
      <c r="BF3278" s="1163"/>
      <c r="BG3278" s="1163"/>
      <c r="BH3278" s="1163"/>
      <c r="BI3278" s="1163"/>
      <c r="BJ3278" s="1163"/>
      <c r="BK3278" s="1163"/>
      <c r="BL3278" s="1163"/>
      <c r="BM3278" s="1163"/>
      <c r="BN3278" s="1163"/>
      <c r="BO3278" s="1163"/>
      <c r="BP3278" s="1163"/>
      <c r="BQ3278" s="1163"/>
      <c r="BR3278" s="1163"/>
      <c r="BS3278" s="1163"/>
      <c r="BT3278" s="1163"/>
      <c r="BU3278" s="1163"/>
      <c r="BV3278" s="1163"/>
      <c r="BW3278" s="1163"/>
      <c r="BX3278" s="1163"/>
      <c r="BY3278" s="1163"/>
      <c r="BZ3278" s="1163"/>
      <c r="CA3278" s="1163"/>
      <c r="CB3278" s="1163"/>
      <c r="CC3278" s="1163"/>
      <c r="CD3278" s="1163"/>
      <c r="CE3278" s="1163"/>
      <c r="CF3278" s="1163"/>
      <c r="CG3278" s="1163"/>
      <c r="CH3278" s="1163"/>
      <c r="CI3278" s="1163"/>
      <c r="CJ3278" s="1163"/>
      <c r="CK3278" s="1163"/>
      <c r="CL3278" s="1163"/>
      <c r="CM3278" s="1163"/>
      <c r="CN3278" s="1163"/>
      <c r="CO3278" s="1163"/>
      <c r="CP3278" s="1163"/>
      <c r="CQ3278" s="1163"/>
      <c r="CR3278" s="1163"/>
      <c r="CS3278" s="1163"/>
      <c r="CT3278" s="1163"/>
      <c r="CU3278" s="1163"/>
      <c r="CV3278" s="1163"/>
      <c r="CW3278" s="1163"/>
      <c r="CX3278" s="1163"/>
      <c r="CY3278" s="1163"/>
      <c r="CZ3278" s="1163"/>
      <c r="DA3278" s="1163"/>
      <c r="DB3278" s="1163"/>
      <c r="DC3278" s="1163"/>
      <c r="DD3278" s="1163"/>
      <c r="DE3278" s="1163"/>
      <c r="DF3278" s="1163"/>
      <c r="DG3278" s="1163"/>
      <c r="DH3278" s="1163"/>
      <c r="DI3278" s="1163"/>
      <c r="DJ3278" s="1163"/>
      <c r="DK3278" s="1163"/>
      <c r="DL3278" s="1163"/>
      <c r="DM3278" s="1163"/>
      <c r="DN3278" s="1163"/>
      <c r="DO3278" s="1163"/>
      <c r="DP3278" s="1163"/>
    </row>
    <row r="3279" spans="1:120" s="1164" customFormat="1" ht="15" customHeight="1">
      <c r="A3279" s="1157" t="s">
        <v>6435</v>
      </c>
      <c r="B3279" s="1728">
        <v>15</v>
      </c>
      <c r="C3279" s="1166">
        <v>15</v>
      </c>
      <c r="D3279" s="1159" t="s">
        <v>288</v>
      </c>
      <c r="E3279" s="1594" t="s">
        <v>6436</v>
      </c>
      <c r="F3279" s="1594" t="s">
        <v>6437</v>
      </c>
      <c r="G3279" s="1160">
        <f t="shared" si="84"/>
        <v>2.2399999999999998</v>
      </c>
      <c r="H3279" s="1730">
        <v>80.599999999999994</v>
      </c>
      <c r="I3279" s="1508">
        <f t="shared" si="85"/>
        <v>0.70014880952380953</v>
      </c>
      <c r="J3279" s="1394">
        <v>120</v>
      </c>
      <c r="K3279" s="1163"/>
      <c r="L3279" s="1163"/>
      <c r="M3279" s="1163"/>
      <c r="N3279" s="1163"/>
      <c r="O3279" s="1163"/>
      <c r="P3279" s="1163"/>
      <c r="Q3279" s="1163"/>
      <c r="R3279" s="1163"/>
      <c r="S3279" s="1163"/>
      <c r="T3279" s="1163"/>
      <c r="U3279" s="1163"/>
      <c r="V3279" s="1163"/>
      <c r="W3279" s="1163"/>
      <c r="X3279" s="1163"/>
      <c r="Y3279" s="1163"/>
      <c r="Z3279" s="1163"/>
      <c r="AA3279" s="1163"/>
      <c r="AB3279" s="1163"/>
      <c r="AC3279" s="1163"/>
      <c r="AD3279" s="1163"/>
      <c r="AE3279" s="1163"/>
      <c r="AF3279" s="1163"/>
      <c r="AG3279" s="1163"/>
      <c r="AH3279" s="1163"/>
      <c r="AI3279" s="1163"/>
      <c r="AJ3279" s="1163"/>
      <c r="AK3279" s="1163"/>
      <c r="AL3279" s="1163"/>
      <c r="AM3279" s="1163"/>
      <c r="AN3279" s="1163"/>
      <c r="AO3279" s="1163"/>
      <c r="AP3279" s="1163"/>
      <c r="AQ3279" s="1163"/>
      <c r="AR3279" s="1163"/>
      <c r="AS3279" s="1163"/>
      <c r="AT3279" s="1163"/>
      <c r="AU3279" s="1163"/>
      <c r="AV3279" s="1163"/>
      <c r="AW3279" s="1163"/>
      <c r="AX3279" s="1163"/>
      <c r="AY3279" s="1163"/>
      <c r="AZ3279" s="1163"/>
      <c r="BA3279" s="1163"/>
      <c r="BB3279" s="1163"/>
      <c r="BC3279" s="1163"/>
      <c r="BD3279" s="1163"/>
      <c r="BE3279" s="1163"/>
      <c r="BF3279" s="1163"/>
      <c r="BG3279" s="1163"/>
      <c r="BH3279" s="1163"/>
      <c r="BI3279" s="1163"/>
      <c r="BJ3279" s="1163"/>
      <c r="BK3279" s="1163"/>
      <c r="BL3279" s="1163"/>
      <c r="BM3279" s="1163"/>
      <c r="BN3279" s="1163"/>
      <c r="BO3279" s="1163"/>
      <c r="BP3279" s="1163"/>
      <c r="BQ3279" s="1163"/>
      <c r="BR3279" s="1163"/>
      <c r="BS3279" s="1163"/>
      <c r="BT3279" s="1163"/>
      <c r="BU3279" s="1163"/>
      <c r="BV3279" s="1163"/>
      <c r="BW3279" s="1163"/>
      <c r="BX3279" s="1163"/>
      <c r="BY3279" s="1163"/>
      <c r="BZ3279" s="1163"/>
      <c r="CA3279" s="1163"/>
      <c r="CB3279" s="1163"/>
      <c r="CC3279" s="1163"/>
      <c r="CD3279" s="1163"/>
      <c r="CE3279" s="1163"/>
      <c r="CF3279" s="1163"/>
      <c r="CG3279" s="1163"/>
      <c r="CH3279" s="1163"/>
      <c r="CI3279" s="1163"/>
      <c r="CJ3279" s="1163"/>
      <c r="CK3279" s="1163"/>
      <c r="CL3279" s="1163"/>
      <c r="CM3279" s="1163"/>
      <c r="CN3279" s="1163"/>
      <c r="CO3279" s="1163"/>
      <c r="CP3279" s="1163"/>
      <c r="CQ3279" s="1163"/>
      <c r="CR3279" s="1163"/>
      <c r="CS3279" s="1163"/>
      <c r="CT3279" s="1163"/>
      <c r="CU3279" s="1163"/>
      <c r="CV3279" s="1163"/>
      <c r="CW3279" s="1163"/>
      <c r="CX3279" s="1163"/>
      <c r="CY3279" s="1163"/>
      <c r="CZ3279" s="1163"/>
      <c r="DA3279" s="1163"/>
      <c r="DB3279" s="1163"/>
      <c r="DC3279" s="1163"/>
      <c r="DD3279" s="1163"/>
      <c r="DE3279" s="1163"/>
      <c r="DF3279" s="1163"/>
      <c r="DG3279" s="1163"/>
      <c r="DH3279" s="1163"/>
      <c r="DI3279" s="1163"/>
      <c r="DJ3279" s="1163"/>
      <c r="DK3279" s="1163"/>
      <c r="DL3279" s="1163"/>
      <c r="DM3279" s="1163"/>
      <c r="DN3279" s="1163"/>
      <c r="DO3279" s="1163"/>
      <c r="DP3279" s="1163"/>
    </row>
    <row r="3280" spans="1:120" s="1164" customFormat="1" ht="15" customHeight="1">
      <c r="A3280" s="1157" t="s">
        <v>6435</v>
      </c>
      <c r="B3280" s="1728">
        <v>18</v>
      </c>
      <c r="C3280" s="1166">
        <v>15</v>
      </c>
      <c r="D3280" s="1159" t="s">
        <v>288</v>
      </c>
      <c r="E3280" s="1594" t="s">
        <v>6436</v>
      </c>
      <c r="F3280" s="1594" t="s">
        <v>6437</v>
      </c>
      <c r="G3280" s="1160">
        <f t="shared" si="84"/>
        <v>2.61</v>
      </c>
      <c r="H3280" s="1730">
        <v>93.866659999999996</v>
      </c>
      <c r="I3280" s="1508">
        <f t="shared" si="85"/>
        <v>0.70029802043422729</v>
      </c>
      <c r="J3280" s="1394">
        <v>120</v>
      </c>
      <c r="K3280" s="1163"/>
      <c r="L3280" s="1163"/>
      <c r="M3280" s="1163"/>
      <c r="N3280" s="1163"/>
      <c r="O3280" s="1163"/>
      <c r="P3280" s="1163"/>
      <c r="Q3280" s="1163"/>
      <c r="R3280" s="1163"/>
      <c r="S3280" s="1163"/>
      <c r="T3280" s="1163"/>
      <c r="U3280" s="1163"/>
      <c r="V3280" s="1163"/>
      <c r="W3280" s="1163"/>
      <c r="X3280" s="1163"/>
      <c r="Y3280" s="1163"/>
      <c r="Z3280" s="1163"/>
      <c r="AA3280" s="1163"/>
      <c r="AB3280" s="1163"/>
      <c r="AC3280" s="1163"/>
      <c r="AD3280" s="1163"/>
      <c r="AE3280" s="1163"/>
      <c r="AF3280" s="1163"/>
      <c r="AG3280" s="1163"/>
      <c r="AH3280" s="1163"/>
      <c r="AI3280" s="1163"/>
      <c r="AJ3280" s="1163"/>
      <c r="AK3280" s="1163"/>
      <c r="AL3280" s="1163"/>
      <c r="AM3280" s="1163"/>
      <c r="AN3280" s="1163"/>
      <c r="AO3280" s="1163"/>
      <c r="AP3280" s="1163"/>
      <c r="AQ3280" s="1163"/>
      <c r="AR3280" s="1163"/>
      <c r="AS3280" s="1163"/>
      <c r="AT3280" s="1163"/>
      <c r="AU3280" s="1163"/>
      <c r="AV3280" s="1163"/>
      <c r="AW3280" s="1163"/>
      <c r="AX3280" s="1163"/>
      <c r="AY3280" s="1163"/>
      <c r="AZ3280" s="1163"/>
      <c r="BA3280" s="1163"/>
      <c r="BB3280" s="1163"/>
      <c r="BC3280" s="1163"/>
      <c r="BD3280" s="1163"/>
      <c r="BE3280" s="1163"/>
      <c r="BF3280" s="1163"/>
      <c r="BG3280" s="1163"/>
      <c r="BH3280" s="1163"/>
      <c r="BI3280" s="1163"/>
      <c r="BJ3280" s="1163"/>
      <c r="BK3280" s="1163"/>
      <c r="BL3280" s="1163"/>
      <c r="BM3280" s="1163"/>
      <c r="BN3280" s="1163"/>
      <c r="BO3280" s="1163"/>
      <c r="BP3280" s="1163"/>
      <c r="BQ3280" s="1163"/>
      <c r="BR3280" s="1163"/>
      <c r="BS3280" s="1163"/>
      <c r="BT3280" s="1163"/>
      <c r="BU3280" s="1163"/>
      <c r="BV3280" s="1163"/>
      <c r="BW3280" s="1163"/>
      <c r="BX3280" s="1163"/>
      <c r="BY3280" s="1163"/>
      <c r="BZ3280" s="1163"/>
      <c r="CA3280" s="1163"/>
      <c r="CB3280" s="1163"/>
      <c r="CC3280" s="1163"/>
      <c r="CD3280" s="1163"/>
      <c r="CE3280" s="1163"/>
      <c r="CF3280" s="1163"/>
      <c r="CG3280" s="1163"/>
      <c r="CH3280" s="1163"/>
      <c r="CI3280" s="1163"/>
      <c r="CJ3280" s="1163"/>
      <c r="CK3280" s="1163"/>
      <c r="CL3280" s="1163"/>
      <c r="CM3280" s="1163"/>
      <c r="CN3280" s="1163"/>
      <c r="CO3280" s="1163"/>
      <c r="CP3280" s="1163"/>
      <c r="CQ3280" s="1163"/>
      <c r="CR3280" s="1163"/>
      <c r="CS3280" s="1163"/>
      <c r="CT3280" s="1163"/>
      <c r="CU3280" s="1163"/>
      <c r="CV3280" s="1163"/>
      <c r="CW3280" s="1163"/>
      <c r="CX3280" s="1163"/>
      <c r="CY3280" s="1163"/>
      <c r="CZ3280" s="1163"/>
      <c r="DA3280" s="1163"/>
      <c r="DB3280" s="1163"/>
      <c r="DC3280" s="1163"/>
      <c r="DD3280" s="1163"/>
      <c r="DE3280" s="1163"/>
      <c r="DF3280" s="1163"/>
      <c r="DG3280" s="1163"/>
      <c r="DH3280" s="1163"/>
      <c r="DI3280" s="1163"/>
      <c r="DJ3280" s="1163"/>
      <c r="DK3280" s="1163"/>
      <c r="DL3280" s="1163"/>
      <c r="DM3280" s="1163"/>
      <c r="DN3280" s="1163"/>
      <c r="DO3280" s="1163"/>
      <c r="DP3280" s="1163"/>
    </row>
    <row r="3281" spans="1:120" s="1164" customFormat="1" ht="15" customHeight="1">
      <c r="A3281" s="1157" t="s">
        <v>6435</v>
      </c>
      <c r="B3281" s="1728">
        <v>24</v>
      </c>
      <c r="C3281" s="1166">
        <v>15</v>
      </c>
      <c r="D3281" s="1159" t="s">
        <v>288</v>
      </c>
      <c r="E3281" s="1594" t="s">
        <v>6436</v>
      </c>
      <c r="F3281" s="1594" t="s">
        <v>6437</v>
      </c>
      <c r="G3281" s="1160">
        <f t="shared" si="84"/>
        <v>3.3099999999999996</v>
      </c>
      <c r="H3281" s="1729">
        <v>118.93333</v>
      </c>
      <c r="I3281" s="1508">
        <f t="shared" si="85"/>
        <v>0.70057066968781467</v>
      </c>
      <c r="J3281" s="1394">
        <v>120</v>
      </c>
      <c r="K3281" s="1163"/>
      <c r="L3281" s="1163"/>
      <c r="M3281" s="1163"/>
      <c r="N3281" s="1163"/>
      <c r="O3281" s="1163"/>
      <c r="P3281" s="1163"/>
      <c r="Q3281" s="1163"/>
      <c r="R3281" s="1163"/>
      <c r="S3281" s="1163"/>
      <c r="T3281" s="1163"/>
      <c r="U3281" s="1163"/>
      <c r="V3281" s="1163"/>
      <c r="W3281" s="1163"/>
      <c r="X3281" s="1163"/>
      <c r="Y3281" s="1163"/>
      <c r="Z3281" s="1163"/>
      <c r="AA3281" s="1163"/>
      <c r="AB3281" s="1163"/>
      <c r="AC3281" s="1163"/>
      <c r="AD3281" s="1163"/>
      <c r="AE3281" s="1163"/>
      <c r="AF3281" s="1163"/>
      <c r="AG3281" s="1163"/>
      <c r="AH3281" s="1163"/>
      <c r="AI3281" s="1163"/>
      <c r="AJ3281" s="1163"/>
      <c r="AK3281" s="1163"/>
      <c r="AL3281" s="1163"/>
      <c r="AM3281" s="1163"/>
      <c r="AN3281" s="1163"/>
      <c r="AO3281" s="1163"/>
      <c r="AP3281" s="1163"/>
      <c r="AQ3281" s="1163"/>
      <c r="AR3281" s="1163"/>
      <c r="AS3281" s="1163"/>
      <c r="AT3281" s="1163"/>
      <c r="AU3281" s="1163"/>
      <c r="AV3281" s="1163"/>
      <c r="AW3281" s="1163"/>
      <c r="AX3281" s="1163"/>
      <c r="AY3281" s="1163"/>
      <c r="AZ3281" s="1163"/>
      <c r="BA3281" s="1163"/>
      <c r="BB3281" s="1163"/>
      <c r="BC3281" s="1163"/>
      <c r="BD3281" s="1163"/>
      <c r="BE3281" s="1163"/>
      <c r="BF3281" s="1163"/>
      <c r="BG3281" s="1163"/>
      <c r="BH3281" s="1163"/>
      <c r="BI3281" s="1163"/>
      <c r="BJ3281" s="1163"/>
      <c r="BK3281" s="1163"/>
      <c r="BL3281" s="1163"/>
      <c r="BM3281" s="1163"/>
      <c r="BN3281" s="1163"/>
      <c r="BO3281" s="1163"/>
      <c r="BP3281" s="1163"/>
      <c r="BQ3281" s="1163"/>
      <c r="BR3281" s="1163"/>
      <c r="BS3281" s="1163"/>
      <c r="BT3281" s="1163"/>
      <c r="BU3281" s="1163"/>
      <c r="BV3281" s="1163"/>
      <c r="BW3281" s="1163"/>
      <c r="BX3281" s="1163"/>
      <c r="BY3281" s="1163"/>
      <c r="BZ3281" s="1163"/>
      <c r="CA3281" s="1163"/>
      <c r="CB3281" s="1163"/>
      <c r="CC3281" s="1163"/>
      <c r="CD3281" s="1163"/>
      <c r="CE3281" s="1163"/>
      <c r="CF3281" s="1163"/>
      <c r="CG3281" s="1163"/>
      <c r="CH3281" s="1163"/>
      <c r="CI3281" s="1163"/>
      <c r="CJ3281" s="1163"/>
      <c r="CK3281" s="1163"/>
      <c r="CL3281" s="1163"/>
      <c r="CM3281" s="1163"/>
      <c r="CN3281" s="1163"/>
      <c r="CO3281" s="1163"/>
      <c r="CP3281" s="1163"/>
      <c r="CQ3281" s="1163"/>
      <c r="CR3281" s="1163"/>
      <c r="CS3281" s="1163"/>
      <c r="CT3281" s="1163"/>
      <c r="CU3281" s="1163"/>
      <c r="CV3281" s="1163"/>
      <c r="CW3281" s="1163"/>
      <c r="CX3281" s="1163"/>
      <c r="CY3281" s="1163"/>
      <c r="CZ3281" s="1163"/>
      <c r="DA3281" s="1163"/>
      <c r="DB3281" s="1163"/>
      <c r="DC3281" s="1163"/>
      <c r="DD3281" s="1163"/>
      <c r="DE3281" s="1163"/>
      <c r="DF3281" s="1163"/>
      <c r="DG3281" s="1163"/>
      <c r="DH3281" s="1163"/>
      <c r="DI3281" s="1163"/>
      <c r="DJ3281" s="1163"/>
      <c r="DK3281" s="1163"/>
      <c r="DL3281" s="1163"/>
      <c r="DM3281" s="1163"/>
      <c r="DN3281" s="1163"/>
      <c r="DO3281" s="1163"/>
      <c r="DP3281" s="1163"/>
    </row>
    <row r="3282" spans="1:120" s="1164" customFormat="1" ht="15" customHeight="1">
      <c r="A3282" s="1157" t="s">
        <v>6435</v>
      </c>
      <c r="B3282" s="1728">
        <v>36</v>
      </c>
      <c r="C3282" s="1166">
        <v>15</v>
      </c>
      <c r="D3282" s="1159" t="s">
        <v>288</v>
      </c>
      <c r="E3282" s="1594" t="s">
        <v>6436</v>
      </c>
      <c r="F3282" s="1594" t="s">
        <v>6437</v>
      </c>
      <c r="G3282" s="1160">
        <f t="shared" si="84"/>
        <v>5.26</v>
      </c>
      <c r="H3282" s="1729">
        <v>189.13329999999999</v>
      </c>
      <c r="I3282" s="1508">
        <f t="shared" si="85"/>
        <v>0.7003591571609632</v>
      </c>
      <c r="J3282" s="1394">
        <v>120</v>
      </c>
      <c r="K3282" s="1163"/>
      <c r="L3282" s="1163"/>
      <c r="M3282" s="1163"/>
      <c r="N3282" s="1163"/>
      <c r="O3282" s="1163"/>
      <c r="P3282" s="1163"/>
      <c r="Q3282" s="1163"/>
      <c r="R3282" s="1163"/>
      <c r="S3282" s="1163"/>
      <c r="T3282" s="1163"/>
      <c r="U3282" s="1163"/>
      <c r="V3282" s="1163"/>
      <c r="W3282" s="1163"/>
      <c r="X3282" s="1163"/>
      <c r="Y3282" s="1163"/>
      <c r="Z3282" s="1163"/>
      <c r="AA3282" s="1163"/>
      <c r="AB3282" s="1163"/>
      <c r="AC3282" s="1163"/>
      <c r="AD3282" s="1163"/>
      <c r="AE3282" s="1163"/>
      <c r="AF3282" s="1163"/>
      <c r="AG3282" s="1163"/>
      <c r="AH3282" s="1163"/>
      <c r="AI3282" s="1163"/>
      <c r="AJ3282" s="1163"/>
      <c r="AK3282" s="1163"/>
      <c r="AL3282" s="1163"/>
      <c r="AM3282" s="1163"/>
      <c r="AN3282" s="1163"/>
      <c r="AO3282" s="1163"/>
      <c r="AP3282" s="1163"/>
      <c r="AQ3282" s="1163"/>
      <c r="AR3282" s="1163"/>
      <c r="AS3282" s="1163"/>
      <c r="AT3282" s="1163"/>
      <c r="AU3282" s="1163"/>
      <c r="AV3282" s="1163"/>
      <c r="AW3282" s="1163"/>
      <c r="AX3282" s="1163"/>
      <c r="AY3282" s="1163"/>
      <c r="AZ3282" s="1163"/>
      <c r="BA3282" s="1163"/>
      <c r="BB3282" s="1163"/>
      <c r="BC3282" s="1163"/>
      <c r="BD3282" s="1163"/>
      <c r="BE3282" s="1163"/>
      <c r="BF3282" s="1163"/>
      <c r="BG3282" s="1163"/>
      <c r="BH3282" s="1163"/>
      <c r="BI3282" s="1163"/>
      <c r="BJ3282" s="1163"/>
      <c r="BK3282" s="1163"/>
      <c r="BL3282" s="1163"/>
      <c r="BM3282" s="1163"/>
      <c r="BN3282" s="1163"/>
      <c r="BO3282" s="1163"/>
      <c r="BP3282" s="1163"/>
      <c r="BQ3282" s="1163"/>
      <c r="BR3282" s="1163"/>
      <c r="BS3282" s="1163"/>
      <c r="BT3282" s="1163"/>
      <c r="BU3282" s="1163"/>
      <c r="BV3282" s="1163"/>
      <c r="BW3282" s="1163"/>
      <c r="BX3282" s="1163"/>
      <c r="BY3282" s="1163"/>
      <c r="BZ3282" s="1163"/>
      <c r="CA3282" s="1163"/>
      <c r="CB3282" s="1163"/>
      <c r="CC3282" s="1163"/>
      <c r="CD3282" s="1163"/>
      <c r="CE3282" s="1163"/>
      <c r="CF3282" s="1163"/>
      <c r="CG3282" s="1163"/>
      <c r="CH3282" s="1163"/>
      <c r="CI3282" s="1163"/>
      <c r="CJ3282" s="1163"/>
      <c r="CK3282" s="1163"/>
      <c r="CL3282" s="1163"/>
      <c r="CM3282" s="1163"/>
      <c r="CN3282" s="1163"/>
      <c r="CO3282" s="1163"/>
      <c r="CP3282" s="1163"/>
      <c r="CQ3282" s="1163"/>
      <c r="CR3282" s="1163"/>
      <c r="CS3282" s="1163"/>
      <c r="CT3282" s="1163"/>
      <c r="CU3282" s="1163"/>
      <c r="CV3282" s="1163"/>
      <c r="CW3282" s="1163"/>
      <c r="CX3282" s="1163"/>
      <c r="CY3282" s="1163"/>
      <c r="CZ3282" s="1163"/>
      <c r="DA3282" s="1163"/>
      <c r="DB3282" s="1163"/>
      <c r="DC3282" s="1163"/>
      <c r="DD3282" s="1163"/>
      <c r="DE3282" s="1163"/>
      <c r="DF3282" s="1163"/>
      <c r="DG3282" s="1163"/>
      <c r="DH3282" s="1163"/>
      <c r="DI3282" s="1163"/>
      <c r="DJ3282" s="1163"/>
      <c r="DK3282" s="1163"/>
      <c r="DL3282" s="1163"/>
      <c r="DM3282" s="1163"/>
      <c r="DN3282" s="1163"/>
      <c r="DO3282" s="1163"/>
      <c r="DP3282" s="1163"/>
    </row>
    <row r="3283" spans="1:120" s="1164" customFormat="1" ht="15" customHeight="1">
      <c r="A3283" s="1157" t="s">
        <v>6435</v>
      </c>
      <c r="B3283" s="1728">
        <v>50</v>
      </c>
      <c r="C3283" s="1166">
        <v>15</v>
      </c>
      <c r="D3283" s="1159" t="s">
        <v>288</v>
      </c>
      <c r="E3283" s="1594" t="s">
        <v>6436</v>
      </c>
      <c r="F3283" s="1594" t="s">
        <v>6437</v>
      </c>
      <c r="G3283" s="1160">
        <f t="shared" si="84"/>
        <v>7.22</v>
      </c>
      <c r="H3283" s="1730">
        <v>259.73329999999999</v>
      </c>
      <c r="I3283" s="1508">
        <f t="shared" si="85"/>
        <v>0.70021548938134814</v>
      </c>
      <c r="J3283" s="1394">
        <v>120</v>
      </c>
      <c r="K3283" s="1163"/>
      <c r="L3283" s="1163"/>
      <c r="M3283" s="1163"/>
      <c r="N3283" s="1163"/>
      <c r="O3283" s="1163"/>
      <c r="P3283" s="1163"/>
      <c r="Q3283" s="1163"/>
      <c r="R3283" s="1163"/>
      <c r="S3283" s="1163"/>
      <c r="T3283" s="1163"/>
      <c r="U3283" s="1163"/>
      <c r="V3283" s="1163"/>
      <c r="W3283" s="1163"/>
      <c r="X3283" s="1163"/>
      <c r="Y3283" s="1163"/>
      <c r="Z3283" s="1163"/>
      <c r="AA3283" s="1163"/>
      <c r="AB3283" s="1163"/>
      <c r="AC3283" s="1163"/>
      <c r="AD3283" s="1163"/>
      <c r="AE3283" s="1163"/>
      <c r="AF3283" s="1163"/>
      <c r="AG3283" s="1163"/>
      <c r="AH3283" s="1163"/>
      <c r="AI3283" s="1163"/>
      <c r="AJ3283" s="1163"/>
      <c r="AK3283" s="1163"/>
      <c r="AL3283" s="1163"/>
      <c r="AM3283" s="1163"/>
      <c r="AN3283" s="1163"/>
      <c r="AO3283" s="1163"/>
      <c r="AP3283" s="1163"/>
      <c r="AQ3283" s="1163"/>
      <c r="AR3283" s="1163"/>
      <c r="AS3283" s="1163"/>
      <c r="AT3283" s="1163"/>
      <c r="AU3283" s="1163"/>
      <c r="AV3283" s="1163"/>
      <c r="AW3283" s="1163"/>
      <c r="AX3283" s="1163"/>
      <c r="AY3283" s="1163"/>
      <c r="AZ3283" s="1163"/>
      <c r="BA3283" s="1163"/>
      <c r="BB3283" s="1163"/>
      <c r="BC3283" s="1163"/>
      <c r="BD3283" s="1163"/>
      <c r="BE3283" s="1163"/>
      <c r="BF3283" s="1163"/>
      <c r="BG3283" s="1163"/>
      <c r="BH3283" s="1163"/>
      <c r="BI3283" s="1163"/>
      <c r="BJ3283" s="1163"/>
      <c r="BK3283" s="1163"/>
      <c r="BL3283" s="1163"/>
      <c r="BM3283" s="1163"/>
      <c r="BN3283" s="1163"/>
      <c r="BO3283" s="1163"/>
      <c r="BP3283" s="1163"/>
      <c r="BQ3283" s="1163"/>
      <c r="BR3283" s="1163"/>
      <c r="BS3283" s="1163"/>
      <c r="BT3283" s="1163"/>
      <c r="BU3283" s="1163"/>
      <c r="BV3283" s="1163"/>
      <c r="BW3283" s="1163"/>
      <c r="BX3283" s="1163"/>
      <c r="BY3283" s="1163"/>
      <c r="BZ3283" s="1163"/>
      <c r="CA3283" s="1163"/>
      <c r="CB3283" s="1163"/>
      <c r="CC3283" s="1163"/>
      <c r="CD3283" s="1163"/>
      <c r="CE3283" s="1163"/>
      <c r="CF3283" s="1163"/>
      <c r="CG3283" s="1163"/>
      <c r="CH3283" s="1163"/>
      <c r="CI3283" s="1163"/>
      <c r="CJ3283" s="1163"/>
      <c r="CK3283" s="1163"/>
      <c r="CL3283" s="1163"/>
      <c r="CM3283" s="1163"/>
      <c r="CN3283" s="1163"/>
      <c r="CO3283" s="1163"/>
      <c r="CP3283" s="1163"/>
      <c r="CQ3283" s="1163"/>
      <c r="CR3283" s="1163"/>
      <c r="CS3283" s="1163"/>
      <c r="CT3283" s="1163"/>
      <c r="CU3283" s="1163"/>
      <c r="CV3283" s="1163"/>
      <c r="CW3283" s="1163"/>
      <c r="CX3283" s="1163"/>
      <c r="CY3283" s="1163"/>
      <c r="CZ3283" s="1163"/>
      <c r="DA3283" s="1163"/>
      <c r="DB3283" s="1163"/>
      <c r="DC3283" s="1163"/>
      <c r="DD3283" s="1163"/>
      <c r="DE3283" s="1163"/>
      <c r="DF3283" s="1163"/>
      <c r="DG3283" s="1163"/>
      <c r="DH3283" s="1163"/>
      <c r="DI3283" s="1163"/>
      <c r="DJ3283" s="1163"/>
      <c r="DK3283" s="1163"/>
      <c r="DL3283" s="1163"/>
      <c r="DM3283" s="1163"/>
      <c r="DN3283" s="1163"/>
      <c r="DO3283" s="1163"/>
      <c r="DP3283" s="1163"/>
    </row>
    <row r="3285" spans="1:120" ht="13.5" customHeight="1">
      <c r="A3285" s="1236" t="s">
        <v>6429</v>
      </c>
    </row>
    <row r="3286" spans="1:120" ht="13.5" customHeight="1">
      <c r="A3286" s="354" t="s">
        <v>266</v>
      </c>
      <c r="B3286" s="354" t="s">
        <v>5199</v>
      </c>
      <c r="C3286" s="1375" t="s">
        <v>5200</v>
      </c>
      <c r="D3286" s="1375" t="s">
        <v>5201</v>
      </c>
      <c r="E3286" s="1151" t="s">
        <v>5202</v>
      </c>
      <c r="F3286" s="1151" t="s">
        <v>5203</v>
      </c>
      <c r="G3286" s="1151" t="s">
        <v>4376</v>
      </c>
    </row>
    <row r="3287" spans="1:120" ht="13.5" customHeight="1">
      <c r="A3287" s="1115" t="s">
        <v>6430</v>
      </c>
      <c r="B3287" s="1111" t="s">
        <v>6432</v>
      </c>
      <c r="C3287" s="1376">
        <f>ROUNDUP(E3287/0.8/135,2)</f>
        <v>16.21</v>
      </c>
      <c r="D3287" s="1376"/>
      <c r="E3287" s="1377">
        <v>1750</v>
      </c>
      <c r="F3287" s="1378">
        <f>(C3287-(E3287/G3287))/C3287</f>
        <v>0.20031073639957045</v>
      </c>
      <c r="G3287">
        <v>135</v>
      </c>
      <c r="H3287" s="194"/>
    </row>
    <row r="3288" spans="1:120" ht="15">
      <c r="A3288" s="1115" t="s">
        <v>6430</v>
      </c>
      <c r="B3288" s="1111" t="s">
        <v>5204</v>
      </c>
      <c r="C3288" s="1376">
        <f>ROUNDUP(E3288/0.8/135,2)</f>
        <v>18.990000000000002</v>
      </c>
      <c r="D3288" s="1376" t="s">
        <v>5205</v>
      </c>
      <c r="E3288" s="1377">
        <f>1750+300</f>
        <v>2050</v>
      </c>
      <c r="F3288" s="1378">
        <f>(C3288-(E3288/G3288))/C3288</f>
        <v>0.20035886333937949</v>
      </c>
      <c r="G3288">
        <v>135</v>
      </c>
    </row>
    <row r="3292" spans="1:120" ht="13.5" customHeight="1">
      <c r="A3292" s="354" t="s">
        <v>266</v>
      </c>
      <c r="B3292" s="354" t="s">
        <v>5199</v>
      </c>
      <c r="C3292" s="1375" t="s">
        <v>5200</v>
      </c>
      <c r="D3292" s="1375" t="s">
        <v>5201</v>
      </c>
      <c r="E3292" s="1151" t="s">
        <v>5202</v>
      </c>
      <c r="F3292" s="1151" t="s">
        <v>5203</v>
      </c>
      <c r="G3292" s="1151" t="s">
        <v>4376</v>
      </c>
    </row>
    <row r="3293" spans="1:120" ht="13.5" customHeight="1">
      <c r="A3293" s="1115" t="s">
        <v>5207</v>
      </c>
      <c r="B3293" s="1111" t="s">
        <v>5204</v>
      </c>
      <c r="C3293" s="1376">
        <f>ROUNDUP(E3293/0.79/120,2)</f>
        <v>27.220000000000002</v>
      </c>
      <c r="D3293" s="1376" t="s">
        <v>5205</v>
      </c>
      <c r="E3293" s="1377">
        <f>2280+300</f>
        <v>2580</v>
      </c>
      <c r="F3293" s="1378">
        <f>(C3293-(E3293/G3293))/C3293</f>
        <v>0.21013960323291705</v>
      </c>
      <c r="G3293">
        <v>120</v>
      </c>
      <c r="H3293" s="194"/>
    </row>
    <row r="3294" spans="1:120" ht="13.5" customHeight="1">
      <c r="A3294" s="1115" t="s">
        <v>5207</v>
      </c>
      <c r="B3294" s="1111" t="s">
        <v>5212</v>
      </c>
      <c r="C3294" s="1376">
        <v>24</v>
      </c>
      <c r="D3294" s="1376"/>
      <c r="E3294" s="1377">
        <v>2280</v>
      </c>
      <c r="F3294" s="1378">
        <f>(C3294-(E3294/G3294))/C3294</f>
        <v>0.20833333333333334</v>
      </c>
      <c r="G3294">
        <v>120</v>
      </c>
      <c r="H3294" s="1379"/>
    </row>
    <row r="3297" spans="1:7">
      <c r="A3297" t="s">
        <v>6510</v>
      </c>
    </row>
    <row r="3298" spans="1:7">
      <c r="A3298" s="1145" t="s">
        <v>179</v>
      </c>
      <c r="B3298" s="1145" t="s">
        <v>99</v>
      </c>
      <c r="C3298" s="1145" t="s">
        <v>5327</v>
      </c>
      <c r="D3298" s="1405" t="s">
        <v>4535</v>
      </c>
      <c r="E3298" s="1735" t="s">
        <v>5499</v>
      </c>
      <c r="F3298" s="1644" t="s">
        <v>4375</v>
      </c>
      <c r="G3298" s="1645" t="s">
        <v>4376</v>
      </c>
    </row>
    <row r="3299" spans="1:7">
      <c r="A3299" s="1736" t="s">
        <v>6446</v>
      </c>
      <c r="B3299" s="1737" t="s">
        <v>6496</v>
      </c>
      <c r="C3299" s="1737" t="s">
        <v>6498</v>
      </c>
      <c r="D3299" s="1738">
        <f t="shared" ref="D3299:D3304" si="86">ROUNDUP(E3299/0.6/120,2)</f>
        <v>2.4899999999999998</v>
      </c>
      <c r="E3299" s="1734">
        <v>179</v>
      </c>
      <c r="F3299" s="1189">
        <f>(D3299-(E3299/G3299))/D3299</f>
        <v>0.40093708165997316</v>
      </c>
      <c r="G3299" s="1645">
        <v>120</v>
      </c>
    </row>
    <row r="3300" spans="1:7">
      <c r="A3300" s="1736" t="s">
        <v>6447</v>
      </c>
      <c r="B3300" s="1737" t="s">
        <v>6496</v>
      </c>
      <c r="C3300" s="1737" t="s">
        <v>6498</v>
      </c>
      <c r="D3300" s="1738">
        <f t="shared" si="86"/>
        <v>1.74</v>
      </c>
      <c r="E3300" s="1734">
        <v>125</v>
      </c>
      <c r="F3300" s="1189">
        <f>(D3300-(E3300/G3300))/D3300</f>
        <v>0.40134099616858232</v>
      </c>
      <c r="G3300" s="1645">
        <v>120</v>
      </c>
    </row>
    <row r="3301" spans="1:7">
      <c r="A3301" s="1736" t="s">
        <v>6448</v>
      </c>
      <c r="B3301" s="1737" t="s">
        <v>6496</v>
      </c>
      <c r="C3301" s="1737" t="s">
        <v>6498</v>
      </c>
      <c r="D3301" s="1738">
        <f t="shared" si="86"/>
        <v>1.6300000000000001</v>
      </c>
      <c r="E3301" s="1734">
        <v>117</v>
      </c>
      <c r="F3301" s="1189">
        <f>(D3301-(E3301/G3301))/D3301</f>
        <v>0.40184049079754608</v>
      </c>
      <c r="G3301" s="1645">
        <v>120</v>
      </c>
    </row>
    <row r="3302" spans="1:7">
      <c r="A3302" s="1736" t="s">
        <v>6449</v>
      </c>
      <c r="B3302" s="1737" t="s">
        <v>6496</v>
      </c>
      <c r="C3302" s="1737" t="s">
        <v>6498</v>
      </c>
      <c r="D3302" s="1738">
        <f t="shared" si="86"/>
        <v>2.9099999999999997</v>
      </c>
      <c r="E3302" s="1734">
        <v>209</v>
      </c>
      <c r="F3302" s="1189">
        <f>(D3302-(E3302/G3302))/D3302</f>
        <v>0.40148911798396325</v>
      </c>
      <c r="G3302" s="1645">
        <v>120</v>
      </c>
    </row>
    <row r="3303" spans="1:7">
      <c r="A3303" s="1736" t="s">
        <v>6450</v>
      </c>
      <c r="B3303" s="1737" t="s">
        <v>6496</v>
      </c>
      <c r="C3303" s="1737" t="s">
        <v>6497</v>
      </c>
      <c r="D3303" s="1738">
        <f t="shared" si="86"/>
        <v>1.48</v>
      </c>
      <c r="E3303" s="1734">
        <v>106</v>
      </c>
      <c r="F3303" s="1189">
        <f t="shared" ref="F3303:F3348" si="87">(D3303-(E3303/G3303))/D3303</f>
        <v>0.40315315315315314</v>
      </c>
      <c r="G3303" s="1645">
        <v>120</v>
      </c>
    </row>
    <row r="3304" spans="1:7">
      <c r="A3304" s="1736" t="s">
        <v>6451</v>
      </c>
      <c r="B3304" s="1737" t="s">
        <v>6496</v>
      </c>
      <c r="C3304" s="1737" t="s">
        <v>6497</v>
      </c>
      <c r="D3304" s="1738">
        <f t="shared" si="86"/>
        <v>3.1999999999999997</v>
      </c>
      <c r="E3304" s="1734">
        <v>230</v>
      </c>
      <c r="F3304" s="1189">
        <f t="shared" si="87"/>
        <v>0.40104166666666657</v>
      </c>
      <c r="G3304" s="1645">
        <v>120</v>
      </c>
    </row>
    <row r="3305" spans="1:7">
      <c r="A3305" s="1736" t="s">
        <v>6452</v>
      </c>
      <c r="B3305" s="1737" t="s">
        <v>6496</v>
      </c>
      <c r="C3305" s="1737" t="s">
        <v>6497</v>
      </c>
      <c r="D3305" s="1738">
        <f t="shared" ref="D3305:D3348" si="88">ROUNDUP(E3305/0.6/120,2)</f>
        <v>3.3899999999999997</v>
      </c>
      <c r="E3305" s="1734">
        <v>244</v>
      </c>
      <c r="F3305" s="1189">
        <f t="shared" si="87"/>
        <v>0.40019665683382494</v>
      </c>
      <c r="G3305" s="1645">
        <v>120</v>
      </c>
    </row>
    <row r="3306" spans="1:7">
      <c r="A3306" s="1736" t="s">
        <v>6453</v>
      </c>
      <c r="B3306" s="1737" t="s">
        <v>6496</v>
      </c>
      <c r="C3306" s="1737" t="s">
        <v>6497</v>
      </c>
      <c r="D3306" s="1738">
        <f t="shared" si="88"/>
        <v>3.32</v>
      </c>
      <c r="E3306" s="1734">
        <v>239</v>
      </c>
      <c r="F3306" s="1189">
        <f t="shared" si="87"/>
        <v>0.40010040160642568</v>
      </c>
      <c r="G3306" s="1645">
        <v>120</v>
      </c>
    </row>
    <row r="3307" spans="1:7">
      <c r="A3307" s="1736" t="s">
        <v>6454</v>
      </c>
      <c r="B3307" s="1737" t="s">
        <v>6496</v>
      </c>
      <c r="C3307" s="1737" t="s">
        <v>6497</v>
      </c>
      <c r="D3307" s="1738">
        <f t="shared" si="88"/>
        <v>0.42</v>
      </c>
      <c r="E3307" s="1734">
        <v>30</v>
      </c>
      <c r="F3307" s="1189">
        <f t="shared" si="87"/>
        <v>0.40476190476190477</v>
      </c>
      <c r="G3307" s="1645">
        <v>120</v>
      </c>
    </row>
    <row r="3308" spans="1:7">
      <c r="A3308" s="1736" t="s">
        <v>6455</v>
      </c>
      <c r="B3308" s="1737" t="s">
        <v>6496</v>
      </c>
      <c r="C3308" s="1737" t="s">
        <v>6497</v>
      </c>
      <c r="D3308" s="1738">
        <f t="shared" si="88"/>
        <v>0.82000000000000006</v>
      </c>
      <c r="E3308" s="1734">
        <v>59</v>
      </c>
      <c r="F3308" s="1189">
        <f t="shared" si="87"/>
        <v>0.40040650406504075</v>
      </c>
      <c r="G3308" s="1645">
        <v>120</v>
      </c>
    </row>
    <row r="3309" spans="1:7">
      <c r="A3309" s="1736" t="s">
        <v>6456</v>
      </c>
      <c r="B3309" s="1737" t="s">
        <v>6496</v>
      </c>
      <c r="C3309" s="1737" t="s">
        <v>6497</v>
      </c>
      <c r="D3309" s="1738">
        <f t="shared" si="88"/>
        <v>0.74</v>
      </c>
      <c r="E3309" s="1734">
        <v>53</v>
      </c>
      <c r="F3309" s="1189">
        <f t="shared" si="87"/>
        <v>0.40315315315315314</v>
      </c>
      <c r="G3309" s="1645">
        <v>120</v>
      </c>
    </row>
    <row r="3310" spans="1:7">
      <c r="A3310" s="1736" t="s">
        <v>6457</v>
      </c>
      <c r="B3310" s="1737" t="s">
        <v>6496</v>
      </c>
      <c r="C3310" s="1737" t="s">
        <v>6497</v>
      </c>
      <c r="D3310" s="1738">
        <f t="shared" si="88"/>
        <v>1.24</v>
      </c>
      <c r="E3310" s="1734">
        <v>89</v>
      </c>
      <c r="F3310" s="1189">
        <f t="shared" si="87"/>
        <v>0.4018817204301075</v>
      </c>
      <c r="G3310" s="1645">
        <v>120</v>
      </c>
    </row>
    <row r="3311" spans="1:7">
      <c r="A3311" s="1736" t="s">
        <v>6458</v>
      </c>
      <c r="B3311" s="1737" t="s">
        <v>6496</v>
      </c>
      <c r="C3311" s="1737" t="s">
        <v>6497</v>
      </c>
      <c r="D3311" s="1738">
        <f t="shared" si="88"/>
        <v>1.3</v>
      </c>
      <c r="E3311" s="1734">
        <v>93</v>
      </c>
      <c r="F3311" s="1189">
        <f t="shared" si="87"/>
        <v>0.40384615384615385</v>
      </c>
      <c r="G3311" s="1645">
        <v>120</v>
      </c>
    </row>
    <row r="3312" spans="1:7">
      <c r="A3312" s="1736" t="s">
        <v>6459</v>
      </c>
      <c r="B3312" s="1737" t="s">
        <v>6496</v>
      </c>
      <c r="C3312" s="1737" t="s">
        <v>6497</v>
      </c>
      <c r="D3312" s="1738">
        <f t="shared" si="88"/>
        <v>1.0900000000000001</v>
      </c>
      <c r="E3312" s="1734">
        <v>78</v>
      </c>
      <c r="F3312" s="1189">
        <f t="shared" si="87"/>
        <v>0.40366972477064222</v>
      </c>
      <c r="G3312" s="1645">
        <v>120</v>
      </c>
    </row>
    <row r="3313" spans="1:7">
      <c r="A3313" s="1736" t="s">
        <v>6460</v>
      </c>
      <c r="B3313" s="1737" t="s">
        <v>6496</v>
      </c>
      <c r="C3313" s="1737" t="s">
        <v>6497</v>
      </c>
      <c r="D3313" s="1738">
        <f t="shared" si="88"/>
        <v>1.03</v>
      </c>
      <c r="E3313" s="1734">
        <v>74</v>
      </c>
      <c r="F3313" s="1189">
        <f t="shared" si="87"/>
        <v>0.40129449838187703</v>
      </c>
      <c r="G3313" s="1645">
        <v>120</v>
      </c>
    </row>
    <row r="3314" spans="1:7">
      <c r="A3314" s="1736" t="s">
        <v>6461</v>
      </c>
      <c r="B3314" s="1737" t="s">
        <v>6496</v>
      </c>
      <c r="C3314" s="1737" t="s">
        <v>6497</v>
      </c>
      <c r="D3314" s="1738">
        <f t="shared" si="88"/>
        <v>2.1999999999999997</v>
      </c>
      <c r="E3314" s="1734">
        <v>158</v>
      </c>
      <c r="F3314" s="1189">
        <f t="shared" si="87"/>
        <v>0.40151515151515144</v>
      </c>
      <c r="G3314" s="1645">
        <v>120</v>
      </c>
    </row>
    <row r="3315" spans="1:7">
      <c r="A3315" s="1736" t="s">
        <v>6462</v>
      </c>
      <c r="B3315" s="1737" t="s">
        <v>6496</v>
      </c>
      <c r="C3315" s="1737" t="s">
        <v>6497</v>
      </c>
      <c r="D3315" s="1738">
        <f t="shared" si="88"/>
        <v>1.78</v>
      </c>
      <c r="E3315" s="1734">
        <v>128</v>
      </c>
      <c r="F3315" s="1189">
        <f t="shared" si="87"/>
        <v>0.40074906367041202</v>
      </c>
      <c r="G3315" s="1645">
        <v>120</v>
      </c>
    </row>
    <row r="3316" spans="1:7">
      <c r="A3316" s="1736" t="s">
        <v>6463</v>
      </c>
      <c r="B3316" s="1737" t="s">
        <v>6496</v>
      </c>
      <c r="C3316" s="1737" t="s">
        <v>6497</v>
      </c>
      <c r="D3316" s="1738">
        <f t="shared" si="88"/>
        <v>3.03</v>
      </c>
      <c r="E3316" s="1734">
        <v>218</v>
      </c>
      <c r="F3316" s="1189">
        <f t="shared" si="87"/>
        <v>0.40044004400440042</v>
      </c>
      <c r="G3316" s="1645">
        <v>120</v>
      </c>
    </row>
    <row r="3317" spans="1:7">
      <c r="A3317" s="1736" t="s">
        <v>6464</v>
      </c>
      <c r="B3317" s="1737" t="s">
        <v>6496</v>
      </c>
      <c r="C3317" s="1737" t="s">
        <v>6497</v>
      </c>
      <c r="D3317" s="1738">
        <f t="shared" si="88"/>
        <v>2.92</v>
      </c>
      <c r="E3317" s="1734">
        <v>210</v>
      </c>
      <c r="F3317" s="1189">
        <f t="shared" si="87"/>
        <v>0.40068493150684931</v>
      </c>
      <c r="G3317" s="1645">
        <v>120</v>
      </c>
    </row>
    <row r="3318" spans="1:7">
      <c r="A3318" s="1736" t="s">
        <v>6465</v>
      </c>
      <c r="B3318" s="1737" t="s">
        <v>6496</v>
      </c>
      <c r="C3318" s="1737" t="s">
        <v>6497</v>
      </c>
      <c r="D3318" s="1738">
        <f t="shared" si="88"/>
        <v>3.0599999999999996</v>
      </c>
      <c r="E3318" s="1734">
        <v>220</v>
      </c>
      <c r="F3318" s="1189">
        <f t="shared" si="87"/>
        <v>0.40087145969498905</v>
      </c>
      <c r="G3318" s="1645">
        <v>120</v>
      </c>
    </row>
    <row r="3319" spans="1:7">
      <c r="A3319" s="1736" t="s">
        <v>6466</v>
      </c>
      <c r="B3319" s="1737" t="s">
        <v>6496</v>
      </c>
      <c r="C3319" s="1737" t="s">
        <v>6497</v>
      </c>
      <c r="D3319" s="1738">
        <f t="shared" si="88"/>
        <v>3.0999999999999996</v>
      </c>
      <c r="E3319" s="1734">
        <v>223</v>
      </c>
      <c r="F3319" s="1189">
        <f t="shared" si="87"/>
        <v>0.40053763440860207</v>
      </c>
      <c r="G3319" s="1645">
        <v>120</v>
      </c>
    </row>
    <row r="3320" spans="1:7">
      <c r="A3320" s="1736" t="s">
        <v>6467</v>
      </c>
      <c r="B3320" s="1737" t="s">
        <v>6496</v>
      </c>
      <c r="C3320" s="1737" t="s">
        <v>6497</v>
      </c>
      <c r="D3320" s="1738">
        <f t="shared" si="88"/>
        <v>1.64</v>
      </c>
      <c r="E3320" s="1734">
        <v>118</v>
      </c>
      <c r="F3320" s="1189">
        <f t="shared" si="87"/>
        <v>0.40040650406504064</v>
      </c>
      <c r="G3320" s="1645">
        <v>120</v>
      </c>
    </row>
    <row r="3321" spans="1:7">
      <c r="A3321" s="1736" t="s">
        <v>6468</v>
      </c>
      <c r="B3321" s="1737" t="s">
        <v>6496</v>
      </c>
      <c r="C3321" s="1737" t="s">
        <v>6497</v>
      </c>
      <c r="D3321" s="1738">
        <f t="shared" si="88"/>
        <v>1.37</v>
      </c>
      <c r="E3321" s="1734">
        <v>98</v>
      </c>
      <c r="F3321" s="1189">
        <f t="shared" si="87"/>
        <v>0.4038929440389295</v>
      </c>
      <c r="G3321" s="1645">
        <v>120</v>
      </c>
    </row>
    <row r="3322" spans="1:7">
      <c r="A3322" s="1736" t="s">
        <v>6469</v>
      </c>
      <c r="B3322" s="1737" t="s">
        <v>6496</v>
      </c>
      <c r="C3322" s="1737" t="s">
        <v>6497</v>
      </c>
      <c r="D3322" s="1738">
        <f t="shared" si="88"/>
        <v>1.37</v>
      </c>
      <c r="E3322" s="1734">
        <v>98</v>
      </c>
      <c r="F3322" s="1189">
        <f t="shared" si="87"/>
        <v>0.4038929440389295</v>
      </c>
      <c r="G3322" s="1645">
        <v>120</v>
      </c>
    </row>
    <row r="3323" spans="1:7">
      <c r="A3323" s="1736" t="s">
        <v>6470</v>
      </c>
      <c r="B3323" s="1737" t="s">
        <v>6496</v>
      </c>
      <c r="C3323" s="1737" t="s">
        <v>6497</v>
      </c>
      <c r="D3323" s="1738">
        <f t="shared" si="88"/>
        <v>3.82</v>
      </c>
      <c r="E3323" s="1734">
        <v>275</v>
      </c>
      <c r="F3323" s="1189">
        <f t="shared" si="87"/>
        <v>0.40008726003490402</v>
      </c>
      <c r="G3323" s="1645">
        <v>120</v>
      </c>
    </row>
    <row r="3324" spans="1:7">
      <c r="A3324" s="1736" t="s">
        <v>6471</v>
      </c>
      <c r="B3324" s="1737" t="s">
        <v>6496</v>
      </c>
      <c r="C3324" s="1737" t="s">
        <v>6497</v>
      </c>
      <c r="D3324" s="1738">
        <f t="shared" si="88"/>
        <v>0.88</v>
      </c>
      <c r="E3324" s="1734">
        <v>63</v>
      </c>
      <c r="F3324" s="1189">
        <f t="shared" si="87"/>
        <v>0.40340909090909088</v>
      </c>
      <c r="G3324" s="1645">
        <v>120</v>
      </c>
    </row>
    <row r="3325" spans="1:7">
      <c r="A3325" s="1736" t="s">
        <v>6472</v>
      </c>
      <c r="B3325" s="1737" t="s">
        <v>6496</v>
      </c>
      <c r="C3325" s="1737" t="s">
        <v>6497</v>
      </c>
      <c r="D3325" s="1738">
        <f t="shared" si="88"/>
        <v>1.02</v>
      </c>
      <c r="E3325" s="1734">
        <v>73</v>
      </c>
      <c r="F3325" s="1189">
        <f t="shared" si="87"/>
        <v>0.40359477124183013</v>
      </c>
      <c r="G3325" s="1645">
        <v>120</v>
      </c>
    </row>
    <row r="3326" spans="1:7">
      <c r="A3326" s="1736" t="s">
        <v>6473</v>
      </c>
      <c r="B3326" s="1737" t="s">
        <v>6496</v>
      </c>
      <c r="C3326" s="1737" t="s">
        <v>6497</v>
      </c>
      <c r="D3326" s="1738">
        <f t="shared" si="88"/>
        <v>0.74</v>
      </c>
      <c r="E3326" s="1734">
        <v>53</v>
      </c>
      <c r="F3326" s="1189">
        <f t="shared" si="87"/>
        <v>0.40315315315315314</v>
      </c>
      <c r="G3326" s="1645">
        <v>120</v>
      </c>
    </row>
    <row r="3327" spans="1:7">
      <c r="A3327" s="1736" t="s">
        <v>6474</v>
      </c>
      <c r="B3327" s="1737" t="s">
        <v>6496</v>
      </c>
      <c r="C3327" s="1737" t="s">
        <v>6497</v>
      </c>
      <c r="D3327" s="1738">
        <f t="shared" si="88"/>
        <v>1.07</v>
      </c>
      <c r="E3327" s="1734">
        <v>77</v>
      </c>
      <c r="F3327" s="1189">
        <f t="shared" si="87"/>
        <v>0.40031152647975077</v>
      </c>
      <c r="G3327" s="1645">
        <v>120</v>
      </c>
    </row>
    <row r="3328" spans="1:7">
      <c r="A3328" s="1736" t="s">
        <v>6475</v>
      </c>
      <c r="B3328" s="1737" t="s">
        <v>6496</v>
      </c>
      <c r="C3328" s="1737" t="s">
        <v>6497</v>
      </c>
      <c r="D3328" s="1738">
        <f t="shared" si="88"/>
        <v>1.0900000000000001</v>
      </c>
      <c r="E3328" s="1734">
        <v>78</v>
      </c>
      <c r="F3328" s="1189">
        <f t="shared" si="87"/>
        <v>0.40366972477064222</v>
      </c>
      <c r="G3328" s="1645">
        <v>120</v>
      </c>
    </row>
    <row r="3329" spans="1:7">
      <c r="A3329" s="1736" t="s">
        <v>6476</v>
      </c>
      <c r="B3329" s="1737" t="s">
        <v>6496</v>
      </c>
      <c r="C3329" s="1737" t="s">
        <v>6497</v>
      </c>
      <c r="D3329" s="1738">
        <f t="shared" si="88"/>
        <v>1.19</v>
      </c>
      <c r="E3329" s="1734">
        <v>85</v>
      </c>
      <c r="F3329" s="1189">
        <f t="shared" si="87"/>
        <v>0.40476190476190471</v>
      </c>
      <c r="G3329" s="1645">
        <v>120</v>
      </c>
    </row>
    <row r="3330" spans="1:7">
      <c r="A3330" s="1736" t="s">
        <v>6477</v>
      </c>
      <c r="B3330" s="1737" t="s">
        <v>6496</v>
      </c>
      <c r="C3330" s="1737" t="s">
        <v>6497</v>
      </c>
      <c r="D3330" s="1738">
        <f t="shared" si="88"/>
        <v>1.5</v>
      </c>
      <c r="E3330" s="1734">
        <v>108</v>
      </c>
      <c r="F3330" s="1189">
        <f t="shared" si="87"/>
        <v>0.39999999999999997</v>
      </c>
      <c r="G3330" s="1645">
        <v>120</v>
      </c>
    </row>
    <row r="3331" spans="1:7">
      <c r="A3331" s="1736" t="s">
        <v>6478</v>
      </c>
      <c r="B3331" s="1737" t="s">
        <v>6496</v>
      </c>
      <c r="C3331" s="1737" t="s">
        <v>6497</v>
      </c>
      <c r="D3331" s="1738">
        <f t="shared" si="88"/>
        <v>1.95</v>
      </c>
      <c r="E3331" s="1734">
        <v>140</v>
      </c>
      <c r="F3331" s="1189">
        <f t="shared" si="87"/>
        <v>0.40170940170940167</v>
      </c>
      <c r="G3331" s="1645">
        <v>120</v>
      </c>
    </row>
    <row r="3332" spans="1:7">
      <c r="A3332" s="1736" t="s">
        <v>6479</v>
      </c>
      <c r="B3332" s="1737" t="s">
        <v>6496</v>
      </c>
      <c r="C3332" s="1737" t="s">
        <v>6497</v>
      </c>
      <c r="D3332" s="1738">
        <f t="shared" si="88"/>
        <v>1.17</v>
      </c>
      <c r="E3332" s="1734">
        <v>84</v>
      </c>
      <c r="F3332" s="1189">
        <f t="shared" si="87"/>
        <v>0.40170940170940173</v>
      </c>
      <c r="G3332" s="1645">
        <v>120</v>
      </c>
    </row>
    <row r="3333" spans="1:7">
      <c r="A3333" s="1736" t="s">
        <v>6480</v>
      </c>
      <c r="B3333" s="1737" t="s">
        <v>6496</v>
      </c>
      <c r="C3333" s="1737" t="s">
        <v>6497</v>
      </c>
      <c r="D3333" s="1738">
        <f t="shared" si="88"/>
        <v>1.2</v>
      </c>
      <c r="E3333" s="1734">
        <v>86</v>
      </c>
      <c r="F3333" s="1189">
        <f t="shared" si="87"/>
        <v>0.40277777777777773</v>
      </c>
      <c r="G3333" s="1645">
        <v>120</v>
      </c>
    </row>
    <row r="3334" spans="1:7">
      <c r="A3334" s="1736" t="s">
        <v>6481</v>
      </c>
      <c r="B3334" s="1737" t="s">
        <v>6496</v>
      </c>
      <c r="C3334" s="1737" t="s">
        <v>6497</v>
      </c>
      <c r="D3334" s="1738">
        <f t="shared" si="88"/>
        <v>1.59</v>
      </c>
      <c r="E3334" s="1734">
        <v>114</v>
      </c>
      <c r="F3334" s="1189">
        <f t="shared" si="87"/>
        <v>0.40251572327044033</v>
      </c>
      <c r="G3334" s="1645">
        <v>120</v>
      </c>
    </row>
    <row r="3335" spans="1:7">
      <c r="A3335" s="1736" t="s">
        <v>6482</v>
      </c>
      <c r="B3335" s="1737" t="s">
        <v>6496</v>
      </c>
      <c r="C3335" s="1737" t="s">
        <v>6497</v>
      </c>
      <c r="D3335" s="1738">
        <f t="shared" si="88"/>
        <v>1.21</v>
      </c>
      <c r="E3335" s="1734">
        <v>87</v>
      </c>
      <c r="F3335" s="1189">
        <f t="shared" si="87"/>
        <v>0.40082644628099173</v>
      </c>
      <c r="G3335" s="1645">
        <v>120</v>
      </c>
    </row>
    <row r="3336" spans="1:7">
      <c r="A3336" s="1736" t="s">
        <v>6483</v>
      </c>
      <c r="B3336" s="1737" t="s">
        <v>6496</v>
      </c>
      <c r="C3336" s="1737" t="s">
        <v>6497</v>
      </c>
      <c r="D3336" s="1738">
        <f t="shared" si="88"/>
        <v>2.4499999999999997</v>
      </c>
      <c r="E3336" s="1734">
        <v>176</v>
      </c>
      <c r="F3336" s="1189">
        <f t="shared" si="87"/>
        <v>0.40136054421768708</v>
      </c>
      <c r="G3336" s="1645">
        <v>120</v>
      </c>
    </row>
    <row r="3337" spans="1:7">
      <c r="A3337" s="1736" t="s">
        <v>6484</v>
      </c>
      <c r="B3337" s="1737" t="s">
        <v>6496</v>
      </c>
      <c r="C3337" s="1737" t="s">
        <v>6497</v>
      </c>
      <c r="D3337" s="1738">
        <f t="shared" si="88"/>
        <v>1.3</v>
      </c>
      <c r="E3337" s="1734">
        <v>93</v>
      </c>
      <c r="F3337" s="1189">
        <f t="shared" si="87"/>
        <v>0.40384615384615385</v>
      </c>
      <c r="G3337" s="1645">
        <v>120</v>
      </c>
    </row>
    <row r="3338" spans="1:7">
      <c r="A3338" s="1736" t="s">
        <v>6485</v>
      </c>
      <c r="B3338" s="1737" t="s">
        <v>6496</v>
      </c>
      <c r="C3338" s="1737" t="s">
        <v>6497</v>
      </c>
      <c r="D3338" s="1738">
        <f t="shared" si="88"/>
        <v>3</v>
      </c>
      <c r="E3338" s="1734">
        <v>216</v>
      </c>
      <c r="F3338" s="1189">
        <f t="shared" si="87"/>
        <v>0.39999999999999997</v>
      </c>
      <c r="G3338" s="1645">
        <v>120</v>
      </c>
    </row>
    <row r="3339" spans="1:7">
      <c r="A3339" s="1736" t="s">
        <v>6486</v>
      </c>
      <c r="B3339" s="1737" t="s">
        <v>6496</v>
      </c>
      <c r="C3339" s="1737" t="s">
        <v>6497</v>
      </c>
      <c r="D3339" s="1738">
        <f t="shared" si="88"/>
        <v>2.63</v>
      </c>
      <c r="E3339" s="1734">
        <v>189</v>
      </c>
      <c r="F3339" s="1189">
        <f t="shared" si="87"/>
        <v>0.40114068441064638</v>
      </c>
      <c r="G3339" s="1645">
        <v>120</v>
      </c>
    </row>
    <row r="3340" spans="1:7">
      <c r="A3340" s="1736" t="s">
        <v>6487</v>
      </c>
      <c r="B3340" s="1737" t="s">
        <v>6496</v>
      </c>
      <c r="C3340" s="1737" t="s">
        <v>6497</v>
      </c>
      <c r="D3340" s="1738">
        <f t="shared" si="88"/>
        <v>2.6999999999999997</v>
      </c>
      <c r="E3340" s="1734">
        <v>194</v>
      </c>
      <c r="F3340" s="1189">
        <f t="shared" si="87"/>
        <v>0.40123456790123452</v>
      </c>
      <c r="G3340" s="1645">
        <v>120</v>
      </c>
    </row>
    <row r="3341" spans="1:7">
      <c r="A3341" s="1736" t="s">
        <v>6488</v>
      </c>
      <c r="B3341" s="1737" t="s">
        <v>6496</v>
      </c>
      <c r="C3341" s="1737" t="s">
        <v>6497</v>
      </c>
      <c r="D3341" s="1738">
        <f t="shared" si="88"/>
        <v>3.3699999999999997</v>
      </c>
      <c r="E3341" s="1734">
        <v>242</v>
      </c>
      <c r="F3341" s="1189">
        <f t="shared" si="87"/>
        <v>0.40158259149357067</v>
      </c>
      <c r="G3341" s="1645">
        <v>120</v>
      </c>
    </row>
    <row r="3342" spans="1:7">
      <c r="A3342" s="1736" t="s">
        <v>6489</v>
      </c>
      <c r="B3342" s="1737" t="s">
        <v>6496</v>
      </c>
      <c r="C3342" s="1737" t="s">
        <v>6497</v>
      </c>
      <c r="D3342" s="1738">
        <f t="shared" si="88"/>
        <v>3.59</v>
      </c>
      <c r="E3342" s="1734">
        <v>258</v>
      </c>
      <c r="F3342" s="1189">
        <f t="shared" si="87"/>
        <v>0.4011142061281337</v>
      </c>
      <c r="G3342" s="1645">
        <v>120</v>
      </c>
    </row>
    <row r="3343" spans="1:7">
      <c r="A3343" s="1736" t="s">
        <v>6490</v>
      </c>
      <c r="B3343" s="1737" t="s">
        <v>6496</v>
      </c>
      <c r="C3343" s="1737" t="s">
        <v>6497</v>
      </c>
      <c r="D3343" s="1738">
        <f t="shared" si="88"/>
        <v>5.0699999999999994</v>
      </c>
      <c r="E3343" s="1734">
        <v>365</v>
      </c>
      <c r="F3343" s="1189">
        <f t="shared" si="87"/>
        <v>0.40006574621959234</v>
      </c>
      <c r="G3343" s="1645">
        <v>120</v>
      </c>
    </row>
    <row r="3344" spans="1:7">
      <c r="A3344" s="1736" t="s">
        <v>6491</v>
      </c>
      <c r="B3344" s="1737" t="s">
        <v>6496</v>
      </c>
      <c r="C3344" s="1737" t="s">
        <v>6497</v>
      </c>
      <c r="D3344" s="1738">
        <f t="shared" si="88"/>
        <v>5.5299999999999994</v>
      </c>
      <c r="E3344" s="1734">
        <v>398</v>
      </c>
      <c r="F3344" s="1189">
        <f t="shared" si="87"/>
        <v>0.4002411091018685</v>
      </c>
      <c r="G3344" s="1645">
        <v>120</v>
      </c>
    </row>
    <row r="3345" spans="1:8">
      <c r="A3345" s="1736" t="s">
        <v>6492</v>
      </c>
      <c r="B3345" s="1737" t="s">
        <v>6496</v>
      </c>
      <c r="C3345" s="1737" t="s">
        <v>6497</v>
      </c>
      <c r="D3345" s="1738">
        <f t="shared" si="88"/>
        <v>1.95</v>
      </c>
      <c r="E3345" s="1734">
        <v>140</v>
      </c>
      <c r="F3345" s="1189">
        <f t="shared" si="87"/>
        <v>0.40170940170940167</v>
      </c>
      <c r="G3345" s="1645">
        <v>120</v>
      </c>
    </row>
    <row r="3346" spans="1:8">
      <c r="A3346" s="1736" t="s">
        <v>6493</v>
      </c>
      <c r="B3346" s="1737" t="s">
        <v>6496</v>
      </c>
      <c r="C3346" s="1737" t="s">
        <v>6497</v>
      </c>
      <c r="D3346" s="1738">
        <f t="shared" si="88"/>
        <v>1.39</v>
      </c>
      <c r="E3346" s="1734">
        <v>100</v>
      </c>
      <c r="F3346" s="1189">
        <f t="shared" si="87"/>
        <v>0.40047961630695439</v>
      </c>
      <c r="G3346" s="1645">
        <v>120</v>
      </c>
    </row>
    <row r="3347" spans="1:8">
      <c r="A3347" s="1736" t="s">
        <v>6494</v>
      </c>
      <c r="B3347" s="1737" t="s">
        <v>6496</v>
      </c>
      <c r="C3347" s="1737" t="s">
        <v>6497</v>
      </c>
      <c r="D3347" s="1738">
        <f t="shared" si="88"/>
        <v>5.9799999999999995</v>
      </c>
      <c r="E3347" s="1734">
        <v>430</v>
      </c>
      <c r="F3347" s="1189">
        <f t="shared" si="87"/>
        <v>0.40078037904124852</v>
      </c>
      <c r="G3347" s="1645">
        <v>120</v>
      </c>
    </row>
    <row r="3348" spans="1:8">
      <c r="A3348" s="1736" t="s">
        <v>6495</v>
      </c>
      <c r="B3348" s="1737" t="s">
        <v>6496</v>
      </c>
      <c r="C3348" s="1737" t="s">
        <v>6497</v>
      </c>
      <c r="D3348" s="1738">
        <f t="shared" si="88"/>
        <v>2.1599999999999997</v>
      </c>
      <c r="E3348" s="1734">
        <v>155</v>
      </c>
      <c r="F3348" s="1189">
        <f t="shared" si="87"/>
        <v>0.40200617283950607</v>
      </c>
      <c r="G3348" s="1645">
        <v>120</v>
      </c>
    </row>
    <row r="3349" spans="1:8">
      <c r="A3349" s="1736" t="s">
        <v>6442</v>
      </c>
      <c r="B3349" s="1739"/>
      <c r="C3349" s="1737" t="s">
        <v>6499</v>
      </c>
      <c r="D3349" s="1738">
        <f>ROUNDUP(E3349/0.8/120,2)</f>
        <v>13.549999999999999</v>
      </c>
      <c r="E3349" s="1734">
        <v>1300</v>
      </c>
      <c r="F3349" s="1189">
        <f t="shared" ref="F3349" si="89">(D3349-(E3349/G3349))/D3349</f>
        <v>0.20049200492004909</v>
      </c>
      <c r="G3349" s="1645">
        <v>120</v>
      </c>
    </row>
    <row r="3350" spans="1:8">
      <c r="A3350" s="1736" t="s">
        <v>6443</v>
      </c>
      <c r="B3350" s="1739"/>
      <c r="C3350" s="1737" t="s">
        <v>6499</v>
      </c>
      <c r="D3350" s="1738">
        <f>ROUNDUP(E3350/0.8/120,2)</f>
        <v>13.549999999999999</v>
      </c>
      <c r="E3350" s="1734">
        <v>1300</v>
      </c>
      <c r="F3350" s="1189">
        <f t="shared" ref="F3350:F3352" si="90">(D3350-(E3350/G3350))/D3350</f>
        <v>0.20049200492004909</v>
      </c>
      <c r="G3350" s="1645">
        <v>120</v>
      </c>
    </row>
    <row r="3351" spans="1:8">
      <c r="A3351" s="1736" t="s">
        <v>6444</v>
      </c>
      <c r="B3351" s="1739"/>
      <c r="C3351" s="1737" t="s">
        <v>6499</v>
      </c>
      <c r="D3351" s="1738">
        <f>ROUNDUP(E3351/0.8/120,2)</f>
        <v>13.549999999999999</v>
      </c>
      <c r="E3351" s="1734">
        <v>1300</v>
      </c>
      <c r="F3351" s="1189">
        <f t="shared" si="90"/>
        <v>0.20049200492004909</v>
      </c>
      <c r="G3351" s="1645">
        <v>120</v>
      </c>
    </row>
    <row r="3352" spans="1:8">
      <c r="A3352" s="1736" t="s">
        <v>6445</v>
      </c>
      <c r="B3352" s="1739"/>
      <c r="C3352" s="1737" t="s">
        <v>6499</v>
      </c>
      <c r="D3352" s="1738">
        <f>ROUNDUP(E3352/0.8/120,2)</f>
        <v>13.549999999999999</v>
      </c>
      <c r="E3352" s="1734">
        <v>1300</v>
      </c>
      <c r="F3352" s="1189">
        <f t="shared" si="90"/>
        <v>0.20049200492004909</v>
      </c>
      <c r="G3352" s="1645">
        <v>120</v>
      </c>
    </row>
    <row r="3353" spans="1:8">
      <c r="A3353" s="1732"/>
      <c r="B3353" s="1732"/>
    </row>
    <row r="3354" spans="1:8">
      <c r="A3354" s="1731" t="s">
        <v>6440</v>
      </c>
      <c r="B3354" s="1732"/>
    </row>
    <row r="3355" spans="1:8">
      <c r="A3355" s="1733" t="s">
        <v>6441</v>
      </c>
      <c r="B3355" s="1732"/>
    </row>
    <row r="3356" spans="1:8">
      <c r="A3356" s="1732"/>
      <c r="B3356" s="1732"/>
    </row>
    <row r="3357" spans="1:8">
      <c r="A3357" s="1145" t="s">
        <v>179</v>
      </c>
      <c r="B3357" s="1145" t="s">
        <v>35</v>
      </c>
      <c r="C3357" s="1145" t="s">
        <v>99</v>
      </c>
      <c r="D3357" s="354" t="s">
        <v>245</v>
      </c>
      <c r="E3357" s="354" t="s">
        <v>270</v>
      </c>
      <c r="F3357" s="354" t="s">
        <v>271</v>
      </c>
      <c r="G3357" s="1405" t="s">
        <v>4535</v>
      </c>
      <c r="H3357" s="1405" t="s">
        <v>5491</v>
      </c>
    </row>
    <row r="3358" spans="1:8">
      <c r="A3358" s="40">
        <v>3534</v>
      </c>
      <c r="B3358" s="165">
        <v>50</v>
      </c>
      <c r="C3358" s="40" t="s">
        <v>4436</v>
      </c>
      <c r="D3358" s="357">
        <v>30</v>
      </c>
      <c r="E3358" s="1107">
        <v>2</v>
      </c>
      <c r="F3358" s="355">
        <f t="shared" ref="F3358:F3363" si="91">D3358*E3358</f>
        <v>60</v>
      </c>
      <c r="G3358" s="1112">
        <v>1.77</v>
      </c>
      <c r="H3358" s="1113">
        <f t="shared" ref="H3358:H3364" si="92">G3358*F3358</f>
        <v>106.2</v>
      </c>
    </row>
    <row r="3359" spans="1:8">
      <c r="A3359" s="40">
        <v>3534</v>
      </c>
      <c r="B3359" s="165">
        <v>50</v>
      </c>
      <c r="C3359" s="40" t="s">
        <v>4345</v>
      </c>
      <c r="D3359" s="357">
        <v>30</v>
      </c>
      <c r="E3359" s="1107">
        <v>2</v>
      </c>
      <c r="F3359" s="355">
        <f t="shared" si="91"/>
        <v>60</v>
      </c>
      <c r="G3359" s="1112">
        <v>1.77</v>
      </c>
      <c r="H3359" s="1113">
        <f t="shared" si="92"/>
        <v>106.2</v>
      </c>
    </row>
    <row r="3360" spans="1:8">
      <c r="A3360" s="40">
        <v>3534</v>
      </c>
      <c r="B3360" s="165">
        <v>40</v>
      </c>
      <c r="C3360" s="40" t="s">
        <v>4436</v>
      </c>
      <c r="D3360" s="357">
        <v>30</v>
      </c>
      <c r="E3360" s="1107">
        <v>2</v>
      </c>
      <c r="F3360" s="355">
        <f t="shared" si="91"/>
        <v>60</v>
      </c>
      <c r="G3360" s="1112">
        <v>1.43</v>
      </c>
      <c r="H3360" s="1113">
        <f t="shared" si="92"/>
        <v>85.8</v>
      </c>
    </row>
    <row r="3361" spans="1:8">
      <c r="A3361" s="40">
        <v>3534</v>
      </c>
      <c r="B3361" s="165">
        <v>40</v>
      </c>
      <c r="C3361" s="40" t="s">
        <v>4345</v>
      </c>
      <c r="D3361" s="357">
        <v>30</v>
      </c>
      <c r="E3361" s="1107">
        <v>2</v>
      </c>
      <c r="F3361" s="355">
        <f t="shared" si="91"/>
        <v>60</v>
      </c>
      <c r="G3361" s="1112">
        <v>1.43</v>
      </c>
      <c r="H3361" s="1113">
        <f t="shared" si="92"/>
        <v>85.8</v>
      </c>
    </row>
    <row r="3362" spans="1:8">
      <c r="A3362" s="40">
        <v>3534</v>
      </c>
      <c r="B3362" s="165">
        <v>25</v>
      </c>
      <c r="C3362" s="40" t="s">
        <v>4436</v>
      </c>
      <c r="D3362" s="357">
        <v>30</v>
      </c>
      <c r="E3362" s="1107">
        <v>2</v>
      </c>
      <c r="F3362" s="355">
        <f t="shared" si="91"/>
        <v>60</v>
      </c>
      <c r="G3362" s="1112">
        <v>0.92</v>
      </c>
      <c r="H3362" s="1113">
        <f t="shared" si="92"/>
        <v>55.2</v>
      </c>
    </row>
    <row r="3363" spans="1:8">
      <c r="A3363" s="40">
        <v>3534</v>
      </c>
      <c r="B3363" s="165">
        <v>25</v>
      </c>
      <c r="C3363" s="40" t="s">
        <v>4345</v>
      </c>
      <c r="D3363" s="357">
        <v>30</v>
      </c>
      <c r="E3363" s="1107">
        <v>2</v>
      </c>
      <c r="F3363" s="355">
        <f t="shared" si="91"/>
        <v>60</v>
      </c>
      <c r="G3363" s="1112">
        <v>0.92</v>
      </c>
      <c r="H3363" s="1113">
        <f t="shared" si="92"/>
        <v>55.2</v>
      </c>
    </row>
    <row r="3364" spans="1:8">
      <c r="A3364" s="40"/>
      <c r="B3364" s="1195"/>
      <c r="C3364" s="165" t="s">
        <v>316</v>
      </c>
      <c r="D3364" s="357"/>
      <c r="E3364" s="1107"/>
      <c r="F3364" s="353">
        <v>1</v>
      </c>
      <c r="G3364" s="1113">
        <v>12</v>
      </c>
      <c r="H3364" s="1113">
        <f t="shared" si="92"/>
        <v>12</v>
      </c>
    </row>
    <row r="3365" spans="1:8">
      <c r="A3365" s="40"/>
      <c r="B3365" s="1195"/>
      <c r="C3365" s="165"/>
      <c r="D3365" s="357"/>
      <c r="E3365" s="1107"/>
      <c r="F3365" s="353"/>
      <c r="G3365" s="395" t="s">
        <v>6502</v>
      </c>
      <c r="H3365" s="1500">
        <v>506.4</v>
      </c>
    </row>
    <row r="3367" spans="1:8">
      <c r="A3367" t="s">
        <v>6511</v>
      </c>
    </row>
    <row r="3368" spans="1:8">
      <c r="A3368" s="1145" t="s">
        <v>179</v>
      </c>
      <c r="B3368" s="1145" t="s">
        <v>99</v>
      </c>
      <c r="C3368" s="1145" t="s">
        <v>5327</v>
      </c>
      <c r="D3368" s="1405" t="s">
        <v>4535</v>
      </c>
      <c r="E3368" s="1735" t="s">
        <v>5499</v>
      </c>
      <c r="F3368" s="1644" t="s">
        <v>4375</v>
      </c>
      <c r="G3368" s="1645" t="s">
        <v>4376</v>
      </c>
    </row>
    <row r="3369" spans="1:8">
      <c r="A3369" s="1736" t="s">
        <v>6452</v>
      </c>
      <c r="B3369" s="1737" t="s">
        <v>5318</v>
      </c>
      <c r="C3369" s="1737" t="s">
        <v>6497</v>
      </c>
      <c r="D3369" s="1738">
        <f t="shared" ref="D3369:D3374" si="93">ROUNDUP(E3369/0.6/120,2)</f>
        <v>3.3899999999999997</v>
      </c>
      <c r="E3369" s="1734">
        <v>244</v>
      </c>
      <c r="F3369" s="1189">
        <f t="shared" ref="F3369:F3374" si="94">(D3369-(E3369/G3369))/D3369</f>
        <v>0.40019665683382494</v>
      </c>
      <c r="G3369" s="1645">
        <v>120</v>
      </c>
    </row>
    <row r="3370" spans="1:8">
      <c r="A3370" s="1736" t="s">
        <v>6453</v>
      </c>
      <c r="B3370" s="1737" t="s">
        <v>5318</v>
      </c>
      <c r="C3370" s="1737" t="s">
        <v>6497</v>
      </c>
      <c r="D3370" s="1738">
        <f t="shared" si="93"/>
        <v>3.32</v>
      </c>
      <c r="E3370" s="1734">
        <v>239</v>
      </c>
      <c r="F3370" s="1189">
        <f t="shared" si="94"/>
        <v>0.40010040160642568</v>
      </c>
      <c r="G3370" s="1645">
        <v>120</v>
      </c>
    </row>
    <row r="3371" spans="1:8">
      <c r="A3371" s="1736" t="s">
        <v>6512</v>
      </c>
      <c r="B3371" s="1737" t="s">
        <v>5318</v>
      </c>
      <c r="C3371" s="1737" t="s">
        <v>6497</v>
      </c>
      <c r="D3371" s="1738">
        <f t="shared" ref="D3371:D3372" si="95">ROUNDUP(E3371/0.6/120,2)</f>
        <v>1.96</v>
      </c>
      <c r="E3371" s="1734">
        <v>141</v>
      </c>
      <c r="F3371" s="1189">
        <f t="shared" ref="F3371:F3372" si="96">(D3371-(E3371/G3371))/D3371</f>
        <v>0.40051020408163263</v>
      </c>
      <c r="G3371" s="1645">
        <v>120</v>
      </c>
    </row>
    <row r="3372" spans="1:8">
      <c r="A3372" s="1736" t="s">
        <v>6513</v>
      </c>
      <c r="B3372" s="1737" t="s">
        <v>5318</v>
      </c>
      <c r="C3372" s="1737" t="s">
        <v>6497</v>
      </c>
      <c r="D3372" s="1738">
        <f t="shared" si="95"/>
        <v>3.42</v>
      </c>
      <c r="E3372" s="1734">
        <v>246</v>
      </c>
      <c r="F3372" s="1189">
        <f t="shared" si="96"/>
        <v>0.40058479532163749</v>
      </c>
      <c r="G3372" s="1645">
        <v>120</v>
      </c>
    </row>
    <row r="3373" spans="1:8">
      <c r="A3373" s="1736" t="s">
        <v>6493</v>
      </c>
      <c r="B3373" s="1737" t="s">
        <v>5318</v>
      </c>
      <c r="C3373" s="1737" t="s">
        <v>6515</v>
      </c>
      <c r="D3373" s="1738">
        <f t="shared" si="93"/>
        <v>1.39</v>
      </c>
      <c r="E3373" s="1734">
        <v>100</v>
      </c>
      <c r="F3373" s="1189">
        <f t="shared" si="94"/>
        <v>0.40047961630695439</v>
      </c>
      <c r="G3373" s="1645">
        <v>120</v>
      </c>
    </row>
    <row r="3374" spans="1:8">
      <c r="A3374" s="1736" t="s">
        <v>6514</v>
      </c>
      <c r="B3374" s="1737" t="s">
        <v>5318</v>
      </c>
      <c r="C3374" s="1737" t="s">
        <v>6515</v>
      </c>
      <c r="D3374" s="1738">
        <f t="shared" si="93"/>
        <v>1.05</v>
      </c>
      <c r="E3374" s="1734">
        <v>75</v>
      </c>
      <c r="F3374" s="1189">
        <f t="shared" si="94"/>
        <v>0.40476190476190477</v>
      </c>
      <c r="G3374" s="1645">
        <v>120</v>
      </c>
    </row>
    <row r="3375" spans="1:8">
      <c r="A3375" s="1736" t="s">
        <v>6516</v>
      </c>
      <c r="B3375" s="1737" t="s">
        <v>5318</v>
      </c>
      <c r="C3375" s="1737" t="s">
        <v>6515</v>
      </c>
      <c r="D3375" s="1738">
        <f t="shared" ref="D3375:D3376" si="97">ROUNDUP(E3375/0.6/120,2)</f>
        <v>2.8499999999999996</v>
      </c>
      <c r="E3375" s="1734">
        <v>205</v>
      </c>
      <c r="F3375" s="1189">
        <f t="shared" ref="F3375:F3376" si="98">(D3375-(E3375/G3375))/D3375</f>
        <v>0.40058479532163738</v>
      </c>
      <c r="G3375" s="1645">
        <v>120</v>
      </c>
    </row>
    <row r="3376" spans="1:8">
      <c r="A3376" s="1736" t="s">
        <v>6517</v>
      </c>
      <c r="B3376" s="1737" t="s">
        <v>5318</v>
      </c>
      <c r="C3376" s="1737" t="s">
        <v>6515</v>
      </c>
      <c r="D3376" s="1738">
        <f t="shared" si="97"/>
        <v>1.21</v>
      </c>
      <c r="E3376" s="1734">
        <v>87</v>
      </c>
      <c r="F3376" s="1189">
        <f t="shared" si="98"/>
        <v>0.40082644628099173</v>
      </c>
      <c r="G3376" s="1645">
        <v>120</v>
      </c>
    </row>
    <row r="3377" spans="1:8">
      <c r="A3377" s="1736" t="s">
        <v>6518</v>
      </c>
      <c r="B3377" s="1737" t="s">
        <v>5318</v>
      </c>
      <c r="C3377" s="1737" t="s">
        <v>6515</v>
      </c>
      <c r="D3377" s="1738">
        <f t="shared" ref="D3377" si="99">ROUNDUP(E3377/0.6/120,2)</f>
        <v>2.09</v>
      </c>
      <c r="E3377" s="1734">
        <v>150</v>
      </c>
      <c r="F3377" s="1189">
        <f t="shared" ref="F3377:F3379" si="100">(D3377-(E3377/G3377))/D3377</f>
        <v>0.40191387559808606</v>
      </c>
      <c r="G3377" s="1645">
        <v>120</v>
      </c>
    </row>
    <row r="3378" spans="1:8">
      <c r="A3378" s="1736"/>
      <c r="B3378" s="1737"/>
      <c r="C3378" s="1737"/>
      <c r="D3378" s="1738"/>
      <c r="E3378" s="1734"/>
      <c r="F3378" s="1189"/>
      <c r="G3378" s="1645"/>
    </row>
    <row r="3379" spans="1:8">
      <c r="A3379" s="1736" t="s">
        <v>6519</v>
      </c>
      <c r="B3379" s="1740" t="s">
        <v>6523</v>
      </c>
      <c r="C3379" s="1737" t="s">
        <v>6526</v>
      </c>
      <c r="D3379" s="1738">
        <v>4.74</v>
      </c>
      <c r="E3379" s="1734">
        <f>440+15</f>
        <v>455</v>
      </c>
      <c r="F3379" s="1189">
        <f t="shared" si="100"/>
        <v>0.20007032348804507</v>
      </c>
      <c r="G3379" s="1645">
        <v>120</v>
      </c>
    </row>
    <row r="3380" spans="1:8">
      <c r="A3380" s="1736" t="s">
        <v>6520</v>
      </c>
      <c r="B3380" s="1740" t="s">
        <v>6523</v>
      </c>
      <c r="C3380" s="1737" t="s">
        <v>6524</v>
      </c>
      <c r="D3380" s="1738">
        <f>ROUNDUP(E3380/0.8/130,2)</f>
        <v>12.6</v>
      </c>
      <c r="E3380" s="1734">
        <f>1280+30</f>
        <v>1310</v>
      </c>
      <c r="F3380" s="1189">
        <f t="shared" ref="F3380:F3382" si="101">(D3380-(E3380/G3380))/D3380</f>
        <v>0.20024420024420025</v>
      </c>
      <c r="G3380" s="1645">
        <v>130</v>
      </c>
    </row>
    <row r="3381" spans="1:8">
      <c r="A3381" s="1736" t="s">
        <v>6521</v>
      </c>
      <c r="B3381" s="1740" t="s">
        <v>6523</v>
      </c>
      <c r="C3381" s="1737" t="s">
        <v>6524</v>
      </c>
      <c r="D3381" s="1738">
        <f>ROUNDUP(E3381/0.8/130,2)</f>
        <v>13.95</v>
      </c>
      <c r="E3381" s="1734">
        <f>1420+30</f>
        <v>1450</v>
      </c>
      <c r="F3381" s="1189">
        <f t="shared" si="101"/>
        <v>0.2004411359250069</v>
      </c>
      <c r="G3381" s="1645">
        <v>130</v>
      </c>
    </row>
    <row r="3382" spans="1:8">
      <c r="A3382" s="1736" t="s">
        <v>6522</v>
      </c>
      <c r="B3382" s="1740" t="s">
        <v>6523</v>
      </c>
      <c r="C3382" s="1737" t="s">
        <v>6525</v>
      </c>
      <c r="D3382" s="1738">
        <f>ROUNDUP(E3382/0.8/130,2)</f>
        <v>27.790000000000003</v>
      </c>
      <c r="E3382" s="1734">
        <f>2860+30</f>
        <v>2890</v>
      </c>
      <c r="F3382" s="1189">
        <f t="shared" si="101"/>
        <v>0.20004428820549738</v>
      </c>
      <c r="G3382" s="1645">
        <v>130</v>
      </c>
    </row>
    <row r="3386" spans="1:8">
      <c r="A3386" s="1145" t="s">
        <v>179</v>
      </c>
      <c r="B3386" s="1145" t="s">
        <v>35</v>
      </c>
      <c r="C3386" s="1145" t="s">
        <v>99</v>
      </c>
      <c r="D3386" s="354" t="s">
        <v>245</v>
      </c>
      <c r="E3386" s="354" t="s">
        <v>270</v>
      </c>
      <c r="F3386" s="354" t="s">
        <v>271</v>
      </c>
      <c r="G3386" s="1405" t="s">
        <v>4535</v>
      </c>
      <c r="H3386" s="1405" t="s">
        <v>6531</v>
      </c>
    </row>
    <row r="3387" spans="1:8">
      <c r="A3387" s="40">
        <v>5381</v>
      </c>
      <c r="B3387" s="165"/>
      <c r="C3387" s="40" t="s">
        <v>5994</v>
      </c>
      <c r="D3387" s="355">
        <v>30</v>
      </c>
      <c r="E3387" s="1193">
        <v>45</v>
      </c>
      <c r="F3387" s="357">
        <f>E3387*D3387</f>
        <v>1350</v>
      </c>
      <c r="G3387" s="1113">
        <v>0.95</v>
      </c>
      <c r="H3387" s="360" t="s">
        <v>6532</v>
      </c>
    </row>
    <row r="3388" spans="1:8">
      <c r="A3388" s="375"/>
      <c r="B3388" s="1741"/>
      <c r="C3388" s="40"/>
      <c r="D3388" s="357"/>
      <c r="E3388" s="1107"/>
      <c r="F3388" s="355"/>
      <c r="G3388" s="45"/>
      <c r="H3388" s="360"/>
    </row>
    <row r="3389" spans="1:8">
      <c r="A3389" s="40">
        <v>5637</v>
      </c>
      <c r="B3389" s="165" t="s">
        <v>6229</v>
      </c>
      <c r="C3389" s="1092" t="s">
        <v>6230</v>
      </c>
      <c r="D3389" s="355">
        <v>50</v>
      </c>
      <c r="E3389" s="356">
        <v>6</v>
      </c>
      <c r="F3389" s="357">
        <f>D3389*E3389</f>
        <v>300</v>
      </c>
      <c r="G3389" s="1113">
        <v>0.3</v>
      </c>
      <c r="H3389" s="360" t="s">
        <v>6533</v>
      </c>
    </row>
    <row r="3390" spans="1:8">
      <c r="A3390" s="1106"/>
      <c r="B3390" s="165"/>
      <c r="C3390" s="165"/>
      <c r="D3390" s="355"/>
      <c r="E3390" s="355"/>
      <c r="F3390" s="355"/>
      <c r="G3390" s="45"/>
      <c r="H3390" s="360"/>
    </row>
    <row r="3391" spans="1:8">
      <c r="A3391" s="40">
        <v>3844</v>
      </c>
      <c r="B3391" s="165">
        <v>4</v>
      </c>
      <c r="C3391" s="1092" t="s">
        <v>6227</v>
      </c>
      <c r="D3391" s="355">
        <v>30</v>
      </c>
      <c r="E3391" s="356">
        <v>50</v>
      </c>
      <c r="F3391" s="357">
        <f>D3391*E3391</f>
        <v>1500</v>
      </c>
      <c r="G3391" s="1113">
        <v>0.74</v>
      </c>
      <c r="H3391" s="360" t="s">
        <v>6534</v>
      </c>
    </row>
    <row r="3392" spans="1:8">
      <c r="A3392" s="40">
        <v>3844</v>
      </c>
      <c r="B3392" s="165">
        <v>4</v>
      </c>
      <c r="C3392" s="1092" t="s">
        <v>6529</v>
      </c>
      <c r="D3392" s="355">
        <v>30</v>
      </c>
      <c r="E3392" s="356">
        <v>4</v>
      </c>
      <c r="F3392" s="357">
        <f>D3392*E3392</f>
        <v>120</v>
      </c>
      <c r="G3392" s="1113">
        <v>0.74</v>
      </c>
      <c r="H3392" s="360" t="s">
        <v>6534</v>
      </c>
    </row>
    <row r="3393" spans="1:8">
      <c r="A3393" s="40">
        <v>3844</v>
      </c>
      <c r="B3393" s="165">
        <v>4</v>
      </c>
      <c r="C3393" s="1092" t="s">
        <v>6226</v>
      </c>
      <c r="D3393" s="355">
        <v>30</v>
      </c>
      <c r="E3393" s="356">
        <v>7</v>
      </c>
      <c r="F3393" s="357">
        <f>D3393*E3393</f>
        <v>210</v>
      </c>
      <c r="G3393" s="1113">
        <v>0.74</v>
      </c>
      <c r="H3393" s="360" t="s">
        <v>6534</v>
      </c>
    </row>
    <row r="3394" spans="1:8">
      <c r="A3394" s="40">
        <v>3844</v>
      </c>
      <c r="B3394" s="165">
        <v>4</v>
      </c>
      <c r="C3394" s="1092" t="s">
        <v>6530</v>
      </c>
      <c r="D3394" s="355">
        <v>30</v>
      </c>
      <c r="E3394" s="356">
        <v>3</v>
      </c>
      <c r="F3394" s="357">
        <f>D3394*E3394</f>
        <v>90</v>
      </c>
      <c r="G3394" s="1113">
        <v>0.74</v>
      </c>
      <c r="H3394" s="360" t="s">
        <v>6534</v>
      </c>
    </row>
    <row r="3395" spans="1:8">
      <c r="A3395" s="40"/>
      <c r="B3395" s="1195"/>
      <c r="C3395" s="165" t="s">
        <v>316</v>
      </c>
      <c r="D3395" s="357"/>
      <c r="E3395" s="1107"/>
      <c r="F3395" s="353">
        <v>1</v>
      </c>
      <c r="G3395" s="1113">
        <v>12</v>
      </c>
      <c r="H3395" s="360"/>
    </row>
    <row r="3399" spans="1:8" ht="18">
      <c r="A3399" s="1247" t="s">
        <v>6091</v>
      </c>
      <c r="B3399" s="1248" t="s">
        <v>4786</v>
      </c>
      <c r="C3399" s="1248" t="s">
        <v>4787</v>
      </c>
      <c r="D3399" s="1743" t="s">
        <v>6535</v>
      </c>
      <c r="E3399" s="1744" t="s">
        <v>4788</v>
      </c>
      <c r="F3399" s="1745" t="s">
        <v>6536</v>
      </c>
      <c r="G3399" s="1616" t="s">
        <v>452</v>
      </c>
    </row>
    <row r="3400" spans="1:8" ht="18">
      <c r="A3400" s="1251" t="s">
        <v>6537</v>
      </c>
      <c r="B3400" s="1252">
        <v>46036</v>
      </c>
      <c r="C3400" s="1252">
        <v>46066</v>
      </c>
      <c r="D3400" s="1746" t="s">
        <v>6538</v>
      </c>
      <c r="E3400" s="1253" t="s">
        <v>4780</v>
      </c>
      <c r="F3400" s="1747" t="s">
        <v>6539</v>
      </c>
      <c r="G3400" s="1619">
        <v>650</v>
      </c>
    </row>
    <row r="3401" spans="1:8" ht="18">
      <c r="A3401" s="1251" t="s">
        <v>6540</v>
      </c>
      <c r="B3401" s="1252">
        <v>46037</v>
      </c>
      <c r="C3401" s="1252">
        <v>46067</v>
      </c>
      <c r="D3401" s="1746" t="s">
        <v>6538</v>
      </c>
      <c r="E3401" s="1253" t="s">
        <v>4780</v>
      </c>
      <c r="F3401" s="1747" t="s">
        <v>6539</v>
      </c>
      <c r="G3401" s="1619">
        <v>882.22</v>
      </c>
    </row>
    <row r="3402" spans="1:8" ht="18">
      <c r="A3402" s="1251" t="s">
        <v>6541</v>
      </c>
      <c r="B3402" s="1252">
        <v>46065</v>
      </c>
      <c r="C3402" s="1252">
        <v>46095</v>
      </c>
      <c r="D3402" s="1746" t="s">
        <v>6538</v>
      </c>
      <c r="E3402" s="1253" t="s">
        <v>6542</v>
      </c>
      <c r="F3402" s="1747" t="s">
        <v>6539</v>
      </c>
      <c r="G3402" s="1619">
        <v>311.37</v>
      </c>
    </row>
    <row r="3405" spans="1:8">
      <c r="A3405" s="1145" t="s">
        <v>179</v>
      </c>
      <c r="B3405" s="1145" t="s">
        <v>169</v>
      </c>
      <c r="C3405" s="1145" t="s">
        <v>99</v>
      </c>
      <c r="D3405" s="354" t="s">
        <v>245</v>
      </c>
      <c r="E3405" s="354" t="s">
        <v>270</v>
      </c>
      <c r="F3405" s="354" t="s">
        <v>271</v>
      </c>
      <c r="G3405" s="1405" t="s">
        <v>4535</v>
      </c>
    </row>
    <row r="3406" spans="1:8">
      <c r="A3406" s="40">
        <v>5600</v>
      </c>
      <c r="B3406" s="1384">
        <v>148</v>
      </c>
      <c r="C3406" s="40" t="s">
        <v>4883</v>
      </c>
      <c r="D3406" s="355">
        <v>58</v>
      </c>
      <c r="E3406" s="356">
        <v>2</v>
      </c>
      <c r="F3406" s="357">
        <f>D3406*E3406</f>
        <v>116</v>
      </c>
      <c r="G3406" s="1113">
        <v>7.78</v>
      </c>
    </row>
    <row r="3407" spans="1:8">
      <c r="A3407" s="40"/>
      <c r="B3407" s="1195"/>
      <c r="C3407" s="40" t="s">
        <v>316</v>
      </c>
      <c r="D3407" s="357"/>
      <c r="E3407" s="1107"/>
      <c r="F3407" s="353">
        <v>1</v>
      </c>
      <c r="G3407" s="1113">
        <v>20</v>
      </c>
    </row>
    <row r="3411" spans="1:6" s="352" customFormat="1" ht="12.75">
      <c r="A3411" s="1145" t="s">
        <v>179</v>
      </c>
      <c r="B3411" s="1145" t="s">
        <v>99</v>
      </c>
      <c r="C3411" s="354" t="s">
        <v>271</v>
      </c>
      <c r="D3411" s="1405" t="s">
        <v>4535</v>
      </c>
      <c r="E3411" s="1405" t="s">
        <v>6549</v>
      </c>
    </row>
    <row r="3412" spans="1:6" s="352" customFormat="1" ht="12.75">
      <c r="A3412" s="40" t="s">
        <v>190</v>
      </c>
      <c r="B3412" s="1111" t="s">
        <v>6331</v>
      </c>
      <c r="C3412" s="355">
        <v>50</v>
      </c>
      <c r="D3412" s="1113">
        <v>5.28</v>
      </c>
      <c r="E3412" s="395" t="s">
        <v>322</v>
      </c>
      <c r="F3412" s="395" t="s">
        <v>322</v>
      </c>
    </row>
    <row r="3413" spans="1:6" s="352" customFormat="1" ht="12.75">
      <c r="A3413" s="40"/>
      <c r="B3413" s="40" t="s">
        <v>316</v>
      </c>
      <c r="C3413" s="353">
        <v>1</v>
      </c>
      <c r="D3413" s="1113">
        <v>25</v>
      </c>
      <c r="E3413" s="1113"/>
      <c r="F3413" s="360"/>
    </row>
    <row r="3418" spans="1:6" ht="17.25">
      <c r="A3418" s="1749"/>
    </row>
    <row r="3419" spans="1:6" ht="14.25" thickBot="1"/>
    <row r="3420" spans="1:6" ht="18.75" thickBot="1">
      <c r="A3420" s="1750" t="s">
        <v>6091</v>
      </c>
      <c r="B3420" s="1751" t="s">
        <v>6550</v>
      </c>
      <c r="C3420" s="1751" t="s">
        <v>6551</v>
      </c>
      <c r="D3420" s="1751" t="s">
        <v>6552</v>
      </c>
      <c r="E3420" s="1752" t="s">
        <v>6553</v>
      </c>
      <c r="F3420" s="1753" t="s">
        <v>6554</v>
      </c>
    </row>
    <row r="3421" spans="1:6" ht="18.75" thickBot="1">
      <c r="A3421" s="1754">
        <v>7623</v>
      </c>
      <c r="B3421" s="1755" t="s">
        <v>6555</v>
      </c>
      <c r="C3421" s="1755" t="s">
        <v>6556</v>
      </c>
      <c r="D3421" s="1755" t="s">
        <v>6538</v>
      </c>
      <c r="E3421" s="1756" t="s">
        <v>4780</v>
      </c>
      <c r="F3421" s="1757" t="s">
        <v>6557</v>
      </c>
    </row>
    <row r="3422" spans="1:6" ht="18.75" thickBot="1">
      <c r="A3422" s="1754">
        <v>7697</v>
      </c>
      <c r="B3422" s="1755" t="s">
        <v>6556</v>
      </c>
      <c r="C3422" s="1755" t="s">
        <v>6558</v>
      </c>
      <c r="D3422" s="1755" t="s">
        <v>6538</v>
      </c>
      <c r="E3422" s="1756" t="s">
        <v>4780</v>
      </c>
      <c r="F3422" s="1757" t="s">
        <v>6559</v>
      </c>
    </row>
    <row r="3423" spans="1:6" ht="18.75" thickBot="1">
      <c r="A3423" s="1754">
        <v>7698</v>
      </c>
      <c r="B3423" s="1755" t="s">
        <v>6556</v>
      </c>
      <c r="C3423" s="1755" t="s">
        <v>6558</v>
      </c>
      <c r="D3423" s="1755" t="s">
        <v>6538</v>
      </c>
      <c r="E3423" s="1756" t="s">
        <v>4780</v>
      </c>
      <c r="F3423" s="1757" t="s">
        <v>6560</v>
      </c>
    </row>
    <row r="3424" spans="1:6" ht="18.75" thickBot="1">
      <c r="A3424" s="1754">
        <v>7765</v>
      </c>
      <c r="B3424" s="1755" t="s">
        <v>6561</v>
      </c>
      <c r="C3424" s="1755" t="s">
        <v>6562</v>
      </c>
      <c r="D3424" s="1755" t="s">
        <v>6538</v>
      </c>
      <c r="E3424" s="1756" t="s">
        <v>4780</v>
      </c>
      <c r="F3424" s="1757" t="s">
        <v>6563</v>
      </c>
    </row>
    <row r="3425" spans="1:8" ht="18.75" thickBot="1">
      <c r="A3425" s="1758">
        <v>7950</v>
      </c>
      <c r="B3425" s="1759">
        <v>46100</v>
      </c>
      <c r="C3425" s="1759">
        <v>46115</v>
      </c>
      <c r="D3425" s="1760" t="s">
        <v>6538</v>
      </c>
      <c r="E3425" s="1761"/>
      <c r="F3425" s="1762" t="s">
        <v>6564</v>
      </c>
    </row>
    <row r="3426" spans="1:8" ht="18.75" thickBot="1">
      <c r="A3426" s="1758">
        <v>8003</v>
      </c>
      <c r="B3426" s="1759">
        <v>46104</v>
      </c>
      <c r="C3426" s="1759">
        <v>46134</v>
      </c>
      <c r="D3426" s="1760" t="s">
        <v>6538</v>
      </c>
      <c r="E3426" s="1761"/>
      <c r="F3426" s="1762" t="s">
        <v>6605</v>
      </c>
    </row>
    <row r="3429" spans="1:8" ht="13.5" customHeight="1">
      <c r="A3429" s="1236" t="s">
        <v>6565</v>
      </c>
    </row>
    <row r="3430" spans="1:8" ht="13.5" customHeight="1">
      <c r="A3430" s="354" t="s">
        <v>266</v>
      </c>
      <c r="B3430" s="354" t="s">
        <v>5199</v>
      </c>
      <c r="C3430" s="1375" t="s">
        <v>5200</v>
      </c>
      <c r="D3430" s="1375" t="s">
        <v>5201</v>
      </c>
      <c r="E3430" s="1151" t="s">
        <v>5202</v>
      </c>
      <c r="F3430" s="1151" t="s">
        <v>5203</v>
      </c>
      <c r="G3430" s="1151" t="s">
        <v>4376</v>
      </c>
    </row>
    <row r="3431" spans="1:8" ht="13.5" customHeight="1">
      <c r="A3431" s="1115" t="s">
        <v>6566</v>
      </c>
      <c r="B3431" s="1111" t="s">
        <v>6568</v>
      </c>
      <c r="C3431" s="1376">
        <f>ROUNDUP(E3431/0.8/120,2)</f>
        <v>19.8</v>
      </c>
      <c r="D3431" s="1376"/>
      <c r="E3431" s="1377">
        <v>1900</v>
      </c>
      <c r="F3431" s="1378">
        <f>(C3431-(E3431/G3431))/C3431</f>
        <v>0.20033670033670034</v>
      </c>
      <c r="G3431">
        <v>120</v>
      </c>
      <c r="H3431" s="194"/>
    </row>
    <row r="3432" spans="1:8" ht="15">
      <c r="A3432" s="1115" t="s">
        <v>6566</v>
      </c>
      <c r="B3432" s="1111" t="s">
        <v>6567</v>
      </c>
      <c r="C3432" s="1376">
        <f>ROUNDUP(E3432/0.8/120,2)</f>
        <v>25</v>
      </c>
      <c r="D3432" s="1376"/>
      <c r="E3432" s="1377">
        <v>2400</v>
      </c>
      <c r="F3432" s="1378">
        <f>(C3432-(E3432/G3432))/C3432</f>
        <v>0.2</v>
      </c>
      <c r="G3432">
        <v>120</v>
      </c>
    </row>
    <row r="3436" spans="1:8" s="352" customFormat="1" ht="12.75">
      <c r="A3436" s="1145" t="s">
        <v>6570</v>
      </c>
      <c r="B3436" s="1145" t="s">
        <v>169</v>
      </c>
      <c r="C3436" s="1145" t="s">
        <v>99</v>
      </c>
      <c r="D3436" s="354" t="s">
        <v>245</v>
      </c>
      <c r="E3436" s="354" t="s">
        <v>270</v>
      </c>
      <c r="F3436" s="354" t="s">
        <v>271</v>
      </c>
      <c r="G3436" s="1405" t="s">
        <v>4535</v>
      </c>
    </row>
    <row r="3437" spans="1:8" s="352" customFormat="1" ht="12.75">
      <c r="A3437" s="40" t="s">
        <v>4934</v>
      </c>
      <c r="B3437" s="165">
        <v>12</v>
      </c>
      <c r="C3437" s="165" t="s">
        <v>6569</v>
      </c>
      <c r="D3437" s="357">
        <v>30</v>
      </c>
      <c r="E3437" s="1107">
        <v>1</v>
      </c>
      <c r="F3437" s="357">
        <f>D3437*E3437</f>
        <v>30</v>
      </c>
      <c r="G3437" s="1113">
        <v>0.42</v>
      </c>
    </row>
    <row r="3438" spans="1:8" s="352" customFormat="1" ht="12.75">
      <c r="A3438" s="40"/>
      <c r="B3438" s="1195"/>
      <c r="C3438" s="40" t="s">
        <v>316</v>
      </c>
      <c r="D3438" s="357"/>
      <c r="E3438" s="1107"/>
      <c r="F3438" s="353">
        <v>1</v>
      </c>
      <c r="G3438" s="1113">
        <v>12</v>
      </c>
    </row>
    <row r="3441" spans="1:8">
      <c r="A3441" s="1338" t="s">
        <v>6576</v>
      </c>
      <c r="C3441" s="194" t="s">
        <v>5137</v>
      </c>
      <c r="D3441" s="1151" t="s">
        <v>4375</v>
      </c>
      <c r="E3441" s="1151" t="s">
        <v>4376</v>
      </c>
    </row>
    <row r="3442" spans="1:8">
      <c r="A3442" s="1145" t="s">
        <v>5134</v>
      </c>
      <c r="B3442" s="1185" t="s">
        <v>4535</v>
      </c>
      <c r="C3442" s="365" t="s">
        <v>6301</v>
      </c>
      <c r="D3442" s="1339"/>
      <c r="E3442" s="1339"/>
    </row>
    <row r="3443" spans="1:8" ht="25.5">
      <c r="A3443" s="1344" t="s">
        <v>6577</v>
      </c>
      <c r="B3443" s="360">
        <f>ROUNDUP(C3443/0.75/140,2)</f>
        <v>19.05</v>
      </c>
      <c r="C3443" s="158">
        <f>1600+400</f>
        <v>2000</v>
      </c>
      <c r="D3443" s="1343">
        <f>(((B3443*E3443)-C3443)/(B3443*E3443))</f>
        <v>0.25009373828271464</v>
      </c>
      <c r="E3443" s="162">
        <v>140</v>
      </c>
    </row>
    <row r="3444" spans="1:8" ht="29.25">
      <c r="A3444" s="1340" t="s">
        <v>6578</v>
      </c>
      <c r="B3444" s="360">
        <f>ROUNDUP(C3444/0.75/140,2)</f>
        <v>15.53</v>
      </c>
      <c r="C3444" s="158">
        <f>1600+30</f>
        <v>1630</v>
      </c>
      <c r="D3444" s="1341">
        <f>(((B3444*E3444)-C3444)/(B3444*E3444))</f>
        <v>0.25029896053720901</v>
      </c>
      <c r="E3444" s="162">
        <v>140</v>
      </c>
    </row>
    <row r="3445" spans="1:8" ht="25.5">
      <c r="A3445" s="1340" t="s">
        <v>6579</v>
      </c>
      <c r="B3445" s="360">
        <f>ROUNDUP(C3445/0.8/140,2)</f>
        <v>14.56</v>
      </c>
      <c r="C3445" s="158">
        <f>1600+30</f>
        <v>1630</v>
      </c>
      <c r="D3445" s="1341">
        <f>(((B3445*E3445)-C3445)/(B3445*E3445))</f>
        <v>0.20035321821036112</v>
      </c>
      <c r="E3445" s="162">
        <v>140</v>
      </c>
    </row>
    <row r="3448" spans="1:8">
      <c r="A3448" t="s">
        <v>6583</v>
      </c>
    </row>
    <row r="3449" spans="1:8" s="1362" customFormat="1" ht="25.5">
      <c r="A3449" s="1471" t="s">
        <v>260</v>
      </c>
      <c r="B3449" s="1358" t="s">
        <v>35</v>
      </c>
      <c r="C3449" s="1472" t="s">
        <v>2</v>
      </c>
      <c r="D3449" s="1359" t="s">
        <v>282</v>
      </c>
      <c r="E3449" s="1361" t="s">
        <v>4377</v>
      </c>
      <c r="F3449" s="1151" t="s">
        <v>6582</v>
      </c>
      <c r="G3449" s="1151" t="s">
        <v>5203</v>
      </c>
      <c r="H3449" s="1151" t="s">
        <v>4376</v>
      </c>
    </row>
    <row r="3450" spans="1:8" ht="13.5" customHeight="1">
      <c r="A3450" s="1115" t="s">
        <v>4934</v>
      </c>
      <c r="B3450" s="1373">
        <v>12</v>
      </c>
      <c r="C3450" s="1158">
        <v>30</v>
      </c>
      <c r="D3450" s="1159" t="s">
        <v>288</v>
      </c>
      <c r="E3450" s="1763">
        <f>ROUNDUP(F3450/0.4/120,2)</f>
        <v>0.42</v>
      </c>
      <c r="F3450" s="194">
        <v>20.033000000000001</v>
      </c>
      <c r="G3450" s="1508">
        <f t="shared" ref="G3450:G3451" si="102">(E3450-(F3450/H3450))/E3450</f>
        <v>0.60251984126984115</v>
      </c>
      <c r="H3450" s="1394">
        <v>120</v>
      </c>
    </row>
    <row r="3451" spans="1:8" ht="13.5" customHeight="1">
      <c r="A3451" s="1115" t="s">
        <v>4934</v>
      </c>
      <c r="B3451" s="1373">
        <v>25</v>
      </c>
      <c r="C3451" s="1158">
        <v>30</v>
      </c>
      <c r="D3451" s="1159" t="s">
        <v>288</v>
      </c>
      <c r="E3451" s="1763">
        <f>ROUNDUP(F3451/0.4/120,2)</f>
        <v>0.74</v>
      </c>
      <c r="F3451" s="194">
        <v>35.166600000000003</v>
      </c>
      <c r="G3451" s="1508">
        <f t="shared" si="102"/>
        <v>0.60397972972972969</v>
      </c>
      <c r="H3451" s="1394">
        <v>120</v>
      </c>
    </row>
    <row r="3455" spans="1:8">
      <c r="A3455" s="1145" t="s">
        <v>82</v>
      </c>
      <c r="B3455" s="1145" t="s">
        <v>99</v>
      </c>
      <c r="C3455" s="354" t="s">
        <v>6587</v>
      </c>
      <c r="D3455" s="1405" t="s">
        <v>4535</v>
      </c>
    </row>
    <row r="3456" spans="1:8">
      <c r="A3456" s="40" t="s">
        <v>5802</v>
      </c>
      <c r="B3456" s="40" t="s">
        <v>5318</v>
      </c>
      <c r="C3456" s="357">
        <v>50</v>
      </c>
      <c r="D3456" s="1113">
        <v>2.08</v>
      </c>
    </row>
    <row r="3457" spans="1:7">
      <c r="A3457" s="40"/>
      <c r="B3457" s="40" t="s">
        <v>316</v>
      </c>
      <c r="C3457" s="353">
        <v>1</v>
      </c>
      <c r="D3457" s="1113">
        <v>12</v>
      </c>
    </row>
    <row r="3458" spans="1:7">
      <c r="A3458" s="40"/>
      <c r="B3458" s="40" t="s">
        <v>6585</v>
      </c>
      <c r="C3458" s="353">
        <v>1</v>
      </c>
      <c r="D3458" s="385" t="s">
        <v>6586</v>
      </c>
    </row>
    <row r="3462" spans="1:7">
      <c r="A3462" s="1145" t="s">
        <v>82</v>
      </c>
      <c r="B3462" s="1145" t="s">
        <v>169</v>
      </c>
      <c r="C3462" s="1145" t="s">
        <v>99</v>
      </c>
      <c r="D3462" s="354" t="s">
        <v>6597</v>
      </c>
      <c r="E3462" s="1405" t="s">
        <v>4535</v>
      </c>
    </row>
    <row r="3463" spans="1:7">
      <c r="A3463" s="40" t="s">
        <v>6590</v>
      </c>
      <c r="B3463" s="1384">
        <v>160</v>
      </c>
      <c r="C3463" s="1111" t="s">
        <v>6592</v>
      </c>
      <c r="D3463" s="1420">
        <v>3</v>
      </c>
      <c r="E3463" s="1113">
        <v>19.05</v>
      </c>
    </row>
    <row r="3467" spans="1:7" s="352" customFormat="1" ht="12.75">
      <c r="A3467" s="1145" t="s">
        <v>6604</v>
      </c>
      <c r="B3467" s="1145" t="s">
        <v>82</v>
      </c>
      <c r="C3467" s="1145" t="s">
        <v>99</v>
      </c>
      <c r="D3467" s="354" t="s">
        <v>271</v>
      </c>
      <c r="E3467" s="1405" t="s">
        <v>4535</v>
      </c>
      <c r="F3467" s="1405" t="s">
        <v>6549</v>
      </c>
      <c r="G3467" s="1765" t="s">
        <v>6549</v>
      </c>
    </row>
    <row r="3468" spans="1:7" s="352" customFormat="1" ht="12.75">
      <c r="A3468" s="4" t="s">
        <v>6599</v>
      </c>
      <c r="B3468" s="40" t="s">
        <v>190</v>
      </c>
      <c r="C3468" s="1111" t="s">
        <v>6601</v>
      </c>
      <c r="D3468" s="355">
        <v>9</v>
      </c>
      <c r="E3468" s="1113">
        <v>5.28</v>
      </c>
      <c r="F3468" s="395" t="s">
        <v>322</v>
      </c>
    </row>
    <row r="3469" spans="1:7" s="352" customFormat="1" ht="12.75">
      <c r="A3469" s="4" t="s">
        <v>6599</v>
      </c>
      <c r="B3469" s="40" t="s">
        <v>190</v>
      </c>
      <c r="C3469" s="1111" t="s">
        <v>6600</v>
      </c>
      <c r="D3469" s="355">
        <v>16</v>
      </c>
      <c r="E3469" s="1113">
        <v>5.28</v>
      </c>
      <c r="F3469" s="395" t="s">
        <v>322</v>
      </c>
    </row>
    <row r="3470" spans="1:7" s="352" customFormat="1" ht="12.75">
      <c r="A3470" s="4" t="s">
        <v>6599</v>
      </c>
      <c r="B3470" s="306"/>
      <c r="C3470" s="40" t="s">
        <v>6602</v>
      </c>
      <c r="D3470" s="353">
        <v>2</v>
      </c>
      <c r="E3470" s="1113">
        <v>30</v>
      </c>
      <c r="F3470" s="1516"/>
    </row>
    <row r="3471" spans="1:7" s="352" customFormat="1" ht="12.75">
      <c r="A3471" s="4" t="s">
        <v>6599</v>
      </c>
      <c r="B3471" s="306"/>
      <c r="C3471" s="40" t="s">
        <v>316</v>
      </c>
      <c r="D3471" s="353">
        <v>1</v>
      </c>
      <c r="E3471" s="1113">
        <v>25</v>
      </c>
      <c r="F3471" s="1516"/>
    </row>
    <row r="3472" spans="1:7" s="352" customFormat="1" ht="12"/>
  </sheetData>
  <mergeCells count="51">
    <mergeCell ref="L3046:L3047"/>
    <mergeCell ref="M3046:M3047"/>
    <mergeCell ref="A3046:A3047"/>
    <mergeCell ref="B3046:B3047"/>
    <mergeCell ref="G3046:G3047"/>
    <mergeCell ref="J3046:J3047"/>
    <mergeCell ref="K3046:K3047"/>
    <mergeCell ref="L2833:L2834"/>
    <mergeCell ref="M2833:M2834"/>
    <mergeCell ref="A2833:A2834"/>
    <mergeCell ref="B2833:B2834"/>
    <mergeCell ref="G2833:G2834"/>
    <mergeCell ref="J2833:J2834"/>
    <mergeCell ref="K2833:K2834"/>
    <mergeCell ref="F1161:F1162"/>
    <mergeCell ref="F1157:F1158"/>
    <mergeCell ref="E1157:E1158"/>
    <mergeCell ref="G2125:G2126"/>
    <mergeCell ref="I2125:I2126"/>
    <mergeCell ref="G1163:G1164"/>
    <mergeCell ref="G1157:G1158"/>
    <mergeCell ref="A2125:A2126"/>
    <mergeCell ref="F2125:F2126"/>
    <mergeCell ref="A1391:A1392"/>
    <mergeCell ref="B1391:E1391"/>
    <mergeCell ref="H1391:H1392"/>
    <mergeCell ref="F1662:F1664"/>
    <mergeCell ref="A1334:A1335"/>
    <mergeCell ref="B1334:E1334"/>
    <mergeCell ref="H1334:H1335"/>
    <mergeCell ref="A1385:A1386"/>
    <mergeCell ref="B1385:E1385"/>
    <mergeCell ref="H1385:H1386"/>
    <mergeCell ref="A1163:A1164"/>
    <mergeCell ref="B1163:B1164"/>
    <mergeCell ref="C1163:C1164"/>
    <mergeCell ref="D1163:D1164"/>
    <mergeCell ref="F1163:F1164"/>
    <mergeCell ref="A1161:A1162"/>
    <mergeCell ref="B1161:B1162"/>
    <mergeCell ref="C1161:C1162"/>
    <mergeCell ref="D1161:D1162"/>
    <mergeCell ref="A1157:A1158"/>
    <mergeCell ref="B1157:B1158"/>
    <mergeCell ref="C1157:C1158"/>
    <mergeCell ref="G793:G797"/>
    <mergeCell ref="C326:D326"/>
    <mergeCell ref="G596:G598"/>
    <mergeCell ref="E730:E733"/>
    <mergeCell ref="G782:G786"/>
    <mergeCell ref="G787:G789"/>
  </mergeCells>
  <phoneticPr fontId="3"/>
  <conditionalFormatting sqref="A2836">
    <cfRule type="expression" dxfId="66" priority="56">
      <formula>IF($T2836="NEW",TRUE,FALSE)</formula>
    </cfRule>
  </conditionalFormatting>
  <conditionalFormatting sqref="A2837">
    <cfRule type="expression" dxfId="65" priority="55">
      <formula>IF($T2837="NEW",TRUE,FALSE)</formula>
    </cfRule>
  </conditionalFormatting>
  <conditionalFormatting sqref="A2838">
    <cfRule type="expression" dxfId="64" priority="54">
      <formula>IF($T2838="NEW",TRUE,FALSE)</formula>
    </cfRule>
  </conditionalFormatting>
  <conditionalFormatting sqref="A2839">
    <cfRule type="expression" dxfId="63" priority="53">
      <formula>IF($T2839="NEW",TRUE,FALSE)</formula>
    </cfRule>
  </conditionalFormatting>
  <conditionalFormatting sqref="A2841">
    <cfRule type="expression" dxfId="62" priority="52">
      <formula>IF($T2841="NEW",TRUE,FALSE)</formula>
    </cfRule>
  </conditionalFormatting>
  <conditionalFormatting sqref="A2842">
    <cfRule type="expression" dxfId="61" priority="51">
      <formula>IF($T2842="NEW",TRUE,FALSE)</formula>
    </cfRule>
  </conditionalFormatting>
  <conditionalFormatting sqref="A2843">
    <cfRule type="expression" dxfId="60" priority="50">
      <formula>IF($T2843="NEW",TRUE,FALSE)</formula>
    </cfRule>
  </conditionalFormatting>
  <conditionalFormatting sqref="A2845">
    <cfRule type="expression" dxfId="59" priority="46">
      <formula>IF($T2847="NEW",TRUE,FALSE)</formula>
    </cfRule>
  </conditionalFormatting>
  <conditionalFormatting sqref="A2846">
    <cfRule type="expression" dxfId="58" priority="45">
      <formula>IF($T2848="NEW",TRUE,FALSE)</formula>
    </cfRule>
  </conditionalFormatting>
  <conditionalFormatting sqref="A2848">
    <cfRule type="expression" dxfId="57" priority="44">
      <formula>IF($T2850="NEW",TRUE,FALSE)</formula>
    </cfRule>
  </conditionalFormatting>
  <conditionalFormatting sqref="A2849">
    <cfRule type="expression" dxfId="56" priority="43">
      <formula>IF($T2851="NEW",TRUE,FALSE)</formula>
    </cfRule>
  </conditionalFormatting>
  <conditionalFormatting sqref="A2850">
    <cfRule type="expression" dxfId="55" priority="42">
      <formula>IF($T2852="NEW",TRUE,FALSE)</formula>
    </cfRule>
  </conditionalFormatting>
  <conditionalFormatting sqref="A2851">
    <cfRule type="expression" dxfId="54" priority="41">
      <formula>IF($T2853="NEW",TRUE,FALSE)</formula>
    </cfRule>
  </conditionalFormatting>
  <conditionalFormatting sqref="A2852">
    <cfRule type="expression" dxfId="53" priority="40">
      <formula>IF($T2854="NEW",TRUE,FALSE)</formula>
    </cfRule>
  </conditionalFormatting>
  <conditionalFormatting sqref="A2853">
    <cfRule type="expression" dxfId="52" priority="39">
      <formula>IF($T2855="NEW",TRUE,FALSE)</formula>
    </cfRule>
  </conditionalFormatting>
  <conditionalFormatting sqref="A2854">
    <cfRule type="expression" dxfId="51" priority="38">
      <formula>IF($T2856="NEW",TRUE,FALSE)</formula>
    </cfRule>
  </conditionalFormatting>
  <conditionalFormatting sqref="A2855">
    <cfRule type="expression" dxfId="50" priority="37">
      <formula>IF($T2857="NEW",TRUE,FALSE)</formula>
    </cfRule>
  </conditionalFormatting>
  <conditionalFormatting sqref="A2856">
    <cfRule type="expression" dxfId="49" priority="36">
      <formula>IF($U2858="NEW",TRUE,FALSE)</formula>
    </cfRule>
  </conditionalFormatting>
  <conditionalFormatting sqref="A2857">
    <cfRule type="expression" dxfId="48" priority="35">
      <formula>IF($U2859="NEW",TRUE,FALSE)</formula>
    </cfRule>
  </conditionalFormatting>
  <conditionalFormatting sqref="A2874:D2876">
    <cfRule type="expression" dxfId="47" priority="34" stopIfTrue="1">
      <formula>#REF!="OVERDUE"</formula>
    </cfRule>
  </conditionalFormatting>
  <conditionalFormatting sqref="C2877">
    <cfRule type="expression" dxfId="46" priority="30" stopIfTrue="1">
      <formula>#REF!="OVERDUE"</formula>
    </cfRule>
  </conditionalFormatting>
  <conditionalFormatting sqref="D2877">
    <cfRule type="expression" dxfId="45" priority="29" stopIfTrue="1">
      <formula>#REF!="OVERDUE"</formula>
    </cfRule>
  </conditionalFormatting>
  <conditionalFormatting sqref="A3048">
    <cfRule type="expression" dxfId="44" priority="28">
      <formula>IF($T3048="NEW",TRUE,FALSE)</formula>
    </cfRule>
  </conditionalFormatting>
  <conditionalFormatting sqref="A3050">
    <cfRule type="expression" dxfId="43" priority="27">
      <formula>IF($T3050="NEW",TRUE,FALSE)</formula>
    </cfRule>
  </conditionalFormatting>
  <conditionalFormatting sqref="A3051">
    <cfRule type="expression" dxfId="42" priority="26">
      <formula>IF($T3051="NEW",TRUE,FALSE)</formula>
    </cfRule>
  </conditionalFormatting>
  <conditionalFormatting sqref="A3052">
    <cfRule type="expression" dxfId="41" priority="25">
      <formula>IF($T3052="NEW",TRUE,FALSE)</formula>
    </cfRule>
  </conditionalFormatting>
  <conditionalFormatting sqref="A3053">
    <cfRule type="expression" dxfId="40" priority="24">
      <formula>IF($T3053="NEW",TRUE,FALSE)</formula>
    </cfRule>
  </conditionalFormatting>
  <conditionalFormatting sqref="A3054">
    <cfRule type="expression" dxfId="39" priority="23">
      <formula>IF($T3054="NEW",TRUE,FALSE)</formula>
    </cfRule>
  </conditionalFormatting>
  <conditionalFormatting sqref="A3055">
    <cfRule type="expression" dxfId="38" priority="22">
      <formula>IF($T3055="NEW",TRUE,FALSE)</formula>
    </cfRule>
  </conditionalFormatting>
  <conditionalFormatting sqref="A3056">
    <cfRule type="expression" dxfId="37" priority="21">
      <formula>IF($T3056="NEW",TRUE,FALSE)</formula>
    </cfRule>
  </conditionalFormatting>
  <conditionalFormatting sqref="A3057">
    <cfRule type="expression" dxfId="36" priority="20">
      <formula>IF($T3057="NEW",TRUE,FALSE)</formula>
    </cfRule>
  </conditionalFormatting>
  <conditionalFormatting sqref="A3058">
    <cfRule type="expression" dxfId="35" priority="19">
      <formula>IF($T3058="NEW",TRUE,FALSE)</formula>
    </cfRule>
  </conditionalFormatting>
  <conditionalFormatting sqref="A3059">
    <cfRule type="expression" dxfId="34" priority="18">
      <formula>IF($T3059="NEW",TRUE,FALSE)</formula>
    </cfRule>
  </conditionalFormatting>
  <conditionalFormatting sqref="A3060">
    <cfRule type="expression" dxfId="33" priority="17">
      <formula>IF($T3060="NEW",TRUE,FALSE)</formula>
    </cfRule>
  </conditionalFormatting>
  <conditionalFormatting sqref="A3061">
    <cfRule type="expression" dxfId="32" priority="16">
      <formula>IF($T3061="NEW",TRUE,FALSE)</formula>
    </cfRule>
  </conditionalFormatting>
  <conditionalFormatting sqref="A3062">
    <cfRule type="expression" dxfId="31" priority="15">
      <formula>IF($T3062="NEW",TRUE,FALSE)</formula>
    </cfRule>
  </conditionalFormatting>
  <conditionalFormatting sqref="A3063">
    <cfRule type="expression" dxfId="30" priority="14">
      <formula>IF($T3063="NEW",TRUE,FALSE)</formula>
    </cfRule>
  </conditionalFormatting>
  <conditionalFormatting sqref="B3069:C3069 E3073:E3074">
    <cfRule type="cellIs" dxfId="29" priority="13" operator="equal">
      <formula>0</formula>
    </cfRule>
  </conditionalFormatting>
  <conditionalFormatting sqref="C3070">
    <cfRule type="cellIs" dxfId="28" priority="12" operator="equal">
      <formula>0</formula>
    </cfRule>
  </conditionalFormatting>
  <conditionalFormatting sqref="B3070">
    <cfRule type="cellIs" dxfId="27" priority="11" operator="equal">
      <formula>0</formula>
    </cfRule>
  </conditionalFormatting>
  <conditionalFormatting sqref="E3075">
    <cfRule type="cellIs" dxfId="26" priority="9" operator="equal">
      <formula>0</formula>
    </cfRule>
  </conditionalFormatting>
  <conditionalFormatting sqref="C3073:C3075">
    <cfRule type="cellIs" dxfId="25" priority="8" operator="equal">
      <formula>0</formula>
    </cfRule>
  </conditionalFormatting>
  <conditionalFormatting sqref="D3073:D3075">
    <cfRule type="cellIs" dxfId="24" priority="7" operator="equal">
      <formula>0</formula>
    </cfRule>
  </conditionalFormatting>
  <conditionalFormatting sqref="C3085">
    <cfRule type="cellIs" dxfId="23" priority="6" operator="equal">
      <formula>0</formula>
    </cfRule>
  </conditionalFormatting>
  <conditionalFormatting sqref="C3084">
    <cfRule type="cellIs" dxfId="22" priority="5" operator="equal">
      <formula>0</formula>
    </cfRule>
  </conditionalFormatting>
  <conditionalFormatting sqref="B3085">
    <cfRule type="cellIs" dxfId="21" priority="4" operator="equal">
      <formula>0</formula>
    </cfRule>
  </conditionalFormatting>
  <conditionalFormatting sqref="A3400:G3402">
    <cfRule type="expression" dxfId="20" priority="74" stopIfTrue="1">
      <formula>$E3400="OVERDUE"</formula>
    </cfRule>
  </conditionalFormatting>
  <hyperlinks>
    <hyperlink ref="A2146" r:id="rId1" xr:uid="{135DBEEC-5801-4333-B2C0-1A216008DDE3}"/>
  </hyperlinks>
  <pageMargins left="0.7" right="0.7" top="0.75" bottom="0.75" header="0.3" footer="0.3"/>
  <pageSetup paperSize="9" orientation="portrait"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4BDCB-CD0B-44F3-8FCC-04CA887A4570}">
  <sheetPr codeName="Sheet2"/>
  <dimension ref="A10:J160"/>
  <sheetViews>
    <sheetView topLeftCell="A120" workbookViewId="0">
      <selection activeCell="A156" sqref="A156"/>
    </sheetView>
  </sheetViews>
  <sheetFormatPr defaultRowHeight="13.5"/>
  <cols>
    <col min="1" max="1" width="16.75" customWidth="1"/>
    <col min="2" max="2" width="20.875" customWidth="1"/>
    <col min="3" max="3" width="26.125" customWidth="1"/>
    <col min="4" max="4" width="22.625" bestFit="1" customWidth="1"/>
    <col min="5" max="5" width="21.75" bestFit="1" customWidth="1"/>
    <col min="6" max="6" width="11.875" bestFit="1" customWidth="1"/>
    <col min="7" max="7" width="10.625" bestFit="1" customWidth="1"/>
    <col min="8" max="8" width="27" customWidth="1"/>
    <col min="13" max="14" width="11" bestFit="1" customWidth="1"/>
  </cols>
  <sheetData>
    <row r="10" spans="1:5">
      <c r="A10" s="40" t="s">
        <v>25</v>
      </c>
      <c r="B10" s="41" t="s">
        <v>35</v>
      </c>
      <c r="C10" s="40" t="s">
        <v>36</v>
      </c>
      <c r="D10" s="42" t="s">
        <v>37</v>
      </c>
      <c r="E10" s="45" t="s">
        <v>5</v>
      </c>
    </row>
    <row r="11" spans="1:5">
      <c r="A11" s="40" t="s">
        <v>15</v>
      </c>
      <c r="B11" s="41" t="s">
        <v>16</v>
      </c>
      <c r="C11" s="40" t="s">
        <v>17</v>
      </c>
      <c r="D11" s="43">
        <v>5</v>
      </c>
      <c r="E11" s="44">
        <v>3.34</v>
      </c>
    </row>
    <row r="12" spans="1:5">
      <c r="A12" s="40" t="s">
        <v>15</v>
      </c>
      <c r="B12" s="41" t="s">
        <v>16</v>
      </c>
      <c r="C12" s="40" t="s">
        <v>18</v>
      </c>
      <c r="D12" s="43">
        <v>5</v>
      </c>
      <c r="E12" s="44">
        <v>3.34</v>
      </c>
    </row>
    <row r="13" spans="1:5">
      <c r="A13" s="40" t="s">
        <v>19</v>
      </c>
      <c r="B13" s="41"/>
      <c r="C13" s="40"/>
      <c r="D13" s="43"/>
      <c r="E13" s="46" t="s">
        <v>5</v>
      </c>
    </row>
    <row r="14" spans="1:5">
      <c r="A14" s="40" t="s">
        <v>21</v>
      </c>
      <c r="B14" s="41" t="s">
        <v>20</v>
      </c>
      <c r="C14" s="40" t="s">
        <v>22</v>
      </c>
      <c r="D14" s="43">
        <v>5</v>
      </c>
      <c r="E14" s="44">
        <v>4.74</v>
      </c>
    </row>
    <row r="15" spans="1:5">
      <c r="A15" s="40" t="s">
        <v>21</v>
      </c>
      <c r="B15" s="41" t="s">
        <v>20</v>
      </c>
      <c r="C15" s="40" t="s">
        <v>23</v>
      </c>
      <c r="D15" s="43">
        <v>5</v>
      </c>
      <c r="E15" s="44">
        <v>4.74</v>
      </c>
    </row>
    <row r="16" spans="1:5">
      <c r="A16" s="40" t="s">
        <v>21</v>
      </c>
      <c r="B16" s="41" t="s">
        <v>24</v>
      </c>
      <c r="C16" s="40" t="s">
        <v>22</v>
      </c>
      <c r="D16" s="43">
        <v>5</v>
      </c>
      <c r="E16" s="44">
        <v>6.2</v>
      </c>
    </row>
    <row r="17" spans="1:10">
      <c r="A17" s="40" t="s">
        <v>21</v>
      </c>
      <c r="B17" s="41" t="s">
        <v>24</v>
      </c>
      <c r="C17" s="40" t="s">
        <v>23</v>
      </c>
      <c r="D17" s="43">
        <v>5</v>
      </c>
      <c r="E17" s="44">
        <v>6.2</v>
      </c>
    </row>
    <row r="18" spans="1:10">
      <c r="A18" s="40" t="s">
        <v>26</v>
      </c>
      <c r="B18" s="41"/>
      <c r="C18" s="40"/>
      <c r="D18" s="43"/>
      <c r="E18" s="46" t="s">
        <v>5</v>
      </c>
    </row>
    <row r="19" spans="1:10">
      <c r="A19" s="40">
        <v>4182</v>
      </c>
      <c r="B19" s="41">
        <v>22</v>
      </c>
      <c r="C19" s="40" t="s">
        <v>27</v>
      </c>
      <c r="D19" s="43">
        <v>5</v>
      </c>
      <c r="E19" s="44">
        <v>2.08</v>
      </c>
    </row>
    <row r="20" spans="1:10">
      <c r="A20" s="40">
        <v>4182</v>
      </c>
      <c r="B20" s="41">
        <v>22</v>
      </c>
      <c r="C20" s="40" t="s">
        <v>28</v>
      </c>
      <c r="D20" s="43">
        <v>5</v>
      </c>
      <c r="E20" s="44">
        <v>2.08</v>
      </c>
    </row>
    <row r="21" spans="1:10">
      <c r="A21" s="40">
        <v>4182</v>
      </c>
      <c r="B21" s="41">
        <v>22</v>
      </c>
      <c r="C21" s="40" t="s">
        <v>29</v>
      </c>
      <c r="D21" s="43">
        <v>5</v>
      </c>
      <c r="E21" s="44">
        <v>2.08</v>
      </c>
    </row>
    <row r="22" spans="1:10">
      <c r="A22" s="40" t="s">
        <v>30</v>
      </c>
      <c r="B22" s="41"/>
      <c r="C22" s="40"/>
      <c r="D22" s="43"/>
      <c r="E22" s="46" t="s">
        <v>5</v>
      </c>
    </row>
    <row r="23" spans="1:10">
      <c r="A23" s="40">
        <v>3336</v>
      </c>
      <c r="B23" s="41">
        <v>30</v>
      </c>
      <c r="C23" s="40" t="s">
        <v>31</v>
      </c>
      <c r="D23" s="43">
        <v>5</v>
      </c>
      <c r="E23" s="44">
        <v>2.36</v>
      </c>
    </row>
    <row r="24" spans="1:10">
      <c r="A24" s="40" t="s">
        <v>32</v>
      </c>
      <c r="B24" s="41"/>
      <c r="C24" s="40"/>
      <c r="D24" s="43"/>
      <c r="E24" s="46" t="s">
        <v>5</v>
      </c>
    </row>
    <row r="25" spans="1:10">
      <c r="A25" s="40" t="s">
        <v>33</v>
      </c>
      <c r="B25" s="41">
        <v>30</v>
      </c>
      <c r="C25" s="40" t="s">
        <v>34</v>
      </c>
      <c r="D25" s="43">
        <v>5</v>
      </c>
      <c r="E25" s="44">
        <v>4.54</v>
      </c>
    </row>
    <row r="28" spans="1:10" ht="14.25" thickBot="1"/>
    <row r="29" spans="1:10" ht="14.25">
      <c r="A29" s="50" t="s">
        <v>46</v>
      </c>
      <c r="B29" s="50" t="s">
        <v>47</v>
      </c>
      <c r="C29" s="50" t="s">
        <v>48</v>
      </c>
      <c r="D29" s="50" t="s">
        <v>49</v>
      </c>
      <c r="E29" s="50" t="s">
        <v>50</v>
      </c>
      <c r="F29" s="50" t="s">
        <v>51</v>
      </c>
      <c r="G29" s="50" t="s">
        <v>52</v>
      </c>
      <c r="H29" s="50" t="s">
        <v>53</v>
      </c>
      <c r="I29" s="50" t="s">
        <v>54</v>
      </c>
      <c r="J29" s="51" t="s">
        <v>55</v>
      </c>
    </row>
    <row r="30" spans="1:10" ht="14.25" thickBot="1"/>
    <row r="31" spans="1:10" ht="14.25">
      <c r="A31" s="5" t="s">
        <v>0</v>
      </c>
      <c r="B31" s="5"/>
      <c r="C31" s="5" t="s">
        <v>36</v>
      </c>
      <c r="D31" s="1878" t="s">
        <v>1</v>
      </c>
      <c r="E31" s="1879"/>
      <c r="F31" s="1880"/>
      <c r="G31" s="5" t="s">
        <v>45</v>
      </c>
    </row>
    <row r="32" spans="1:10" ht="15">
      <c r="A32" s="22" t="s">
        <v>40</v>
      </c>
      <c r="B32" s="22"/>
      <c r="C32" s="22" t="s">
        <v>41</v>
      </c>
      <c r="D32" s="47">
        <v>13.7</v>
      </c>
      <c r="E32" s="31">
        <v>2</v>
      </c>
      <c r="F32" s="52">
        <v>24376</v>
      </c>
      <c r="G32" s="53">
        <v>74</v>
      </c>
    </row>
    <row r="33" spans="1:7" ht="15">
      <c r="A33" s="22" t="s">
        <v>40</v>
      </c>
      <c r="B33" s="22"/>
      <c r="C33" s="22" t="s">
        <v>42</v>
      </c>
      <c r="D33" s="47">
        <v>13.7</v>
      </c>
      <c r="E33" s="31">
        <v>2</v>
      </c>
      <c r="F33" s="52">
        <v>24376</v>
      </c>
      <c r="G33" s="53">
        <v>74</v>
      </c>
    </row>
    <row r="34" spans="1:7" ht="15">
      <c r="A34" s="22" t="s">
        <v>43</v>
      </c>
      <c r="B34" s="22"/>
      <c r="C34" s="22" t="s">
        <v>41</v>
      </c>
      <c r="D34" s="47">
        <v>13.7</v>
      </c>
      <c r="E34" s="31">
        <v>2</v>
      </c>
      <c r="F34" s="52">
        <v>24198</v>
      </c>
      <c r="G34" s="53">
        <v>128</v>
      </c>
    </row>
    <row r="35" spans="1:7" ht="15">
      <c r="A35" s="22" t="s">
        <v>43</v>
      </c>
      <c r="B35" s="22"/>
      <c r="C35" s="22" t="s">
        <v>42</v>
      </c>
      <c r="D35" s="47">
        <v>13.7</v>
      </c>
      <c r="E35" s="31">
        <v>2</v>
      </c>
      <c r="F35" s="52">
        <v>24198</v>
      </c>
      <c r="G35" s="53">
        <v>128</v>
      </c>
    </row>
    <row r="36" spans="1:7" ht="15">
      <c r="A36" s="49"/>
      <c r="B36" s="49"/>
      <c r="C36" s="22" t="s">
        <v>44</v>
      </c>
      <c r="D36" s="1881" t="s">
        <v>56</v>
      </c>
      <c r="E36" s="1882"/>
      <c r="F36" s="1883"/>
      <c r="G36" s="23"/>
    </row>
    <row r="38" spans="1:7" ht="15">
      <c r="A38" s="72" t="s">
        <v>61</v>
      </c>
    </row>
    <row r="39" spans="1:7" s="7" customFormat="1" ht="15">
      <c r="A39" s="28" t="s">
        <v>81</v>
      </c>
      <c r="B39" s="22" t="s">
        <v>82</v>
      </c>
      <c r="C39" s="24" t="s">
        <v>83</v>
      </c>
      <c r="D39" s="22" t="s">
        <v>84</v>
      </c>
      <c r="E39" s="27" t="s">
        <v>37</v>
      </c>
      <c r="F39" s="16" t="s">
        <v>85</v>
      </c>
    </row>
    <row r="40" spans="1:7" s="7" customFormat="1" ht="18" customHeight="1">
      <c r="A40" s="28" t="s">
        <v>74</v>
      </c>
      <c r="B40" s="22">
        <v>4063</v>
      </c>
      <c r="C40" s="24">
        <v>15</v>
      </c>
      <c r="D40" s="22" t="s">
        <v>75</v>
      </c>
      <c r="E40" s="68">
        <v>30</v>
      </c>
      <c r="F40" s="69">
        <v>0.9</v>
      </c>
    </row>
    <row r="41" spans="1:7" s="7" customFormat="1" ht="18" customHeight="1">
      <c r="A41" s="28" t="s">
        <v>74</v>
      </c>
      <c r="B41" s="22">
        <v>4063</v>
      </c>
      <c r="C41" s="24">
        <v>15</v>
      </c>
      <c r="D41" s="22" t="s">
        <v>76</v>
      </c>
      <c r="E41" s="68">
        <v>30</v>
      </c>
      <c r="F41" s="69">
        <v>0.9</v>
      </c>
    </row>
    <row r="42" spans="1:7" s="7" customFormat="1" ht="18" customHeight="1">
      <c r="A42" s="28" t="s">
        <v>74</v>
      </c>
      <c r="B42" s="22">
        <v>4063</v>
      </c>
      <c r="C42" s="24">
        <v>15</v>
      </c>
      <c r="D42" s="22" t="s">
        <v>77</v>
      </c>
      <c r="E42" s="68">
        <v>30</v>
      </c>
      <c r="F42" s="69">
        <v>0.9</v>
      </c>
    </row>
    <row r="43" spans="1:7" s="7" customFormat="1" ht="18" customHeight="1">
      <c r="A43" s="28" t="s">
        <v>74</v>
      </c>
      <c r="B43" s="22">
        <v>4063</v>
      </c>
      <c r="C43" s="24">
        <v>15</v>
      </c>
      <c r="D43" s="22" t="s">
        <v>78</v>
      </c>
      <c r="E43" s="68">
        <v>30</v>
      </c>
      <c r="F43" s="69">
        <v>0.9</v>
      </c>
    </row>
    <row r="44" spans="1:7" s="7" customFormat="1" ht="18" customHeight="1">
      <c r="A44" s="28" t="s">
        <v>74</v>
      </c>
      <c r="B44" s="22">
        <v>4067</v>
      </c>
      <c r="C44" s="24">
        <v>15</v>
      </c>
      <c r="D44" s="22" t="s">
        <v>79</v>
      </c>
      <c r="E44" s="68">
        <v>30</v>
      </c>
      <c r="F44" s="69">
        <v>0.9</v>
      </c>
    </row>
    <row r="45" spans="1:7" s="7" customFormat="1" ht="18" customHeight="1">
      <c r="A45" s="28" t="s">
        <v>74</v>
      </c>
      <c r="B45" s="22">
        <v>4067</v>
      </c>
      <c r="C45" s="24">
        <v>15</v>
      </c>
      <c r="D45" s="22" t="s">
        <v>80</v>
      </c>
      <c r="E45" s="68">
        <v>30</v>
      </c>
      <c r="F45" s="69">
        <v>0.9</v>
      </c>
    </row>
    <row r="46" spans="1:7" s="1" customFormat="1" ht="15">
      <c r="A46" s="28" t="s">
        <v>74</v>
      </c>
      <c r="B46" s="65"/>
      <c r="C46" s="70"/>
      <c r="D46" s="48" t="s">
        <v>14</v>
      </c>
      <c r="E46" s="71"/>
      <c r="F46" s="69">
        <v>12</v>
      </c>
    </row>
    <row r="50" spans="1:5" s="7" customFormat="1" ht="15">
      <c r="A50" s="28" t="s">
        <v>81</v>
      </c>
      <c r="B50" s="22" t="s">
        <v>82</v>
      </c>
      <c r="C50" s="22" t="s">
        <v>87</v>
      </c>
      <c r="D50" s="27" t="s">
        <v>37</v>
      </c>
      <c r="E50" s="16" t="s">
        <v>88</v>
      </c>
    </row>
    <row r="51" spans="1:5" s="7" customFormat="1" ht="15">
      <c r="A51" s="28" t="s">
        <v>73</v>
      </c>
      <c r="B51" s="22" t="s">
        <v>40</v>
      </c>
      <c r="C51" s="22" t="s">
        <v>42</v>
      </c>
      <c r="D51" s="73" t="s">
        <v>86</v>
      </c>
      <c r="E51" s="69">
        <v>1.24</v>
      </c>
    </row>
    <row r="52" spans="1:5" s="7" customFormat="1" ht="15">
      <c r="A52" s="28" t="s">
        <v>73</v>
      </c>
      <c r="B52" s="49"/>
      <c r="C52" s="22" t="s">
        <v>44</v>
      </c>
      <c r="D52" s="74">
        <v>1</v>
      </c>
      <c r="E52" s="69">
        <v>100</v>
      </c>
    </row>
    <row r="54" spans="1:5" ht="15.75">
      <c r="A54" s="76" t="s">
        <v>81</v>
      </c>
      <c r="B54" s="76" t="s">
        <v>95</v>
      </c>
      <c r="C54" s="77" t="s">
        <v>82</v>
      </c>
      <c r="D54" s="77" t="s">
        <v>87</v>
      </c>
      <c r="E54" s="78" t="s">
        <v>37</v>
      </c>
    </row>
    <row r="55" spans="1:5" ht="14.25">
      <c r="A55" s="79" t="s">
        <v>89</v>
      </c>
      <c r="B55" s="48" t="s">
        <v>66</v>
      </c>
      <c r="C55" s="48">
        <v>2440</v>
      </c>
      <c r="D55" s="48" t="s">
        <v>90</v>
      </c>
      <c r="E55" s="68">
        <v>15</v>
      </c>
    </row>
    <row r="56" spans="1:5" ht="14.25">
      <c r="A56" s="79" t="s">
        <v>89</v>
      </c>
      <c r="B56" s="48" t="s">
        <v>66</v>
      </c>
      <c r="C56" s="48">
        <v>2440</v>
      </c>
      <c r="D56" s="48" t="s">
        <v>91</v>
      </c>
      <c r="E56" s="68">
        <v>10</v>
      </c>
    </row>
    <row r="57" spans="1:5" ht="14.25">
      <c r="A57" s="79" t="s">
        <v>89</v>
      </c>
      <c r="B57" s="48" t="s">
        <v>66</v>
      </c>
      <c r="C57" s="48">
        <v>2440</v>
      </c>
      <c r="D57" s="48" t="s">
        <v>92</v>
      </c>
      <c r="E57" s="68">
        <v>15</v>
      </c>
    </row>
    <row r="58" spans="1:5" ht="14.25">
      <c r="A58" s="79" t="s">
        <v>89</v>
      </c>
      <c r="B58" s="48" t="s">
        <v>66</v>
      </c>
      <c r="C58" s="48">
        <v>2440</v>
      </c>
      <c r="D58" s="48" t="s">
        <v>93</v>
      </c>
      <c r="E58" s="68">
        <v>10</v>
      </c>
    </row>
    <row r="59" spans="1:5" ht="14.25">
      <c r="A59" s="79" t="s">
        <v>89</v>
      </c>
      <c r="B59" s="48" t="s">
        <v>66</v>
      </c>
      <c r="C59" s="48">
        <v>2440</v>
      </c>
      <c r="D59" s="48" t="s">
        <v>94</v>
      </c>
      <c r="E59" s="68">
        <v>15</v>
      </c>
    </row>
    <row r="62" spans="1:5" s="1" customFormat="1" ht="18" customHeight="1">
      <c r="A62" s="76" t="s">
        <v>81</v>
      </c>
      <c r="B62" s="77" t="s">
        <v>82</v>
      </c>
      <c r="C62" s="77" t="s">
        <v>87</v>
      </c>
      <c r="D62" s="78" t="s">
        <v>37</v>
      </c>
      <c r="E62" s="80" t="s">
        <v>88</v>
      </c>
    </row>
    <row r="63" spans="1:5" s="1" customFormat="1" ht="18" customHeight="1">
      <c r="A63" s="58" t="s">
        <v>89</v>
      </c>
      <c r="B63" s="75">
        <v>2440</v>
      </c>
      <c r="C63" s="48" t="s">
        <v>90</v>
      </c>
      <c r="D63" s="59">
        <v>15</v>
      </c>
      <c r="E63" s="34">
        <v>3.1</v>
      </c>
    </row>
    <row r="64" spans="1:5" s="1" customFormat="1" ht="18" customHeight="1">
      <c r="A64" s="58" t="s">
        <v>89</v>
      </c>
      <c r="B64" s="75">
        <v>2440</v>
      </c>
      <c r="C64" s="48" t="s">
        <v>91</v>
      </c>
      <c r="D64" s="59">
        <v>10</v>
      </c>
      <c r="E64" s="34">
        <v>3.1</v>
      </c>
    </row>
    <row r="65" spans="1:5" s="1" customFormat="1" ht="18" customHeight="1">
      <c r="A65" s="58" t="s">
        <v>89</v>
      </c>
      <c r="B65" s="75">
        <v>2440</v>
      </c>
      <c r="C65" s="48" t="s">
        <v>92</v>
      </c>
      <c r="D65" s="59">
        <v>15</v>
      </c>
      <c r="E65" s="34">
        <v>3.1</v>
      </c>
    </row>
    <row r="66" spans="1:5" s="1" customFormat="1" ht="18" customHeight="1">
      <c r="A66" s="58" t="s">
        <v>89</v>
      </c>
      <c r="B66" s="75">
        <v>2440</v>
      </c>
      <c r="C66" s="48" t="s">
        <v>93</v>
      </c>
      <c r="D66" s="59">
        <v>10</v>
      </c>
      <c r="E66" s="34">
        <v>3.1</v>
      </c>
    </row>
    <row r="67" spans="1:5" s="1" customFormat="1" ht="18" customHeight="1">
      <c r="A67" s="58" t="s">
        <v>89</v>
      </c>
      <c r="B67" s="75">
        <v>2440</v>
      </c>
      <c r="C67" s="48" t="s">
        <v>94</v>
      </c>
      <c r="D67" s="59">
        <v>15</v>
      </c>
      <c r="E67" s="34">
        <v>3.1</v>
      </c>
    </row>
    <row r="68" spans="1:5" s="1" customFormat="1" ht="14.25">
      <c r="A68" s="58" t="s">
        <v>89</v>
      </c>
      <c r="B68" s="65"/>
      <c r="C68" s="48" t="s">
        <v>57</v>
      </c>
      <c r="D68" s="30" t="s">
        <v>96</v>
      </c>
      <c r="E68" s="34">
        <v>60</v>
      </c>
    </row>
    <row r="69" spans="1:5" s="1" customFormat="1" ht="14.25">
      <c r="A69" s="58" t="s">
        <v>89</v>
      </c>
      <c r="B69" s="65"/>
      <c r="C69" s="48" t="s">
        <v>14</v>
      </c>
      <c r="D69" s="30" t="s">
        <v>64</v>
      </c>
      <c r="E69" s="34">
        <v>12</v>
      </c>
    </row>
    <row r="74" spans="1:5" ht="15.75">
      <c r="A74" s="77" t="s">
        <v>82</v>
      </c>
      <c r="B74" s="77" t="s">
        <v>87</v>
      </c>
      <c r="C74" s="78" t="s">
        <v>37</v>
      </c>
      <c r="D74" s="80" t="s">
        <v>88</v>
      </c>
    </row>
    <row r="75" spans="1:5" ht="15">
      <c r="A75" s="22" t="s">
        <v>114</v>
      </c>
      <c r="B75" s="22" t="s">
        <v>58</v>
      </c>
      <c r="C75" s="47">
        <v>54.8</v>
      </c>
      <c r="D75" s="34">
        <v>2.4</v>
      </c>
    </row>
    <row r="76" spans="1:5" ht="14.25">
      <c r="A76" s="48"/>
      <c r="B76" s="48" t="s">
        <v>14</v>
      </c>
      <c r="C76" s="30" t="s">
        <v>64</v>
      </c>
      <c r="D76" s="34">
        <v>12</v>
      </c>
    </row>
    <row r="78" spans="1:5" ht="15.75">
      <c r="A78" s="77" t="s">
        <v>82</v>
      </c>
      <c r="B78" s="77" t="s">
        <v>87</v>
      </c>
      <c r="C78" s="78" t="s">
        <v>37</v>
      </c>
      <c r="D78" s="80" t="s">
        <v>88</v>
      </c>
    </row>
    <row r="79" spans="1:5" ht="15">
      <c r="A79" s="22" t="s">
        <v>104</v>
      </c>
      <c r="B79" s="22" t="s">
        <v>105</v>
      </c>
      <c r="C79" s="47">
        <v>27.4</v>
      </c>
      <c r="D79" s="34">
        <v>2.0699999999999998</v>
      </c>
    </row>
    <row r="80" spans="1:5" ht="15">
      <c r="A80" s="22" t="s">
        <v>104</v>
      </c>
      <c r="B80" s="22" t="s">
        <v>106</v>
      </c>
      <c r="C80" s="47">
        <v>27.4</v>
      </c>
      <c r="D80" s="34">
        <v>2.0699999999999998</v>
      </c>
    </row>
    <row r="81" spans="1:8" ht="14.25">
      <c r="A81" s="48"/>
      <c r="B81" s="48" t="s">
        <v>107</v>
      </c>
      <c r="C81" s="30" t="s">
        <v>108</v>
      </c>
      <c r="D81" s="34">
        <v>200</v>
      </c>
    </row>
    <row r="82" spans="1:8" ht="14.25">
      <c r="A82" s="48"/>
      <c r="B82" s="48"/>
      <c r="C82" s="30"/>
      <c r="D82" s="34"/>
    </row>
    <row r="83" spans="1:8" ht="14.25">
      <c r="A83" s="48"/>
      <c r="B83" s="48"/>
      <c r="C83" s="30"/>
      <c r="D83" s="34"/>
    </row>
    <row r="84" spans="1:8" ht="14.25">
      <c r="A84" s="48"/>
      <c r="B84" s="48"/>
      <c r="C84" s="30"/>
      <c r="D84" s="34"/>
    </row>
    <row r="85" spans="1:8" ht="14.25">
      <c r="A85" s="48"/>
      <c r="B85" s="48"/>
      <c r="C85" s="30"/>
      <c r="D85" s="34"/>
    </row>
    <row r="86" spans="1:8" ht="14.25">
      <c r="A86" s="48"/>
      <c r="B86" s="48"/>
      <c r="C86" s="30"/>
      <c r="D86" s="34"/>
    </row>
    <row r="87" spans="1:8" ht="15">
      <c r="A87" s="14"/>
      <c r="B87" s="19" t="s">
        <v>103</v>
      </c>
      <c r="C87" s="24"/>
      <c r="D87" s="22"/>
      <c r="E87" s="60"/>
      <c r="F87" s="60"/>
      <c r="G87" s="61"/>
      <c r="H87" s="63" t="s">
        <v>101</v>
      </c>
    </row>
    <row r="88" spans="1:8" ht="15">
      <c r="A88" s="14" t="s">
        <v>11</v>
      </c>
      <c r="B88" s="82" t="s">
        <v>104</v>
      </c>
      <c r="C88" s="24"/>
      <c r="D88" s="22" t="s">
        <v>105</v>
      </c>
      <c r="E88" s="47">
        <f>F88*G88</f>
        <v>27.4</v>
      </c>
      <c r="F88" s="47">
        <v>13.7</v>
      </c>
      <c r="G88" s="57">
        <v>2</v>
      </c>
      <c r="H88" s="23">
        <v>2.0699999999999998</v>
      </c>
    </row>
    <row r="89" spans="1:8" ht="15">
      <c r="A89" s="14" t="s">
        <v>11</v>
      </c>
      <c r="B89" s="82" t="s">
        <v>104</v>
      </c>
      <c r="C89" s="24"/>
      <c r="D89" s="22" t="s">
        <v>106</v>
      </c>
      <c r="E89" s="47">
        <f>F89*G89</f>
        <v>27.4</v>
      </c>
      <c r="F89" s="47">
        <v>13.7</v>
      </c>
      <c r="G89" s="57">
        <v>2</v>
      </c>
      <c r="H89" s="23">
        <v>2.0699999999999998</v>
      </c>
    </row>
    <row r="90" spans="1:8" ht="15">
      <c r="A90" s="14" t="s">
        <v>11</v>
      </c>
      <c r="B90" s="82"/>
      <c r="C90" s="24"/>
      <c r="D90" s="22" t="s">
        <v>107</v>
      </c>
      <c r="E90" s="47"/>
      <c r="F90" s="86" t="s">
        <v>108</v>
      </c>
      <c r="G90" s="57"/>
      <c r="H90" s="23">
        <v>200</v>
      </c>
    </row>
    <row r="94" spans="1:8" ht="15">
      <c r="A94" s="82" t="s">
        <v>69</v>
      </c>
      <c r="B94" s="24"/>
      <c r="C94" s="22" t="s">
        <v>58</v>
      </c>
      <c r="D94" s="62">
        <v>54.8</v>
      </c>
      <c r="E94" s="47">
        <v>13.7</v>
      </c>
      <c r="F94" s="31">
        <v>4</v>
      </c>
      <c r="G94" s="23">
        <v>2.4</v>
      </c>
    </row>
    <row r="95" spans="1:8" ht="14.25">
      <c r="A95" s="48"/>
      <c r="B95" s="66"/>
      <c r="C95" s="48" t="s">
        <v>14</v>
      </c>
      <c r="D95" s="30"/>
      <c r="E95" s="30" t="s">
        <v>64</v>
      </c>
      <c r="F95" s="31"/>
      <c r="G95" s="34">
        <v>12</v>
      </c>
    </row>
    <row r="97" spans="1:7" ht="15">
      <c r="A97" s="19" t="s">
        <v>38</v>
      </c>
      <c r="B97" s="24"/>
      <c r="C97" s="22"/>
      <c r="D97" s="60"/>
      <c r="E97" s="60"/>
      <c r="F97" s="61"/>
      <c r="G97" s="16" t="s">
        <v>4</v>
      </c>
    </row>
    <row r="98" spans="1:7" ht="15">
      <c r="A98" s="82" t="s">
        <v>68</v>
      </c>
      <c r="B98" s="24"/>
      <c r="C98" s="22" t="s">
        <v>109</v>
      </c>
      <c r="D98" s="30">
        <f>E98*F98</f>
        <v>14</v>
      </c>
      <c r="E98" s="47">
        <v>14</v>
      </c>
      <c r="F98" s="31">
        <v>1</v>
      </c>
      <c r="G98" s="23">
        <v>1.65</v>
      </c>
    </row>
    <row r="99" spans="1:7" ht="15">
      <c r="A99" s="82" t="s">
        <v>62</v>
      </c>
      <c r="B99" s="24"/>
      <c r="C99" s="22" t="s">
        <v>67</v>
      </c>
      <c r="D99" s="62">
        <f>E99*F99</f>
        <v>13.7</v>
      </c>
      <c r="E99" s="47">
        <v>13.7</v>
      </c>
      <c r="F99" s="31">
        <v>1</v>
      </c>
      <c r="G99" s="23">
        <v>2.4</v>
      </c>
    </row>
    <row r="100" spans="1:7" ht="14.25">
      <c r="A100" s="48"/>
      <c r="B100" s="66"/>
      <c r="C100" s="48" t="s">
        <v>14</v>
      </c>
      <c r="D100" s="30"/>
      <c r="E100" s="30" t="s">
        <v>64</v>
      </c>
      <c r="F100" s="31"/>
      <c r="G100" s="34">
        <v>12</v>
      </c>
    </row>
    <row r="103" spans="1:7" ht="15.75">
      <c r="A103" s="77" t="s">
        <v>82</v>
      </c>
      <c r="B103" s="77" t="s">
        <v>87</v>
      </c>
      <c r="C103" s="78" t="s">
        <v>37</v>
      </c>
      <c r="D103" s="80" t="s">
        <v>88</v>
      </c>
    </row>
    <row r="104" spans="1:7" ht="15">
      <c r="A104" s="22" t="s">
        <v>69</v>
      </c>
      <c r="B104" s="22" t="s">
        <v>58</v>
      </c>
      <c r="C104" s="47" t="s">
        <v>115</v>
      </c>
      <c r="D104" s="34">
        <v>2.4</v>
      </c>
    </row>
    <row r="105" spans="1:7" ht="14.25">
      <c r="A105" s="48"/>
      <c r="B105" s="48" t="s">
        <v>14</v>
      </c>
      <c r="C105" s="30" t="s">
        <v>64</v>
      </c>
      <c r="D105" s="34">
        <v>12</v>
      </c>
    </row>
    <row r="108" spans="1:7" ht="15">
      <c r="A108" s="19" t="s">
        <v>38</v>
      </c>
      <c r="B108" s="24"/>
      <c r="C108" s="22"/>
      <c r="D108" s="60"/>
      <c r="E108" s="60"/>
      <c r="F108" s="61"/>
      <c r="G108" s="16" t="s">
        <v>4</v>
      </c>
    </row>
    <row r="109" spans="1:7" ht="15">
      <c r="A109" s="82" t="s">
        <v>69</v>
      </c>
      <c r="B109" s="24"/>
      <c r="C109" s="22" t="s">
        <v>58</v>
      </c>
      <c r="D109" s="62">
        <f>E109*F109</f>
        <v>109.6</v>
      </c>
      <c r="E109" s="47">
        <v>13.7</v>
      </c>
      <c r="F109" s="31">
        <v>8</v>
      </c>
      <c r="G109" s="23">
        <v>2.4</v>
      </c>
    </row>
    <row r="110" spans="1:7" ht="14.25">
      <c r="A110" s="48"/>
      <c r="B110" s="66"/>
      <c r="C110" s="48" t="s">
        <v>14</v>
      </c>
      <c r="D110" s="30"/>
      <c r="E110" s="30" t="s">
        <v>64</v>
      </c>
      <c r="F110" s="31"/>
      <c r="G110" s="34">
        <v>12</v>
      </c>
    </row>
    <row r="119" spans="1:9">
      <c r="A119" s="95" t="s">
        <v>131</v>
      </c>
      <c r="B119" s="1093" t="s">
        <v>132</v>
      </c>
      <c r="C119" s="1094" t="s">
        <v>133</v>
      </c>
      <c r="D119" s="1095" t="s">
        <v>134</v>
      </c>
    </row>
    <row r="120" spans="1:9" ht="21">
      <c r="A120" s="1096">
        <v>14552</v>
      </c>
      <c r="B120" s="1097">
        <v>5</v>
      </c>
      <c r="C120" s="1098">
        <v>30</v>
      </c>
      <c r="D120" s="96">
        <v>23.5</v>
      </c>
      <c r="E120" s="98" t="s">
        <v>135</v>
      </c>
      <c r="F120" s="98" t="s">
        <v>136</v>
      </c>
      <c r="G120" s="99" t="s">
        <v>137</v>
      </c>
      <c r="H120" s="98"/>
      <c r="I120" s="100">
        <v>23.5</v>
      </c>
    </row>
    <row r="121" spans="1:9" ht="21">
      <c r="A121" s="1096">
        <v>14552</v>
      </c>
      <c r="B121" s="1097">
        <v>7</v>
      </c>
      <c r="C121" s="1098">
        <v>30</v>
      </c>
      <c r="D121" s="96">
        <v>24.5</v>
      </c>
      <c r="E121" s="98" t="s">
        <v>135</v>
      </c>
      <c r="F121" s="98" t="s">
        <v>138</v>
      </c>
      <c r="G121" s="99" t="s">
        <v>137</v>
      </c>
      <c r="H121" s="98"/>
      <c r="I121" s="100">
        <v>24.5</v>
      </c>
    </row>
    <row r="122" spans="1:9" ht="21">
      <c r="A122" s="1096">
        <v>14552</v>
      </c>
      <c r="B122" s="1097">
        <v>10</v>
      </c>
      <c r="C122" s="1098">
        <v>30</v>
      </c>
      <c r="D122" s="97">
        <v>27</v>
      </c>
      <c r="E122" s="98" t="s">
        <v>135</v>
      </c>
      <c r="F122" s="98" t="s">
        <v>139</v>
      </c>
      <c r="G122" s="99" t="s">
        <v>137</v>
      </c>
      <c r="H122" s="98"/>
      <c r="I122" s="100">
        <v>27</v>
      </c>
    </row>
    <row r="123" spans="1:9" ht="21">
      <c r="A123" s="1096">
        <v>14552</v>
      </c>
      <c r="B123" s="1097">
        <v>12</v>
      </c>
      <c r="C123" s="1098">
        <v>30</v>
      </c>
      <c r="D123" s="96">
        <v>29.5</v>
      </c>
      <c r="E123" s="98" t="s">
        <v>135</v>
      </c>
      <c r="F123" s="98" t="s">
        <v>140</v>
      </c>
      <c r="G123" s="99" t="s">
        <v>137</v>
      </c>
      <c r="H123" s="98"/>
      <c r="I123" s="100">
        <v>29.5</v>
      </c>
    </row>
    <row r="124" spans="1:9" ht="21">
      <c r="A124" s="1096">
        <v>14552</v>
      </c>
      <c r="B124" s="1097">
        <v>15</v>
      </c>
      <c r="C124" s="1098">
        <v>30</v>
      </c>
      <c r="D124" s="97">
        <v>33</v>
      </c>
      <c r="E124" s="98" t="s">
        <v>135</v>
      </c>
      <c r="F124" s="98" t="s">
        <v>141</v>
      </c>
      <c r="G124" s="99" t="s">
        <v>137</v>
      </c>
      <c r="H124" s="98"/>
      <c r="I124" s="100">
        <v>33</v>
      </c>
    </row>
    <row r="125" spans="1:9" ht="21">
      <c r="A125" s="1096">
        <v>14552</v>
      </c>
      <c r="B125" s="1097">
        <v>18</v>
      </c>
      <c r="C125" s="1098">
        <v>30</v>
      </c>
      <c r="D125" s="97">
        <v>40</v>
      </c>
      <c r="E125" s="98" t="s">
        <v>135</v>
      </c>
      <c r="F125" s="98" t="s">
        <v>142</v>
      </c>
      <c r="G125" s="99" t="s">
        <v>137</v>
      </c>
      <c r="H125" s="98"/>
      <c r="I125" s="100">
        <v>40</v>
      </c>
    </row>
    <row r="126" spans="1:9" ht="21">
      <c r="A126" s="1096">
        <v>14552</v>
      </c>
      <c r="B126" s="1097">
        <v>25</v>
      </c>
      <c r="C126" s="1098">
        <v>30</v>
      </c>
      <c r="D126" s="97">
        <v>48</v>
      </c>
      <c r="E126" s="98" t="s">
        <v>135</v>
      </c>
      <c r="F126" s="98" t="s">
        <v>143</v>
      </c>
      <c r="G126" s="99" t="s">
        <v>137</v>
      </c>
      <c r="H126" s="98"/>
      <c r="I126" s="100">
        <v>48</v>
      </c>
    </row>
    <row r="127" spans="1:9" ht="21">
      <c r="A127" s="1096">
        <v>14552</v>
      </c>
      <c r="B127" s="1097">
        <v>30</v>
      </c>
      <c r="C127" s="1098">
        <v>30</v>
      </c>
      <c r="D127" s="97">
        <v>63</v>
      </c>
      <c r="E127" s="98" t="s">
        <v>135</v>
      </c>
      <c r="F127" s="98" t="s">
        <v>144</v>
      </c>
      <c r="G127" s="99" t="s">
        <v>137</v>
      </c>
      <c r="H127" s="98"/>
      <c r="I127" s="100">
        <v>63</v>
      </c>
    </row>
    <row r="128" spans="1:9" ht="21">
      <c r="A128" s="1096">
        <v>14552</v>
      </c>
      <c r="B128" s="1097">
        <v>38</v>
      </c>
      <c r="C128" s="1098">
        <v>30</v>
      </c>
      <c r="D128" s="96">
        <v>70.5</v>
      </c>
      <c r="E128" s="98" t="s">
        <v>135</v>
      </c>
      <c r="F128" s="98" t="s">
        <v>145</v>
      </c>
      <c r="G128" s="99" t="s">
        <v>137</v>
      </c>
      <c r="H128" s="98"/>
      <c r="I128" s="100">
        <v>70.5</v>
      </c>
    </row>
    <row r="129" spans="1:9" ht="21">
      <c r="A129" s="1096">
        <v>14552</v>
      </c>
      <c r="B129" s="1097">
        <v>50</v>
      </c>
      <c r="C129" s="1098">
        <v>30</v>
      </c>
      <c r="D129" s="97">
        <v>101</v>
      </c>
      <c r="E129" s="98" t="s">
        <v>135</v>
      </c>
      <c r="F129" s="98" t="s">
        <v>146</v>
      </c>
      <c r="G129" s="99" t="s">
        <v>137</v>
      </c>
      <c r="H129" s="98"/>
      <c r="I129" s="100">
        <v>101</v>
      </c>
    </row>
    <row r="130" spans="1:9" ht="21">
      <c r="A130" s="1096">
        <v>14552</v>
      </c>
      <c r="B130" s="1097">
        <v>75</v>
      </c>
      <c r="C130" s="1098">
        <v>30</v>
      </c>
      <c r="D130" s="97">
        <v>162</v>
      </c>
      <c r="E130" s="98" t="s">
        <v>135</v>
      </c>
      <c r="F130" s="98" t="s">
        <v>147</v>
      </c>
      <c r="G130" s="99" t="s">
        <v>137</v>
      </c>
      <c r="H130" s="98"/>
      <c r="I130" s="100">
        <v>162</v>
      </c>
    </row>
    <row r="132" spans="1:9">
      <c r="A132" t="s">
        <v>4784</v>
      </c>
    </row>
    <row r="133" spans="1:9" ht="18">
      <c r="A133" s="1247" t="s">
        <v>4785</v>
      </c>
      <c r="B133" s="1248" t="s">
        <v>4786</v>
      </c>
      <c r="C133" s="1248" t="s">
        <v>4787</v>
      </c>
      <c r="D133" s="1250" t="s">
        <v>4788</v>
      </c>
      <c r="E133" s="1249" t="s">
        <v>452</v>
      </c>
    </row>
    <row r="134" spans="1:9" ht="18">
      <c r="A134" s="1251" t="s">
        <v>4779</v>
      </c>
      <c r="B134" s="1252">
        <v>45147</v>
      </c>
      <c r="C134" s="1252">
        <v>45177</v>
      </c>
      <c r="D134" s="1253" t="s">
        <v>4780</v>
      </c>
      <c r="E134" s="1254">
        <v>138</v>
      </c>
    </row>
    <row r="135" spans="1:9" ht="18">
      <c r="A135" s="1251" t="s">
        <v>4781</v>
      </c>
      <c r="B135" s="1252">
        <v>45167</v>
      </c>
      <c r="C135" s="1252">
        <v>45197</v>
      </c>
      <c r="D135" s="1253" t="s">
        <v>4780</v>
      </c>
      <c r="E135" s="1254">
        <v>237.6</v>
      </c>
    </row>
    <row r="136" spans="1:9" ht="18">
      <c r="A136" s="1251" t="s">
        <v>4782</v>
      </c>
      <c r="B136" s="1252">
        <v>45231</v>
      </c>
      <c r="C136" s="1252">
        <v>45261</v>
      </c>
      <c r="D136" s="1253" t="s">
        <v>4780</v>
      </c>
      <c r="E136" s="1254">
        <v>367</v>
      </c>
    </row>
    <row r="137" spans="1:9" ht="18">
      <c r="A137" s="1251" t="s">
        <v>4783</v>
      </c>
      <c r="B137" s="1252">
        <v>45314</v>
      </c>
      <c r="C137" s="1252">
        <v>45344</v>
      </c>
      <c r="D137" s="1253"/>
      <c r="E137" s="1254">
        <v>111</v>
      </c>
    </row>
    <row r="140" spans="1:9">
      <c r="A140" s="352"/>
      <c r="B140" s="352"/>
      <c r="C140" s="352"/>
    </row>
    <row r="141" spans="1:9">
      <c r="A141" s="1312" t="s">
        <v>4014</v>
      </c>
      <c r="B141" s="1115" t="s">
        <v>5047</v>
      </c>
      <c r="C141" s="1115" t="s">
        <v>5048</v>
      </c>
    </row>
    <row r="142" spans="1:9">
      <c r="A142" s="1115" t="s">
        <v>5058</v>
      </c>
      <c r="B142" s="1115" t="s">
        <v>5050</v>
      </c>
      <c r="C142" s="1115" t="s">
        <v>5049</v>
      </c>
    </row>
    <row r="143" spans="1:9">
      <c r="A143" s="1313" t="s">
        <v>5058</v>
      </c>
      <c r="B143" s="1313" t="s">
        <v>5050</v>
      </c>
      <c r="C143" s="1313">
        <v>12</v>
      </c>
    </row>
    <row r="144" spans="1:9">
      <c r="A144" s="1314" t="s">
        <v>5051</v>
      </c>
      <c r="B144" s="1314" t="s">
        <v>5052</v>
      </c>
      <c r="C144" s="1314">
        <v>12</v>
      </c>
    </row>
    <row r="145" spans="1:4">
      <c r="A145" s="1314" t="s">
        <v>5053</v>
      </c>
      <c r="B145" s="1314" t="s">
        <v>5054</v>
      </c>
      <c r="C145" s="1314">
        <v>12</v>
      </c>
    </row>
    <row r="146" spans="1:4">
      <c r="A146" s="1313" t="s">
        <v>5055</v>
      </c>
      <c r="B146" s="1313" t="s">
        <v>5056</v>
      </c>
      <c r="C146" s="1313">
        <v>12</v>
      </c>
    </row>
    <row r="147" spans="1:4">
      <c r="A147" s="1313" t="s">
        <v>5053</v>
      </c>
      <c r="B147" s="1313" t="s">
        <v>5057</v>
      </c>
      <c r="C147" s="1313">
        <v>12</v>
      </c>
    </row>
    <row r="148" spans="1:4">
      <c r="A148" s="1313" t="s">
        <v>5059</v>
      </c>
      <c r="B148" s="1313" t="s">
        <v>5060</v>
      </c>
      <c r="C148" s="1313">
        <v>12</v>
      </c>
    </row>
    <row r="149" spans="1:4">
      <c r="A149" s="1313" t="s">
        <v>5061</v>
      </c>
      <c r="B149" s="1313"/>
      <c r="C149" s="1313">
        <v>312</v>
      </c>
    </row>
    <row r="150" spans="1:4">
      <c r="A150" s="1313" t="s">
        <v>5062</v>
      </c>
      <c r="B150" s="1313"/>
      <c r="C150" s="1313">
        <v>312</v>
      </c>
    </row>
    <row r="151" spans="1:4">
      <c r="A151" s="1313" t="s">
        <v>5063</v>
      </c>
      <c r="B151" s="1313"/>
      <c r="C151" s="1313" t="s">
        <v>5064</v>
      </c>
    </row>
    <row r="152" spans="1:4">
      <c r="A152" s="1313" t="s">
        <v>5065</v>
      </c>
      <c r="B152" s="1313"/>
      <c r="C152" s="1313">
        <v>12</v>
      </c>
    </row>
    <row r="153" spans="1:4">
      <c r="A153" s="1313" t="s">
        <v>5059</v>
      </c>
      <c r="B153" s="1313" t="s">
        <v>5066</v>
      </c>
      <c r="C153" s="1313">
        <v>12</v>
      </c>
    </row>
    <row r="154" spans="1:4">
      <c r="A154" s="1311"/>
      <c r="B154" s="1311"/>
      <c r="C154" s="1311"/>
    </row>
    <row r="155" spans="1:4">
      <c r="A155" s="1311"/>
      <c r="B155" s="1311"/>
      <c r="C155" s="1311"/>
    </row>
    <row r="156" spans="1:4">
      <c r="A156" s="352"/>
      <c r="B156" s="352"/>
      <c r="C156" s="352"/>
    </row>
    <row r="157" spans="1:4" s="1348" customFormat="1" ht="36">
      <c r="A157" s="1351" t="s">
        <v>4785</v>
      </c>
      <c r="B157" s="1352" t="s">
        <v>5176</v>
      </c>
      <c r="C157" s="1352" t="s">
        <v>5177</v>
      </c>
      <c r="D157" s="1353" t="s">
        <v>5178</v>
      </c>
    </row>
    <row r="158" spans="1:4" s="1349" customFormat="1" ht="18.75" customHeight="1">
      <c r="A158" s="1354" t="s">
        <v>5175</v>
      </c>
      <c r="B158" s="1355">
        <v>232</v>
      </c>
      <c r="C158" s="1355">
        <v>201.4</v>
      </c>
      <c r="D158" s="1356">
        <v>21000</v>
      </c>
    </row>
    <row r="159" spans="1:4" ht="14.25">
      <c r="A159" s="1357" t="s">
        <v>5179</v>
      </c>
      <c r="B159" s="1355">
        <v>7121.9</v>
      </c>
      <c r="C159" s="1355">
        <v>4720.96</v>
      </c>
      <c r="D159" s="1356">
        <v>400630</v>
      </c>
    </row>
    <row r="160" spans="1:4" ht="14.25">
      <c r="A160" s="158" t="s">
        <v>5180</v>
      </c>
      <c r="B160" s="1355">
        <v>6453.4</v>
      </c>
      <c r="C160" s="1355">
        <v>4382.46</v>
      </c>
      <c r="D160" s="1356">
        <v>374730</v>
      </c>
    </row>
  </sheetData>
  <mergeCells count="2">
    <mergeCell ref="D31:F31"/>
    <mergeCell ref="D36:F36"/>
  </mergeCells>
  <phoneticPr fontId="3"/>
  <conditionalFormatting sqref="A134:B136 D134:E136 A137:E137">
    <cfRule type="expression" dxfId="19" priority="11" stopIfTrue="1">
      <formula>$D134="OVERDUE"</formula>
    </cfRule>
  </conditionalFormatting>
  <conditionalFormatting sqref="C134">
    <cfRule type="expression" dxfId="18" priority="10" stopIfTrue="1">
      <formula>$D134="OVERDUE"</formula>
    </cfRule>
  </conditionalFormatting>
  <conditionalFormatting sqref="C135:C136">
    <cfRule type="expression" dxfId="17" priority="9" stopIfTrue="1">
      <formula>$D135="OVERDUE"</formula>
    </cfRule>
  </conditionalFormatting>
  <conditionalFormatting sqref="A158:D158">
    <cfRule type="expression" dxfId="16" priority="6" stopIfTrue="1">
      <formula>#REF!="OVERDUE"</formula>
    </cfRule>
  </conditionalFormatting>
  <conditionalFormatting sqref="B159:B160">
    <cfRule type="expression" dxfId="15" priority="3" stopIfTrue="1">
      <formula>#REF!="OVERDUE"</formula>
    </cfRule>
  </conditionalFormatting>
  <conditionalFormatting sqref="C159:C160">
    <cfRule type="expression" dxfId="14" priority="2" stopIfTrue="1">
      <formula>#REF!="OVERDUE"</formula>
    </cfRule>
  </conditionalFormatting>
  <conditionalFormatting sqref="D159:D160">
    <cfRule type="expression" dxfId="13" priority="1" stopIfTrue="1">
      <formula>#REF!="OVERDUE"</formula>
    </cfRule>
  </conditionalFormatting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B074A-6020-4480-8258-07016BAD5EB8}">
  <dimension ref="A1"/>
  <sheetViews>
    <sheetView workbookViewId="0"/>
  </sheetViews>
  <sheetFormatPr defaultRowHeight="13.5"/>
  <sheetData/>
  <phoneticPr fontId="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3EEEB-DDF8-4862-8891-4840FC48055F}">
  <dimension ref="A1"/>
  <sheetViews>
    <sheetView workbookViewId="0">
      <selection activeCell="A2" sqref="A2"/>
    </sheetView>
  </sheetViews>
  <sheetFormatPr defaultRowHeight="13.5"/>
  <sheetData/>
  <phoneticPr fontId="3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B1:AH63"/>
  <sheetViews>
    <sheetView showGridLines="0" view="pageBreakPreview" zoomScaleNormal="100" zoomScaleSheetLayoutView="100" workbookViewId="0">
      <selection activeCell="W30" sqref="W30:X31"/>
    </sheetView>
  </sheetViews>
  <sheetFormatPr defaultColWidth="3.25" defaultRowHeight="12"/>
  <cols>
    <col min="1" max="1" width="3.25" style="407"/>
    <col min="2" max="2" width="6.25" style="414" customWidth="1"/>
    <col min="3" max="20" width="3.25" style="407"/>
    <col min="21" max="22" width="6.375" style="407" customWidth="1"/>
    <col min="23" max="28" width="4.875" style="407" customWidth="1"/>
    <col min="29" max="32" width="3.25" style="407"/>
    <col min="33" max="34" width="4.875" style="407" customWidth="1"/>
    <col min="35" max="37" width="3.25" style="407"/>
    <col min="38" max="38" width="3.75" style="407" bestFit="1" customWidth="1"/>
    <col min="39" max="16384" width="3.25" style="407"/>
  </cols>
  <sheetData>
    <row r="1" spans="3:34">
      <c r="C1" s="1926" t="s">
        <v>427</v>
      </c>
      <c r="D1" s="1927"/>
      <c r="E1" s="1927"/>
      <c r="F1" s="1928"/>
      <c r="G1" s="1925"/>
      <c r="H1" s="1925"/>
      <c r="I1" s="1925"/>
      <c r="J1" s="1925"/>
      <c r="K1" s="1925"/>
      <c r="L1" s="1925"/>
      <c r="M1" s="1925"/>
    </row>
    <row r="2" spans="3:34">
      <c r="C2" s="1926" t="s">
        <v>428</v>
      </c>
      <c r="D2" s="1927"/>
      <c r="E2" s="1927"/>
      <c r="F2" s="1928"/>
      <c r="G2" s="1925"/>
      <c r="H2" s="1925"/>
      <c r="I2" s="1925"/>
      <c r="J2" s="1925"/>
      <c r="K2" s="1925"/>
      <c r="L2" s="1925"/>
      <c r="M2" s="1925"/>
    </row>
    <row r="4" spans="3:34" ht="18.75" customHeight="1">
      <c r="C4" s="2007" t="s">
        <v>413</v>
      </c>
      <c r="D4" s="2008"/>
      <c r="E4" s="2008"/>
      <c r="F4" s="2008"/>
      <c r="G4" s="2008"/>
      <c r="H4" s="2008"/>
      <c r="I4" s="2008"/>
      <c r="J4" s="2008"/>
      <c r="K4" s="2008"/>
      <c r="L4" s="2008"/>
      <c r="M4" s="2008"/>
      <c r="N4" s="2008"/>
      <c r="O4" s="2008"/>
      <c r="P4" s="2008"/>
      <c r="Q4" s="2008"/>
      <c r="R4" s="2008"/>
      <c r="S4" s="2008"/>
      <c r="T4" s="2008"/>
      <c r="U4" s="2010" t="s">
        <v>381</v>
      </c>
      <c r="V4" s="2010"/>
      <c r="W4" s="2010"/>
      <c r="X4" s="2010"/>
      <c r="Y4" s="2010"/>
      <c r="Z4" s="2010"/>
      <c r="AA4" s="2010"/>
      <c r="AB4" s="2010"/>
      <c r="AC4" s="2010"/>
      <c r="AD4" s="2010"/>
      <c r="AE4" s="2010"/>
      <c r="AF4" s="2010"/>
      <c r="AG4" s="2010"/>
      <c r="AH4" s="2010"/>
    </row>
    <row r="5" spans="3:34" ht="18.75" customHeight="1">
      <c r="C5" s="2008"/>
      <c r="D5" s="2008"/>
      <c r="E5" s="2008"/>
      <c r="F5" s="2008"/>
      <c r="G5" s="2008"/>
      <c r="H5" s="2008"/>
      <c r="I5" s="2008"/>
      <c r="J5" s="2008"/>
      <c r="K5" s="2008"/>
      <c r="L5" s="2008"/>
      <c r="M5" s="2008"/>
      <c r="N5" s="2008"/>
      <c r="O5" s="2008"/>
      <c r="P5" s="2008"/>
      <c r="Q5" s="2008"/>
      <c r="R5" s="2008"/>
      <c r="S5" s="2008"/>
      <c r="T5" s="2008"/>
      <c r="U5" s="2010"/>
      <c r="V5" s="2010"/>
      <c r="W5" s="2010"/>
      <c r="X5" s="2010"/>
      <c r="Y5" s="2010"/>
      <c r="Z5" s="2010"/>
      <c r="AA5" s="2010"/>
      <c r="AB5" s="2010"/>
      <c r="AC5" s="2010"/>
      <c r="AD5" s="2010"/>
      <c r="AE5" s="2010"/>
      <c r="AF5" s="2010"/>
      <c r="AG5" s="2010"/>
      <c r="AH5" s="2010"/>
    </row>
    <row r="6" spans="3:34" ht="18.75">
      <c r="C6" s="2008"/>
      <c r="D6" s="2008"/>
      <c r="E6" s="2008"/>
      <c r="F6" s="2008"/>
      <c r="G6" s="2008"/>
      <c r="H6" s="2008"/>
      <c r="I6" s="2008"/>
      <c r="J6" s="2008"/>
      <c r="K6" s="2008"/>
      <c r="L6" s="2008"/>
      <c r="M6" s="2008"/>
      <c r="N6" s="2008"/>
      <c r="O6" s="2008"/>
      <c r="P6" s="2008"/>
      <c r="Q6" s="2008"/>
      <c r="R6" s="2008"/>
      <c r="S6" s="2008"/>
      <c r="T6" s="2008"/>
      <c r="U6" s="2011" t="s">
        <v>382</v>
      </c>
      <c r="V6" s="2011"/>
      <c r="W6" s="2011">
        <v>12345</v>
      </c>
      <c r="X6" s="2011"/>
      <c r="Y6" s="2011"/>
      <c r="Z6" s="2011"/>
      <c r="AA6" s="2011"/>
      <c r="AB6" s="2011"/>
      <c r="AC6" s="2011"/>
      <c r="AD6" s="2011"/>
      <c r="AE6" s="2011"/>
      <c r="AF6" s="2011"/>
      <c r="AG6" s="2011"/>
      <c r="AH6" s="2011"/>
    </row>
    <row r="7" spans="3:34" ht="18.75" customHeight="1">
      <c r="C7" s="2009"/>
      <c r="D7" s="2009"/>
      <c r="E7" s="2009"/>
      <c r="F7" s="2009"/>
      <c r="G7" s="2009"/>
      <c r="H7" s="2009"/>
      <c r="I7" s="2009"/>
      <c r="J7" s="2009"/>
      <c r="K7" s="2009"/>
      <c r="L7" s="2009"/>
      <c r="M7" s="2009"/>
      <c r="N7" s="2009"/>
      <c r="O7" s="2009"/>
      <c r="P7" s="2009"/>
      <c r="Q7" s="2009"/>
      <c r="R7" s="2009"/>
      <c r="S7" s="2009"/>
      <c r="T7" s="2009"/>
      <c r="U7" s="2012" t="s">
        <v>383</v>
      </c>
      <c r="V7" s="2012"/>
      <c r="W7" s="420"/>
      <c r="X7" s="2012" t="s">
        <v>414</v>
      </c>
      <c r="Y7" s="2012"/>
      <c r="Z7" s="420"/>
      <c r="AA7" s="420" t="s">
        <v>415</v>
      </c>
      <c r="AB7" s="416"/>
      <c r="AC7" s="416"/>
      <c r="AD7" s="2013" t="s">
        <v>384</v>
      </c>
      <c r="AE7" s="2013"/>
      <c r="AF7" s="2013"/>
      <c r="AG7" s="2013"/>
      <c r="AH7" s="2013"/>
    </row>
    <row r="8" spans="3:34" ht="18.75" customHeight="1">
      <c r="C8" s="1989" t="s">
        <v>385</v>
      </c>
      <c r="D8" s="1990"/>
      <c r="E8" s="1990"/>
      <c r="F8" s="1990"/>
      <c r="G8" s="2021"/>
      <c r="H8" s="2022"/>
      <c r="I8" s="2022"/>
      <c r="J8" s="2022"/>
      <c r="K8" s="2022"/>
      <c r="L8" s="2022"/>
      <c r="M8" s="2022"/>
      <c r="N8" s="2022"/>
      <c r="O8" s="2022"/>
      <c r="P8" s="2022"/>
      <c r="Q8" s="2022"/>
      <c r="R8" s="2022"/>
      <c r="S8" s="2022"/>
      <c r="T8" s="2023"/>
      <c r="U8" s="1968" t="s">
        <v>386</v>
      </c>
      <c r="V8" s="1969"/>
      <c r="W8" s="1969"/>
      <c r="X8" s="1969"/>
      <c r="Y8" s="1969"/>
      <c r="Z8" s="1969"/>
      <c r="AA8" s="2024" t="s">
        <v>387</v>
      </c>
      <c r="AB8" s="1969"/>
      <c r="AC8" s="1969"/>
      <c r="AD8" s="1969"/>
      <c r="AE8" s="1969"/>
      <c r="AF8" s="1969"/>
      <c r="AG8" s="1969"/>
      <c r="AH8" s="1970"/>
    </row>
    <row r="9" spans="3:34" ht="18.75" customHeight="1">
      <c r="C9" s="1991"/>
      <c r="D9" s="1992"/>
      <c r="E9" s="1992"/>
      <c r="F9" s="1992"/>
      <c r="G9" s="1971"/>
      <c r="H9" s="1972"/>
      <c r="I9" s="1972"/>
      <c r="J9" s="1972"/>
      <c r="K9" s="1972"/>
      <c r="L9" s="1972"/>
      <c r="M9" s="1972"/>
      <c r="N9" s="1972"/>
      <c r="O9" s="1972"/>
      <c r="P9" s="1972"/>
      <c r="Q9" s="1972"/>
      <c r="R9" s="1972"/>
      <c r="S9" s="1972"/>
      <c r="T9" s="1973"/>
      <c r="U9" s="2025" t="s">
        <v>417</v>
      </c>
      <c r="V9" s="2017"/>
      <c r="W9" s="2017"/>
      <c r="X9" s="2017"/>
      <c r="Y9" s="2017"/>
      <c r="Z9" s="2017"/>
      <c r="AA9" s="2016" t="s">
        <v>416</v>
      </c>
      <c r="AB9" s="2017"/>
      <c r="AC9" s="2017"/>
      <c r="AD9" s="2017"/>
      <c r="AE9" s="2017"/>
      <c r="AF9" s="2017"/>
      <c r="AG9" s="2017"/>
      <c r="AH9" s="2018"/>
    </row>
    <row r="10" spans="3:34" ht="18.75" customHeight="1">
      <c r="C10" s="1991"/>
      <c r="D10" s="1992"/>
      <c r="E10" s="1992"/>
      <c r="F10" s="1992"/>
      <c r="G10" s="1971"/>
      <c r="H10" s="1972"/>
      <c r="I10" s="1972"/>
      <c r="J10" s="1972"/>
      <c r="K10" s="1972"/>
      <c r="L10" s="1972"/>
      <c r="M10" s="1972"/>
      <c r="N10" s="1972"/>
      <c r="O10" s="1972"/>
      <c r="P10" s="1972"/>
      <c r="Q10" s="1972"/>
      <c r="R10" s="1972"/>
      <c r="S10" s="1972"/>
      <c r="T10" s="1973"/>
      <c r="U10" s="2014" t="s">
        <v>388</v>
      </c>
      <c r="V10" s="2015"/>
      <c r="W10" s="2015"/>
      <c r="X10" s="2015"/>
      <c r="Y10" s="2015"/>
      <c r="Z10" s="2015"/>
      <c r="AA10" s="2030" t="s">
        <v>389</v>
      </c>
      <c r="AB10" s="2015"/>
      <c r="AC10" s="2015"/>
      <c r="AD10" s="2015"/>
      <c r="AE10" s="2015"/>
      <c r="AF10" s="2015"/>
      <c r="AG10" s="2015"/>
      <c r="AH10" s="2031"/>
    </row>
    <row r="11" spans="3:34" ht="18.75" customHeight="1">
      <c r="C11" s="1991"/>
      <c r="D11" s="1992"/>
      <c r="E11" s="1992"/>
      <c r="F11" s="1992"/>
      <c r="G11" s="1971"/>
      <c r="H11" s="1972"/>
      <c r="I11" s="1972"/>
      <c r="J11" s="1972"/>
      <c r="K11" s="1972"/>
      <c r="L11" s="1972"/>
      <c r="M11" s="1972"/>
      <c r="N11" s="1972"/>
      <c r="O11" s="1972"/>
      <c r="P11" s="1972"/>
      <c r="Q11" s="1972"/>
      <c r="R11" s="1972"/>
      <c r="S11" s="1972"/>
      <c r="T11" s="1973"/>
      <c r="U11" s="2026" t="s">
        <v>417</v>
      </c>
      <c r="V11" s="2027"/>
      <c r="W11" s="2027"/>
      <c r="X11" s="2027"/>
      <c r="Y11" s="2027"/>
      <c r="Z11" s="2027"/>
      <c r="AA11" s="2028" t="s">
        <v>416</v>
      </c>
      <c r="AB11" s="2027"/>
      <c r="AC11" s="2027"/>
      <c r="AD11" s="2027"/>
      <c r="AE11" s="2027"/>
      <c r="AF11" s="2027"/>
      <c r="AG11" s="2027"/>
      <c r="AH11" s="2029"/>
    </row>
    <row r="12" spans="3:34" ht="18.75" customHeight="1">
      <c r="C12" s="1991"/>
      <c r="D12" s="1992"/>
      <c r="E12" s="1992"/>
      <c r="F12" s="1992"/>
      <c r="G12" s="1971"/>
      <c r="H12" s="1972"/>
      <c r="I12" s="1972"/>
      <c r="J12" s="1972"/>
      <c r="K12" s="1972"/>
      <c r="L12" s="1972"/>
      <c r="M12" s="1972"/>
      <c r="N12" s="1972"/>
      <c r="O12" s="1972"/>
      <c r="P12" s="1972"/>
      <c r="Q12" s="1972"/>
      <c r="R12" s="1972"/>
      <c r="S12" s="1972"/>
      <c r="T12" s="1973"/>
      <c r="U12" s="1968" t="s">
        <v>390</v>
      </c>
      <c r="V12" s="1969"/>
      <c r="W12" s="1969"/>
      <c r="X12" s="1969"/>
      <c r="Y12" s="1969"/>
      <c r="Z12" s="1969"/>
      <c r="AA12" s="1969"/>
      <c r="AB12" s="1969"/>
      <c r="AC12" s="1969"/>
      <c r="AD12" s="1969"/>
      <c r="AE12" s="1969"/>
      <c r="AF12" s="1969"/>
      <c r="AG12" s="1969"/>
      <c r="AH12" s="1970"/>
    </row>
    <row r="13" spans="3:34" ht="18.75" customHeight="1">
      <c r="C13" s="2019"/>
      <c r="D13" s="2020"/>
      <c r="E13" s="2020"/>
      <c r="F13" s="2020"/>
      <c r="G13" s="1976"/>
      <c r="H13" s="1977"/>
      <c r="I13" s="1977"/>
      <c r="J13" s="1977"/>
      <c r="K13" s="1977"/>
      <c r="L13" s="1977"/>
      <c r="M13" s="1977"/>
      <c r="N13" s="1977"/>
      <c r="O13" s="1977"/>
      <c r="P13" s="1977"/>
      <c r="Q13" s="1977"/>
      <c r="R13" s="1977"/>
      <c r="S13" s="1977"/>
      <c r="T13" s="1985"/>
      <c r="U13" s="2014" t="s">
        <v>391</v>
      </c>
      <c r="V13" s="2015"/>
      <c r="W13" s="2016" t="s">
        <v>425</v>
      </c>
      <c r="X13" s="2017"/>
      <c r="Y13" s="2017"/>
      <c r="Z13" s="2017"/>
      <c r="AA13" s="2017"/>
      <c r="AB13" s="2017"/>
      <c r="AC13" s="2017"/>
      <c r="AD13" s="2017"/>
      <c r="AE13" s="2017"/>
      <c r="AF13" s="2017"/>
      <c r="AG13" s="2017"/>
      <c r="AH13" s="2018"/>
    </row>
    <row r="14" spans="3:34" ht="18.75" customHeight="1">
      <c r="C14" s="1989" t="s">
        <v>392</v>
      </c>
      <c r="D14" s="1990"/>
      <c r="E14" s="1990"/>
      <c r="F14" s="1990"/>
      <c r="G14" s="2021"/>
      <c r="H14" s="2022"/>
      <c r="I14" s="2022"/>
      <c r="J14" s="2022"/>
      <c r="K14" s="2022"/>
      <c r="L14" s="2022"/>
      <c r="M14" s="2022"/>
      <c r="N14" s="2022"/>
      <c r="O14" s="2022"/>
      <c r="P14" s="2022"/>
      <c r="Q14" s="2022"/>
      <c r="R14" s="2022"/>
      <c r="S14" s="2022"/>
      <c r="T14" s="2023"/>
      <c r="U14" s="2014" t="s">
        <v>393</v>
      </c>
      <c r="V14" s="2015"/>
      <c r="W14" s="2016" t="s">
        <v>418</v>
      </c>
      <c r="X14" s="2017"/>
      <c r="Y14" s="2017"/>
      <c r="Z14" s="2017"/>
      <c r="AA14" s="2017"/>
      <c r="AB14" s="2017"/>
      <c r="AC14" s="2017"/>
      <c r="AD14" s="2017"/>
      <c r="AE14" s="2017"/>
      <c r="AF14" s="2017"/>
      <c r="AG14" s="2017"/>
      <c r="AH14" s="2018"/>
    </row>
    <row r="15" spans="3:34" ht="18.75" customHeight="1">
      <c r="C15" s="1991"/>
      <c r="D15" s="1992"/>
      <c r="E15" s="1992"/>
      <c r="F15" s="1992"/>
      <c r="G15" s="1971"/>
      <c r="H15" s="1972"/>
      <c r="I15" s="1972"/>
      <c r="J15" s="1972"/>
      <c r="K15" s="1972"/>
      <c r="L15" s="1972"/>
      <c r="M15" s="1972"/>
      <c r="N15" s="1972"/>
      <c r="O15" s="1972"/>
      <c r="P15" s="1972"/>
      <c r="Q15" s="1972"/>
      <c r="R15" s="1972"/>
      <c r="S15" s="1972"/>
      <c r="T15" s="1973"/>
      <c r="U15" s="2037" t="s">
        <v>423</v>
      </c>
      <c r="V15" s="2038"/>
      <c r="W15" s="2032" t="s">
        <v>424</v>
      </c>
      <c r="X15" s="2033"/>
      <c r="Y15" s="2033"/>
      <c r="Z15" s="2033"/>
      <c r="AA15" s="2033"/>
      <c r="AB15" s="2033"/>
      <c r="AC15" s="2033"/>
      <c r="AD15" s="2033"/>
      <c r="AE15" s="2033"/>
      <c r="AF15" s="2033"/>
      <c r="AG15" s="2033"/>
      <c r="AH15" s="2034"/>
    </row>
    <row r="16" spans="3:34" ht="18.75" customHeight="1">
      <c r="C16" s="1991"/>
      <c r="D16" s="1992"/>
      <c r="E16" s="1992"/>
      <c r="F16" s="1992"/>
      <c r="G16" s="1971"/>
      <c r="H16" s="1972"/>
      <c r="I16" s="1972"/>
      <c r="J16" s="1972"/>
      <c r="K16" s="1972"/>
      <c r="L16" s="1972"/>
      <c r="M16" s="1972"/>
      <c r="N16" s="1972"/>
      <c r="O16" s="1972"/>
      <c r="P16" s="1972"/>
      <c r="Q16" s="1972"/>
      <c r="R16" s="1972"/>
      <c r="S16" s="1972"/>
      <c r="T16" s="1973"/>
      <c r="U16" s="2014" t="s">
        <v>394</v>
      </c>
      <c r="V16" s="2015"/>
      <c r="W16" s="2016" t="s">
        <v>419</v>
      </c>
      <c r="X16" s="2017"/>
      <c r="Y16" s="2017"/>
      <c r="Z16" s="2017"/>
      <c r="AA16" s="2017"/>
      <c r="AB16" s="2017"/>
      <c r="AC16" s="2017"/>
      <c r="AD16" s="2017"/>
      <c r="AE16" s="2017"/>
      <c r="AF16" s="2017"/>
      <c r="AG16" s="2017"/>
      <c r="AH16" s="2018"/>
    </row>
    <row r="17" spans="2:34" ht="18.75" customHeight="1">
      <c r="C17" s="1991"/>
      <c r="D17" s="1992"/>
      <c r="E17" s="1992"/>
      <c r="F17" s="1992"/>
      <c r="G17" s="1971"/>
      <c r="H17" s="1972"/>
      <c r="I17" s="1972"/>
      <c r="J17" s="1972"/>
      <c r="K17" s="1972"/>
      <c r="L17" s="1972"/>
      <c r="M17" s="1972"/>
      <c r="N17" s="1972"/>
      <c r="O17" s="1972"/>
      <c r="P17" s="1972"/>
      <c r="Q17" s="1972"/>
      <c r="R17" s="1972"/>
      <c r="S17" s="1972"/>
      <c r="T17" s="1973"/>
      <c r="U17" s="1974" t="s">
        <v>395</v>
      </c>
      <c r="V17" s="1975"/>
      <c r="W17" s="1976" t="s">
        <v>420</v>
      </c>
      <c r="X17" s="1977"/>
      <c r="Y17" s="1977"/>
      <c r="Z17" s="1977"/>
      <c r="AA17" s="2035" t="s">
        <v>421</v>
      </c>
      <c r="AB17" s="2036"/>
      <c r="AC17" s="2036"/>
      <c r="AD17" s="1976" t="s">
        <v>422</v>
      </c>
      <c r="AE17" s="1977"/>
      <c r="AF17" s="1977"/>
      <c r="AG17" s="1977"/>
      <c r="AH17" s="1985"/>
    </row>
    <row r="18" spans="2:34" ht="18.75" customHeight="1">
      <c r="C18" s="1991"/>
      <c r="D18" s="1992"/>
      <c r="E18" s="1992"/>
      <c r="F18" s="1992"/>
      <c r="G18" s="1971"/>
      <c r="H18" s="1972"/>
      <c r="I18" s="1972"/>
      <c r="J18" s="1972"/>
      <c r="K18" s="1972"/>
      <c r="L18" s="1972"/>
      <c r="M18" s="1972"/>
      <c r="N18" s="1972"/>
      <c r="O18" s="1972"/>
      <c r="P18" s="1972"/>
      <c r="Q18" s="1972"/>
      <c r="R18" s="1972"/>
      <c r="S18" s="1972"/>
      <c r="T18" s="1973"/>
      <c r="U18" s="1968" t="s">
        <v>396</v>
      </c>
      <c r="V18" s="1969"/>
      <c r="W18" s="1969"/>
      <c r="X18" s="1969"/>
      <c r="Y18" s="1969"/>
      <c r="Z18" s="1969"/>
      <c r="AA18" s="1969"/>
      <c r="AB18" s="1969"/>
      <c r="AC18" s="1969"/>
      <c r="AD18" s="1969"/>
      <c r="AE18" s="1969"/>
      <c r="AF18" s="1969"/>
      <c r="AG18" s="1969"/>
      <c r="AH18" s="1970"/>
    </row>
    <row r="19" spans="2:34" ht="18.75" customHeight="1">
      <c r="C19" s="1991"/>
      <c r="D19" s="1992"/>
      <c r="E19" s="1992"/>
      <c r="F19" s="1992"/>
      <c r="G19" s="1993"/>
      <c r="H19" s="1994"/>
      <c r="I19" s="1994"/>
      <c r="J19" s="1994"/>
      <c r="K19" s="1994"/>
      <c r="L19" s="1977"/>
      <c r="M19" s="1977"/>
      <c r="N19" s="1977"/>
      <c r="O19" s="1977"/>
      <c r="P19" s="1977"/>
      <c r="Q19" s="1977"/>
      <c r="R19" s="1977"/>
      <c r="S19" s="1977"/>
      <c r="T19" s="1985"/>
      <c r="U19" s="436" t="s">
        <v>433</v>
      </c>
      <c r="V19" s="417"/>
      <c r="W19" s="419" t="s">
        <v>426</v>
      </c>
      <c r="X19" s="419"/>
      <c r="Y19" s="419"/>
      <c r="Z19" s="419"/>
      <c r="AA19" s="417"/>
      <c r="AB19" s="417"/>
      <c r="AC19" s="417"/>
      <c r="AD19" s="417"/>
      <c r="AE19" s="417"/>
      <c r="AF19" s="417"/>
      <c r="AG19" s="417"/>
      <c r="AH19" s="418"/>
    </row>
    <row r="20" spans="2:34" ht="18.75" customHeight="1">
      <c r="C20" s="1968" t="s">
        <v>397</v>
      </c>
      <c r="D20" s="1969"/>
      <c r="E20" s="1969"/>
      <c r="F20" s="1969"/>
      <c r="G20" s="1969"/>
      <c r="H20" s="1969"/>
      <c r="I20" s="1969"/>
      <c r="J20" s="1969"/>
      <c r="K20" s="1970"/>
      <c r="L20" s="408" t="s">
        <v>398</v>
      </c>
      <c r="M20" s="408"/>
      <c r="N20" s="408"/>
      <c r="O20" s="408"/>
      <c r="P20" s="408"/>
      <c r="Q20" s="408"/>
      <c r="R20" s="408"/>
      <c r="S20" s="408"/>
      <c r="T20" s="409"/>
      <c r="U20" s="1968" t="s">
        <v>399</v>
      </c>
      <c r="V20" s="1969"/>
      <c r="W20" s="1969"/>
      <c r="X20" s="1969"/>
      <c r="Y20" s="1969"/>
      <c r="Z20" s="410"/>
      <c r="AA20" s="411" t="s">
        <v>432</v>
      </c>
      <c r="AB20" s="408"/>
      <c r="AC20" s="408"/>
      <c r="AD20" s="408"/>
      <c r="AE20" s="408"/>
      <c r="AF20" s="408"/>
      <c r="AG20" s="408"/>
      <c r="AH20" s="409"/>
    </row>
    <row r="21" spans="2:34" ht="18.75" customHeight="1">
      <c r="C21" s="436" t="s">
        <v>433</v>
      </c>
      <c r="D21" s="417"/>
      <c r="E21" s="417"/>
      <c r="F21" s="417"/>
      <c r="G21" s="417"/>
      <c r="H21" s="417"/>
      <c r="I21" s="417"/>
      <c r="J21" s="417"/>
      <c r="K21" s="418"/>
      <c r="L21" s="1984"/>
      <c r="M21" s="1977"/>
      <c r="N21" s="1977"/>
      <c r="O21" s="1977"/>
      <c r="P21" s="1977"/>
      <c r="Q21" s="1977"/>
      <c r="R21" s="1977"/>
      <c r="S21" s="1977"/>
      <c r="T21" s="1985"/>
      <c r="U21" s="1986"/>
      <c r="V21" s="1987"/>
      <c r="W21" s="1987"/>
      <c r="X21" s="1987"/>
      <c r="Y21" s="1987"/>
      <c r="Z21" s="1988"/>
      <c r="AA21" s="423" t="s">
        <v>434</v>
      </c>
      <c r="AB21" s="419"/>
      <c r="AH21" s="424"/>
    </row>
    <row r="22" spans="2:34" ht="18.75" customHeight="1">
      <c r="C22" s="1968" t="s">
        <v>400</v>
      </c>
      <c r="D22" s="1969"/>
      <c r="E22" s="1969"/>
      <c r="F22" s="1969"/>
      <c r="G22" s="1969"/>
      <c r="H22" s="1969"/>
      <c r="I22" s="1969"/>
      <c r="J22" s="1969"/>
      <c r="K22" s="1970"/>
      <c r="L22" s="412" t="s">
        <v>401</v>
      </c>
      <c r="M22" s="412"/>
      <c r="N22" s="412"/>
      <c r="O22" s="412"/>
      <c r="P22" s="412"/>
      <c r="Q22" s="412"/>
      <c r="R22" s="412"/>
      <c r="S22" s="412"/>
      <c r="T22" s="413"/>
      <c r="U22" s="1968" t="s">
        <v>402</v>
      </c>
      <c r="V22" s="1969"/>
      <c r="W22" s="1969"/>
      <c r="X22" s="1969"/>
      <c r="Y22" s="1969"/>
      <c r="Z22" s="410"/>
      <c r="AA22" s="425"/>
      <c r="AB22" s="420"/>
      <c r="AC22" s="420"/>
      <c r="AD22" s="420"/>
      <c r="AE22" s="420"/>
      <c r="AF22" s="420"/>
      <c r="AG22" s="420"/>
      <c r="AH22" s="426"/>
    </row>
    <row r="23" spans="2:34" ht="18.75" customHeight="1" thickBot="1">
      <c r="C23" s="1978"/>
      <c r="D23" s="1979"/>
      <c r="E23" s="1979"/>
      <c r="F23" s="1979"/>
      <c r="G23" s="1979"/>
      <c r="H23" s="1979"/>
      <c r="I23" s="1979"/>
      <c r="J23" s="1979"/>
      <c r="K23" s="1980"/>
      <c r="L23" s="1978"/>
      <c r="M23" s="1979"/>
      <c r="N23" s="1979"/>
      <c r="O23" s="1979"/>
      <c r="P23" s="1979"/>
      <c r="Q23" s="1979"/>
      <c r="R23" s="1979"/>
      <c r="S23" s="1979"/>
      <c r="T23" s="1980"/>
      <c r="U23" s="1978"/>
      <c r="V23" s="1979"/>
      <c r="W23" s="1979"/>
      <c r="X23" s="1979"/>
      <c r="Y23" s="1979"/>
      <c r="Z23" s="1980"/>
      <c r="AA23" s="422" t="s">
        <v>403</v>
      </c>
      <c r="AB23" s="422"/>
      <c r="AC23" s="1938"/>
      <c r="AD23" s="1939"/>
      <c r="AE23" s="1939"/>
      <c r="AF23" s="1939"/>
      <c r="AG23" s="1939"/>
      <c r="AH23" s="1940"/>
    </row>
    <row r="24" spans="2:34" ht="18.75" customHeight="1" thickTop="1">
      <c r="C24" s="1998" t="s">
        <v>436</v>
      </c>
      <c r="D24" s="1929" t="s">
        <v>407</v>
      </c>
      <c r="E24" s="1930"/>
      <c r="F24" s="1930"/>
      <c r="G24" s="1931"/>
      <c r="H24" s="2004" t="s">
        <v>430</v>
      </c>
      <c r="I24" s="2005"/>
      <c r="J24" s="2005"/>
      <c r="K24" s="2005"/>
      <c r="L24" s="2005"/>
      <c r="M24" s="2005"/>
      <c r="N24" s="2005"/>
      <c r="O24" s="2005"/>
      <c r="P24" s="2005"/>
      <c r="Q24" s="2005"/>
      <c r="R24" s="2005"/>
      <c r="S24" s="2005"/>
      <c r="T24" s="2005"/>
      <c r="U24" s="2005"/>
      <c r="V24" s="2006"/>
      <c r="W24" s="2001" t="s">
        <v>404</v>
      </c>
      <c r="X24" s="2002"/>
      <c r="Y24" s="2002"/>
      <c r="Z24" s="2002"/>
      <c r="AA24" s="2002"/>
      <c r="AB24" s="2003"/>
      <c r="AC24" s="1929" t="s">
        <v>405</v>
      </c>
      <c r="AD24" s="1930"/>
      <c r="AE24" s="1931"/>
      <c r="AF24" s="1929" t="s">
        <v>406</v>
      </c>
      <c r="AG24" s="1930"/>
      <c r="AH24" s="1931"/>
    </row>
    <row r="25" spans="2:34" ht="18.75" customHeight="1" thickBot="1">
      <c r="C25" s="1999"/>
      <c r="D25" s="1932"/>
      <c r="E25" s="1933"/>
      <c r="F25" s="1933"/>
      <c r="G25" s="1934"/>
      <c r="H25" s="433" t="s">
        <v>35</v>
      </c>
      <c r="I25" s="421"/>
      <c r="J25" s="421"/>
      <c r="K25" s="434"/>
      <c r="L25" s="427" t="s">
        <v>36</v>
      </c>
      <c r="M25" s="421"/>
      <c r="N25" s="421"/>
      <c r="O25" s="421"/>
      <c r="P25" s="421"/>
      <c r="Q25" s="421"/>
      <c r="R25" s="421"/>
      <c r="S25" s="421"/>
      <c r="T25" s="421"/>
      <c r="U25" s="1943" t="s">
        <v>321</v>
      </c>
      <c r="V25" s="1944"/>
      <c r="W25" s="1953" t="s">
        <v>408</v>
      </c>
      <c r="X25" s="1952"/>
      <c r="Y25" s="1950" t="s">
        <v>409</v>
      </c>
      <c r="Z25" s="1952"/>
      <c r="AA25" s="1950" t="s">
        <v>410</v>
      </c>
      <c r="AB25" s="1951"/>
      <c r="AC25" s="1932"/>
      <c r="AD25" s="1933"/>
      <c r="AE25" s="1934"/>
      <c r="AF25" s="1932"/>
      <c r="AG25" s="1933"/>
      <c r="AH25" s="1934"/>
    </row>
    <row r="26" spans="2:34" ht="18.75" customHeight="1" thickTop="1">
      <c r="B26" s="1884">
        <v>2065</v>
      </c>
      <c r="C26" s="2000">
        <v>1</v>
      </c>
      <c r="D26" s="1995" t="str">
        <f>IFERROR(IF(VLOOKUP(B26,'NY BackOrder'!A:C,3,FALSE)="","",VLOOKUP(B26,'NY BackOrder'!A:C,3,FALSE)),"")</f>
        <v/>
      </c>
      <c r="E26" s="1996"/>
      <c r="F26" s="1996"/>
      <c r="G26" s="1997"/>
      <c r="H26" s="1981" t="str">
        <f>IF(IFERROR(IF(VLOOKUP(B26,'NY BackOrder'!A:E,5,FALSE)="",VLOOKUP(B26,'NY BackOrder'!A:G,7,FALSE),IF(VLOOKUP(B26,'NY BackOrder'!A:E,5,FALSE)=0,"",VLOOKUP(B26,'NY BackOrder'!A:E,5,FALSE))),"")=0,"",IFERROR(IF(VLOOKUP(B26,'NY BackOrder'!A:E,5,FALSE)="",VLOOKUP(B26,'NY BackOrder'!A:G,7,FALSE),IF(VLOOKUP(B26,'NY BackOrder'!A:E,5,FALSE)=0,"",VLOOKUP(B26,'NY BackOrder'!A:E,5,FALSE))),""))</f>
        <v/>
      </c>
      <c r="I26" s="1982"/>
      <c r="J26" s="1982"/>
      <c r="K26" s="1982"/>
      <c r="L26" s="1982"/>
      <c r="M26" s="1982"/>
      <c r="N26" s="1982"/>
      <c r="O26" s="1982"/>
      <c r="P26" s="1982"/>
      <c r="Q26" s="1982"/>
      <c r="R26" s="1982"/>
      <c r="S26" s="1982"/>
      <c r="T26" s="1982"/>
      <c r="U26" s="1982"/>
      <c r="V26" s="1983"/>
      <c r="W26" s="1922" t="str">
        <f>IFERROR(IF(VLOOKUP(B26,'NY BackOrder'!A:H,8,FALSE)=0,"",VLOOKUP(B26,'NY BackOrder'!A:H,8,FALSE)),"")</f>
        <v/>
      </c>
      <c r="X26" s="1923"/>
      <c r="Y26" s="1920" t="str">
        <f>IFERROR(IF(VLOOKUP(B26,'NY BackOrder'!A:I,9,FALSE)=0,"",VLOOKUP(B26,'NY BackOrder'!A:I,9,FALSE)),"")</f>
        <v/>
      </c>
      <c r="Z26" s="1921"/>
      <c r="AA26" s="1918" t="str">
        <f>IFERROR(IF(AND(H27="",ISNUMBER(VLOOKUP(B26,'NY BackOrder'!A:J,10,FALSE))),VLOOKUP(B26,'NY BackOrder'!A:J,10,FALSE)&amp;" set",IF(VLOOKUP(B26,'NY BackOrder'!A:J,10,FALSE)=0,"",VLOOKUP(B26,'NY BackOrder'!A:J,10,FALSE))),"")</f>
        <v/>
      </c>
      <c r="AB26" s="1919"/>
      <c r="AC26" s="1915" t="str">
        <f>IFERROR(IF(VLOOKUP(B26,'NY BackOrder'!A:K,11,FALSE)=0,"",VLOOKUP(B26,'NY BackOrder'!A:K,11,FALSE)),"")</f>
        <v/>
      </c>
      <c r="AD26" s="1916"/>
      <c r="AE26" s="1917"/>
      <c r="AF26" s="1915" t="str">
        <f t="array" ref="AF26">IFERROR(IF(AA26="","",_xlfn.CONCAT(IFERROR(MID(AA26,_xlfn.SEQUENCE(LEN(AA26)),1)*1,""))*AC26),"")</f>
        <v/>
      </c>
      <c r="AG26" s="1916"/>
      <c r="AH26" s="1917"/>
    </row>
    <row r="27" spans="2:34" ht="18.75" customHeight="1">
      <c r="B27" s="1884"/>
      <c r="C27" s="1900"/>
      <c r="D27" s="1911"/>
      <c r="E27" s="1912"/>
      <c r="F27" s="1912"/>
      <c r="G27" s="1913"/>
      <c r="H27" s="1896" t="str">
        <f>IFERROR(IF(VLOOKUP(B26,'NY BackOrder'!A:F,6,FALSE)="","",IF(VLOOKUP(B26,'NY BackOrder'!A:F,6,FALSE)=0,"",VLOOKUP(B26,'NY BackOrder'!A:F,6,FALSE))),"")</f>
        <v/>
      </c>
      <c r="I27" s="1897"/>
      <c r="J27" s="1897"/>
      <c r="K27" s="428" t="s">
        <v>429</v>
      </c>
      <c r="L27" s="1898" t="str">
        <f>IFERROR(IF(VLOOKUP(B26,'NY BackOrder'!A:E,5,FALSE)="","",IF(VLOOKUP(B26,'NY BackOrder'!A:G,7,FALSE)=0,"",VLOOKUP(B26,'NY BackOrder'!A:G,7,FALSE))),"")</f>
        <v/>
      </c>
      <c r="M27" s="1897"/>
      <c r="N27" s="1897"/>
      <c r="O27" s="1897"/>
      <c r="P27" s="1897"/>
      <c r="Q27" s="1897"/>
      <c r="R27" s="1897"/>
      <c r="S27" s="1897"/>
      <c r="T27" s="1899"/>
      <c r="U27" s="432" t="str">
        <f>IFERROR(IF(VLOOKUP(B26,'NY BackOrder'!A:M,13,FALSE)=0,"",(VLOOKUP(B26,'NY BackOrder'!A:M,13,FALSE))),"")</f>
        <v/>
      </c>
      <c r="V27" s="431"/>
      <c r="W27" s="1885"/>
      <c r="X27" s="1886"/>
      <c r="Y27" s="1894"/>
      <c r="Z27" s="1895"/>
      <c r="AA27" s="1907"/>
      <c r="AB27" s="1908"/>
      <c r="AC27" s="1891"/>
      <c r="AD27" s="1892"/>
      <c r="AE27" s="1893"/>
      <c r="AF27" s="1891"/>
      <c r="AG27" s="1892"/>
      <c r="AH27" s="1893"/>
    </row>
    <row r="28" spans="2:34" ht="18.75" customHeight="1">
      <c r="B28" s="1884">
        <v>2066</v>
      </c>
      <c r="C28" s="1900">
        <f>IF(B28="","",C26+1)</f>
        <v>2</v>
      </c>
      <c r="D28" s="1911" t="str">
        <f>IFERROR(IF(VLOOKUP(B28,'NY BackOrder'!A:C,3,FALSE)="","",VLOOKUP(B28,'NY BackOrder'!A:C,3,FALSE)),"")</f>
        <v/>
      </c>
      <c r="E28" s="1912"/>
      <c r="F28" s="1912"/>
      <c r="G28" s="1913"/>
      <c r="H28" s="1896" t="str">
        <f>IF(IFERROR(IF(VLOOKUP(B28,'NY BackOrder'!A:E,5,FALSE)="",VLOOKUP(B28,'NY BackOrder'!A:G,7,FALSE),IF(VLOOKUP(B28,'NY BackOrder'!A:E,5,FALSE)=0,"",VLOOKUP(B28,'NY BackOrder'!A:E,5,FALSE))),"")=0,"",IFERROR(IF(VLOOKUP(B28,'NY BackOrder'!A:E,5,FALSE)="",VLOOKUP(B28,'NY BackOrder'!A:G,7,FALSE),IF(VLOOKUP(B28,'NY BackOrder'!A:E,5,FALSE)=0,"",VLOOKUP(B28,'NY BackOrder'!A:E,5,FALSE))),""))</f>
        <v/>
      </c>
      <c r="I28" s="1897"/>
      <c r="J28" s="1897"/>
      <c r="K28" s="1897"/>
      <c r="L28" s="1897"/>
      <c r="M28" s="1897"/>
      <c r="N28" s="1897"/>
      <c r="O28" s="1897"/>
      <c r="P28" s="1897"/>
      <c r="Q28" s="1897"/>
      <c r="R28" s="1897"/>
      <c r="S28" s="1897"/>
      <c r="T28" s="1897"/>
      <c r="U28" s="1897"/>
      <c r="V28" s="1902"/>
      <c r="W28" s="1885" t="str">
        <f>IFERROR(IF(VLOOKUP(B28,'NY BackOrder'!A:H,8,FALSE)=0,"",VLOOKUP(B28,'NY BackOrder'!A:H,8,FALSE)),"")</f>
        <v/>
      </c>
      <c r="X28" s="1886"/>
      <c r="Y28" s="1894" t="str">
        <f>IFERROR(IF(VLOOKUP(B28,'NY BackOrder'!A:I,9,FALSE)=0,"",VLOOKUP(B28,'NY BackOrder'!A:I,9,FALSE)),"")</f>
        <v/>
      </c>
      <c r="Z28" s="1895"/>
      <c r="AA28" s="1907" t="str">
        <f>IFERROR(IF(AND(H29="",ISNUMBER(VLOOKUP(B28,'NY BackOrder'!A:J,10,FALSE))),VLOOKUP(B28,'NY BackOrder'!A:J,10,FALSE)&amp;" set",IF(VLOOKUP(B28,'NY BackOrder'!A:J,10,FALSE)=0,"",VLOOKUP(B28,'NY BackOrder'!A:J,10,FALSE))),"")</f>
        <v/>
      </c>
      <c r="AB28" s="1908"/>
      <c r="AC28" s="1891" t="str">
        <f>IFERROR(IF(VLOOKUP(B28,'NY BackOrder'!A:K,11,FALSE)=0,"",VLOOKUP(B28,'NY BackOrder'!A:K,11,FALSE)),"")</f>
        <v/>
      </c>
      <c r="AD28" s="1892"/>
      <c r="AE28" s="1893"/>
      <c r="AF28" s="1891" t="str">
        <f t="array" ref="AF28">IFERROR(IF(AA28="","",_xlfn.CONCAT(IFERROR(MID(AA28,_xlfn.SEQUENCE(LEN(AA28)),1)*1,""))*AC28),"")</f>
        <v/>
      </c>
      <c r="AG28" s="1892"/>
      <c r="AH28" s="1893"/>
    </row>
    <row r="29" spans="2:34" ht="18.75" customHeight="1">
      <c r="B29" s="1884"/>
      <c r="C29" s="1900"/>
      <c r="D29" s="1911"/>
      <c r="E29" s="1912"/>
      <c r="F29" s="1912"/>
      <c r="G29" s="1913"/>
      <c r="H29" s="1896" t="str">
        <f>IFERROR(IF(VLOOKUP(B28,'NY BackOrder'!A:F,6,FALSE)="","",IF(VLOOKUP(B28,'NY BackOrder'!A:F,6,FALSE)=0,"",VLOOKUP(B28,'NY BackOrder'!A:F,6,FALSE))),"")</f>
        <v/>
      </c>
      <c r="I29" s="1897"/>
      <c r="J29" s="1897"/>
      <c r="K29" s="428" t="s">
        <v>429</v>
      </c>
      <c r="L29" s="1898" t="str">
        <f>IFERROR(IF(VLOOKUP(B28,'NY BackOrder'!A:E,5,FALSE)="","",IF(VLOOKUP(B28,'NY BackOrder'!A:G,7,FALSE)=0,"",VLOOKUP(B28,'NY BackOrder'!A:G,7,FALSE))),"")</f>
        <v/>
      </c>
      <c r="M29" s="1897"/>
      <c r="N29" s="1897"/>
      <c r="O29" s="1897"/>
      <c r="P29" s="1897"/>
      <c r="Q29" s="1897"/>
      <c r="R29" s="1897"/>
      <c r="S29" s="1897"/>
      <c r="T29" s="1899"/>
      <c r="U29" s="432" t="str">
        <f>IFERROR(IF(VLOOKUP(B28,'NY BackOrder'!A:M,13,FALSE)=0,"",(VLOOKUP(B28,'NY BackOrder'!A:M,13,FALSE))),"")</f>
        <v/>
      </c>
      <c r="V29" s="431"/>
      <c r="W29" s="1885"/>
      <c r="X29" s="1886"/>
      <c r="Y29" s="1894"/>
      <c r="Z29" s="1895"/>
      <c r="AA29" s="1907"/>
      <c r="AB29" s="1908"/>
      <c r="AC29" s="1891"/>
      <c r="AD29" s="1892"/>
      <c r="AE29" s="1893"/>
      <c r="AF29" s="1891"/>
      <c r="AG29" s="1892"/>
      <c r="AH29" s="1893"/>
    </row>
    <row r="30" spans="2:34" ht="18.75" customHeight="1">
      <c r="B30" s="1884">
        <v>2067</v>
      </c>
      <c r="C30" s="1900">
        <f>IF(B30="","",C28+1)</f>
        <v>3</v>
      </c>
      <c r="D30" s="1911" t="str">
        <f>IFERROR(IF(VLOOKUP(B30,'NY BackOrder'!A:C,3,FALSE)="","",VLOOKUP(B30,'NY BackOrder'!A:C,3,FALSE)),"")</f>
        <v/>
      </c>
      <c r="E30" s="1912"/>
      <c r="F30" s="1912"/>
      <c r="G30" s="1913"/>
      <c r="H30" s="1896" t="str">
        <f>IF(IFERROR(IF(VLOOKUP(B30,'NY BackOrder'!A:E,5,FALSE)="",VLOOKUP(B30,'NY BackOrder'!A:G,7,FALSE),IF(VLOOKUP(B30,'NY BackOrder'!A:E,5,FALSE)=0,"",VLOOKUP(B30,'NY BackOrder'!A:E,5,FALSE))),"")=0,"",IFERROR(IF(VLOOKUP(B30,'NY BackOrder'!A:E,5,FALSE)="",VLOOKUP(B30,'NY BackOrder'!A:G,7,FALSE),IF(VLOOKUP(B30,'NY BackOrder'!A:E,5,FALSE)=0,"",VLOOKUP(B30,'NY BackOrder'!A:E,5,FALSE))),""))</f>
        <v/>
      </c>
      <c r="I30" s="1897"/>
      <c r="J30" s="1897"/>
      <c r="K30" s="1897"/>
      <c r="L30" s="1897"/>
      <c r="M30" s="1897"/>
      <c r="N30" s="1897"/>
      <c r="O30" s="1897"/>
      <c r="P30" s="1897"/>
      <c r="Q30" s="1897"/>
      <c r="R30" s="1897"/>
      <c r="S30" s="1897"/>
      <c r="T30" s="1897"/>
      <c r="U30" s="1897"/>
      <c r="V30" s="1902"/>
      <c r="W30" s="1885" t="str">
        <f>IFERROR(IF(VLOOKUP(B30,'NY BackOrder'!A:H,8,FALSE)=0,"",VLOOKUP(B30,'NY BackOrder'!A:H,8,FALSE)),"")</f>
        <v/>
      </c>
      <c r="X30" s="1886"/>
      <c r="Y30" s="1894" t="str">
        <f>IFERROR(IF(VLOOKUP(B30,'NY BackOrder'!A:I,9,FALSE)=0,"",VLOOKUP(B30,'NY BackOrder'!A:I,9,FALSE)),"")</f>
        <v/>
      </c>
      <c r="Z30" s="1895"/>
      <c r="AA30" s="1907" t="str">
        <f>IFERROR(IF(AND(H31="",ISNUMBER(VLOOKUP(B30,'NY BackOrder'!A:J,10,FALSE))),VLOOKUP(B30,'NY BackOrder'!A:J,10,FALSE)&amp;" set",IF(VLOOKUP(B30,'NY BackOrder'!A:J,10,FALSE)=0,"",VLOOKUP(B30,'NY BackOrder'!A:J,10,FALSE))),"")</f>
        <v/>
      </c>
      <c r="AB30" s="1908"/>
      <c r="AC30" s="1891" t="str">
        <f>IFERROR(IF(VLOOKUP(B30,'NY BackOrder'!A:K,11,FALSE)=0,"",VLOOKUP(B30,'NY BackOrder'!A:K,11,FALSE)),"")</f>
        <v/>
      </c>
      <c r="AD30" s="1892"/>
      <c r="AE30" s="1893"/>
      <c r="AF30" s="1891" t="str">
        <f t="array" ref="AF30">IFERROR(IF(AA30="","",_xlfn.CONCAT(IFERROR(MID(AA30,_xlfn.SEQUENCE(LEN(AA30)),1)*1,""))*AC30),"")</f>
        <v/>
      </c>
      <c r="AG30" s="1892"/>
      <c r="AH30" s="1893"/>
    </row>
    <row r="31" spans="2:34" ht="18.75" customHeight="1">
      <c r="B31" s="1884"/>
      <c r="C31" s="1900"/>
      <c r="D31" s="1911"/>
      <c r="E31" s="1912"/>
      <c r="F31" s="1912"/>
      <c r="G31" s="1913"/>
      <c r="H31" s="1896" t="str">
        <f>IFERROR(IF(VLOOKUP(B30,'NY BackOrder'!A:F,6,FALSE)="","",IF(VLOOKUP(B30,'NY BackOrder'!A:F,6,FALSE)=0,"",VLOOKUP(B30,'NY BackOrder'!A:F,6,FALSE))),"")</f>
        <v/>
      </c>
      <c r="I31" s="1897"/>
      <c r="J31" s="1897"/>
      <c r="K31" s="428" t="s">
        <v>429</v>
      </c>
      <c r="L31" s="1898" t="str">
        <f>IFERROR(IF(VLOOKUP(B30,'NY BackOrder'!A:E,5,FALSE)="","",IF(VLOOKUP(B30,'NY BackOrder'!A:G,7,FALSE)=0,"",VLOOKUP(B30,'NY BackOrder'!A:G,7,FALSE))),"")</f>
        <v/>
      </c>
      <c r="M31" s="1897"/>
      <c r="N31" s="1897"/>
      <c r="O31" s="1897"/>
      <c r="P31" s="1897"/>
      <c r="Q31" s="1897"/>
      <c r="R31" s="1897"/>
      <c r="S31" s="1897"/>
      <c r="T31" s="1899"/>
      <c r="U31" s="432" t="str">
        <f>IFERROR(IF(VLOOKUP(B30,'NY BackOrder'!A:M,13,FALSE)=0,"",(VLOOKUP(B30,'NY BackOrder'!A:M,13,FALSE))),"")</f>
        <v/>
      </c>
      <c r="V31" s="431"/>
      <c r="W31" s="1885"/>
      <c r="X31" s="1886"/>
      <c r="Y31" s="1894"/>
      <c r="Z31" s="1895"/>
      <c r="AA31" s="1907"/>
      <c r="AB31" s="1908"/>
      <c r="AC31" s="1891"/>
      <c r="AD31" s="1892"/>
      <c r="AE31" s="1893"/>
      <c r="AF31" s="1891"/>
      <c r="AG31" s="1892"/>
      <c r="AH31" s="1893"/>
    </row>
    <row r="32" spans="2:34" ht="18.75" customHeight="1">
      <c r="B32" s="1884"/>
      <c r="C32" s="1900" t="str">
        <f>IF(B32="","",C30+1)</f>
        <v/>
      </c>
      <c r="D32" s="1911" t="str">
        <f>IFERROR(IF(VLOOKUP(B32,'NY BackOrder'!A:C,3,FALSE)="","",VLOOKUP(B32,'NY BackOrder'!A:C,3,FALSE)),"")</f>
        <v/>
      </c>
      <c r="E32" s="1912"/>
      <c r="F32" s="1912"/>
      <c r="G32" s="1913"/>
      <c r="H32" s="1896" t="str">
        <f>IF(IFERROR(IF(VLOOKUP(B32,'NY BackOrder'!A:E,5,FALSE)="",VLOOKUP(B32,'NY BackOrder'!A:G,7,FALSE),IF(VLOOKUP(B32,'NY BackOrder'!A:E,5,FALSE)=0,"",VLOOKUP(B32,'NY BackOrder'!A:E,5,FALSE))),"")=0,"",IFERROR(IF(VLOOKUP(B32,'NY BackOrder'!A:E,5,FALSE)="",VLOOKUP(B32,'NY BackOrder'!A:G,7,FALSE),IF(VLOOKUP(B32,'NY BackOrder'!A:E,5,FALSE)=0,"",VLOOKUP(B32,'NY BackOrder'!A:E,5,FALSE))),""))</f>
        <v/>
      </c>
      <c r="I32" s="1897"/>
      <c r="J32" s="1897"/>
      <c r="K32" s="1897"/>
      <c r="L32" s="1897"/>
      <c r="M32" s="1897"/>
      <c r="N32" s="1897"/>
      <c r="O32" s="1897"/>
      <c r="P32" s="1897"/>
      <c r="Q32" s="1897"/>
      <c r="R32" s="1897"/>
      <c r="S32" s="1897"/>
      <c r="T32" s="1897"/>
      <c r="U32" s="1897"/>
      <c r="V32" s="1902"/>
      <c r="W32" s="1885" t="str">
        <f>IFERROR(IF(VLOOKUP(B32,'NY BackOrder'!A:H,8,FALSE)=0,"",VLOOKUP(B32,'NY BackOrder'!A:H,8,FALSE)),"")</f>
        <v/>
      </c>
      <c r="X32" s="1886"/>
      <c r="Y32" s="1894" t="str">
        <f>IFERROR(IF(VLOOKUP(B32,'NY BackOrder'!A:I,9,FALSE)=0,"",VLOOKUP(B32,'NY BackOrder'!A:I,9,FALSE)),"")</f>
        <v/>
      </c>
      <c r="Z32" s="1895"/>
      <c r="AA32" s="1907" t="str">
        <f>IFERROR(IF(AND(H33="",ISNUMBER(VLOOKUP(B32,'NY BackOrder'!A:J,10,FALSE))),VLOOKUP(B32,'NY BackOrder'!A:J,10,FALSE)&amp;" set",IF(VLOOKUP(B32,'NY BackOrder'!A:J,10,FALSE)=0,"",VLOOKUP(B32,'NY BackOrder'!A:J,10,FALSE))),"")</f>
        <v/>
      </c>
      <c r="AB32" s="1908"/>
      <c r="AC32" s="1891" t="str">
        <f>IFERROR(IF(VLOOKUP(B32,'NY BackOrder'!A:K,11,FALSE)=0,"",VLOOKUP(B32,'NY BackOrder'!A:K,11,FALSE)),"")</f>
        <v/>
      </c>
      <c r="AD32" s="1892"/>
      <c r="AE32" s="1893"/>
      <c r="AF32" s="1891" t="str">
        <f t="array" ref="AF32">IFERROR(IF(AA32="","",_xlfn.CONCAT(IFERROR(MID(AA32,_xlfn.SEQUENCE(LEN(AA32)),1)*1,""))*AC32),"")</f>
        <v/>
      </c>
      <c r="AG32" s="1892"/>
      <c r="AH32" s="1893"/>
    </row>
    <row r="33" spans="2:34" ht="18.75" customHeight="1">
      <c r="B33" s="1884"/>
      <c r="C33" s="1900"/>
      <c r="D33" s="1911"/>
      <c r="E33" s="1912"/>
      <c r="F33" s="1912"/>
      <c r="G33" s="1913"/>
      <c r="H33" s="1896" t="str">
        <f>IFERROR(IF(VLOOKUP(B32,'NY BackOrder'!A:F,6,FALSE)="","",IF(VLOOKUP(B32,'NY BackOrder'!A:F,6,FALSE)=0,"",VLOOKUP(B32,'NY BackOrder'!A:F,6,FALSE))),"")</f>
        <v/>
      </c>
      <c r="I33" s="1897"/>
      <c r="J33" s="1897"/>
      <c r="K33" s="428" t="s">
        <v>429</v>
      </c>
      <c r="L33" s="1898" t="str">
        <f>IFERROR(IF(VLOOKUP(B32,'NY BackOrder'!A:E,5,FALSE)="","",IF(VLOOKUP(B32,'NY BackOrder'!A:G,7,FALSE)=0,"",VLOOKUP(B32,'NY BackOrder'!A:G,7,FALSE))),"")</f>
        <v/>
      </c>
      <c r="M33" s="1897"/>
      <c r="N33" s="1897"/>
      <c r="O33" s="1897"/>
      <c r="P33" s="1897"/>
      <c r="Q33" s="1897"/>
      <c r="R33" s="1897"/>
      <c r="S33" s="1897"/>
      <c r="T33" s="1899"/>
      <c r="U33" s="432" t="str">
        <f>IFERROR(IF(VLOOKUP(B32,'NY BackOrder'!A:M,13,FALSE)=0,"",(VLOOKUP(B32,'NY BackOrder'!A:M,13,FALSE))),"")</f>
        <v/>
      </c>
      <c r="V33" s="431"/>
      <c r="W33" s="1885"/>
      <c r="X33" s="1886"/>
      <c r="Y33" s="1894"/>
      <c r="Z33" s="1895"/>
      <c r="AA33" s="1907"/>
      <c r="AB33" s="1908"/>
      <c r="AC33" s="1891"/>
      <c r="AD33" s="1892"/>
      <c r="AE33" s="1893"/>
      <c r="AF33" s="1891"/>
      <c r="AG33" s="1892"/>
      <c r="AH33" s="1893"/>
    </row>
    <row r="34" spans="2:34" ht="18.75" customHeight="1">
      <c r="B34" s="1884"/>
      <c r="C34" s="1900" t="str">
        <f>IF(B34="","",C32+1)</f>
        <v/>
      </c>
      <c r="D34" s="1911" t="str">
        <f>IFERROR(IF(VLOOKUP(B34,'NY BackOrder'!A:C,3,FALSE)="","",VLOOKUP(B34,'NY BackOrder'!A:C,3,FALSE)),"")</f>
        <v/>
      </c>
      <c r="E34" s="1912"/>
      <c r="F34" s="1912"/>
      <c r="G34" s="1913"/>
      <c r="H34" s="1896" t="str">
        <f>IF(IFERROR(IF(VLOOKUP(B34,'NY BackOrder'!A:E,5,FALSE)="",VLOOKUP(B34,'NY BackOrder'!A:G,7,FALSE),IF(VLOOKUP(B34,'NY BackOrder'!A:E,5,FALSE)=0,"",VLOOKUP(B34,'NY BackOrder'!A:E,5,FALSE))),"")=0,"",IFERROR(IF(VLOOKUP(B34,'NY BackOrder'!A:E,5,FALSE)="",VLOOKUP(B34,'NY BackOrder'!A:G,7,FALSE),IF(VLOOKUP(B34,'NY BackOrder'!A:E,5,FALSE)=0,"",VLOOKUP(B34,'NY BackOrder'!A:E,5,FALSE))),""))</f>
        <v/>
      </c>
      <c r="I34" s="1897"/>
      <c r="J34" s="1897"/>
      <c r="K34" s="1897"/>
      <c r="L34" s="1897"/>
      <c r="M34" s="1897"/>
      <c r="N34" s="1897"/>
      <c r="O34" s="1897"/>
      <c r="P34" s="1897"/>
      <c r="Q34" s="1897"/>
      <c r="R34" s="1897"/>
      <c r="S34" s="1897"/>
      <c r="T34" s="1897"/>
      <c r="U34" s="1897"/>
      <c r="V34" s="1902"/>
      <c r="W34" s="1885" t="str">
        <f>IFERROR(IF(VLOOKUP(B34,'NY BackOrder'!A:H,8,FALSE)=0,"",VLOOKUP(B34,'NY BackOrder'!A:H,8,FALSE)),"")</f>
        <v/>
      </c>
      <c r="X34" s="1886"/>
      <c r="Y34" s="1894" t="str">
        <f>IFERROR(IF(VLOOKUP(B34,'NY BackOrder'!A:I,9,FALSE)=0,"",VLOOKUP(B34,'NY BackOrder'!A:I,9,FALSE)),"")</f>
        <v/>
      </c>
      <c r="Z34" s="1895"/>
      <c r="AA34" s="1907" t="str">
        <f>IFERROR(IF(AND(H35="",ISNUMBER(VLOOKUP(B34,'NY BackOrder'!A:J,10,FALSE))),VLOOKUP(B34,'NY BackOrder'!A:J,10,FALSE)&amp;" set",IF(VLOOKUP(B34,'NY BackOrder'!A:J,10,FALSE)=0,"",VLOOKUP(B34,'NY BackOrder'!A:J,10,FALSE))),"")</f>
        <v/>
      </c>
      <c r="AB34" s="1908"/>
      <c r="AC34" s="1891" t="str">
        <f>IFERROR(IF(VLOOKUP(B34,'NY BackOrder'!A:K,11,FALSE)=0,"",VLOOKUP(B34,'NY BackOrder'!A:K,11,FALSE)),"")</f>
        <v/>
      </c>
      <c r="AD34" s="1892"/>
      <c r="AE34" s="1893"/>
      <c r="AF34" s="1891" t="str">
        <f t="array" ref="AF34">IFERROR(IF(AA34="","",_xlfn.CONCAT(IFERROR(MID(AA34,_xlfn.SEQUENCE(LEN(AA34)),1)*1,""))*AC34),"")</f>
        <v/>
      </c>
      <c r="AG34" s="1892"/>
      <c r="AH34" s="1893"/>
    </row>
    <row r="35" spans="2:34" ht="18.75" customHeight="1">
      <c r="B35" s="1884"/>
      <c r="C35" s="1900"/>
      <c r="D35" s="1911"/>
      <c r="E35" s="1912"/>
      <c r="F35" s="1912"/>
      <c r="G35" s="1913"/>
      <c r="H35" s="1896" t="str">
        <f>IFERROR(IF(VLOOKUP(B34,'NY BackOrder'!A:F,6,FALSE)="","",IF(VLOOKUP(B34,'NY BackOrder'!A:F,6,FALSE)=0,"",VLOOKUP(B34,'NY BackOrder'!A:F,6,FALSE))),"")</f>
        <v/>
      </c>
      <c r="I35" s="1897"/>
      <c r="J35" s="1897"/>
      <c r="K35" s="428" t="s">
        <v>429</v>
      </c>
      <c r="L35" s="1898" t="str">
        <f>IFERROR(IF(VLOOKUP(B34,'NY BackOrder'!A:E,5,FALSE)="","",IF(VLOOKUP(B34,'NY BackOrder'!A:G,7,FALSE)=0,"",VLOOKUP(B34,'NY BackOrder'!A:G,7,FALSE))),"")</f>
        <v/>
      </c>
      <c r="M35" s="1897"/>
      <c r="N35" s="1897"/>
      <c r="O35" s="1897"/>
      <c r="P35" s="1897"/>
      <c r="Q35" s="1897"/>
      <c r="R35" s="1897"/>
      <c r="S35" s="1897"/>
      <c r="T35" s="1899"/>
      <c r="U35" s="432" t="str">
        <f>IFERROR(IF(VLOOKUP(B34,'NY BackOrder'!A:M,13,FALSE)=0,"",(VLOOKUP(B34,'NY BackOrder'!A:M,13,FALSE))),"")</f>
        <v/>
      </c>
      <c r="V35" s="431"/>
      <c r="W35" s="1885"/>
      <c r="X35" s="1886"/>
      <c r="Y35" s="1894"/>
      <c r="Z35" s="1895"/>
      <c r="AA35" s="1907"/>
      <c r="AB35" s="1908"/>
      <c r="AC35" s="1891"/>
      <c r="AD35" s="1892"/>
      <c r="AE35" s="1893"/>
      <c r="AF35" s="1891"/>
      <c r="AG35" s="1892"/>
      <c r="AH35" s="1893"/>
    </row>
    <row r="36" spans="2:34" ht="18.75" customHeight="1">
      <c r="B36" s="1884"/>
      <c r="C36" s="1900" t="str">
        <f>IF(B36="","",C34+1)</f>
        <v/>
      </c>
      <c r="D36" s="1911" t="str">
        <f>IFERROR(IF(VLOOKUP(B36,'NY BackOrder'!A:C,3,FALSE)="","",VLOOKUP(B36,'NY BackOrder'!A:C,3,FALSE)),"")</f>
        <v/>
      </c>
      <c r="E36" s="1912"/>
      <c r="F36" s="1912"/>
      <c r="G36" s="1913"/>
      <c r="H36" s="1896" t="str">
        <f>IF(IFERROR(IF(VLOOKUP(B36,'NY BackOrder'!A:E,5,FALSE)="",VLOOKUP(B36,'NY BackOrder'!A:G,7,FALSE),IF(VLOOKUP(B36,'NY BackOrder'!A:E,5,FALSE)=0,"",VLOOKUP(B36,'NY BackOrder'!A:E,5,FALSE))),"")=0,"",IFERROR(IF(VLOOKUP(B36,'NY BackOrder'!A:E,5,FALSE)="",VLOOKUP(B36,'NY BackOrder'!A:G,7,FALSE),IF(VLOOKUP(B36,'NY BackOrder'!A:E,5,FALSE)=0,"",VLOOKUP(B36,'NY BackOrder'!A:E,5,FALSE))),""))</f>
        <v/>
      </c>
      <c r="I36" s="1897"/>
      <c r="J36" s="1897"/>
      <c r="K36" s="1897"/>
      <c r="L36" s="1897"/>
      <c r="M36" s="1897"/>
      <c r="N36" s="1897"/>
      <c r="O36" s="1897"/>
      <c r="P36" s="1897"/>
      <c r="Q36" s="1897"/>
      <c r="R36" s="1897"/>
      <c r="S36" s="1897"/>
      <c r="T36" s="1897"/>
      <c r="U36" s="1897"/>
      <c r="V36" s="1902"/>
      <c r="W36" s="1885" t="str">
        <f>IFERROR(IF(VLOOKUP(B36,'NY BackOrder'!A:H,8,FALSE)=0,"",VLOOKUP(B36,'NY BackOrder'!A:H,8,FALSE)),"")</f>
        <v/>
      </c>
      <c r="X36" s="1886"/>
      <c r="Y36" s="1894" t="str">
        <f>IFERROR(IF(VLOOKUP(B36,'NY BackOrder'!A:I,9,FALSE)=0,"",VLOOKUP(B36,'NY BackOrder'!A:I,9,FALSE)),"")</f>
        <v/>
      </c>
      <c r="Z36" s="1895"/>
      <c r="AA36" s="1907" t="str">
        <f>IFERROR(IF(AND(H37="",ISNUMBER(VLOOKUP(B36,'NY BackOrder'!A:J,10,FALSE))),VLOOKUP(B36,'NY BackOrder'!A:J,10,FALSE)&amp;" set",IF(VLOOKUP(B36,'NY BackOrder'!A:J,10,FALSE)=0,"",VLOOKUP(B36,'NY BackOrder'!A:J,10,FALSE))),"")</f>
        <v/>
      </c>
      <c r="AB36" s="1908"/>
      <c r="AC36" s="1891" t="str">
        <f>IFERROR(IF(VLOOKUP(B36,'NY BackOrder'!A:K,11,FALSE)=0,"",VLOOKUP(B36,'NY BackOrder'!A:K,11,FALSE)),"")</f>
        <v/>
      </c>
      <c r="AD36" s="1892"/>
      <c r="AE36" s="1893"/>
      <c r="AF36" s="1891" t="str">
        <f t="array" ref="AF36">IFERROR(IF(AA36="","",_xlfn.CONCAT(IFERROR(MID(AA36,_xlfn.SEQUENCE(LEN(AA36)),1)*1,""))*AC36),"")</f>
        <v/>
      </c>
      <c r="AG36" s="1892"/>
      <c r="AH36" s="1893"/>
    </row>
    <row r="37" spans="2:34" ht="18.75" customHeight="1">
      <c r="B37" s="1884"/>
      <c r="C37" s="1900"/>
      <c r="D37" s="1911"/>
      <c r="E37" s="1912"/>
      <c r="F37" s="1912"/>
      <c r="G37" s="1913"/>
      <c r="H37" s="1896" t="str">
        <f>IFERROR(IF(VLOOKUP(B36,'NY BackOrder'!A:F,6,FALSE)="","",IF(VLOOKUP(B36,'NY BackOrder'!A:F,6,FALSE)=0,"",VLOOKUP(B36,'NY BackOrder'!A:F,6,FALSE))),"")</f>
        <v/>
      </c>
      <c r="I37" s="1897"/>
      <c r="J37" s="1897"/>
      <c r="K37" s="428" t="s">
        <v>429</v>
      </c>
      <c r="L37" s="1898" t="str">
        <f>IFERROR(IF(VLOOKUP(B36,'NY BackOrder'!A:E,5,FALSE)="","",IF(VLOOKUP(B36,'NY BackOrder'!A:G,7,FALSE)=0,"",VLOOKUP(B36,'NY BackOrder'!A:G,7,FALSE))),"")</f>
        <v/>
      </c>
      <c r="M37" s="1897"/>
      <c r="N37" s="1897"/>
      <c r="O37" s="1897"/>
      <c r="P37" s="1897"/>
      <c r="Q37" s="1897"/>
      <c r="R37" s="1897"/>
      <c r="S37" s="1897"/>
      <c r="T37" s="1899"/>
      <c r="U37" s="432" t="str">
        <f>IFERROR(IF(VLOOKUP(B36,'NY BackOrder'!A:M,13,FALSE)=0,"",(VLOOKUP(B36,'NY BackOrder'!A:M,13,FALSE))),"")</f>
        <v/>
      </c>
      <c r="V37" s="431"/>
      <c r="W37" s="1885"/>
      <c r="X37" s="1886"/>
      <c r="Y37" s="1894"/>
      <c r="Z37" s="1895"/>
      <c r="AA37" s="1907"/>
      <c r="AB37" s="1908"/>
      <c r="AC37" s="1891"/>
      <c r="AD37" s="1892"/>
      <c r="AE37" s="1893"/>
      <c r="AF37" s="1891"/>
      <c r="AG37" s="1892"/>
      <c r="AH37" s="1893"/>
    </row>
    <row r="38" spans="2:34" ht="18.75" customHeight="1">
      <c r="B38" s="1884"/>
      <c r="C38" s="1900" t="str">
        <f>IF(B38="","",C36+1)</f>
        <v/>
      </c>
      <c r="D38" s="1911" t="str">
        <f>IFERROR(IF(VLOOKUP(B38,'NY BackOrder'!A:C,3,FALSE)="","",VLOOKUP(B38,'NY BackOrder'!A:C,3,FALSE)),"")</f>
        <v/>
      </c>
      <c r="E38" s="1912"/>
      <c r="F38" s="1912"/>
      <c r="G38" s="1913"/>
      <c r="H38" s="1896" t="str">
        <f>IF(IFERROR(IF(VLOOKUP(B38,'NY BackOrder'!A:E,5,FALSE)="",VLOOKUP(B38,'NY BackOrder'!A:G,7,FALSE),IF(VLOOKUP(B38,'NY BackOrder'!A:E,5,FALSE)=0,"",VLOOKUP(B38,'NY BackOrder'!A:E,5,FALSE))),"")=0,"",IFERROR(IF(VLOOKUP(B38,'NY BackOrder'!A:E,5,FALSE)="",VLOOKUP(B38,'NY BackOrder'!A:G,7,FALSE),IF(VLOOKUP(B38,'NY BackOrder'!A:E,5,FALSE)=0,"",VLOOKUP(B38,'NY BackOrder'!A:E,5,FALSE))),""))</f>
        <v/>
      </c>
      <c r="I38" s="1897"/>
      <c r="J38" s="1897"/>
      <c r="K38" s="1897"/>
      <c r="L38" s="1897"/>
      <c r="M38" s="1897"/>
      <c r="N38" s="1897"/>
      <c r="O38" s="1897"/>
      <c r="P38" s="1897"/>
      <c r="Q38" s="1897"/>
      <c r="R38" s="1897"/>
      <c r="S38" s="1897"/>
      <c r="T38" s="1897"/>
      <c r="U38" s="1897"/>
      <c r="V38" s="1902"/>
      <c r="W38" s="1885" t="str">
        <f>IFERROR(IF(VLOOKUP(B38,'NY BackOrder'!A:H,8,FALSE)=0,"",VLOOKUP(B38,'NY BackOrder'!A:H,8,FALSE)),"")</f>
        <v/>
      </c>
      <c r="X38" s="1886"/>
      <c r="Y38" s="1894" t="str">
        <f>IFERROR(IF(VLOOKUP(B38,'NY BackOrder'!A:I,9,FALSE)=0,"",VLOOKUP(B38,'NY BackOrder'!A:I,9,FALSE)),"")</f>
        <v/>
      </c>
      <c r="Z38" s="1895"/>
      <c r="AA38" s="1907" t="str">
        <f>IFERROR(IF(AND(H39="",ISNUMBER(VLOOKUP(B38,'NY BackOrder'!A:J,10,FALSE))),VLOOKUP(B38,'NY BackOrder'!A:J,10,FALSE)&amp;" set",IF(VLOOKUP(B38,'NY BackOrder'!A:J,10,FALSE)=0,"",VLOOKUP(B38,'NY BackOrder'!A:J,10,FALSE))),"")</f>
        <v/>
      </c>
      <c r="AB38" s="1908"/>
      <c r="AC38" s="1891" t="str">
        <f>IFERROR(IF(VLOOKUP(B38,'NY BackOrder'!A:K,11,FALSE)=0,"",VLOOKUP(B38,'NY BackOrder'!A:K,11,FALSE)),"")</f>
        <v/>
      </c>
      <c r="AD38" s="1892"/>
      <c r="AE38" s="1893"/>
      <c r="AF38" s="1891" t="str">
        <f t="array" ref="AF38">IFERROR(IF(AA38="","",_xlfn.CONCAT(IFERROR(MID(AA38,_xlfn.SEQUENCE(LEN(AA38)),1)*1,""))*AC38),"")</f>
        <v/>
      </c>
      <c r="AG38" s="1892"/>
      <c r="AH38" s="1893"/>
    </row>
    <row r="39" spans="2:34" ht="18.75" customHeight="1">
      <c r="B39" s="1884"/>
      <c r="C39" s="1900"/>
      <c r="D39" s="1911"/>
      <c r="E39" s="1912"/>
      <c r="F39" s="1912"/>
      <c r="G39" s="1913"/>
      <c r="H39" s="1896" t="str">
        <f>IFERROR(IF(VLOOKUP(B38,'NY BackOrder'!A:F,6,FALSE)="","",IF(VLOOKUP(B38,'NY BackOrder'!A:F,6,FALSE)=0,"",VLOOKUP(B38,'NY BackOrder'!A:F,6,FALSE))),"")</f>
        <v/>
      </c>
      <c r="I39" s="1897"/>
      <c r="J39" s="1897"/>
      <c r="K39" s="428" t="s">
        <v>429</v>
      </c>
      <c r="L39" s="1898" t="str">
        <f>IFERROR(IF(VLOOKUP(B38,'NY BackOrder'!A:E,5,FALSE)="","",IF(VLOOKUP(B38,'NY BackOrder'!A:G,7,FALSE)=0,"",VLOOKUP(B38,'NY BackOrder'!A:G,7,FALSE))),"")</f>
        <v/>
      </c>
      <c r="M39" s="1897"/>
      <c r="N39" s="1897"/>
      <c r="O39" s="1897"/>
      <c r="P39" s="1897"/>
      <c r="Q39" s="1897"/>
      <c r="R39" s="1897"/>
      <c r="S39" s="1897"/>
      <c r="T39" s="1899"/>
      <c r="U39" s="432" t="str">
        <f>IFERROR(IF(VLOOKUP(B38,'NY BackOrder'!A:M,13,FALSE)=0,"",(VLOOKUP(B38,'NY BackOrder'!A:M,13,FALSE))),"")</f>
        <v/>
      </c>
      <c r="V39" s="431"/>
      <c r="W39" s="1885"/>
      <c r="X39" s="1886"/>
      <c r="Y39" s="1894"/>
      <c r="Z39" s="1895"/>
      <c r="AA39" s="1907"/>
      <c r="AB39" s="1908"/>
      <c r="AC39" s="1891"/>
      <c r="AD39" s="1892"/>
      <c r="AE39" s="1893"/>
      <c r="AF39" s="1891"/>
      <c r="AG39" s="1892"/>
      <c r="AH39" s="1893"/>
    </row>
    <row r="40" spans="2:34" ht="18.75" customHeight="1">
      <c r="B40" s="1884"/>
      <c r="C40" s="1900" t="str">
        <f>IF(B40="","",C38+1)</f>
        <v/>
      </c>
      <c r="D40" s="1911" t="str">
        <f>IFERROR(IF(VLOOKUP(B40,'NY BackOrder'!A:C,3,FALSE)="","",VLOOKUP(B40,'NY BackOrder'!A:C,3,FALSE)),"")</f>
        <v/>
      </c>
      <c r="E40" s="1912"/>
      <c r="F40" s="1912"/>
      <c r="G40" s="1913"/>
      <c r="H40" s="1896" t="str">
        <f>IF(IFERROR(IF(VLOOKUP(B40,'NY BackOrder'!A:E,5,FALSE)="",VLOOKUP(B40,'NY BackOrder'!A:G,7,FALSE),IF(VLOOKUP(B40,'NY BackOrder'!A:E,5,FALSE)=0,"",VLOOKUP(B40,'NY BackOrder'!A:E,5,FALSE))),"")=0,"",IFERROR(IF(VLOOKUP(B40,'NY BackOrder'!A:E,5,FALSE)="",VLOOKUP(B40,'NY BackOrder'!A:G,7,FALSE),IF(VLOOKUP(B40,'NY BackOrder'!A:E,5,FALSE)=0,"",VLOOKUP(B40,'NY BackOrder'!A:E,5,FALSE))),""))</f>
        <v/>
      </c>
      <c r="I40" s="1897"/>
      <c r="J40" s="1897"/>
      <c r="K40" s="1897"/>
      <c r="L40" s="1897"/>
      <c r="M40" s="1897"/>
      <c r="N40" s="1897"/>
      <c r="O40" s="1897"/>
      <c r="P40" s="1897"/>
      <c r="Q40" s="1897"/>
      <c r="R40" s="1897"/>
      <c r="S40" s="1897"/>
      <c r="T40" s="1897"/>
      <c r="U40" s="1897"/>
      <c r="V40" s="1902"/>
      <c r="W40" s="1885" t="str">
        <f>IFERROR(IF(VLOOKUP(B40,'NY BackOrder'!A:H,8,FALSE)=0,"",VLOOKUP(B40,'NY BackOrder'!A:H,8,FALSE)),"")</f>
        <v/>
      </c>
      <c r="X40" s="1886"/>
      <c r="Y40" s="1894" t="str">
        <f>IFERROR(IF(VLOOKUP(B40,'NY BackOrder'!A:I,9,FALSE)=0,"",VLOOKUP(B40,'NY BackOrder'!A:I,9,FALSE)),"")</f>
        <v/>
      </c>
      <c r="Z40" s="1895"/>
      <c r="AA40" s="1907" t="str">
        <f>IFERROR(IF(AND(H41="",ISNUMBER(VLOOKUP(B40,'NY BackOrder'!A:J,10,FALSE))),VLOOKUP(B40,'NY BackOrder'!A:J,10,FALSE)&amp;" set",IF(VLOOKUP(B40,'NY BackOrder'!A:J,10,FALSE)=0,"",VLOOKUP(B40,'NY BackOrder'!A:J,10,FALSE))),"")</f>
        <v/>
      </c>
      <c r="AB40" s="1908"/>
      <c r="AC40" s="1891" t="str">
        <f>IFERROR(IF(VLOOKUP(B40,'NY BackOrder'!A:K,11,FALSE)=0,"",VLOOKUP(B40,'NY BackOrder'!A:K,11,FALSE)),"")</f>
        <v/>
      </c>
      <c r="AD40" s="1892"/>
      <c r="AE40" s="1893"/>
      <c r="AF40" s="1891" t="str">
        <f t="array" ref="AF40">IFERROR(IF(AA40="","",_xlfn.CONCAT(IFERROR(MID(AA40,_xlfn.SEQUENCE(LEN(AA40)),1)*1,""))*AC40),"")</f>
        <v/>
      </c>
      <c r="AG40" s="1892"/>
      <c r="AH40" s="1893"/>
    </row>
    <row r="41" spans="2:34" ht="18.75" customHeight="1">
      <c r="B41" s="1884"/>
      <c r="C41" s="1900"/>
      <c r="D41" s="1911"/>
      <c r="E41" s="1912"/>
      <c r="F41" s="1912"/>
      <c r="G41" s="1913"/>
      <c r="H41" s="1896" t="str">
        <f>IFERROR(IF(VLOOKUP(B40,'NY BackOrder'!A:F,6,FALSE)="","",IF(VLOOKUP(B40,'NY BackOrder'!A:F,6,FALSE)=0,"",VLOOKUP(B40,'NY BackOrder'!A:F,6,FALSE))),"")</f>
        <v/>
      </c>
      <c r="I41" s="1897"/>
      <c r="J41" s="1897"/>
      <c r="K41" s="428" t="s">
        <v>429</v>
      </c>
      <c r="L41" s="1898" t="str">
        <f>IFERROR(IF(VLOOKUP(B40,'NY BackOrder'!A:E,5,FALSE)="","",IF(VLOOKUP(B40,'NY BackOrder'!A:G,7,FALSE)=0,"",VLOOKUP(B40,'NY BackOrder'!A:G,7,FALSE))),"")</f>
        <v/>
      </c>
      <c r="M41" s="1897"/>
      <c r="N41" s="1897"/>
      <c r="O41" s="1897"/>
      <c r="P41" s="1897"/>
      <c r="Q41" s="1897"/>
      <c r="R41" s="1897"/>
      <c r="S41" s="1897"/>
      <c r="T41" s="1899"/>
      <c r="U41" s="432" t="str">
        <f>IFERROR(IF(VLOOKUP(B40,'NY BackOrder'!A:M,13,FALSE)=0,"",(VLOOKUP(B40,'NY BackOrder'!A:M,13,FALSE))),"")</f>
        <v/>
      </c>
      <c r="V41" s="431"/>
      <c r="W41" s="1885"/>
      <c r="X41" s="1886"/>
      <c r="Y41" s="1894"/>
      <c r="Z41" s="1895"/>
      <c r="AA41" s="1907"/>
      <c r="AB41" s="1908"/>
      <c r="AC41" s="1891"/>
      <c r="AD41" s="1892"/>
      <c r="AE41" s="1893"/>
      <c r="AF41" s="1891"/>
      <c r="AG41" s="1892"/>
      <c r="AH41" s="1893"/>
    </row>
    <row r="42" spans="2:34" ht="18.75" customHeight="1">
      <c r="B42" s="1884"/>
      <c r="C42" s="1900" t="str">
        <f>IF(B42="","",C40+1)</f>
        <v/>
      </c>
      <c r="D42" s="1911" t="str">
        <f>IFERROR(IF(VLOOKUP(B42,'NY BackOrder'!A:C,3,FALSE)="","",VLOOKUP(B42,'NY BackOrder'!A:C,3,FALSE)),"")</f>
        <v/>
      </c>
      <c r="E42" s="1912"/>
      <c r="F42" s="1912"/>
      <c r="G42" s="1913"/>
      <c r="H42" s="1896" t="str">
        <f>IF(IFERROR(IF(VLOOKUP(B42,'NY BackOrder'!A:E,5,FALSE)="",VLOOKUP(B42,'NY BackOrder'!A:G,7,FALSE),IF(VLOOKUP(B42,'NY BackOrder'!A:E,5,FALSE)=0,"",VLOOKUP(B42,'NY BackOrder'!A:E,5,FALSE))),"")=0,"",IFERROR(IF(VLOOKUP(B42,'NY BackOrder'!A:E,5,FALSE)="",VLOOKUP(B42,'NY BackOrder'!A:G,7,FALSE),IF(VLOOKUP(B42,'NY BackOrder'!A:E,5,FALSE)=0,"",VLOOKUP(B42,'NY BackOrder'!A:E,5,FALSE))),""))</f>
        <v/>
      </c>
      <c r="I42" s="1897"/>
      <c r="J42" s="1897"/>
      <c r="K42" s="1897"/>
      <c r="L42" s="1897"/>
      <c r="M42" s="1897"/>
      <c r="N42" s="1897"/>
      <c r="O42" s="1897"/>
      <c r="P42" s="1897"/>
      <c r="Q42" s="1897"/>
      <c r="R42" s="1897"/>
      <c r="S42" s="1897"/>
      <c r="T42" s="1897"/>
      <c r="U42" s="1897"/>
      <c r="V42" s="1902"/>
      <c r="W42" s="1885" t="str">
        <f>IFERROR(IF(VLOOKUP(B42,'NY BackOrder'!A:H,8,FALSE)=0,"",VLOOKUP(B42,'NY BackOrder'!A:H,8,FALSE)),"")</f>
        <v/>
      </c>
      <c r="X42" s="1886"/>
      <c r="Y42" s="1894" t="str">
        <f>IFERROR(IF(VLOOKUP(B42,'NY BackOrder'!A:I,9,FALSE)=0,"",VLOOKUP(B42,'NY BackOrder'!A:I,9,FALSE)),"")</f>
        <v/>
      </c>
      <c r="Z42" s="1895"/>
      <c r="AA42" s="1907" t="str">
        <f>IFERROR(IF(AND(H43="",ISNUMBER(VLOOKUP(B42,'NY BackOrder'!A:J,10,FALSE))),VLOOKUP(B42,'NY BackOrder'!A:J,10,FALSE)&amp;" set",IF(VLOOKUP(B42,'NY BackOrder'!A:J,10,FALSE)=0,"",VLOOKUP(B42,'NY BackOrder'!A:J,10,FALSE))),"")</f>
        <v/>
      </c>
      <c r="AB42" s="1908"/>
      <c r="AC42" s="1891" t="str">
        <f>IFERROR(IF(VLOOKUP(B42,'NY BackOrder'!A:K,11,FALSE)=0,"",VLOOKUP(B42,'NY BackOrder'!A:K,11,FALSE)),"")</f>
        <v/>
      </c>
      <c r="AD42" s="1892"/>
      <c r="AE42" s="1893"/>
      <c r="AF42" s="1891" t="str">
        <f t="array" ref="AF42">IFERROR(IF(AA42="","",_xlfn.CONCAT(IFERROR(MID(AA42,_xlfn.SEQUENCE(LEN(AA42)),1)*1,""))*AC42),"")</f>
        <v/>
      </c>
      <c r="AG42" s="1892"/>
      <c r="AH42" s="1893"/>
    </row>
    <row r="43" spans="2:34" ht="18.75" customHeight="1">
      <c r="B43" s="1884"/>
      <c r="C43" s="1900"/>
      <c r="D43" s="1911"/>
      <c r="E43" s="1912"/>
      <c r="F43" s="1912"/>
      <c r="G43" s="1913"/>
      <c r="H43" s="1896" t="str">
        <f>IFERROR(IF(VLOOKUP(B42,'NY BackOrder'!A:F,6,FALSE)="","",IF(VLOOKUP(B42,'NY BackOrder'!A:F,6,FALSE)=0,"",VLOOKUP(B42,'NY BackOrder'!A:F,6,FALSE))),"")</f>
        <v/>
      </c>
      <c r="I43" s="1897"/>
      <c r="J43" s="1897"/>
      <c r="K43" s="428" t="s">
        <v>429</v>
      </c>
      <c r="L43" s="1898" t="str">
        <f>IFERROR(IF(VLOOKUP(B42,'NY BackOrder'!A:E,5,FALSE)="","",IF(VLOOKUP(B42,'NY BackOrder'!A:G,7,FALSE)=0,"",VLOOKUP(B42,'NY BackOrder'!A:G,7,FALSE))),"")</f>
        <v/>
      </c>
      <c r="M43" s="1897"/>
      <c r="N43" s="1897"/>
      <c r="O43" s="1897"/>
      <c r="P43" s="1897"/>
      <c r="Q43" s="1897"/>
      <c r="R43" s="1897"/>
      <c r="S43" s="1897"/>
      <c r="T43" s="1899"/>
      <c r="U43" s="432" t="str">
        <f>IFERROR(IF(VLOOKUP(B42,'NY BackOrder'!A:M,13,FALSE)=0,"",(VLOOKUP(B42,'NY BackOrder'!A:M,13,FALSE))),"")</f>
        <v/>
      </c>
      <c r="V43" s="431"/>
      <c r="W43" s="1885"/>
      <c r="X43" s="1886"/>
      <c r="Y43" s="1894"/>
      <c r="Z43" s="1895"/>
      <c r="AA43" s="1907"/>
      <c r="AB43" s="1908"/>
      <c r="AC43" s="1891"/>
      <c r="AD43" s="1892"/>
      <c r="AE43" s="1893"/>
      <c r="AF43" s="1891"/>
      <c r="AG43" s="1892"/>
      <c r="AH43" s="1893"/>
    </row>
    <row r="44" spans="2:34" ht="18.75" customHeight="1">
      <c r="B44" s="1884"/>
      <c r="C44" s="1900" t="str">
        <f>IF(B44="","",C42+1)</f>
        <v/>
      </c>
      <c r="D44" s="1911" t="str">
        <f>IFERROR(IF(VLOOKUP(B44,'NY BackOrder'!A:C,3,FALSE)="","",VLOOKUP(B44,'NY BackOrder'!A:C,3,FALSE)),"")</f>
        <v/>
      </c>
      <c r="E44" s="1912"/>
      <c r="F44" s="1912"/>
      <c r="G44" s="1913"/>
      <c r="H44" s="1896" t="str">
        <f>IF(IFERROR(IF(VLOOKUP(B44,'NY BackOrder'!A:E,5,FALSE)="",VLOOKUP(B44,'NY BackOrder'!A:G,7,FALSE),IF(VLOOKUP(B44,'NY BackOrder'!A:E,5,FALSE)=0,"",VLOOKUP(B44,'NY BackOrder'!A:E,5,FALSE))),"")=0,"",IFERROR(IF(VLOOKUP(B44,'NY BackOrder'!A:E,5,FALSE)="",VLOOKUP(B44,'NY BackOrder'!A:G,7,FALSE),IF(VLOOKUP(B44,'NY BackOrder'!A:E,5,FALSE)=0,"",VLOOKUP(B44,'NY BackOrder'!A:E,5,FALSE))),""))</f>
        <v/>
      </c>
      <c r="I44" s="1897"/>
      <c r="J44" s="1897"/>
      <c r="K44" s="1897"/>
      <c r="L44" s="1897"/>
      <c r="M44" s="1897"/>
      <c r="N44" s="1897"/>
      <c r="O44" s="1897"/>
      <c r="P44" s="1897"/>
      <c r="Q44" s="1897"/>
      <c r="R44" s="1897"/>
      <c r="S44" s="1897"/>
      <c r="T44" s="1897"/>
      <c r="U44" s="1897"/>
      <c r="V44" s="1902"/>
      <c r="W44" s="1885" t="str">
        <f>IFERROR(IF(VLOOKUP(B44,'NY BackOrder'!A:H,8,FALSE)=0,"",VLOOKUP(B44,'NY BackOrder'!A:H,8,FALSE)),"")</f>
        <v/>
      </c>
      <c r="X44" s="1886"/>
      <c r="Y44" s="1894" t="str">
        <f>IFERROR(IF(VLOOKUP(B44,'NY BackOrder'!A:I,9,FALSE)=0,"",VLOOKUP(B44,'NY BackOrder'!A:I,9,FALSE)),"")</f>
        <v/>
      </c>
      <c r="Z44" s="1895"/>
      <c r="AA44" s="1907" t="str">
        <f>IFERROR(IF(AND(H45="",ISNUMBER(VLOOKUP(B44,'NY BackOrder'!A:J,10,FALSE))),VLOOKUP(B44,'NY BackOrder'!A:J,10,FALSE)&amp;" set",IF(VLOOKUP(B44,'NY BackOrder'!A:J,10,FALSE)=0,"",VLOOKUP(B44,'NY BackOrder'!A:J,10,FALSE))),"")</f>
        <v/>
      </c>
      <c r="AB44" s="1908"/>
      <c r="AC44" s="1891" t="str">
        <f>IFERROR(IF(VLOOKUP(B44,'NY BackOrder'!A:K,11,FALSE)=0,"",VLOOKUP(B44,'NY BackOrder'!A:K,11,FALSE)),"")</f>
        <v/>
      </c>
      <c r="AD44" s="1892"/>
      <c r="AE44" s="1893"/>
      <c r="AF44" s="1891" t="str">
        <f t="array" ref="AF44">IFERROR(IF(AA44="","",_xlfn.CONCAT(IFERROR(MID(AA44,_xlfn.SEQUENCE(LEN(AA44)),1)*1,""))*AC44),"")</f>
        <v/>
      </c>
      <c r="AG44" s="1892"/>
      <c r="AH44" s="1893"/>
    </row>
    <row r="45" spans="2:34" ht="18.75" customHeight="1">
      <c r="B45" s="1884"/>
      <c r="C45" s="1900"/>
      <c r="D45" s="1911"/>
      <c r="E45" s="1912"/>
      <c r="F45" s="1912"/>
      <c r="G45" s="1913"/>
      <c r="H45" s="1896" t="str">
        <f>IFERROR(IF(VLOOKUP(B44,'NY BackOrder'!A:F,6,FALSE)="","",IF(VLOOKUP(B44,'NY BackOrder'!A:F,6,FALSE)=0,"",VLOOKUP(B44,'NY BackOrder'!A:F,6,FALSE))),"")</f>
        <v/>
      </c>
      <c r="I45" s="1897"/>
      <c r="J45" s="1897"/>
      <c r="K45" s="428" t="s">
        <v>429</v>
      </c>
      <c r="L45" s="1898" t="str">
        <f>IFERROR(IF(VLOOKUP(B44,'NY BackOrder'!A:E,5,FALSE)="","",IF(VLOOKUP(B44,'NY BackOrder'!A:G,7,FALSE)=0,"",VLOOKUP(B44,'NY BackOrder'!A:G,7,FALSE))),"")</f>
        <v/>
      </c>
      <c r="M45" s="1897"/>
      <c r="N45" s="1897"/>
      <c r="O45" s="1897"/>
      <c r="P45" s="1897"/>
      <c r="Q45" s="1897"/>
      <c r="R45" s="1897"/>
      <c r="S45" s="1897"/>
      <c r="T45" s="1899"/>
      <c r="U45" s="432" t="str">
        <f>IFERROR(IF(VLOOKUP(B44,'NY BackOrder'!A:M,13,FALSE)=0,"",(VLOOKUP(B44,'NY BackOrder'!A:M,13,FALSE))),"")</f>
        <v/>
      </c>
      <c r="V45" s="431"/>
      <c r="W45" s="1885"/>
      <c r="X45" s="1886"/>
      <c r="Y45" s="1894"/>
      <c r="Z45" s="1895"/>
      <c r="AA45" s="1907"/>
      <c r="AB45" s="1908"/>
      <c r="AC45" s="1891"/>
      <c r="AD45" s="1892"/>
      <c r="AE45" s="1893"/>
      <c r="AF45" s="1891"/>
      <c r="AG45" s="1892"/>
      <c r="AH45" s="1893"/>
    </row>
    <row r="46" spans="2:34" ht="18.75" customHeight="1">
      <c r="B46" s="1884"/>
      <c r="C46" s="1900" t="str">
        <f>IF(B46="","",C44+1)</f>
        <v/>
      </c>
      <c r="D46" s="1911" t="str">
        <f>IFERROR(IF(VLOOKUP(B46,'NY BackOrder'!A:C,3,FALSE)="","",VLOOKUP(B46,'NY BackOrder'!A:C,3,FALSE)),"")</f>
        <v/>
      </c>
      <c r="E46" s="1912"/>
      <c r="F46" s="1912"/>
      <c r="G46" s="1913"/>
      <c r="H46" s="1896" t="str">
        <f>IF(IFERROR(IF(VLOOKUP(B46,'NY BackOrder'!A:E,5,FALSE)="",VLOOKUP(B46,'NY BackOrder'!A:G,7,FALSE),IF(VLOOKUP(B46,'NY BackOrder'!A:E,5,FALSE)=0,"",VLOOKUP(B46,'NY BackOrder'!A:E,5,FALSE))),"")=0,"",IFERROR(IF(VLOOKUP(B46,'NY BackOrder'!A:E,5,FALSE)="",VLOOKUP(B46,'NY BackOrder'!A:G,7,FALSE),IF(VLOOKUP(B46,'NY BackOrder'!A:E,5,FALSE)=0,"",VLOOKUP(B46,'NY BackOrder'!A:E,5,FALSE))),""))</f>
        <v/>
      </c>
      <c r="I46" s="1897"/>
      <c r="J46" s="1897"/>
      <c r="K46" s="1897"/>
      <c r="L46" s="1897"/>
      <c r="M46" s="1897"/>
      <c r="N46" s="1897"/>
      <c r="O46" s="1897"/>
      <c r="P46" s="1897"/>
      <c r="Q46" s="1897"/>
      <c r="R46" s="1897"/>
      <c r="S46" s="1897"/>
      <c r="T46" s="1897"/>
      <c r="U46" s="1897"/>
      <c r="V46" s="1902"/>
      <c r="W46" s="1885" t="str">
        <f>IFERROR(IF(VLOOKUP(B46,'NY BackOrder'!A:H,8,FALSE)=0,"",VLOOKUP(B46,'NY BackOrder'!A:H,8,FALSE)),"")</f>
        <v/>
      </c>
      <c r="X46" s="1886"/>
      <c r="Y46" s="1894" t="str">
        <f>IFERROR(IF(VLOOKUP(B46,'NY BackOrder'!A:I,9,FALSE)=0,"",VLOOKUP(B46,'NY BackOrder'!A:I,9,FALSE)),"")</f>
        <v/>
      </c>
      <c r="Z46" s="1895"/>
      <c r="AA46" s="1907" t="str">
        <f>IFERROR(IF(AND(H47="",ISNUMBER(VLOOKUP(B46,'NY BackOrder'!A:J,10,FALSE))),VLOOKUP(B46,'NY BackOrder'!A:J,10,FALSE)&amp;" set",IF(VLOOKUP(B46,'NY BackOrder'!A:J,10,FALSE)=0,"",VLOOKUP(B46,'NY BackOrder'!A:J,10,FALSE))),"")</f>
        <v/>
      </c>
      <c r="AB46" s="1908"/>
      <c r="AC46" s="1891" t="str">
        <f>IFERROR(IF(VLOOKUP(B46,'NY BackOrder'!A:K,11,FALSE)=0,"",VLOOKUP(B46,'NY BackOrder'!A:K,11,FALSE)),"")</f>
        <v/>
      </c>
      <c r="AD46" s="1892"/>
      <c r="AE46" s="1893"/>
      <c r="AF46" s="1891" t="str">
        <f t="array" ref="AF46">IFERROR(IF(AA46="","",_xlfn.CONCAT(IFERROR(MID(AA46,_xlfn.SEQUENCE(LEN(AA46)),1)*1,""))*AC46),"")</f>
        <v/>
      </c>
      <c r="AG46" s="1892"/>
      <c r="AH46" s="1893"/>
    </row>
    <row r="47" spans="2:34" ht="18.75" customHeight="1">
      <c r="B47" s="1884"/>
      <c r="C47" s="1900"/>
      <c r="D47" s="1911"/>
      <c r="E47" s="1912"/>
      <c r="F47" s="1912"/>
      <c r="G47" s="1913"/>
      <c r="H47" s="1896" t="str">
        <f>IFERROR(IF(VLOOKUP(B46,'NY BackOrder'!A:F,6,FALSE)="","",IF(VLOOKUP(B46,'NY BackOrder'!A:F,6,FALSE)=0,"",VLOOKUP(B46,'NY BackOrder'!A:F,6,FALSE))),"")</f>
        <v/>
      </c>
      <c r="I47" s="1897"/>
      <c r="J47" s="1897"/>
      <c r="K47" s="428" t="s">
        <v>429</v>
      </c>
      <c r="L47" s="1898" t="str">
        <f>IFERROR(IF(VLOOKUP(B46,'NY BackOrder'!A:E,5,FALSE)="","",IF(VLOOKUP(B46,'NY BackOrder'!A:G,7,FALSE)=0,"",VLOOKUP(B46,'NY BackOrder'!A:G,7,FALSE))),"")</f>
        <v/>
      </c>
      <c r="M47" s="1897"/>
      <c r="N47" s="1897"/>
      <c r="O47" s="1897"/>
      <c r="P47" s="1897"/>
      <c r="Q47" s="1897"/>
      <c r="R47" s="1897"/>
      <c r="S47" s="1897"/>
      <c r="T47" s="1899"/>
      <c r="U47" s="432" t="str">
        <f>IFERROR(IF(VLOOKUP(B46,'NY BackOrder'!A:M,13,FALSE)=0,"",(VLOOKUP(B46,'NY BackOrder'!A:M,13,FALSE))),"")</f>
        <v/>
      </c>
      <c r="V47" s="431"/>
      <c r="W47" s="1885"/>
      <c r="X47" s="1886"/>
      <c r="Y47" s="1894"/>
      <c r="Z47" s="1895"/>
      <c r="AA47" s="1907"/>
      <c r="AB47" s="1908"/>
      <c r="AC47" s="1891"/>
      <c r="AD47" s="1892"/>
      <c r="AE47" s="1893"/>
      <c r="AF47" s="1891"/>
      <c r="AG47" s="1892"/>
      <c r="AH47" s="1893"/>
    </row>
    <row r="48" spans="2:34" ht="18.75" customHeight="1">
      <c r="B48" s="1884"/>
      <c r="C48" s="1900" t="str">
        <f>IF(B48="","",C46+1)</f>
        <v/>
      </c>
      <c r="D48" s="1911" t="str">
        <f>IFERROR(IF(VLOOKUP(B48,'NY BackOrder'!A:C,3,FALSE)="","",VLOOKUP(B48,'NY BackOrder'!A:C,3,FALSE)),"")</f>
        <v/>
      </c>
      <c r="E48" s="1912"/>
      <c r="F48" s="1912"/>
      <c r="G48" s="1913"/>
      <c r="H48" s="1896" t="str">
        <f>IF(IFERROR(IF(VLOOKUP(B48,'NY BackOrder'!A:E,5,FALSE)="",VLOOKUP(B48,'NY BackOrder'!A:G,7,FALSE),IF(VLOOKUP(B48,'NY BackOrder'!A:E,5,FALSE)=0,"",VLOOKUP(B48,'NY BackOrder'!A:E,5,FALSE))),"")=0,"",IFERROR(IF(VLOOKUP(B48,'NY BackOrder'!A:E,5,FALSE)="",VLOOKUP(B48,'NY BackOrder'!A:G,7,FALSE),IF(VLOOKUP(B48,'NY BackOrder'!A:E,5,FALSE)=0,"",VLOOKUP(B48,'NY BackOrder'!A:E,5,FALSE))),""))</f>
        <v/>
      </c>
      <c r="I48" s="1897"/>
      <c r="J48" s="1897"/>
      <c r="K48" s="1897"/>
      <c r="L48" s="1897"/>
      <c r="M48" s="1897"/>
      <c r="N48" s="1897"/>
      <c r="O48" s="1897"/>
      <c r="P48" s="1897"/>
      <c r="Q48" s="1897"/>
      <c r="R48" s="1897"/>
      <c r="S48" s="1897"/>
      <c r="T48" s="1897"/>
      <c r="U48" s="1897"/>
      <c r="V48" s="1902"/>
      <c r="W48" s="1885" t="str">
        <f>IFERROR(IF(VLOOKUP(B48,'NY BackOrder'!A:H,8,FALSE)=0,"",VLOOKUP(B48,'NY BackOrder'!A:H,8,FALSE)),"")</f>
        <v/>
      </c>
      <c r="X48" s="1886"/>
      <c r="Y48" s="1894" t="str">
        <f>IFERROR(IF(VLOOKUP(B48,'NY BackOrder'!A:I,9,FALSE)=0,"",VLOOKUP(B48,'NY BackOrder'!A:I,9,FALSE)),"")</f>
        <v/>
      </c>
      <c r="Z48" s="1895"/>
      <c r="AA48" s="1907" t="str">
        <f>IFERROR(IF(AND(H49="",ISNUMBER(VLOOKUP(B48,'NY BackOrder'!A:J,10,FALSE))),VLOOKUP(B48,'NY BackOrder'!A:J,10,FALSE)&amp;" set",IF(VLOOKUP(B48,'NY BackOrder'!A:J,10,FALSE)=0,"",VLOOKUP(B48,'NY BackOrder'!A:J,10,FALSE))),"")</f>
        <v/>
      </c>
      <c r="AB48" s="1908"/>
      <c r="AC48" s="1891" t="str">
        <f>IFERROR(IF(VLOOKUP(B48,'NY BackOrder'!A:K,11,FALSE)=0,"",VLOOKUP(B48,'NY BackOrder'!A:K,11,FALSE)),"")</f>
        <v/>
      </c>
      <c r="AD48" s="1892"/>
      <c r="AE48" s="1893"/>
      <c r="AF48" s="1891" t="str">
        <f t="array" ref="AF48">IFERROR(IF(AA48="","",_xlfn.CONCAT(IFERROR(MID(AA48,_xlfn.SEQUENCE(LEN(AA48)),1)*1,""))*AC48),"")</f>
        <v/>
      </c>
      <c r="AG48" s="1892"/>
      <c r="AH48" s="1893"/>
    </row>
    <row r="49" spans="2:34" ht="18.75" customHeight="1">
      <c r="B49" s="1884"/>
      <c r="C49" s="1900"/>
      <c r="D49" s="1911"/>
      <c r="E49" s="1912"/>
      <c r="F49" s="1912"/>
      <c r="G49" s="1913"/>
      <c r="H49" s="1896" t="str">
        <f>IFERROR(IF(VLOOKUP(B48,'NY BackOrder'!A:F,6,FALSE)="","",IF(VLOOKUP(B48,'NY BackOrder'!A:F,6,FALSE)=0,"",VLOOKUP(B48,'NY BackOrder'!A:F,6,FALSE))),"")</f>
        <v/>
      </c>
      <c r="I49" s="1897"/>
      <c r="J49" s="1897"/>
      <c r="K49" s="428" t="s">
        <v>429</v>
      </c>
      <c r="L49" s="1898" t="str">
        <f>IFERROR(IF(VLOOKUP(B48,'NY BackOrder'!A:E,5,FALSE)="","",IF(VLOOKUP(B48,'NY BackOrder'!A:G,7,FALSE)=0,"",VLOOKUP(B48,'NY BackOrder'!A:G,7,FALSE))),"")</f>
        <v/>
      </c>
      <c r="M49" s="1897"/>
      <c r="N49" s="1897"/>
      <c r="O49" s="1897"/>
      <c r="P49" s="1897"/>
      <c r="Q49" s="1897"/>
      <c r="R49" s="1897"/>
      <c r="S49" s="1897"/>
      <c r="T49" s="1899"/>
      <c r="U49" s="432" t="str">
        <f>IFERROR(IF(VLOOKUP(B48,'NY BackOrder'!A:M,13,FALSE)=0,"",(VLOOKUP(B48,'NY BackOrder'!A:M,13,FALSE))),"")</f>
        <v/>
      </c>
      <c r="V49" s="431"/>
      <c r="W49" s="1885"/>
      <c r="X49" s="1886"/>
      <c r="Y49" s="1894"/>
      <c r="Z49" s="1895"/>
      <c r="AA49" s="1907"/>
      <c r="AB49" s="1908"/>
      <c r="AC49" s="1891"/>
      <c r="AD49" s="1892"/>
      <c r="AE49" s="1893"/>
      <c r="AF49" s="1891"/>
      <c r="AG49" s="1892"/>
      <c r="AH49" s="1893"/>
    </row>
    <row r="50" spans="2:34" ht="18.75" customHeight="1">
      <c r="B50" s="1884"/>
      <c r="C50" s="1900" t="str">
        <f>IF(B50="","",C48+1)</f>
        <v/>
      </c>
      <c r="D50" s="1911" t="str">
        <f>IFERROR(IF(VLOOKUP(B50,'NY BackOrder'!A:C,3,FALSE)="","",VLOOKUP(B50,'NY BackOrder'!A:C,3,FALSE)),"")</f>
        <v/>
      </c>
      <c r="E50" s="1912"/>
      <c r="F50" s="1912"/>
      <c r="G50" s="1913"/>
      <c r="H50" s="1896" t="str">
        <f>IF(IFERROR(IF(VLOOKUP(B50,'NY BackOrder'!A:E,5,FALSE)="",VLOOKUP(B50,'NY BackOrder'!A:G,7,FALSE),IF(VLOOKUP(B50,'NY BackOrder'!A:E,5,FALSE)=0,"",VLOOKUP(B50,'NY BackOrder'!A:E,5,FALSE))),"")=0,"",IFERROR(IF(VLOOKUP(B50,'NY BackOrder'!A:E,5,FALSE)="",VLOOKUP(B50,'NY BackOrder'!A:G,7,FALSE),IF(VLOOKUP(B50,'NY BackOrder'!A:E,5,FALSE)=0,"",VLOOKUP(B50,'NY BackOrder'!A:E,5,FALSE))),""))</f>
        <v/>
      </c>
      <c r="I50" s="1897"/>
      <c r="J50" s="1897"/>
      <c r="K50" s="1897"/>
      <c r="L50" s="1897"/>
      <c r="M50" s="1897"/>
      <c r="N50" s="1897"/>
      <c r="O50" s="1897"/>
      <c r="P50" s="1897"/>
      <c r="Q50" s="1897"/>
      <c r="R50" s="1897"/>
      <c r="S50" s="1897"/>
      <c r="T50" s="1897"/>
      <c r="U50" s="1897"/>
      <c r="V50" s="1902"/>
      <c r="W50" s="1885" t="str">
        <f>IFERROR(IF(VLOOKUP(B50,'NY BackOrder'!A:H,8,FALSE)=0,"",VLOOKUP(B50,'NY BackOrder'!A:H,8,FALSE)),"")</f>
        <v/>
      </c>
      <c r="X50" s="1886"/>
      <c r="Y50" s="1894" t="str">
        <f>IFERROR(IF(VLOOKUP(B50,'NY BackOrder'!A:I,9,FALSE)=0,"",VLOOKUP(B50,'NY BackOrder'!A:I,9,FALSE)),"")</f>
        <v/>
      </c>
      <c r="Z50" s="1895"/>
      <c r="AA50" s="1907" t="str">
        <f>IFERROR(IF(AND(H51="",ISNUMBER(VLOOKUP(B50,'NY BackOrder'!A:J,10,FALSE))),VLOOKUP(B50,'NY BackOrder'!A:J,10,FALSE)&amp;" set",IF(VLOOKUP(B50,'NY BackOrder'!A:J,10,FALSE)=0,"",VLOOKUP(B50,'NY BackOrder'!A:J,10,FALSE))),"")</f>
        <v/>
      </c>
      <c r="AB50" s="1908"/>
      <c r="AC50" s="1891" t="str">
        <f>IFERROR(IF(VLOOKUP(B50,'NY BackOrder'!A:K,11,FALSE)=0,"",VLOOKUP(B50,'NY BackOrder'!A:K,11,FALSE)),"")</f>
        <v/>
      </c>
      <c r="AD50" s="1892"/>
      <c r="AE50" s="1893"/>
      <c r="AF50" s="1891" t="str">
        <f t="array" ref="AF50">IFERROR(IF(AA50="","",_xlfn.CONCAT(IFERROR(MID(AA50,_xlfn.SEQUENCE(LEN(AA50)),1)*1,""))*AC50),"")</f>
        <v/>
      </c>
      <c r="AG50" s="1892"/>
      <c r="AH50" s="1893"/>
    </row>
    <row r="51" spans="2:34" ht="18.75" customHeight="1">
      <c r="B51" s="1884"/>
      <c r="C51" s="1900"/>
      <c r="D51" s="1911"/>
      <c r="E51" s="1912"/>
      <c r="F51" s="1912"/>
      <c r="G51" s="1913"/>
      <c r="H51" s="1896" t="str">
        <f>IFERROR(IF(VLOOKUP(B50,'NY BackOrder'!A:F,6,FALSE)="","",IF(VLOOKUP(B50,'NY BackOrder'!A:F,6,FALSE)=0,"",VLOOKUP(B50,'NY BackOrder'!A:F,6,FALSE))),"")</f>
        <v/>
      </c>
      <c r="I51" s="1897"/>
      <c r="J51" s="1897"/>
      <c r="K51" s="428" t="s">
        <v>429</v>
      </c>
      <c r="L51" s="1898" t="str">
        <f>IFERROR(IF(VLOOKUP(B50,'NY BackOrder'!A:E,5,FALSE)="","",IF(VLOOKUP(B50,'NY BackOrder'!A:G,7,FALSE)=0,"",VLOOKUP(B50,'NY BackOrder'!A:G,7,FALSE))),"")</f>
        <v/>
      </c>
      <c r="M51" s="1897"/>
      <c r="N51" s="1897"/>
      <c r="O51" s="1897"/>
      <c r="P51" s="1897"/>
      <c r="Q51" s="1897"/>
      <c r="R51" s="1897"/>
      <c r="S51" s="1897"/>
      <c r="T51" s="1899"/>
      <c r="U51" s="432" t="str">
        <f>IFERROR(IF(VLOOKUP(B50,'NY BackOrder'!A:M,13,FALSE)=0,"",(VLOOKUP(B50,'NY BackOrder'!A:M,13,FALSE))),"")</f>
        <v/>
      </c>
      <c r="V51" s="431"/>
      <c r="W51" s="1885"/>
      <c r="X51" s="1886"/>
      <c r="Y51" s="1894"/>
      <c r="Z51" s="1895"/>
      <c r="AA51" s="1907"/>
      <c r="AB51" s="1908"/>
      <c r="AC51" s="1891"/>
      <c r="AD51" s="1892"/>
      <c r="AE51" s="1893"/>
      <c r="AF51" s="1891"/>
      <c r="AG51" s="1892"/>
      <c r="AH51" s="1893"/>
    </row>
    <row r="52" spans="2:34" ht="18.75" customHeight="1">
      <c r="B52" s="1884"/>
      <c r="C52" s="1900" t="str">
        <f>IF(B52="","",C50+1)</f>
        <v/>
      </c>
      <c r="D52" s="1911" t="str">
        <f>IFERROR(IF(VLOOKUP(B52,'NY BackOrder'!A:C,3,FALSE)="","",VLOOKUP(B52,'NY BackOrder'!A:C,3,FALSE)),"")</f>
        <v/>
      </c>
      <c r="E52" s="1912"/>
      <c r="F52" s="1912"/>
      <c r="G52" s="1913"/>
      <c r="H52" s="1896" t="str">
        <f>IF(IFERROR(IF(VLOOKUP(B52,'NY BackOrder'!A:E,5,FALSE)="",VLOOKUP(B52,'NY BackOrder'!A:G,7,FALSE),IF(VLOOKUP(B52,'NY BackOrder'!A:E,5,FALSE)=0,"",VLOOKUP(B52,'NY BackOrder'!A:E,5,FALSE))),"")=0,"",IFERROR(IF(VLOOKUP(B52,'NY BackOrder'!A:E,5,FALSE)="",VLOOKUP(B52,'NY BackOrder'!A:G,7,FALSE),IF(VLOOKUP(B52,'NY BackOrder'!A:E,5,FALSE)=0,"",VLOOKUP(B52,'NY BackOrder'!A:E,5,FALSE))),""))</f>
        <v/>
      </c>
      <c r="I52" s="1897"/>
      <c r="J52" s="1897"/>
      <c r="K52" s="1897"/>
      <c r="L52" s="1897"/>
      <c r="M52" s="1897"/>
      <c r="N52" s="1897"/>
      <c r="O52" s="1897"/>
      <c r="P52" s="1897"/>
      <c r="Q52" s="1897"/>
      <c r="R52" s="1897"/>
      <c r="S52" s="1897"/>
      <c r="T52" s="1897"/>
      <c r="U52" s="1897"/>
      <c r="V52" s="1902"/>
      <c r="W52" s="1885" t="str">
        <f>IFERROR(IF(VLOOKUP(B52,'NY BackOrder'!A:H,8,FALSE)=0,"",VLOOKUP(B52,'NY BackOrder'!A:H,8,FALSE)),"")</f>
        <v/>
      </c>
      <c r="X52" s="1886"/>
      <c r="Y52" s="1894" t="str">
        <f>IFERROR(IF(VLOOKUP(B52,'NY BackOrder'!A:I,9,FALSE)=0,"",VLOOKUP(B52,'NY BackOrder'!A:I,9,FALSE)),"")</f>
        <v/>
      </c>
      <c r="Z52" s="1895"/>
      <c r="AA52" s="1907" t="str">
        <f>IFERROR(IF(AND(H53="",ISNUMBER(VLOOKUP(B52,'NY BackOrder'!A:J,10,FALSE))),VLOOKUP(B52,'NY BackOrder'!A:J,10,FALSE)&amp;" set",IF(VLOOKUP(B52,'NY BackOrder'!A:J,10,FALSE)=0,"",VLOOKUP(B52,'NY BackOrder'!A:J,10,FALSE))),"")</f>
        <v/>
      </c>
      <c r="AB52" s="1908"/>
      <c r="AC52" s="1891" t="str">
        <f>IFERROR(IF(VLOOKUP(B52,'NY BackOrder'!A:K,11,FALSE)=0,"",VLOOKUP(B52,'NY BackOrder'!A:K,11,FALSE)),"")</f>
        <v/>
      </c>
      <c r="AD52" s="1892"/>
      <c r="AE52" s="1893"/>
      <c r="AF52" s="1891" t="str">
        <f t="array" ref="AF52">IFERROR(IF(AA52="","",_xlfn.CONCAT(IFERROR(MID(AA52,_xlfn.SEQUENCE(LEN(AA52)),1)*1,""))*AC52),"")</f>
        <v/>
      </c>
      <c r="AG52" s="1892"/>
      <c r="AH52" s="1893"/>
    </row>
    <row r="53" spans="2:34" ht="18.75" customHeight="1">
      <c r="B53" s="1884"/>
      <c r="C53" s="1900"/>
      <c r="D53" s="1965"/>
      <c r="E53" s="1966"/>
      <c r="F53" s="1966"/>
      <c r="G53" s="1967"/>
      <c r="H53" s="1889" t="str">
        <f>IFERROR(IF(VLOOKUP(B52,'NY BackOrder'!A:F,6,FALSE)="","",IF(VLOOKUP(B52,'NY BackOrder'!A:F,6,FALSE)=0,"",VLOOKUP(B52,'NY BackOrder'!A:F,6,FALSE))),"")</f>
        <v/>
      </c>
      <c r="I53" s="1890"/>
      <c r="J53" s="1890"/>
      <c r="K53" s="429" t="s">
        <v>429</v>
      </c>
      <c r="L53" s="1948" t="str">
        <f>IFERROR(IF(VLOOKUP(B52,'NY BackOrder'!A:E,5,FALSE)="","",IF(VLOOKUP(B52,'NY BackOrder'!A:G,7,FALSE)=0,"",VLOOKUP(B52,'NY BackOrder'!A:G,7,FALSE))),"")</f>
        <v/>
      </c>
      <c r="M53" s="1890"/>
      <c r="N53" s="1890"/>
      <c r="O53" s="1890"/>
      <c r="P53" s="1890"/>
      <c r="Q53" s="1890"/>
      <c r="R53" s="1890"/>
      <c r="S53" s="1890"/>
      <c r="T53" s="1949"/>
      <c r="U53" s="417" t="str">
        <f>IFERROR(IF(VLOOKUP(B52,'NY BackOrder'!A:M,13,FALSE)=0,"",(VLOOKUP(B52,'NY BackOrder'!A:M,13,FALSE))),"")</f>
        <v/>
      </c>
      <c r="V53" s="418"/>
      <c r="W53" s="1887"/>
      <c r="X53" s="1888"/>
      <c r="Y53" s="1961"/>
      <c r="Z53" s="1962"/>
      <c r="AA53" s="1963"/>
      <c r="AB53" s="1964"/>
      <c r="AC53" s="1904"/>
      <c r="AD53" s="1905"/>
      <c r="AE53" s="1906"/>
      <c r="AF53" s="1904"/>
      <c r="AG53" s="1905"/>
      <c r="AH53" s="1906"/>
    </row>
    <row r="54" spans="2:34" ht="18.75" customHeight="1">
      <c r="C54" s="415"/>
      <c r="D54" s="415"/>
      <c r="E54" s="415"/>
      <c r="F54" s="415"/>
      <c r="G54" s="1903"/>
      <c r="H54" s="1903"/>
      <c r="I54" s="1914"/>
      <c r="J54" s="1914"/>
      <c r="K54" s="415"/>
      <c r="L54" s="415"/>
      <c r="M54" s="415"/>
      <c r="N54" s="415"/>
      <c r="O54" s="415"/>
      <c r="P54" s="415"/>
      <c r="Q54" s="415"/>
      <c r="R54" s="415"/>
      <c r="S54" s="415"/>
      <c r="T54" s="415"/>
      <c r="U54" s="415"/>
      <c r="V54" s="415"/>
      <c r="W54" s="1903"/>
      <c r="X54" s="1903"/>
      <c r="Y54" s="1903"/>
      <c r="Z54" s="1903"/>
      <c r="AA54" s="1914"/>
      <c r="AB54" s="1958"/>
      <c r="AC54" s="1959" t="s">
        <v>411</v>
      </c>
      <c r="AD54" s="1960"/>
      <c r="AE54" s="1960"/>
      <c r="AF54" s="1945">
        <f>SUM(AF26:AH53)</f>
        <v>0</v>
      </c>
      <c r="AG54" s="1946"/>
      <c r="AH54" s="1947"/>
    </row>
    <row r="55" spans="2:34" ht="18.75" customHeight="1" thickBot="1">
      <c r="C55" s="407" t="s">
        <v>435</v>
      </c>
      <c r="AC55" s="1941" t="s">
        <v>431</v>
      </c>
      <c r="AD55" s="1942"/>
      <c r="AE55" s="1942"/>
      <c r="AF55" s="1955"/>
      <c r="AG55" s="1956"/>
      <c r="AH55" s="1957"/>
    </row>
    <row r="56" spans="2:34" ht="18.75" customHeight="1" thickBot="1">
      <c r="C56" s="407" t="s">
        <v>437</v>
      </c>
      <c r="N56" s="407" t="s">
        <v>442</v>
      </c>
      <c r="AC56" s="1909" t="s">
        <v>412</v>
      </c>
      <c r="AD56" s="1910"/>
      <c r="AE56" s="1910"/>
      <c r="AF56" s="1935">
        <f>SUM(AF54:AH55)</f>
        <v>0</v>
      </c>
      <c r="AG56" s="1936"/>
      <c r="AH56" s="1937"/>
    </row>
    <row r="57" spans="2:34" ht="18.75" customHeight="1">
      <c r="C57" s="430" t="s">
        <v>438</v>
      </c>
      <c r="N57" s="1901" t="s">
        <v>443</v>
      </c>
      <c r="O57" s="1901"/>
      <c r="P57" s="1901"/>
      <c r="Q57" s="1901"/>
      <c r="R57" s="1901"/>
      <c r="S57" s="1901"/>
      <c r="T57" s="1901"/>
      <c r="U57" s="1901"/>
      <c r="V57" s="1901"/>
    </row>
    <row r="58" spans="2:34" ht="18.75" customHeight="1">
      <c r="C58" s="407" t="s">
        <v>439</v>
      </c>
      <c r="N58" s="1901" t="s">
        <v>444</v>
      </c>
      <c r="O58" s="1901"/>
      <c r="P58" s="1901"/>
      <c r="Q58" s="1884"/>
      <c r="R58" s="1884"/>
      <c r="S58" s="1884"/>
      <c r="T58" s="1884"/>
    </row>
    <row r="59" spans="2:34" ht="18.75" customHeight="1">
      <c r="C59" s="407" t="s">
        <v>440</v>
      </c>
      <c r="Y59" s="430" t="s">
        <v>445</v>
      </c>
      <c r="Z59" s="430"/>
      <c r="AA59" s="430"/>
      <c r="AB59" s="430"/>
      <c r="AC59" s="430"/>
      <c r="AD59" s="430"/>
      <c r="AE59" s="430"/>
      <c r="AF59" s="430"/>
      <c r="AG59" s="430"/>
      <c r="AH59" s="430"/>
    </row>
    <row r="60" spans="2:34" ht="18.75" customHeight="1">
      <c r="C60" s="407" t="s">
        <v>441</v>
      </c>
      <c r="Y60" s="1884"/>
      <c r="Z60" s="1884"/>
      <c r="AA60" s="1884"/>
      <c r="AB60" s="1884"/>
      <c r="AC60" s="1884"/>
      <c r="AD60" s="1884"/>
      <c r="AE60" s="1884"/>
      <c r="AF60" s="1884"/>
      <c r="AG60" s="1884"/>
      <c r="AH60" s="1884"/>
    </row>
    <row r="61" spans="2:34" ht="18.75" customHeight="1">
      <c r="Y61" s="1884"/>
      <c r="Z61" s="1884"/>
      <c r="AA61" s="1884"/>
      <c r="AB61" s="1884"/>
      <c r="AC61" s="1884"/>
      <c r="AD61" s="1884"/>
      <c r="AE61" s="1884"/>
      <c r="AF61" s="1884"/>
      <c r="AG61" s="1884"/>
      <c r="AH61" s="1884"/>
    </row>
    <row r="62" spans="2:34" ht="18.75" customHeight="1" thickBot="1">
      <c r="Y62" s="1954"/>
      <c r="Z62" s="1954"/>
      <c r="AA62" s="1954"/>
      <c r="AB62" s="1954"/>
      <c r="AC62" s="1954"/>
      <c r="AD62" s="1954"/>
      <c r="AE62" s="1954"/>
      <c r="AF62" s="1954"/>
      <c r="AG62" s="1954"/>
      <c r="AH62" s="1954"/>
    </row>
    <row r="63" spans="2:34" ht="18.75" customHeight="1">
      <c r="Y63" s="1924" t="s">
        <v>446</v>
      </c>
      <c r="Z63" s="1924"/>
      <c r="AA63" s="1924"/>
      <c r="AB63" s="1924"/>
      <c r="AC63" s="1924"/>
      <c r="AD63" s="1924"/>
      <c r="AE63" s="1924"/>
      <c r="AF63" s="1924"/>
      <c r="AG63" s="1924"/>
      <c r="AH63" s="1924"/>
    </row>
  </sheetData>
  <mergeCells count="238">
    <mergeCell ref="C30:C31"/>
    <mergeCell ref="C32:C33"/>
    <mergeCell ref="D36:G37"/>
    <mergeCell ref="D38:G39"/>
    <mergeCell ref="D40:G41"/>
    <mergeCell ref="D42:G43"/>
    <mergeCell ref="AC42:AE43"/>
    <mergeCell ref="AF42:AH43"/>
    <mergeCell ref="H43:J43"/>
    <mergeCell ref="L43:T43"/>
    <mergeCell ref="W42:X43"/>
    <mergeCell ref="Y42:Z43"/>
    <mergeCell ref="D28:G29"/>
    <mergeCell ref="D30:G31"/>
    <mergeCell ref="D32:G33"/>
    <mergeCell ref="D34:G35"/>
    <mergeCell ref="AC44:AE45"/>
    <mergeCell ref="AF44:AH45"/>
    <mergeCell ref="H45:J45"/>
    <mergeCell ref="L45:T45"/>
    <mergeCell ref="W44:X45"/>
    <mergeCell ref="Y44:Z45"/>
    <mergeCell ref="AF32:AH33"/>
    <mergeCell ref="AF38:AH39"/>
    <mergeCell ref="W34:X35"/>
    <mergeCell ref="Y34:Z35"/>
    <mergeCell ref="W32:X33"/>
    <mergeCell ref="W38:X39"/>
    <mergeCell ref="W36:X37"/>
    <mergeCell ref="Y36:Z37"/>
    <mergeCell ref="Y38:Z39"/>
    <mergeCell ref="AA38:AB39"/>
    <mergeCell ref="U10:Z10"/>
    <mergeCell ref="AA10:AH10"/>
    <mergeCell ref="W15:AH15"/>
    <mergeCell ref="G16:T16"/>
    <mergeCell ref="U16:V16"/>
    <mergeCell ref="W16:AH16"/>
    <mergeCell ref="AA17:AC17"/>
    <mergeCell ref="AD17:AH17"/>
    <mergeCell ref="G18:T18"/>
    <mergeCell ref="U18:AH18"/>
    <mergeCell ref="G14:T14"/>
    <mergeCell ref="U14:V14"/>
    <mergeCell ref="W14:AH14"/>
    <mergeCell ref="G15:T15"/>
    <mergeCell ref="U15:V15"/>
    <mergeCell ref="C4:T7"/>
    <mergeCell ref="U4:AH5"/>
    <mergeCell ref="U6:V6"/>
    <mergeCell ref="W6:AH6"/>
    <mergeCell ref="U7:V7"/>
    <mergeCell ref="X7:Y7"/>
    <mergeCell ref="AD7:AF7"/>
    <mergeCell ref="AG7:AH7"/>
    <mergeCell ref="U13:V13"/>
    <mergeCell ref="W13:AH13"/>
    <mergeCell ref="C8:F13"/>
    <mergeCell ref="G8:T8"/>
    <mergeCell ref="U8:Z8"/>
    <mergeCell ref="AA8:AH8"/>
    <mergeCell ref="G9:T9"/>
    <mergeCell ref="U9:Z9"/>
    <mergeCell ref="AA9:AH9"/>
    <mergeCell ref="G10:T10"/>
    <mergeCell ref="G11:T11"/>
    <mergeCell ref="U11:Z11"/>
    <mergeCell ref="AA11:AH11"/>
    <mergeCell ref="G12:T12"/>
    <mergeCell ref="U12:AH12"/>
    <mergeCell ref="G13:T13"/>
    <mergeCell ref="C20:K20"/>
    <mergeCell ref="U20:Y20"/>
    <mergeCell ref="G17:T17"/>
    <mergeCell ref="U17:V17"/>
    <mergeCell ref="W17:Z17"/>
    <mergeCell ref="C22:K22"/>
    <mergeCell ref="U22:Y22"/>
    <mergeCell ref="C23:K23"/>
    <mergeCell ref="H26:V26"/>
    <mergeCell ref="U23:Z23"/>
    <mergeCell ref="L21:T21"/>
    <mergeCell ref="U21:Z21"/>
    <mergeCell ref="L23:T23"/>
    <mergeCell ref="C14:F19"/>
    <mergeCell ref="G19:T19"/>
    <mergeCell ref="D26:G27"/>
    <mergeCell ref="D24:G25"/>
    <mergeCell ref="C24:C25"/>
    <mergeCell ref="C26:C27"/>
    <mergeCell ref="W24:AB24"/>
    <mergeCell ref="H24:V24"/>
    <mergeCell ref="C28:C29"/>
    <mergeCell ref="D52:G53"/>
    <mergeCell ref="H52:V52"/>
    <mergeCell ref="AC32:AE33"/>
    <mergeCell ref="AA36:AB37"/>
    <mergeCell ref="AC36:AE37"/>
    <mergeCell ref="W46:X47"/>
    <mergeCell ref="Y46:Z47"/>
    <mergeCell ref="AA46:AB47"/>
    <mergeCell ref="H47:J47"/>
    <mergeCell ref="L47:T47"/>
    <mergeCell ref="C46:C47"/>
    <mergeCell ref="D46:G47"/>
    <mergeCell ref="H49:J49"/>
    <mergeCell ref="L49:T49"/>
    <mergeCell ref="C34:C35"/>
    <mergeCell ref="C36:C37"/>
    <mergeCell ref="C38:C39"/>
    <mergeCell ref="C40:C41"/>
    <mergeCell ref="C42:C43"/>
    <mergeCell ref="H34:V34"/>
    <mergeCell ref="Y28:Z29"/>
    <mergeCell ref="AA42:AB43"/>
    <mergeCell ref="H42:V42"/>
    <mergeCell ref="Y60:AH62"/>
    <mergeCell ref="AC46:AE47"/>
    <mergeCell ref="AF46:AH47"/>
    <mergeCell ref="AC48:AE49"/>
    <mergeCell ref="AF48:AH49"/>
    <mergeCell ref="AF55:AH55"/>
    <mergeCell ref="AC52:AE53"/>
    <mergeCell ref="Y48:Z49"/>
    <mergeCell ref="AA48:AB49"/>
    <mergeCell ref="AA50:AB51"/>
    <mergeCell ref="AC50:AE51"/>
    <mergeCell ref="AF50:AH51"/>
    <mergeCell ref="W54:Z54"/>
    <mergeCell ref="AA54:AB54"/>
    <mergeCell ref="AC54:AE54"/>
    <mergeCell ref="Y52:Z53"/>
    <mergeCell ref="AA52:AB53"/>
    <mergeCell ref="Y63:AH63"/>
    <mergeCell ref="G2:M2"/>
    <mergeCell ref="G1:M1"/>
    <mergeCell ref="C1:F1"/>
    <mergeCell ref="C2:F2"/>
    <mergeCell ref="AF24:AH25"/>
    <mergeCell ref="AC24:AE25"/>
    <mergeCell ref="AF56:AH56"/>
    <mergeCell ref="AC23:AH23"/>
    <mergeCell ref="AC55:AE55"/>
    <mergeCell ref="U25:V25"/>
    <mergeCell ref="AF54:AH54"/>
    <mergeCell ref="L29:T29"/>
    <mergeCell ref="L53:T53"/>
    <mergeCell ref="L35:T35"/>
    <mergeCell ref="AA25:AB25"/>
    <mergeCell ref="Y25:Z25"/>
    <mergeCell ref="W25:X25"/>
    <mergeCell ref="H36:V36"/>
    <mergeCell ref="AA44:AB45"/>
    <mergeCell ref="Y32:Z33"/>
    <mergeCell ref="AA32:AB33"/>
    <mergeCell ref="AA34:AB35"/>
    <mergeCell ref="AC34:AE35"/>
    <mergeCell ref="B32:B33"/>
    <mergeCell ref="L33:T33"/>
    <mergeCell ref="L39:T39"/>
    <mergeCell ref="C44:C45"/>
    <mergeCell ref="D44:G45"/>
    <mergeCell ref="H44:V44"/>
    <mergeCell ref="H32:V32"/>
    <mergeCell ref="B34:B35"/>
    <mergeCell ref="H35:J35"/>
    <mergeCell ref="H33:J33"/>
    <mergeCell ref="B38:B39"/>
    <mergeCell ref="H39:J39"/>
    <mergeCell ref="B36:B37"/>
    <mergeCell ref="H38:V38"/>
    <mergeCell ref="H37:J37"/>
    <mergeCell ref="L37:T37"/>
    <mergeCell ref="B28:B29"/>
    <mergeCell ref="W28:X29"/>
    <mergeCell ref="AA28:AB29"/>
    <mergeCell ref="AC28:AE29"/>
    <mergeCell ref="AF28:AH29"/>
    <mergeCell ref="B26:B27"/>
    <mergeCell ref="H27:J27"/>
    <mergeCell ref="L27:T27"/>
    <mergeCell ref="AF30:AH31"/>
    <mergeCell ref="AF26:AH27"/>
    <mergeCell ref="AC26:AE27"/>
    <mergeCell ref="AA26:AB27"/>
    <mergeCell ref="Y26:Z27"/>
    <mergeCell ref="W26:X27"/>
    <mergeCell ref="W30:X31"/>
    <mergeCell ref="L31:T31"/>
    <mergeCell ref="Y30:Z31"/>
    <mergeCell ref="AA30:AB31"/>
    <mergeCell ref="AC30:AE31"/>
    <mergeCell ref="H31:J31"/>
    <mergeCell ref="H29:J29"/>
    <mergeCell ref="B30:B31"/>
    <mergeCell ref="H28:V28"/>
    <mergeCell ref="H30:V30"/>
    <mergeCell ref="N58:P58"/>
    <mergeCell ref="Q58:T58"/>
    <mergeCell ref="Y50:Z51"/>
    <mergeCell ref="H40:V40"/>
    <mergeCell ref="N57:P57"/>
    <mergeCell ref="Q57:V57"/>
    <mergeCell ref="G54:H54"/>
    <mergeCell ref="AF52:AH53"/>
    <mergeCell ref="AA40:AB41"/>
    <mergeCell ref="AC40:AE41"/>
    <mergeCell ref="AF40:AH41"/>
    <mergeCell ref="AC56:AE56"/>
    <mergeCell ref="D48:G49"/>
    <mergeCell ref="H48:V48"/>
    <mergeCell ref="H51:J51"/>
    <mergeCell ref="L51:T51"/>
    <mergeCell ref="H50:V50"/>
    <mergeCell ref="D50:G51"/>
    <mergeCell ref="W50:X51"/>
    <mergeCell ref="H46:V46"/>
    <mergeCell ref="W48:X49"/>
    <mergeCell ref="I54:J54"/>
    <mergeCell ref="B52:B53"/>
    <mergeCell ref="W52:X53"/>
    <mergeCell ref="H53:J53"/>
    <mergeCell ref="B40:B41"/>
    <mergeCell ref="B48:B49"/>
    <mergeCell ref="W40:X41"/>
    <mergeCell ref="AF36:AH37"/>
    <mergeCell ref="AF34:AH35"/>
    <mergeCell ref="Y40:Z41"/>
    <mergeCell ref="H41:J41"/>
    <mergeCell ref="L41:T41"/>
    <mergeCell ref="B42:B43"/>
    <mergeCell ref="B44:B45"/>
    <mergeCell ref="B46:B47"/>
    <mergeCell ref="C48:C49"/>
    <mergeCell ref="C52:C53"/>
    <mergeCell ref="B50:B51"/>
    <mergeCell ref="C50:C51"/>
    <mergeCell ref="AC38:AE39"/>
  </mergeCells>
  <phoneticPr fontId="3"/>
  <conditionalFormatting sqref="G21">
    <cfRule type="notContainsBlanks" dxfId="12" priority="13" stopIfTrue="1">
      <formula>LEN(TRIM(G21))&gt;0</formula>
    </cfRule>
    <cfRule type="expression" dxfId="11" priority="14" stopIfTrue="1">
      <formula>$C$21="Other"</formula>
    </cfRule>
    <cfRule type="expression" dxfId="10" priority="15" stopIfTrue="1">
      <formula>$C$21="AIR"</formula>
    </cfRule>
    <cfRule type="expression" dxfId="9" priority="17" stopIfTrue="1">
      <formula>$C$21="Vessel"</formula>
    </cfRule>
  </conditionalFormatting>
  <conditionalFormatting sqref="C21:F21">
    <cfRule type="expression" dxfId="8" priority="16" stopIfTrue="1">
      <formula>$C$21="(SELECT)"</formula>
    </cfRule>
  </conditionalFormatting>
  <conditionalFormatting sqref="L21:Z21">
    <cfRule type="containsBlanks" dxfId="7" priority="12" stopIfTrue="1">
      <formula>LEN(TRIM(L21))=0</formula>
    </cfRule>
  </conditionalFormatting>
  <conditionalFormatting sqref="U19:V19">
    <cfRule type="expression" dxfId="6" priority="11" stopIfTrue="1">
      <formula>$U$19="(SELECT)"</formula>
    </cfRule>
  </conditionalFormatting>
  <conditionalFormatting sqref="AG7:AH7">
    <cfRule type="containsBlanks" dxfId="5" priority="10" stopIfTrue="1">
      <formula>LEN(TRIM(AG7))=0</formula>
    </cfRule>
  </conditionalFormatting>
  <conditionalFormatting sqref="C23:Z23">
    <cfRule type="containsBlanks" dxfId="4" priority="9" stopIfTrue="1">
      <formula>LEN(TRIM(C23))=0</formula>
    </cfRule>
  </conditionalFormatting>
  <conditionalFormatting sqref="AC23:AH23">
    <cfRule type="containsBlanks" dxfId="3" priority="8" stopIfTrue="1">
      <formula>LEN(TRIM(AC23))=0</formula>
    </cfRule>
  </conditionalFormatting>
  <conditionalFormatting sqref="G8:T13">
    <cfRule type="expression" dxfId="2" priority="7" stopIfTrue="1">
      <formula>$G$8=""</formula>
    </cfRule>
  </conditionalFormatting>
  <conditionalFormatting sqref="G14:T19">
    <cfRule type="expression" dxfId="1" priority="6" stopIfTrue="1">
      <formula>$G$14=""</formula>
    </cfRule>
  </conditionalFormatting>
  <conditionalFormatting sqref="H27:T27 H26 H29:T29 H28 H31:T31 H30 H33:T33 H32 H35:T35 H34 H37:T37 H36 H39:T39 H38 H41:T41 H40 H43:T43 H42 H45:T45 H44 H47:T47 H46 H49:T49 H48 H51:T51 H50 H53:T53 H52">
    <cfRule type="expression" dxfId="0" priority="3" stopIfTrue="1">
      <formula>COUNTIF($AC26,"*per*")</formula>
    </cfRule>
  </conditionalFormatting>
  <dataValidations count="3">
    <dataValidation type="list" allowBlank="1" showInputMessage="1" showErrorMessage="1" sqref="U19:V19" xr:uid="{00000000-0002-0000-0800-000000000000}">
      <formula1>"(SELECT),Advanced Payment,NET 30days,NET 60days"</formula1>
    </dataValidation>
    <dataValidation type="list" allowBlank="1" showInputMessage="1" showErrorMessage="1" sqref="K27 K49 K29 K31 K33 K35 K37 K51 K43 K45 K39 K41 K47 K53" xr:uid="{00000000-0002-0000-0800-000001000000}">
      <formula1>"mm,cm,m,　"</formula1>
    </dataValidation>
    <dataValidation type="list" allowBlank="1" showInputMessage="1" showErrorMessage="1" sqref="C21:F21" xr:uid="{00000000-0002-0000-0800-000002000000}">
      <formula1>"(SELECT),FedEx,UPS,DHL,Other,Vessel,AIR"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7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22</xdr:col>
                    <xdr:colOff>19050</xdr:colOff>
                    <xdr:row>5</xdr:row>
                    <xdr:rowOff>228600</xdr:rowOff>
                  </from>
                  <to>
                    <xdr:col>22</xdr:col>
                    <xdr:colOff>323850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25</xdr:col>
                    <xdr:colOff>133350</xdr:colOff>
                    <xdr:row>5</xdr:row>
                    <xdr:rowOff>228600</xdr:rowOff>
                  </from>
                  <to>
                    <xdr:col>26</xdr:col>
                    <xdr:colOff>66675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8</vt:i4>
      </vt:variant>
    </vt:vector>
  </HeadingPairs>
  <TitlesOfParts>
    <vt:vector size="20" baseType="lpstr">
      <vt:lpstr>NY BackOrder</vt:lpstr>
      <vt:lpstr>取引先マスタ</vt:lpstr>
      <vt:lpstr>仕入先マスタ</vt:lpstr>
      <vt:lpstr>Invoice(SF米国)</vt:lpstr>
      <vt:lpstr>Invoice(SF大阪)</vt:lpstr>
      <vt:lpstr>発注書</vt:lpstr>
      <vt:lpstr>carton mark </vt:lpstr>
      <vt:lpstr>顧客連絡用シート</vt:lpstr>
      <vt:lpstr>Sheet2</vt:lpstr>
      <vt:lpstr>Sheet3</vt:lpstr>
      <vt:lpstr>Sheet1</vt:lpstr>
      <vt:lpstr>Invoice(Sample)</vt:lpstr>
      <vt:lpstr>'carton mark '!Print_Area</vt:lpstr>
      <vt:lpstr>'Invoice(Sample)'!Print_Area</vt:lpstr>
      <vt:lpstr>'Invoice(SF大阪)'!Print_Area</vt:lpstr>
      <vt:lpstr>'Invoice(SF米国)'!Print_Area</vt:lpstr>
      <vt:lpstr>'NY BackOrder'!Print_Area</vt:lpstr>
      <vt:lpstr>発注書!Print_Area</vt:lpstr>
      <vt:lpstr>'Invoice(SF大阪)'!Print_Titles</vt:lpstr>
      <vt:lpstr>'Invoice(SF米国)'!Print_Titles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Ishida</dc:creator>
  <cp:lastModifiedBy>Megumi Chiba</cp:lastModifiedBy>
  <cp:lastPrinted>2025-06-11T06:14:12Z</cp:lastPrinted>
  <dcterms:created xsi:type="dcterms:W3CDTF">2004-11-16T02:15:36Z</dcterms:created>
  <dcterms:modified xsi:type="dcterms:W3CDTF">2026-04-02T09:27:32Z</dcterms:modified>
</cp:coreProperties>
</file>